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80" firstSheet="2" activeTab="7"/>
  </bookViews>
  <sheets>
    <sheet name="tot-0309" sheetId="1" r:id="rId1"/>
    <sheet name="LI-0309" sheetId="2" r:id="rId2"/>
    <sheet name="LIN-YACY" sheetId="3" r:id="rId3"/>
    <sheet name="TRAFO-TIBA" sheetId="4" r:id="rId4"/>
    <sheet name="TRAFO-ENECOR" sheetId="5" r:id="rId5"/>
    <sheet name="SALIDA-TIBA" sheetId="6" r:id="rId6"/>
    <sheet name="SALIDA-TIBA (2)" sheetId="7" r:id="rId7"/>
    <sheet name="SALIDA-ENECOR" sheetId="8" r:id="rId8"/>
    <sheet name="REAC-LITSA" sheetId="9" r:id="rId9"/>
  </sheets>
  <definedNames>
    <definedName name="_xlnm.Print_Area" localSheetId="1">'LI-0309'!$A$1:$AD$44</definedName>
    <definedName name="_xlnm.Print_Area" localSheetId="2">'LIN-YACY'!$A$1:$X$43</definedName>
    <definedName name="_xlnm.Print_Area" localSheetId="8">'REAC-LITSA'!$A$1:$W$47</definedName>
    <definedName name="_xlnm.Print_Area" localSheetId="7">'SALIDA-ENECOR'!$A$1:$U$45</definedName>
    <definedName name="_xlnm.Print_Area" localSheetId="5">'SALIDA-TIBA'!$A$1:$U$45</definedName>
    <definedName name="_xlnm.Print_Area" localSheetId="6">'SALIDA-TIBA (2)'!$A$1:$U$45</definedName>
    <definedName name="_xlnm.Print_Area" localSheetId="0">'tot-0309'!$A$1:$K$35</definedName>
    <definedName name="_xlnm.Print_Area" localSheetId="4">'TRAFO-ENECOR'!$A$1:$AB$43</definedName>
    <definedName name="_xlnm.Print_Area" localSheetId="3">'TRAFO-TIBA'!$A$1:$AB$43</definedName>
    <definedName name="INICIO" localSheetId="1">'LI-0309'!INICIO</definedName>
    <definedName name="INICIO" localSheetId="6">'SALIDA-TIBA (2)'!INICIO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<sst xmlns="http://schemas.openxmlformats.org/spreadsheetml/2006/main" count="455" uniqueCount="164">
  <si>
    <t>SISTEMA DE TRANSPORTE DE ENERGÍA ELÉCTRICA EN ALTA TENSIÓN</t>
  </si>
  <si>
    <t>A</t>
  </si>
  <si>
    <t>RINCON - YACYRETA I</t>
  </si>
  <si>
    <t>RINCON - YACYRETA II</t>
  </si>
  <si>
    <t>RINCON - YACYRETA III</t>
  </si>
  <si>
    <t>TRAFO</t>
  </si>
  <si>
    <t>AUTOTRAFO 1</t>
  </si>
  <si>
    <t>500/132/33</t>
  </si>
  <si>
    <t>500/132/13,2</t>
  </si>
  <si>
    <t>OLAVARRIA</t>
  </si>
  <si>
    <t>LÍNEA A CTPL Máq 29</t>
  </si>
  <si>
    <t>LÍNEA A CTPL Máq 30</t>
  </si>
  <si>
    <t>EQUIPO</t>
  </si>
  <si>
    <t>BAHIA BLANCA</t>
  </si>
  <si>
    <t>SALTO GRANDE</t>
  </si>
  <si>
    <t>REACTOR 1 - RI</t>
  </si>
  <si>
    <t xml:space="preserve">ENTE NACIONAL REGULADOR </t>
  </si>
  <si>
    <t>DE LA ELECTRICIDAD</t>
  </si>
  <si>
    <t>1.-</t>
  </si>
  <si>
    <t>LÍNEAS</t>
  </si>
  <si>
    <t>Transportista Independiente YACYLEC S.A.</t>
  </si>
  <si>
    <t>Transportista Independiente LITSA</t>
  </si>
  <si>
    <t>2.-</t>
  </si>
  <si>
    <t>CONEXIÓN</t>
  </si>
  <si>
    <t>Transformación</t>
  </si>
  <si>
    <t>Transportista Independiente TIBA</t>
  </si>
  <si>
    <t>Salidas</t>
  </si>
  <si>
    <t>3.-</t>
  </si>
  <si>
    <t>POTENCIA REACTIVA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</si>
  <si>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</si>
  <si>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</si>
  <si>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</si>
  <si>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</si>
  <si>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</si>
  <si>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</si>
  <si>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</si>
  <si>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</si>
  <si>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</si>
  <si>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</si>
  <si>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</si>
  <si>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</si>
  <si>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</si>
  <si>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</si>
  <si>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</si>
  <si>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</si>
  <si>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</si>
  <si>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</si>
  <si>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</si>
  <si>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</si>
  <si>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</si>
  <si>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</si>
  <si>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</si>
  <si>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</si>
  <si>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</si>
  <si>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</si>
  <si>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</si>
  <si>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</si>
  <si>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</si>
  <si>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</si>
  <si>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</si>
  <si>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REDUCC.
RESTANTE</t>
  </si>
  <si>
    <t>1.2.-  Líneas de la Transportista Independiente YACYLEC S.A.</t>
  </si>
  <si>
    <t>VALOR MENSUAL DEL CANON =</t>
  </si>
  <si>
    <t>PENALIZAC.
PROGRAM.</t>
  </si>
  <si>
    <t>PENALIZACIÓN FORZADA
1ras 5 hs.        hs. Restantes</t>
  </si>
  <si>
    <t>REDUCC. FORZADA.
1ras 5 hs.           hs. Restantes</t>
  </si>
  <si>
    <t>PUNTOS
PENALIZAC.</t>
  </si>
  <si>
    <t>Multiplicador =</t>
  </si>
  <si>
    <t>ENTE NACIONAL REGULADOR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</si>
  <si>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</si>
  <si>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</si>
  <si>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</si>
  <si>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</si>
  <si>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</si>
  <si>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</si>
  <si>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</si>
  <si>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</si>
  <si>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2.1.3.- Transportista Independiente T.I.B.A.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</si>
  <si>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</si>
  <si>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</si>
  <si>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</si>
  <si>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</si>
  <si>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</si>
  <si>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</si>
  <si>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SISTEMA DE TRANSPORTE DE ENERGÍA ELÉCTRICA EN ALTA TENSIÓN  -  TRANSENER S.A.</t>
  </si>
  <si>
    <t>3.- POTENCIA REACTIVA</t>
  </si>
  <si>
    <t>PENALIZACIÓN FORZADA
Por Salida     hs. Restantes</t>
  </si>
  <si>
    <t>3.3.- Transportista Independiente L.I.T.S.A.</t>
  </si>
  <si>
    <t>K (P)</t>
  </si>
  <si>
    <t>PASO DE LA PATRIA</t>
  </si>
  <si>
    <t>SALIDA STA. CATALINA 1</t>
  </si>
  <si>
    <t>SALIDA STA. CATALINA 2</t>
  </si>
  <si>
    <t>Transportista Independiente ENECOR S.A.</t>
  </si>
  <si>
    <t>2.1.4.- Transportista Independiente ENECOR S.A.</t>
  </si>
  <si>
    <t xml:space="preserve"> 2.2.3.- Transportista Independiente ENECOR S.A.</t>
  </si>
  <si>
    <t>BAHIA BLANCA - CHOELE CHOEL 2</t>
  </si>
  <si>
    <t>RESOLUCION ENRE Nº 1200/99</t>
  </si>
  <si>
    <t>Tasa de falla de LITSA =</t>
  </si>
  <si>
    <t>Duración Prom. anual móvil por salida forzada =</t>
  </si>
  <si>
    <t>Factor multiplicativo del mayoramiento =</t>
  </si>
  <si>
    <t>F</t>
  </si>
  <si>
    <t>Valores remuneratorios según Res. ENRE N° 618/01 - 544/01 - 533/01</t>
  </si>
  <si>
    <t>P</t>
  </si>
  <si>
    <t xml:space="preserve">OLAVARRIA </t>
  </si>
  <si>
    <t xml:space="preserve">AUTOTRAFO 2 </t>
  </si>
  <si>
    <t>I</t>
  </si>
  <si>
    <t>II</t>
  </si>
  <si>
    <t>III</t>
  </si>
  <si>
    <t>IV</t>
  </si>
  <si>
    <t>SALIDA a  G. CHAVEZ</t>
  </si>
  <si>
    <t xml:space="preserve">CAMPANA </t>
  </si>
  <si>
    <t>SALIDA a CAMPANA</t>
  </si>
  <si>
    <t>SALIDA a PRINGLES</t>
  </si>
  <si>
    <t>SALIDA a HENDERSON</t>
  </si>
  <si>
    <t>SALIDA a L. NEGRA</t>
  </si>
  <si>
    <t xml:space="preserve">PASO DE LA PATRIA </t>
  </si>
  <si>
    <t>Desde el 01 al 30 de septiembre de 2003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</si>
  <si>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</si>
  <si>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</si>
  <si>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</si>
  <si>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</si>
  <si>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</si>
  <si>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</si>
  <si>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</si>
  <si>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</si>
  <si>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</si>
  <si>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</si>
  <si>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</si>
  <si>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XVII</t>
  </si>
  <si>
    <t>XVI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</si>
  <si>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</si>
  <si>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</si>
  <si>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</si>
  <si>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</si>
  <si>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</si>
  <si>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</si>
  <si>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</si>
  <si>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</si>
  <si>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</si>
  <si>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</si>
  <si>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</si>
  <si>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</si>
  <si>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</si>
  <si>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</si>
  <si>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</si>
  <si>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</si>
  <si>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</si>
  <si>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</si>
  <si>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</si>
  <si>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</si>
  <si>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</si>
  <si>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</si>
  <si>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</si>
  <si>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</si>
  <si>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</si>
  <si>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</si>
  <si>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</si>
  <si>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</si>
  <si>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TOTAL DE PENALIZACIONES A APLICAR</t>
  </si>
  <si>
    <t>*</t>
  </si>
  <si>
    <t>No se consideran para la tasa de falla</t>
  </si>
  <si>
    <t>TRANSENER S.A. - TRANSPORTISTAS INDEPENDIENTES</t>
  </si>
  <si>
    <t>Equipamiento propio - IV LINEA</t>
  </si>
  <si>
    <t>ANEXO I-2 a la Resolución ENRE N°            520/2006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</si>
</sst>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</numFmts>
  <fonts count="9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0"/>
    </font>
    <font>
      <b/>
      <i/>
      <u val="single"/>
      <sz val="16"/>
      <name val="Times New Roman"/>
      <family val="1"/>
    </font>
    <font>
      <sz val="7"/>
      <name val="MS Sans Serif"/>
      <family val="0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8"/>
      <name val="Times New Roman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0"/>
      <name val="Courier New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8" fontId="4" fillId="0" borderId="5" xfId="0" applyNumberFormat="1" applyFont="1" applyFill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4" fontId="18" fillId="0" borderId="1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2" fontId="4" fillId="0" borderId="12" xfId="0" applyNumberFormat="1" applyFont="1" applyBorder="1" applyAlignment="1">
      <alignment horizontal="center"/>
    </xf>
    <xf numFmtId="22" fontId="4" fillId="0" borderId="13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7" fontId="12" fillId="0" borderId="14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11" fillId="0" borderId="18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19" xfId="0" applyFont="1" applyFill="1" applyBorder="1" applyAlignment="1">
      <alignment horizontal="centerContinuous"/>
    </xf>
    <xf numFmtId="0" fontId="0" fillId="0" borderId="24" xfId="0" applyFont="1" applyBorder="1" applyAlignment="1" applyProtection="1">
      <alignment horizontal="center"/>
      <protection/>
    </xf>
    <xf numFmtId="0" fontId="33" fillId="0" borderId="14" xfId="0" applyFont="1" applyBorder="1" applyAlignment="1">
      <alignment horizontal="center" vertical="center"/>
    </xf>
    <xf numFmtId="0" fontId="33" fillId="0" borderId="25" xfId="0" applyFont="1" applyBorder="1" applyAlignment="1" applyProtection="1">
      <alignment horizontal="center" vertical="center"/>
      <protection/>
    </xf>
    <xf numFmtId="176" fontId="33" fillId="0" borderId="14" xfId="0" applyNumberFormat="1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0" fontId="33" fillId="0" borderId="26" xfId="0" applyFont="1" applyBorder="1" applyAlignment="1" applyProtection="1">
      <alignment horizontal="center" vertical="center"/>
      <protection/>
    </xf>
    <xf numFmtId="172" fontId="33" fillId="0" borderId="26" xfId="0" applyNumberFormat="1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33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8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19" xfId="0" applyFont="1" applyFill="1" applyBorder="1" applyAlignment="1">
      <alignment horizontal="centerContinuous"/>
    </xf>
    <xf numFmtId="0" fontId="0" fillId="0" borderId="24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72" fontId="0" fillId="0" borderId="26" xfId="0" applyNumberFormat="1" applyFont="1" applyFill="1" applyBorder="1" applyAlignment="1" applyProtection="1">
      <alignment horizontal="center"/>
      <protection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3" fillId="0" borderId="24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Fill="1" applyBorder="1" applyAlignment="1" applyProtection="1" quotePrefix="1">
      <alignment horizontal="center" vertical="center" wrapText="1"/>
      <protection/>
    </xf>
    <xf numFmtId="0" fontId="33" fillId="0" borderId="1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2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9" xfId="0" applyFont="1" applyBorder="1" applyAlignment="1">
      <alignment horizontal="centerContinuous"/>
    </xf>
    <xf numFmtId="0" fontId="32" fillId="0" borderId="18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19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 applyProtection="1">
      <alignment horizontal="left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6" xfId="0" applyNumberFormat="1" applyFont="1" applyFill="1" applyBorder="1" applyAlignment="1">
      <alignment horizontal="right"/>
    </xf>
    <xf numFmtId="2" fontId="4" fillId="0" borderId="29" xfId="0" applyNumberFormat="1" applyFont="1" applyFill="1" applyBorder="1" applyAlignment="1" applyProtection="1" quotePrefix="1">
      <alignment horizontal="center"/>
      <protection/>
    </xf>
    <xf numFmtId="0" fontId="4" fillId="0" borderId="30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19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 quotePrefix="1">
      <alignment horizontal="left"/>
      <protection/>
    </xf>
    <xf numFmtId="0" fontId="0" fillId="0" borderId="27" xfId="0" applyFont="1" applyBorder="1" applyAlignment="1" applyProtection="1">
      <alignment horizontal="center"/>
      <protection/>
    </xf>
    <xf numFmtId="172" fontId="0" fillId="0" borderId="26" xfId="0" applyNumberFormat="1" applyFont="1" applyBorder="1" applyAlignment="1" applyProtection="1">
      <alignment horizontal="center"/>
      <protection/>
    </xf>
    <xf numFmtId="0" fontId="33" fillId="0" borderId="14" xfId="0" applyFont="1" applyBorder="1" applyAlignment="1" applyProtection="1" quotePrefix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/>
    </xf>
    <xf numFmtId="176" fontId="18" fillId="0" borderId="6" xfId="0" applyNumberFormat="1" applyFont="1" applyFill="1" applyBorder="1" applyAlignment="1">
      <alignment horizontal="center"/>
    </xf>
    <xf numFmtId="180" fontId="0" fillId="0" borderId="26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41" fillId="0" borderId="34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quotePrefix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18" xfId="0" applyFont="1" applyBorder="1" applyAlignment="1">
      <alignment/>
    </xf>
    <xf numFmtId="172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73" fontId="41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Border="1" applyAlignment="1" applyProtection="1">
      <alignment horizontal="center"/>
      <protection/>
    </xf>
    <xf numFmtId="179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19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18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19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9" xfId="0" applyFont="1" applyFill="1" applyBorder="1" applyAlignment="1">
      <alignment horizontal="centerContinuous"/>
    </xf>
    <xf numFmtId="0" fontId="17" fillId="0" borderId="0" xfId="0" applyFont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50" fillId="0" borderId="18" xfId="0" applyFont="1" applyBorder="1" applyAlignment="1">
      <alignment horizontal="centerContinuous"/>
    </xf>
    <xf numFmtId="22" fontId="8" fillId="0" borderId="0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0" fontId="51" fillId="0" borderId="0" xfId="0" applyFont="1" applyAlignment="1">
      <alignment/>
    </xf>
    <xf numFmtId="0" fontId="51" fillId="0" borderId="18" xfId="0" applyFont="1" applyBorder="1" applyAlignment="1">
      <alignment/>
    </xf>
    <xf numFmtId="179" fontId="41" fillId="0" borderId="0" xfId="0" applyNumberFormat="1" applyFont="1" applyBorder="1" applyAlignment="1" applyProtection="1" quotePrefix="1">
      <alignment horizontal="center"/>
      <protection/>
    </xf>
    <xf numFmtId="176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>
      <alignment horizontal="center"/>
    </xf>
    <xf numFmtId="4" fontId="51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56" fillId="3" borderId="24" xfId="0" applyFont="1" applyFill="1" applyBorder="1" applyAlignment="1" applyProtection="1">
      <alignment horizontal="centerContinuous" vertical="center" wrapText="1"/>
      <protection/>
    </xf>
    <xf numFmtId="0" fontId="57" fillId="3" borderId="27" xfId="0" applyFont="1" applyFill="1" applyBorder="1" applyAlignment="1">
      <alignment horizontal="centerContinuous"/>
    </xf>
    <xf numFmtId="0" fontId="56" fillId="3" borderId="26" xfId="0" applyFont="1" applyFill="1" applyBorder="1" applyAlignment="1">
      <alignment horizontal="centerContinuous" vertical="center"/>
    </xf>
    <xf numFmtId="0" fontId="58" fillId="3" borderId="14" xfId="0" applyFont="1" applyFill="1" applyBorder="1" applyAlignment="1" applyProtection="1">
      <alignment horizontal="center" vertical="center"/>
      <protection/>
    </xf>
    <xf numFmtId="176" fontId="59" fillId="3" borderId="1" xfId="0" applyNumberFormat="1" applyFont="1" applyFill="1" applyBorder="1" applyAlignment="1" applyProtection="1">
      <alignment horizontal="center"/>
      <protection/>
    </xf>
    <xf numFmtId="176" fontId="59" fillId="3" borderId="5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center"/>
    </xf>
    <xf numFmtId="0" fontId="59" fillId="3" borderId="31" xfId="0" applyFont="1" applyFill="1" applyBorder="1" applyAlignment="1">
      <alignment horizontal="center"/>
    </xf>
    <xf numFmtId="0" fontId="59" fillId="3" borderId="4" xfId="0" applyFont="1" applyFill="1" applyBorder="1" applyAlignment="1">
      <alignment horizontal="center"/>
    </xf>
    <xf numFmtId="7" fontId="21" fillId="0" borderId="14" xfId="0" applyNumberFormat="1" applyFont="1" applyFill="1" applyBorder="1" applyAlignment="1">
      <alignment horizontal="right"/>
    </xf>
    <xf numFmtId="0" fontId="59" fillId="3" borderId="1" xfId="0" applyFont="1" applyFill="1" applyBorder="1" applyAlignment="1" applyProtection="1">
      <alignment horizontal="center"/>
      <protection/>
    </xf>
    <xf numFmtId="0" fontId="59" fillId="3" borderId="9" xfId="0" applyFont="1" applyFill="1" applyBorder="1" applyAlignment="1" applyProtection="1">
      <alignment horizontal="center"/>
      <protection/>
    </xf>
    <xf numFmtId="176" fontId="59" fillId="3" borderId="4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Border="1" applyAlignment="1" applyProtection="1">
      <alignment horizontal="center"/>
      <protection/>
    </xf>
    <xf numFmtId="0" fontId="4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38" fillId="3" borderId="14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/>
    </xf>
    <xf numFmtId="0" fontId="60" fillId="4" borderId="14" xfId="0" applyFont="1" applyFill="1" applyBorder="1" applyAlignment="1">
      <alignment horizontal="center" vertical="center" wrapText="1"/>
    </xf>
    <xf numFmtId="0" fontId="61" fillId="4" borderId="37" xfId="0" applyFont="1" applyFill="1" applyBorder="1" applyAlignment="1">
      <alignment/>
    </xf>
    <xf numFmtId="0" fontId="52" fillId="5" borderId="2" xfId="0" applyFont="1" applyFill="1" applyBorder="1" applyAlignment="1">
      <alignment/>
    </xf>
    <xf numFmtId="0" fontId="55" fillId="5" borderId="14" xfId="0" applyFont="1" applyFill="1" applyBorder="1" applyAlignment="1">
      <alignment horizontal="center" vertical="center" wrapText="1"/>
    </xf>
    <xf numFmtId="0" fontId="52" fillId="5" borderId="37" xfId="0" applyFont="1" applyFill="1" applyBorder="1" applyAlignment="1">
      <alignment/>
    </xf>
    <xf numFmtId="176" fontId="5" fillId="3" borderId="38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3" fillId="6" borderId="24" xfId="0" applyFont="1" applyFill="1" applyBorder="1" applyAlignment="1">
      <alignment horizontal="centerContinuous" vertical="center" wrapText="1"/>
    </xf>
    <xf numFmtId="0" fontId="64" fillId="6" borderId="27" xfId="0" applyFont="1" applyFill="1" applyBorder="1" applyAlignment="1">
      <alignment horizontal="centerContinuous"/>
    </xf>
    <xf numFmtId="0" fontId="63" fillId="6" borderId="26" xfId="0" applyFont="1" applyFill="1" applyBorder="1" applyAlignment="1">
      <alignment horizontal="centerContinuous" vertical="center"/>
    </xf>
    <xf numFmtId="176" fontId="65" fillId="6" borderId="38" xfId="0" applyNumberFormat="1" applyFont="1" applyFill="1" applyBorder="1" applyAlignment="1" applyProtection="1" quotePrefix="1">
      <alignment horizontal="center"/>
      <protection/>
    </xf>
    <xf numFmtId="4" fontId="65" fillId="6" borderId="2" xfId="0" applyNumberFormat="1" applyFont="1" applyFill="1" applyBorder="1" applyAlignment="1" applyProtection="1">
      <alignment horizontal="center"/>
      <protection/>
    </xf>
    <xf numFmtId="0" fontId="4" fillId="3" borderId="39" xfId="0" applyFont="1" applyFill="1" applyBorder="1" applyAlignment="1">
      <alignment/>
    </xf>
    <xf numFmtId="0" fontId="4" fillId="3" borderId="40" xfId="0" applyFont="1" applyFill="1" applyBorder="1" applyAlignment="1">
      <alignment/>
    </xf>
    <xf numFmtId="0" fontId="4" fillId="3" borderId="41" xfId="0" applyFont="1" applyFill="1" applyBorder="1" applyAlignment="1">
      <alignment/>
    </xf>
    <xf numFmtId="0" fontId="65" fillId="6" borderId="39" xfId="0" applyFont="1" applyFill="1" applyBorder="1" applyAlignment="1">
      <alignment/>
    </xf>
    <xf numFmtId="0" fontId="65" fillId="6" borderId="40" xfId="0" applyFont="1" applyFill="1" applyBorder="1" applyAlignment="1">
      <alignment/>
    </xf>
    <xf numFmtId="0" fontId="65" fillId="6" borderId="41" xfId="0" applyFont="1" applyFill="1" applyBorder="1" applyAlignment="1">
      <alignment/>
    </xf>
    <xf numFmtId="176" fontId="65" fillId="6" borderId="42" xfId="0" applyNumberFormat="1" applyFont="1" applyFill="1" applyBorder="1" applyAlignment="1" applyProtection="1" quotePrefix="1">
      <alignment horizontal="center"/>
      <protection/>
    </xf>
    <xf numFmtId="176" fontId="5" fillId="3" borderId="42" xfId="0" applyNumberFormat="1" applyFont="1" applyFill="1" applyBorder="1" applyAlignment="1" applyProtection="1" quotePrefix="1">
      <alignment horizontal="center"/>
      <protection/>
    </xf>
    <xf numFmtId="0" fontId="4" fillId="0" borderId="37" xfId="0" applyFont="1" applyBorder="1" applyAlignment="1">
      <alignment/>
    </xf>
    <xf numFmtId="0" fontId="68" fillId="7" borderId="37" xfId="0" applyFont="1" applyFill="1" applyBorder="1" applyAlignment="1">
      <alignment/>
    </xf>
    <xf numFmtId="4" fontId="68" fillId="7" borderId="1" xfId="0" applyNumberFormat="1" applyFont="1" applyFill="1" applyBorder="1" applyAlignment="1" applyProtection="1">
      <alignment horizontal="center"/>
      <protection/>
    </xf>
    <xf numFmtId="0" fontId="67" fillId="7" borderId="14" xfId="0" applyFont="1" applyFill="1" applyBorder="1" applyAlignment="1">
      <alignment horizontal="center" vertical="center" wrapText="1"/>
    </xf>
    <xf numFmtId="0" fontId="70" fillId="8" borderId="14" xfId="0" applyFont="1" applyFill="1" applyBorder="1" applyAlignment="1">
      <alignment horizontal="center" vertical="center" wrapText="1"/>
    </xf>
    <xf numFmtId="0" fontId="71" fillId="8" borderId="37" xfId="0" applyFont="1" applyFill="1" applyBorder="1" applyAlignment="1">
      <alignment/>
    </xf>
    <xf numFmtId="4" fontId="71" fillId="8" borderId="1" xfId="0" applyNumberFormat="1" applyFont="1" applyFill="1" applyBorder="1" applyAlignment="1" applyProtection="1">
      <alignment horizontal="center"/>
      <protection/>
    </xf>
    <xf numFmtId="2" fontId="62" fillId="4" borderId="14" xfId="0" applyNumberFormat="1" applyFont="1" applyFill="1" applyBorder="1" applyAlignment="1" applyProtection="1">
      <alignment horizontal="center"/>
      <protection/>
    </xf>
    <xf numFmtId="2" fontId="53" fillId="5" borderId="14" xfId="0" applyNumberFormat="1" applyFont="1" applyFill="1" applyBorder="1" applyAlignment="1" applyProtection="1">
      <alignment horizontal="center"/>
      <protection/>
    </xf>
    <xf numFmtId="2" fontId="54" fillId="3" borderId="14" xfId="0" applyNumberFormat="1" applyFont="1" applyFill="1" applyBorder="1" applyAlignment="1" applyProtection="1">
      <alignment horizontal="center"/>
      <protection/>
    </xf>
    <xf numFmtId="2" fontId="66" fillId="6" borderId="14" xfId="0" applyNumberFormat="1" applyFont="1" applyFill="1" applyBorder="1" applyAlignment="1" applyProtection="1">
      <alignment horizontal="center"/>
      <protection/>
    </xf>
    <xf numFmtId="2" fontId="69" fillId="7" borderId="14" xfId="0" applyNumberFormat="1" applyFont="1" applyFill="1" applyBorder="1" applyAlignment="1" applyProtection="1">
      <alignment horizontal="center"/>
      <protection/>
    </xf>
    <xf numFmtId="2" fontId="72" fillId="8" borderId="14" xfId="0" applyNumberFormat="1" applyFont="1" applyFill="1" applyBorder="1" applyAlignment="1" applyProtection="1">
      <alignment horizontal="center"/>
      <protection/>
    </xf>
    <xf numFmtId="0" fontId="74" fillId="9" borderId="1" xfId="0" applyFont="1" applyFill="1" applyBorder="1" applyAlignment="1">
      <alignment/>
    </xf>
    <xf numFmtId="0" fontId="74" fillId="9" borderId="5" xfId="0" applyFont="1" applyFill="1" applyBorder="1" applyAlignment="1" applyProtection="1">
      <alignment horizontal="center"/>
      <protection/>
    </xf>
    <xf numFmtId="0" fontId="75" fillId="10" borderId="14" xfId="0" applyFont="1" applyFill="1" applyBorder="1" applyAlignment="1" applyProtection="1">
      <alignment horizontal="center" vertical="center"/>
      <protection/>
    </xf>
    <xf numFmtId="0" fontId="76" fillId="10" borderId="1" xfId="0" applyFont="1" applyFill="1" applyBorder="1" applyAlignment="1">
      <alignment/>
    </xf>
    <xf numFmtId="172" fontId="33" fillId="0" borderId="14" xfId="0" applyNumberFormat="1" applyFont="1" applyBorder="1" applyAlignment="1" applyProtection="1">
      <alignment horizontal="center" vertical="center" wrapText="1"/>
      <protection/>
    </xf>
    <xf numFmtId="176" fontId="73" fillId="9" borderId="14" xfId="0" applyNumberFormat="1" applyFont="1" applyFill="1" applyBorder="1" applyAlignment="1" applyProtection="1">
      <alignment horizontal="center" vertical="center"/>
      <protection/>
    </xf>
    <xf numFmtId="0" fontId="74" fillId="9" borderId="1" xfId="0" applyFont="1" applyFill="1" applyBorder="1" applyAlignment="1" applyProtection="1">
      <alignment horizontal="center"/>
      <protection/>
    </xf>
    <xf numFmtId="0" fontId="74" fillId="9" borderId="37" xfId="0" applyFont="1" applyFill="1" applyBorder="1" applyAlignment="1">
      <alignment/>
    </xf>
    <xf numFmtId="0" fontId="76" fillId="10" borderId="37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0" fontId="77" fillId="10" borderId="14" xfId="0" applyFont="1" applyFill="1" applyBorder="1" applyAlignment="1">
      <alignment horizontal="center" vertical="center" wrapText="1"/>
    </xf>
    <xf numFmtId="2" fontId="78" fillId="10" borderId="1" xfId="0" applyNumberFormat="1" applyFont="1" applyFill="1" applyBorder="1" applyAlignment="1" applyProtection="1">
      <alignment horizontal="center"/>
      <protection/>
    </xf>
    <xf numFmtId="0" fontId="59" fillId="3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72" fontId="4" fillId="0" borderId="43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>
      <alignment horizontal="center"/>
    </xf>
    <xf numFmtId="0" fontId="77" fillId="11" borderId="14" xfId="0" applyFont="1" applyFill="1" applyBorder="1" applyAlignment="1" applyProtection="1">
      <alignment horizontal="center" vertical="center"/>
      <protection/>
    </xf>
    <xf numFmtId="0" fontId="79" fillId="11" borderId="43" xfId="0" applyFont="1" applyFill="1" applyBorder="1" applyAlignment="1">
      <alignment horizontal="center"/>
    </xf>
    <xf numFmtId="0" fontId="79" fillId="11" borderId="4" xfId="0" applyFont="1" applyFill="1" applyBorder="1" applyAlignment="1">
      <alignment horizontal="center"/>
    </xf>
    <xf numFmtId="0" fontId="80" fillId="7" borderId="14" xfId="0" applyFont="1" applyFill="1" applyBorder="1" applyAlignment="1">
      <alignment horizontal="center" vertical="center" wrapText="1"/>
    </xf>
    <xf numFmtId="0" fontId="81" fillId="7" borderId="43" xfId="0" applyFont="1" applyFill="1" applyBorder="1" applyAlignment="1">
      <alignment horizontal="center"/>
    </xf>
    <xf numFmtId="0" fontId="81" fillId="7" borderId="4" xfId="0" applyFont="1" applyFill="1" applyBorder="1" applyAlignment="1">
      <alignment horizontal="center"/>
    </xf>
    <xf numFmtId="4" fontId="81" fillId="7" borderId="14" xfId="0" applyNumberFormat="1" applyFont="1" applyFill="1" applyBorder="1" applyAlignment="1">
      <alignment horizontal="center"/>
    </xf>
    <xf numFmtId="0" fontId="82" fillId="5" borderId="14" xfId="0" applyFont="1" applyFill="1" applyBorder="1" applyAlignment="1">
      <alignment horizontal="center" vertical="center" wrapText="1"/>
    </xf>
    <xf numFmtId="0" fontId="83" fillId="5" borderId="43" xfId="0" applyFont="1" applyFill="1" applyBorder="1" applyAlignment="1">
      <alignment horizontal="center"/>
    </xf>
    <xf numFmtId="0" fontId="83" fillId="5" borderId="4" xfId="0" applyFont="1" applyFill="1" applyBorder="1" applyAlignment="1">
      <alignment horizontal="center"/>
    </xf>
    <xf numFmtId="4" fontId="83" fillId="5" borderId="14" xfId="0" applyNumberFormat="1" applyFont="1" applyFill="1" applyBorder="1" applyAlignment="1">
      <alignment horizontal="center"/>
    </xf>
    <xf numFmtId="0" fontId="54" fillId="3" borderId="39" xfId="0" applyFont="1" applyFill="1" applyBorder="1" applyAlignment="1">
      <alignment horizontal="center"/>
    </xf>
    <xf numFmtId="0" fontId="54" fillId="3" borderId="41" xfId="0" applyFont="1" applyFill="1" applyBorder="1" applyAlignment="1">
      <alignment horizontal="center"/>
    </xf>
    <xf numFmtId="0" fontId="54" fillId="3" borderId="12" xfId="0" applyFont="1" applyFill="1" applyBorder="1" applyAlignment="1">
      <alignment horizontal="center"/>
    </xf>
    <xf numFmtId="0" fontId="54" fillId="3" borderId="45" xfId="0" applyFont="1" applyFill="1" applyBorder="1" applyAlignment="1">
      <alignment horizontal="center"/>
    </xf>
    <xf numFmtId="4" fontId="54" fillId="3" borderId="46" xfId="0" applyNumberFormat="1" applyFont="1" applyFill="1" applyBorder="1" applyAlignment="1">
      <alignment horizontal="center"/>
    </xf>
    <xf numFmtId="4" fontId="54" fillId="3" borderId="26" xfId="0" applyNumberFormat="1" applyFont="1" applyFill="1" applyBorder="1" applyAlignment="1">
      <alignment horizontal="center"/>
    </xf>
    <xf numFmtId="0" fontId="84" fillId="12" borderId="24" xfId="0" applyFont="1" applyFill="1" applyBorder="1" applyAlignment="1" applyProtection="1">
      <alignment horizontal="centerContinuous" vertical="center" wrapText="1"/>
      <protection/>
    </xf>
    <xf numFmtId="0" fontId="84" fillId="12" borderId="26" xfId="0" applyFont="1" applyFill="1" applyBorder="1" applyAlignment="1">
      <alignment horizontal="centerContinuous" vertical="center"/>
    </xf>
    <xf numFmtId="0" fontId="85" fillId="12" borderId="47" xfId="0" applyFont="1" applyFill="1" applyBorder="1" applyAlignment="1">
      <alignment horizontal="center"/>
    </xf>
    <xf numFmtId="0" fontId="85" fillId="12" borderId="48" xfId="0" applyFont="1" applyFill="1" applyBorder="1" applyAlignment="1">
      <alignment horizontal="center"/>
    </xf>
    <xf numFmtId="0" fontId="85" fillId="12" borderId="12" xfId="0" applyFont="1" applyFill="1" applyBorder="1" applyAlignment="1">
      <alignment horizontal="center"/>
    </xf>
    <xf numFmtId="0" fontId="85" fillId="12" borderId="45" xfId="0" applyFont="1" applyFill="1" applyBorder="1" applyAlignment="1">
      <alignment horizontal="center"/>
    </xf>
    <xf numFmtId="4" fontId="85" fillId="12" borderId="46" xfId="0" applyNumberFormat="1" applyFont="1" applyFill="1" applyBorder="1" applyAlignment="1">
      <alignment horizontal="center"/>
    </xf>
    <xf numFmtId="4" fontId="85" fillId="12" borderId="49" xfId="0" applyNumberFormat="1" applyFont="1" applyFill="1" applyBorder="1" applyAlignment="1">
      <alignment horizontal="center"/>
    </xf>
    <xf numFmtId="0" fontId="84" fillId="12" borderId="14" xfId="0" applyFont="1" applyFill="1" applyBorder="1" applyAlignment="1">
      <alignment horizontal="center" vertical="center" wrapText="1"/>
    </xf>
    <xf numFmtId="0" fontId="60" fillId="13" borderId="14" xfId="0" applyFont="1" applyFill="1" applyBorder="1" applyAlignment="1">
      <alignment horizontal="center" vertical="center" wrapText="1"/>
    </xf>
    <xf numFmtId="0" fontId="62" fillId="13" borderId="43" xfId="0" applyFont="1" applyFill="1" applyBorder="1" applyAlignment="1">
      <alignment horizontal="center"/>
    </xf>
    <xf numFmtId="0" fontId="62" fillId="13" borderId="4" xfId="0" applyFont="1" applyFill="1" applyBorder="1" applyAlignment="1">
      <alignment horizontal="center"/>
    </xf>
    <xf numFmtId="0" fontId="86" fillId="7" borderId="14" xfId="0" applyFont="1" applyFill="1" applyBorder="1" applyAlignment="1">
      <alignment horizontal="center" vertical="center" wrapText="1"/>
    </xf>
    <xf numFmtId="0" fontId="87" fillId="7" borderId="43" xfId="0" applyFont="1" applyFill="1" applyBorder="1" applyAlignment="1">
      <alignment horizontal="center"/>
    </xf>
    <xf numFmtId="0" fontId="87" fillId="7" borderId="4" xfId="0" applyFont="1" applyFill="1" applyBorder="1" applyAlignment="1">
      <alignment horizontal="center"/>
    </xf>
    <xf numFmtId="0" fontId="79" fillId="10" borderId="1" xfId="0" applyFont="1" applyFill="1" applyBorder="1" applyAlignment="1" applyProtection="1">
      <alignment horizontal="center"/>
      <protection/>
    </xf>
    <xf numFmtId="0" fontId="77" fillId="10" borderId="14" xfId="0" applyFont="1" applyFill="1" applyBorder="1" applyAlignment="1" applyProtection="1">
      <alignment horizontal="center" vertical="center"/>
      <protection/>
    </xf>
    <xf numFmtId="0" fontId="79" fillId="10" borderId="37" xfId="0" applyFont="1" applyFill="1" applyBorder="1" applyAlignment="1" applyProtection="1">
      <alignment horizontal="center"/>
      <protection/>
    </xf>
    <xf numFmtId="0" fontId="85" fillId="12" borderId="1" xfId="0" applyFont="1" applyFill="1" applyBorder="1" applyAlignment="1" applyProtection="1">
      <alignment horizontal="center"/>
      <protection/>
    </xf>
    <xf numFmtId="0" fontId="85" fillId="12" borderId="37" xfId="0" applyFont="1" applyFill="1" applyBorder="1" applyAlignment="1" applyProtection="1">
      <alignment horizontal="center"/>
      <protection/>
    </xf>
    <xf numFmtId="4" fontId="85" fillId="12" borderId="14" xfId="0" applyNumberFormat="1" applyFont="1" applyFill="1" applyBorder="1" applyAlignment="1">
      <alignment horizontal="center"/>
    </xf>
    <xf numFmtId="0" fontId="55" fillId="5" borderId="24" xfId="0" applyFont="1" applyFill="1" applyBorder="1" applyAlignment="1" applyProtection="1">
      <alignment horizontal="centerContinuous" vertical="center" wrapText="1"/>
      <protection/>
    </xf>
    <xf numFmtId="0" fontId="55" fillId="5" borderId="26" xfId="0" applyFont="1" applyFill="1" applyBorder="1" applyAlignment="1">
      <alignment horizontal="centerContinuous" vertical="center"/>
    </xf>
    <xf numFmtId="176" fontId="53" fillId="5" borderId="39" xfId="0" applyNumberFormat="1" applyFont="1" applyFill="1" applyBorder="1" applyAlignment="1" applyProtection="1" quotePrefix="1">
      <alignment horizontal="center"/>
      <protection/>
    </xf>
    <xf numFmtId="176" fontId="53" fillId="5" borderId="41" xfId="0" applyNumberFormat="1" applyFont="1" applyFill="1" applyBorder="1" applyAlignment="1" applyProtection="1" quotePrefix="1">
      <alignment horizontal="center"/>
      <protection/>
    </xf>
    <xf numFmtId="176" fontId="53" fillId="5" borderId="42" xfId="0" applyNumberFormat="1" applyFont="1" applyFill="1" applyBorder="1" applyAlignment="1" applyProtection="1" quotePrefix="1">
      <alignment horizontal="center"/>
      <protection/>
    </xf>
    <xf numFmtId="176" fontId="53" fillId="5" borderId="50" xfId="0" applyNumberFormat="1" applyFont="1" applyFill="1" applyBorder="1" applyAlignment="1" applyProtection="1" quotePrefix="1">
      <alignment horizontal="center"/>
      <protection/>
    </xf>
    <xf numFmtId="4" fontId="53" fillId="5" borderId="46" xfId="0" applyNumberFormat="1" applyFont="1" applyFill="1" applyBorder="1" applyAlignment="1">
      <alignment horizontal="center"/>
    </xf>
    <xf numFmtId="4" fontId="53" fillId="5" borderId="49" xfId="0" applyNumberFormat="1" applyFont="1" applyFill="1" applyBorder="1" applyAlignment="1">
      <alignment horizontal="center"/>
    </xf>
    <xf numFmtId="176" fontId="78" fillId="4" borderId="1" xfId="0" applyNumberFormat="1" applyFont="1" applyFill="1" applyBorder="1" applyAlignment="1" applyProtection="1" quotePrefix="1">
      <alignment horizontal="center"/>
      <protection/>
    </xf>
    <xf numFmtId="4" fontId="78" fillId="4" borderId="14" xfId="0" applyNumberFormat="1" applyFont="1" applyFill="1" applyBorder="1" applyAlignment="1">
      <alignment horizontal="center"/>
    </xf>
    <xf numFmtId="0" fontId="77" fillId="4" borderId="14" xfId="0" applyFont="1" applyFill="1" applyBorder="1" applyAlignment="1">
      <alignment horizontal="center" vertical="center" wrapText="1"/>
    </xf>
    <xf numFmtId="176" fontId="78" fillId="4" borderId="37" xfId="0" applyNumberFormat="1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>
      <alignment horizontal="center"/>
    </xf>
    <xf numFmtId="176" fontId="18" fillId="3" borderId="6" xfId="0" applyNumberFormat="1" applyFont="1" applyFill="1" applyBorder="1" applyAlignment="1">
      <alignment horizontal="center"/>
    </xf>
    <xf numFmtId="172" fontId="59" fillId="3" borderId="4" xfId="0" applyNumberFormat="1" applyFont="1" applyFill="1" applyBorder="1" applyAlignment="1" applyProtection="1">
      <alignment horizontal="center"/>
      <protection/>
    </xf>
    <xf numFmtId="0" fontId="73" fillId="14" borderId="14" xfId="0" applyFont="1" applyFill="1" applyBorder="1" applyAlignment="1">
      <alignment horizontal="center" vertical="center" wrapText="1"/>
    </xf>
    <xf numFmtId="0" fontId="88" fillId="14" borderId="43" xfId="0" applyFont="1" applyFill="1" applyBorder="1" applyAlignment="1">
      <alignment horizontal="center"/>
    </xf>
    <xf numFmtId="2" fontId="88" fillId="14" borderId="4" xfId="0" applyNumberFormat="1" applyFont="1" applyFill="1" applyBorder="1" applyAlignment="1">
      <alignment horizontal="center"/>
    </xf>
    <xf numFmtId="4" fontId="88" fillId="14" borderId="24" xfId="0" applyNumberFormat="1" applyFont="1" applyFill="1" applyBorder="1" applyAlignment="1">
      <alignment horizontal="center"/>
    </xf>
    <xf numFmtId="0" fontId="86" fillId="5" borderId="24" xfId="0" applyFont="1" applyFill="1" applyBorder="1" applyAlignment="1" applyProtection="1">
      <alignment horizontal="centerContinuous" vertical="center" wrapText="1"/>
      <protection/>
    </xf>
    <xf numFmtId="0" fontId="86" fillId="5" borderId="26" xfId="0" applyFont="1" applyFill="1" applyBorder="1" applyAlignment="1">
      <alignment horizontal="centerContinuous" vertical="center"/>
    </xf>
    <xf numFmtId="0" fontId="87" fillId="5" borderId="39" xfId="0" applyFont="1" applyFill="1" applyBorder="1" applyAlignment="1">
      <alignment horizontal="center"/>
    </xf>
    <xf numFmtId="0" fontId="87" fillId="5" borderId="41" xfId="0" applyFont="1" applyFill="1" applyBorder="1" applyAlignment="1">
      <alignment horizontal="center"/>
    </xf>
    <xf numFmtId="176" fontId="87" fillId="5" borderId="12" xfId="0" applyNumberFormat="1" applyFont="1" applyFill="1" applyBorder="1" applyAlignment="1" applyProtection="1" quotePrefix="1">
      <alignment horizontal="center"/>
      <protection/>
    </xf>
    <xf numFmtId="176" fontId="87" fillId="5" borderId="45" xfId="0" applyNumberFormat="1" applyFont="1" applyFill="1" applyBorder="1" applyAlignment="1" applyProtection="1" quotePrefix="1">
      <alignment horizontal="center"/>
      <protection/>
    </xf>
    <xf numFmtId="4" fontId="87" fillId="5" borderId="46" xfId="0" applyNumberFormat="1" applyFont="1" applyFill="1" applyBorder="1" applyAlignment="1">
      <alignment horizontal="center"/>
    </xf>
    <xf numFmtId="4" fontId="87" fillId="5" borderId="26" xfId="0" applyNumberFormat="1" applyFont="1" applyFill="1" applyBorder="1" applyAlignment="1">
      <alignment horizontal="center"/>
    </xf>
    <xf numFmtId="0" fontId="77" fillId="7" borderId="14" xfId="0" applyFont="1" applyFill="1" applyBorder="1" applyAlignment="1">
      <alignment horizontal="center" vertical="center" wrapText="1"/>
    </xf>
    <xf numFmtId="0" fontId="78" fillId="7" borderId="43" xfId="0" applyFont="1" applyFill="1" applyBorder="1" applyAlignment="1">
      <alignment horizontal="center"/>
    </xf>
    <xf numFmtId="176" fontId="78" fillId="7" borderId="4" xfId="0" applyNumberFormat="1" applyFont="1" applyFill="1" applyBorder="1" applyAlignment="1" applyProtection="1" quotePrefix="1">
      <alignment horizontal="center"/>
      <protection/>
    </xf>
    <xf numFmtId="4" fontId="78" fillId="7" borderId="14" xfId="0" applyNumberFormat="1" applyFont="1" applyFill="1" applyBorder="1" applyAlignment="1">
      <alignment horizontal="center"/>
    </xf>
    <xf numFmtId="176" fontId="18" fillId="3" borderId="4" xfId="0" applyNumberFormat="1" applyFont="1" applyFill="1" applyBorder="1" applyAlignment="1">
      <alignment horizontal="center"/>
    </xf>
    <xf numFmtId="4" fontId="18" fillId="3" borderId="1" xfId="0" applyNumberFormat="1" applyFont="1" applyFill="1" applyBorder="1" applyAlignment="1">
      <alignment horizontal="right"/>
    </xf>
    <xf numFmtId="7" fontId="12" fillId="3" borderId="14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4" fillId="0" borderId="35" xfId="0" applyFont="1" applyBorder="1" applyAlignment="1">
      <alignment/>
    </xf>
    <xf numFmtId="4" fontId="62" fillId="13" borderId="14" xfId="0" applyNumberFormat="1" applyFont="1" applyFill="1" applyBorder="1" applyAlignment="1">
      <alignment horizontal="center"/>
    </xf>
    <xf numFmtId="4" fontId="87" fillId="7" borderId="14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right" vertical="center"/>
    </xf>
    <xf numFmtId="7" fontId="8" fillId="0" borderId="27" xfId="0" applyNumberFormat="1" applyFont="1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38" fillId="12" borderId="14" xfId="0" applyFont="1" applyFill="1" applyBorder="1" applyAlignment="1" applyProtection="1">
      <alignment horizontal="center" vertical="center" wrapText="1"/>
      <protection/>
    </xf>
    <xf numFmtId="0" fontId="22" fillId="12" borderId="37" xfId="0" applyFont="1" applyFill="1" applyBorder="1" applyAlignment="1">
      <alignment horizontal="center"/>
    </xf>
    <xf numFmtId="0" fontId="22" fillId="12" borderId="1" xfId="0" applyFont="1" applyFill="1" applyBorder="1" applyAlignment="1">
      <alignment horizontal="center"/>
    </xf>
    <xf numFmtId="2" fontId="89" fillId="12" borderId="1" xfId="0" applyNumberFormat="1" applyFont="1" applyFill="1" applyBorder="1" applyAlignment="1" applyProtection="1">
      <alignment horizontal="center"/>
      <protection/>
    </xf>
    <xf numFmtId="2" fontId="22" fillId="12" borderId="5" xfId="0" applyNumberFormat="1" applyFont="1" applyFill="1" applyBorder="1" applyAlignment="1" applyProtection="1">
      <alignment horizontal="center"/>
      <protection/>
    </xf>
    <xf numFmtId="0" fontId="79" fillId="10" borderId="37" xfId="0" applyFont="1" applyFill="1" applyBorder="1" applyAlignment="1">
      <alignment horizontal="center"/>
    </xf>
    <xf numFmtId="0" fontId="79" fillId="10" borderId="1" xfId="0" applyFont="1" applyFill="1" applyBorder="1" applyAlignment="1">
      <alignment horizontal="center"/>
    </xf>
    <xf numFmtId="2" fontId="79" fillId="10" borderId="5" xfId="0" applyNumberFormat="1" applyFont="1" applyFill="1" applyBorder="1" applyAlignment="1" applyProtection="1">
      <alignment horizontal="center"/>
      <protection/>
    </xf>
    <xf numFmtId="0" fontId="77" fillId="4" borderId="24" xfId="0" applyFont="1" applyFill="1" applyBorder="1" applyAlignment="1" applyProtection="1">
      <alignment horizontal="centerContinuous" vertical="center" wrapText="1"/>
      <protection/>
    </xf>
    <xf numFmtId="0" fontId="77" fillId="4" borderId="26" xfId="0" applyFont="1" applyFill="1" applyBorder="1" applyAlignment="1" applyProtection="1">
      <alignment horizontal="centerContinuous" vertical="center" wrapText="1"/>
      <protection/>
    </xf>
    <xf numFmtId="0" fontId="79" fillId="4" borderId="39" xfId="0" applyFont="1" applyFill="1" applyBorder="1" applyAlignment="1">
      <alignment horizontal="center"/>
    </xf>
    <xf numFmtId="0" fontId="79" fillId="4" borderId="41" xfId="0" applyFont="1" applyFill="1" applyBorder="1" applyAlignment="1" applyProtection="1">
      <alignment horizontal="center"/>
      <protection/>
    </xf>
    <xf numFmtId="0" fontId="79" fillId="4" borderId="42" xfId="0" applyFont="1" applyFill="1" applyBorder="1" applyAlignment="1">
      <alignment horizontal="center"/>
    </xf>
    <xf numFmtId="0" fontId="79" fillId="4" borderId="2" xfId="0" applyFont="1" applyFill="1" applyBorder="1" applyAlignment="1" applyProtection="1">
      <alignment horizontal="center"/>
      <protection/>
    </xf>
    <xf numFmtId="176" fontId="78" fillId="4" borderId="42" xfId="0" applyNumberFormat="1" applyFont="1" applyFill="1" applyBorder="1" applyAlignment="1" applyProtection="1" quotePrefix="1">
      <alignment horizontal="center"/>
      <protection/>
    </xf>
    <xf numFmtId="176" fontId="78" fillId="4" borderId="2" xfId="0" applyNumberFormat="1" applyFont="1" applyFill="1" applyBorder="1" applyAlignment="1" applyProtection="1" quotePrefix="1">
      <alignment horizontal="center"/>
      <protection/>
    </xf>
    <xf numFmtId="176" fontId="79" fillId="4" borderId="51" xfId="0" applyNumberFormat="1" applyFont="1" applyFill="1" applyBorder="1" applyAlignment="1" applyProtection="1" quotePrefix="1">
      <alignment horizontal="center"/>
      <protection/>
    </xf>
    <xf numFmtId="176" fontId="79" fillId="4" borderId="10" xfId="0" applyNumberFormat="1" applyFont="1" applyFill="1" applyBorder="1" applyAlignment="1" applyProtection="1" quotePrefix="1">
      <alignment horizontal="center"/>
      <protection/>
    </xf>
    <xf numFmtId="0" fontId="55" fillId="5" borderId="26" xfId="0" applyFont="1" applyFill="1" applyBorder="1" applyAlignment="1" applyProtection="1">
      <alignment horizontal="centerContinuous" vertical="center" wrapText="1"/>
      <protection/>
    </xf>
    <xf numFmtId="0" fontId="52" fillId="5" borderId="39" xfId="0" applyFont="1" applyFill="1" applyBorder="1" applyAlignment="1">
      <alignment horizontal="left"/>
    </xf>
    <xf numFmtId="0" fontId="52" fillId="5" borderId="35" xfId="0" applyFont="1" applyFill="1" applyBorder="1" applyAlignment="1">
      <alignment horizontal="left"/>
    </xf>
    <xf numFmtId="0" fontId="52" fillId="5" borderId="42" xfId="0" applyFont="1" applyFill="1" applyBorder="1" applyAlignment="1">
      <alignment horizontal="left"/>
    </xf>
    <xf numFmtId="0" fontId="52" fillId="5" borderId="2" xfId="0" applyFont="1" applyFill="1" applyBorder="1" applyAlignment="1">
      <alignment horizontal="left"/>
    </xf>
    <xf numFmtId="176" fontId="53" fillId="5" borderId="2" xfId="0" applyNumberFormat="1" applyFont="1" applyFill="1" applyBorder="1" applyAlignment="1" applyProtection="1" quotePrefix="1">
      <alignment horizontal="center"/>
      <protection/>
    </xf>
    <xf numFmtId="4" fontId="52" fillId="5" borderId="51" xfId="0" applyNumberFormat="1" applyFont="1" applyFill="1" applyBorder="1" applyAlignment="1" applyProtection="1">
      <alignment horizontal="center"/>
      <protection/>
    </xf>
    <xf numFmtId="4" fontId="52" fillId="5" borderId="10" xfId="0" applyNumberFormat="1" applyFont="1" applyFill="1" applyBorder="1" applyAlignment="1" applyProtection="1">
      <alignment horizontal="center"/>
      <protection/>
    </xf>
    <xf numFmtId="0" fontId="77" fillId="7" borderId="14" xfId="0" applyFont="1" applyFill="1" applyBorder="1" applyAlignment="1" applyProtection="1">
      <alignment horizontal="centerContinuous" vertical="center" wrapText="1"/>
      <protection/>
    </xf>
    <xf numFmtId="0" fontId="79" fillId="7" borderId="37" xfId="0" applyFont="1" applyFill="1" applyBorder="1" applyAlignment="1">
      <alignment horizontal="left"/>
    </xf>
    <xf numFmtId="0" fontId="79" fillId="7" borderId="1" xfId="0" applyFont="1" applyFill="1" applyBorder="1" applyAlignment="1">
      <alignment horizontal="left"/>
    </xf>
    <xf numFmtId="176" fontId="78" fillId="7" borderId="1" xfId="0" applyNumberFormat="1" applyFont="1" applyFill="1" applyBorder="1" applyAlignment="1" applyProtection="1" quotePrefix="1">
      <alignment horizontal="center"/>
      <protection/>
    </xf>
    <xf numFmtId="4" fontId="79" fillId="7" borderId="5" xfId="0" applyNumberFormat="1" applyFont="1" applyFill="1" applyBorder="1" applyAlignment="1" applyProtection="1">
      <alignment horizontal="center"/>
      <protection/>
    </xf>
    <xf numFmtId="0" fontId="77" fillId="15" borderId="14" xfId="0" applyFont="1" applyFill="1" applyBorder="1" applyAlignment="1" applyProtection="1">
      <alignment horizontal="centerContinuous" vertical="center" wrapText="1"/>
      <protection/>
    </xf>
    <xf numFmtId="0" fontId="79" fillId="15" borderId="37" xfId="0" applyFont="1" applyFill="1" applyBorder="1" applyAlignment="1">
      <alignment horizontal="left"/>
    </xf>
    <xf numFmtId="0" fontId="79" fillId="15" borderId="1" xfId="0" applyFont="1" applyFill="1" applyBorder="1" applyAlignment="1">
      <alignment horizontal="left"/>
    </xf>
    <xf numFmtId="176" fontId="78" fillId="15" borderId="1" xfId="0" applyNumberFormat="1" applyFont="1" applyFill="1" applyBorder="1" applyAlignment="1" applyProtection="1" quotePrefix="1">
      <alignment horizontal="center"/>
      <protection/>
    </xf>
    <xf numFmtId="4" fontId="79" fillId="15" borderId="5" xfId="0" applyNumberFormat="1" applyFont="1" applyFill="1" applyBorder="1" applyAlignment="1" applyProtection="1">
      <alignment horizontal="center"/>
      <protection/>
    </xf>
    <xf numFmtId="7" fontId="16" fillId="0" borderId="37" xfId="0" applyNumberFormat="1" applyFont="1" applyBorder="1" applyAlignment="1">
      <alignment/>
    </xf>
    <xf numFmtId="7" fontId="4" fillId="0" borderId="37" xfId="0" applyNumberFormat="1" applyFont="1" applyBorder="1" applyAlignment="1">
      <alignment/>
    </xf>
    <xf numFmtId="7" fontId="18" fillId="3" borderId="43" xfId="0" applyNumberFormat="1" applyFont="1" applyFill="1" applyBorder="1" applyAlignment="1">
      <alignment horizontal="center"/>
    </xf>
    <xf numFmtId="7" fontId="18" fillId="0" borderId="43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6" xfId="0" applyNumberFormat="1" applyFont="1" applyBorder="1" applyAlignment="1">
      <alignment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76" fillId="10" borderId="1" xfId="0" applyNumberFormat="1" applyFont="1" applyFill="1" applyBorder="1" applyAlignment="1" applyProtection="1">
      <alignment horizontal="center"/>
      <protection/>
    </xf>
    <xf numFmtId="180" fontId="76" fillId="10" borderId="5" xfId="0" applyNumberFormat="1" applyFont="1" applyFill="1" applyBorder="1" applyAlignment="1" applyProtection="1">
      <alignment horizontal="center"/>
      <protection/>
    </xf>
    <xf numFmtId="180" fontId="59" fillId="3" borderId="1" xfId="0" applyNumberFormat="1" applyFont="1" applyFill="1" applyBorder="1" applyAlignment="1" applyProtection="1">
      <alignment horizontal="center"/>
      <protection/>
    </xf>
    <xf numFmtId="180" fontId="16" fillId="0" borderId="24" xfId="0" applyNumberFormat="1" applyFont="1" applyBorder="1" applyAlignment="1">
      <alignment horizontal="centerContinuous"/>
    </xf>
    <xf numFmtId="7" fontId="16" fillId="0" borderId="44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90" fillId="0" borderId="0" xfId="0" applyFont="1" applyAlignment="1">
      <alignment horizontal="right" vertical="top"/>
    </xf>
    <xf numFmtId="0" fontId="90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1" xfId="0" applyNumberFormat="1" applyFont="1" applyFill="1" applyBorder="1" applyAlignment="1" applyProtection="1">
      <alignment horizontal="right"/>
      <protection/>
    </xf>
    <xf numFmtId="0" fontId="0" fillId="0" borderId="24" xfId="0" applyFont="1" applyBorder="1" applyAlignment="1" applyProtection="1">
      <alignment horizontal="left" vertical="center"/>
      <protection/>
    </xf>
    <xf numFmtId="18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80" fontId="0" fillId="0" borderId="2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4" fillId="16" borderId="27" xfId="0" applyFont="1" applyFill="1" applyBorder="1" applyAlignment="1">
      <alignment/>
    </xf>
    <xf numFmtId="0" fontId="4" fillId="16" borderId="26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4" fillId="16" borderId="24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7" fontId="12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center"/>
    </xf>
    <xf numFmtId="176" fontId="19" fillId="2" borderId="52" xfId="0" applyNumberFormat="1" applyFont="1" applyFill="1" applyBorder="1" applyAlignment="1">
      <alignment horizontal="center"/>
    </xf>
    <xf numFmtId="0" fontId="93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72" fontId="4" fillId="0" borderId="1" xfId="21" applyNumberFormat="1" applyFont="1" applyFill="1" applyBorder="1" applyAlignment="1" applyProtection="1">
      <alignment horizontal="center"/>
      <protection locked="0"/>
    </xf>
    <xf numFmtId="173" fontId="4" fillId="0" borderId="1" xfId="21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173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53" xfId="0" applyNumberFormat="1" applyFont="1" applyFill="1" applyBorder="1" applyAlignment="1" applyProtection="1">
      <alignment horizontal="center"/>
      <protection locked="0"/>
    </xf>
    <xf numFmtId="22" fontId="4" fillId="0" borderId="2" xfId="21" applyNumberFormat="1" applyFont="1" applyFill="1" applyBorder="1" applyAlignment="1" applyProtection="1">
      <alignment horizontal="center"/>
      <protection locked="0"/>
    </xf>
    <xf numFmtId="22" fontId="4" fillId="0" borderId="9" xfId="21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53" xfId="0" applyNumberFormat="1" applyFont="1" applyBorder="1" applyAlignment="1" applyProtection="1">
      <alignment horizontal="center"/>
      <protection locked="0"/>
    </xf>
    <xf numFmtId="22" fontId="4" fillId="0" borderId="9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62" fillId="4" borderId="1" xfId="0" applyNumberFormat="1" applyFont="1" applyFill="1" applyBorder="1" applyAlignment="1" applyProtection="1">
      <alignment horizontal="center"/>
      <protection locked="0"/>
    </xf>
    <xf numFmtId="2" fontId="53" fillId="5" borderId="2" xfId="0" applyNumberFormat="1" applyFont="1" applyFill="1" applyBorder="1" applyAlignment="1" applyProtection="1">
      <alignment horizontal="center"/>
      <protection locked="0"/>
    </xf>
    <xf numFmtId="176" fontId="54" fillId="3" borderId="42" xfId="0" applyNumberFormat="1" applyFont="1" applyFill="1" applyBorder="1" applyAlignment="1" applyProtection="1" quotePrefix="1">
      <alignment horizontal="center"/>
      <protection locked="0"/>
    </xf>
    <xf numFmtId="176" fontId="54" fillId="3" borderId="38" xfId="0" applyNumberFormat="1" applyFont="1" applyFill="1" applyBorder="1" applyAlignment="1" applyProtection="1" quotePrefix="1">
      <alignment horizontal="center"/>
      <protection locked="0"/>
    </xf>
    <xf numFmtId="4" fontId="54" fillId="3" borderId="2" xfId="0" applyNumberFormat="1" applyFont="1" applyFill="1" applyBorder="1" applyAlignment="1" applyProtection="1">
      <alignment horizontal="center"/>
      <protection locked="0"/>
    </xf>
    <xf numFmtId="176" fontId="66" fillId="6" borderId="42" xfId="0" applyNumberFormat="1" applyFont="1" applyFill="1" applyBorder="1" applyAlignment="1" applyProtection="1" quotePrefix="1">
      <alignment horizontal="center"/>
      <protection locked="0"/>
    </xf>
    <xf numFmtId="176" fontId="66" fillId="6" borderId="38" xfId="0" applyNumberFormat="1" applyFont="1" applyFill="1" applyBorder="1" applyAlignment="1" applyProtection="1" quotePrefix="1">
      <alignment horizontal="center"/>
      <protection locked="0"/>
    </xf>
    <xf numFmtId="4" fontId="66" fillId="6" borderId="2" xfId="0" applyNumberFormat="1" applyFont="1" applyFill="1" applyBorder="1" applyAlignment="1" applyProtection="1">
      <alignment horizontal="center"/>
      <protection locked="0"/>
    </xf>
    <xf numFmtId="4" fontId="69" fillId="7" borderId="1" xfId="0" applyNumberFormat="1" applyFont="1" applyFill="1" applyBorder="1" applyAlignment="1" applyProtection="1">
      <alignment horizontal="center"/>
      <protection locked="0"/>
    </xf>
    <xf numFmtId="4" fontId="72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2" fontId="61" fillId="4" borderId="5" xfId="0" applyNumberFormat="1" applyFont="1" applyFill="1" applyBorder="1" applyAlignment="1" applyProtection="1">
      <alignment horizontal="center"/>
      <protection locked="0"/>
    </xf>
    <xf numFmtId="2" fontId="53" fillId="5" borderId="5" xfId="0" applyNumberFormat="1" applyFont="1" applyFill="1" applyBorder="1" applyAlignment="1" applyProtection="1">
      <alignment horizontal="center"/>
      <protection locked="0"/>
    </xf>
    <xf numFmtId="176" fontId="54" fillId="3" borderId="51" xfId="0" applyNumberFormat="1" applyFont="1" applyFill="1" applyBorder="1" applyAlignment="1" applyProtection="1" quotePrefix="1">
      <alignment horizontal="center"/>
      <protection locked="0"/>
    </xf>
    <xf numFmtId="176" fontId="54" fillId="3" borderId="54" xfId="0" applyNumberFormat="1" applyFont="1" applyFill="1" applyBorder="1" applyAlignment="1" applyProtection="1" quotePrefix="1">
      <alignment horizontal="center"/>
      <protection locked="0"/>
    </xf>
    <xf numFmtId="4" fontId="54" fillId="3" borderId="55" xfId="0" applyNumberFormat="1" applyFont="1" applyFill="1" applyBorder="1" applyAlignment="1" applyProtection="1">
      <alignment horizontal="center"/>
      <protection locked="0"/>
    </xf>
    <xf numFmtId="176" fontId="66" fillId="6" borderId="51" xfId="0" applyNumberFormat="1" applyFont="1" applyFill="1" applyBorder="1" applyAlignment="1" applyProtection="1" quotePrefix="1">
      <alignment horizontal="center"/>
      <protection locked="0"/>
    </xf>
    <xf numFmtId="176" fontId="66" fillId="6" borderId="54" xfId="0" applyNumberFormat="1" applyFont="1" applyFill="1" applyBorder="1" applyAlignment="1" applyProtection="1" quotePrefix="1">
      <alignment horizontal="center"/>
      <protection locked="0"/>
    </xf>
    <xf numFmtId="4" fontId="66" fillId="6" borderId="55" xfId="0" applyNumberFormat="1" applyFont="1" applyFill="1" applyBorder="1" applyAlignment="1" applyProtection="1">
      <alignment horizontal="center"/>
      <protection locked="0"/>
    </xf>
    <xf numFmtId="4" fontId="69" fillId="7" borderId="5" xfId="0" applyNumberFormat="1" applyFont="1" applyFill="1" applyBorder="1" applyAlignment="1" applyProtection="1">
      <alignment horizontal="center"/>
      <protection locked="0"/>
    </xf>
    <xf numFmtId="4" fontId="72" fillId="8" borderId="5" xfId="0" applyNumberFormat="1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 quotePrefix="1">
      <alignment horizontal="center"/>
      <protection locked="0"/>
    </xf>
    <xf numFmtId="0" fontId="4" fillId="0" borderId="10" xfId="0" applyFont="1" applyBorder="1" applyAlignment="1" applyProtection="1" quotePrefix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45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72" fontId="5" fillId="0" borderId="52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2" fontId="81" fillId="7" borderId="1" xfId="0" applyNumberFormat="1" applyFont="1" applyFill="1" applyBorder="1" applyAlignment="1" applyProtection="1">
      <alignment horizontal="center"/>
      <protection locked="0"/>
    </xf>
    <xf numFmtId="2" fontId="83" fillId="5" borderId="1" xfId="0" applyNumberFormat="1" applyFont="1" applyFill="1" applyBorder="1" applyAlignment="1" applyProtection="1">
      <alignment horizontal="center"/>
      <protection locked="0"/>
    </xf>
    <xf numFmtId="176" fontId="54" fillId="3" borderId="12" xfId="0" applyNumberFormat="1" applyFont="1" applyFill="1" applyBorder="1" applyAlignment="1" applyProtection="1" quotePrefix="1">
      <alignment horizontal="center"/>
      <protection locked="0"/>
    </xf>
    <xf numFmtId="176" fontId="54" fillId="3" borderId="45" xfId="0" applyNumberFormat="1" applyFont="1" applyFill="1" applyBorder="1" applyAlignment="1" applyProtection="1" quotePrefix="1">
      <alignment horizontal="center"/>
      <protection locked="0"/>
    </xf>
    <xf numFmtId="176" fontId="85" fillId="12" borderId="12" xfId="0" applyNumberFormat="1" applyFont="1" applyFill="1" applyBorder="1" applyAlignment="1" applyProtection="1" quotePrefix="1">
      <alignment horizontal="center"/>
      <protection locked="0"/>
    </xf>
    <xf numFmtId="176" fontId="85" fillId="12" borderId="45" xfId="0" applyNumberFormat="1" applyFont="1" applyFill="1" applyBorder="1" applyAlignment="1" applyProtection="1" quotePrefix="1">
      <alignment horizontal="center"/>
      <protection locked="0"/>
    </xf>
    <xf numFmtId="176" fontId="62" fillId="13" borderId="1" xfId="0" applyNumberFormat="1" applyFont="1" applyFill="1" applyBorder="1" applyAlignment="1" applyProtection="1" quotePrefix="1">
      <alignment horizontal="center"/>
      <protection locked="0"/>
    </xf>
    <xf numFmtId="176" fontId="87" fillId="7" borderId="4" xfId="0" applyNumberFormat="1" applyFont="1" applyFill="1" applyBorder="1" applyAlignment="1" applyProtection="1" quotePrefix="1">
      <alignment horizontal="center"/>
      <protection locked="0"/>
    </xf>
    <xf numFmtId="2" fontId="81" fillId="7" borderId="5" xfId="0" applyNumberFormat="1" applyFont="1" applyFill="1" applyBorder="1" applyAlignment="1" applyProtection="1">
      <alignment horizontal="center"/>
      <protection locked="0"/>
    </xf>
    <xf numFmtId="2" fontId="83" fillId="5" borderId="5" xfId="0" applyNumberFormat="1" applyFont="1" applyFill="1" applyBorder="1" applyAlignment="1" applyProtection="1">
      <alignment horizontal="center"/>
      <protection locked="0"/>
    </xf>
    <xf numFmtId="176" fontId="54" fillId="3" borderId="56" xfId="0" applyNumberFormat="1" applyFont="1" applyFill="1" applyBorder="1" applyAlignment="1" applyProtection="1" quotePrefix="1">
      <alignment horizontal="center"/>
      <protection locked="0"/>
    </xf>
    <xf numFmtId="176" fontId="54" fillId="3" borderId="57" xfId="0" applyNumberFormat="1" applyFont="1" applyFill="1" applyBorder="1" applyAlignment="1" applyProtection="1" quotePrefix="1">
      <alignment horizontal="center"/>
      <protection locked="0"/>
    </xf>
    <xf numFmtId="176" fontId="85" fillId="12" borderId="51" xfId="0" applyNumberFormat="1" applyFont="1" applyFill="1" applyBorder="1" applyAlignment="1" applyProtection="1" quotePrefix="1">
      <alignment horizontal="center"/>
      <protection locked="0"/>
    </xf>
    <xf numFmtId="176" fontId="85" fillId="12" borderId="55" xfId="0" applyNumberFormat="1" applyFont="1" applyFill="1" applyBorder="1" applyAlignment="1" applyProtection="1" quotePrefix="1">
      <alignment horizontal="center"/>
      <protection locked="0"/>
    </xf>
    <xf numFmtId="176" fontId="62" fillId="13" borderId="5" xfId="0" applyNumberFormat="1" applyFont="1" applyFill="1" applyBorder="1" applyAlignment="1" applyProtection="1" quotePrefix="1">
      <alignment horizontal="center"/>
      <protection locked="0"/>
    </xf>
    <xf numFmtId="176" fontId="87" fillId="7" borderId="5" xfId="0" applyNumberFormat="1" applyFont="1" applyFill="1" applyBorder="1" applyAlignment="1" applyProtection="1" quotePrefix="1">
      <alignment horizontal="center"/>
      <protection locked="0"/>
    </xf>
    <xf numFmtId="176" fontId="19" fillId="0" borderId="10" xfId="0" applyNumberFormat="1" applyFont="1" applyFill="1" applyBorder="1" applyAlignment="1" applyProtection="1">
      <alignment horizontal="center"/>
      <protection locked="0"/>
    </xf>
    <xf numFmtId="172" fontId="79" fillId="11" borderId="1" xfId="0" applyNumberFormat="1" applyFont="1" applyFill="1" applyBorder="1" applyAlignment="1" applyProtection="1">
      <alignment horizontal="center"/>
      <protection locked="0"/>
    </xf>
    <xf numFmtId="176" fontId="4" fillId="0" borderId="2" xfId="0" applyNumberFormat="1" applyFont="1" applyFill="1" applyBorder="1" applyAlignment="1" applyProtection="1">
      <alignment horizontal="center"/>
      <protection locked="0"/>
    </xf>
    <xf numFmtId="172" fontId="79" fillId="11" borderId="5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8" xfId="0" applyFont="1" applyBorder="1" applyAlignment="1" applyProtection="1">
      <alignment horizontal="center"/>
      <protection locked="0"/>
    </xf>
    <xf numFmtId="22" fontId="4" fillId="0" borderId="42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172" fontId="79" fillId="10" borderId="1" xfId="0" applyNumberFormat="1" applyFont="1" applyFill="1" applyBorder="1" applyAlignment="1" applyProtection="1">
      <alignment horizontal="center"/>
      <protection locked="0"/>
    </xf>
    <xf numFmtId="2" fontId="85" fillId="12" borderId="1" xfId="0" applyNumberFormat="1" applyFont="1" applyFill="1" applyBorder="1" applyAlignment="1" applyProtection="1">
      <alignment horizontal="center"/>
      <protection locked="0"/>
    </xf>
    <xf numFmtId="176" fontId="53" fillId="5" borderId="42" xfId="0" applyNumberFormat="1" applyFont="1" applyFill="1" applyBorder="1" applyAlignment="1" applyProtection="1" quotePrefix="1">
      <alignment horizontal="center"/>
      <protection locked="0"/>
    </xf>
    <xf numFmtId="176" fontId="53" fillId="5" borderId="50" xfId="0" applyNumberFormat="1" applyFont="1" applyFill="1" applyBorder="1" applyAlignment="1" applyProtection="1" quotePrefix="1">
      <alignment horizontal="center"/>
      <protection locked="0"/>
    </xf>
    <xf numFmtId="176" fontId="78" fillId="4" borderId="1" xfId="0" applyNumberFormat="1" applyFont="1" applyFill="1" applyBorder="1" applyAlignment="1" applyProtection="1" quotePrefix="1">
      <alignment horizontal="center"/>
      <protection locked="0"/>
    </xf>
    <xf numFmtId="172" fontId="79" fillId="10" borderId="5" xfId="0" applyNumberFormat="1" applyFont="1" applyFill="1" applyBorder="1" applyAlignment="1" applyProtection="1">
      <alignment horizontal="center"/>
      <protection locked="0"/>
    </xf>
    <xf numFmtId="2" fontId="85" fillId="12" borderId="5" xfId="0" applyNumberFormat="1" applyFont="1" applyFill="1" applyBorder="1" applyAlignment="1" applyProtection="1">
      <alignment horizontal="center"/>
      <protection locked="0"/>
    </xf>
    <xf numFmtId="176" fontId="53" fillId="5" borderId="51" xfId="0" applyNumberFormat="1" applyFont="1" applyFill="1" applyBorder="1" applyAlignment="1" applyProtection="1" quotePrefix="1">
      <alignment horizontal="center"/>
      <protection locked="0"/>
    </xf>
    <xf numFmtId="176" fontId="53" fillId="5" borderId="55" xfId="0" applyNumberFormat="1" applyFont="1" applyFill="1" applyBorder="1" applyAlignment="1" applyProtection="1" quotePrefix="1">
      <alignment horizontal="center"/>
      <protection locked="0"/>
    </xf>
    <xf numFmtId="176" fontId="78" fillId="4" borderId="5" xfId="0" applyNumberFormat="1" applyFont="1" applyFill="1" applyBorder="1" applyAlignment="1" applyProtection="1" quotePrefix="1">
      <alignment horizontal="center"/>
      <protection locked="0"/>
    </xf>
    <xf numFmtId="180" fontId="0" fillId="0" borderId="26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2" fontId="59" fillId="3" borderId="1" xfId="0" applyNumberFormat="1" applyFont="1" applyFill="1" applyBorder="1" applyAlignment="1" applyProtection="1">
      <alignment horizontal="center"/>
      <protection locked="0"/>
    </xf>
    <xf numFmtId="2" fontId="88" fillId="14" borderId="1" xfId="0" applyNumberFormat="1" applyFont="1" applyFill="1" applyBorder="1" applyAlignment="1" applyProtection="1">
      <alignment horizontal="center"/>
      <protection locked="0"/>
    </xf>
    <xf numFmtId="176" fontId="87" fillId="5" borderId="12" xfId="0" applyNumberFormat="1" applyFont="1" applyFill="1" applyBorder="1" applyAlignment="1" applyProtection="1" quotePrefix="1">
      <alignment horizontal="center"/>
      <protection locked="0"/>
    </xf>
    <xf numFmtId="176" fontId="87" fillId="5" borderId="45" xfId="0" applyNumberFormat="1" applyFont="1" applyFill="1" applyBorder="1" applyAlignment="1" applyProtection="1" quotePrefix="1">
      <alignment horizontal="center"/>
      <protection locked="0"/>
    </xf>
    <xf numFmtId="176" fontId="78" fillId="7" borderId="4" xfId="0" applyNumberFormat="1" applyFont="1" applyFill="1" applyBorder="1" applyAlignment="1" applyProtection="1" quotePrefix="1">
      <alignment horizontal="center"/>
      <protection locked="0"/>
    </xf>
    <xf numFmtId="176" fontId="4" fillId="0" borderId="9" xfId="0" applyNumberFormat="1" applyFont="1" applyBorder="1" applyAlignment="1" applyProtection="1">
      <alignment horizontal="center"/>
      <protection locked="0"/>
    </xf>
    <xf numFmtId="172" fontId="59" fillId="3" borderId="5" xfId="0" applyNumberFormat="1" applyFont="1" applyFill="1" applyBorder="1" applyAlignment="1" applyProtection="1">
      <alignment horizontal="center"/>
      <protection locked="0"/>
    </xf>
    <xf numFmtId="2" fontId="88" fillId="14" borderId="5" xfId="0" applyNumberFormat="1" applyFont="1" applyFill="1" applyBorder="1" applyAlignment="1" applyProtection="1">
      <alignment horizontal="center"/>
      <protection locked="0"/>
    </xf>
    <xf numFmtId="176" fontId="87" fillId="5" borderId="56" xfId="0" applyNumberFormat="1" applyFont="1" applyFill="1" applyBorder="1" applyAlignment="1" applyProtection="1" quotePrefix="1">
      <alignment horizontal="center"/>
      <protection locked="0"/>
    </xf>
    <xf numFmtId="176" fontId="87" fillId="5" borderId="57" xfId="0" applyNumberFormat="1" applyFont="1" applyFill="1" applyBorder="1" applyAlignment="1" applyProtection="1" quotePrefix="1">
      <alignment horizontal="center"/>
      <protection locked="0"/>
    </xf>
    <xf numFmtId="176" fontId="78" fillId="7" borderId="5" xfId="0" applyNumberFormat="1" applyFont="1" applyFill="1" applyBorder="1" applyAlignment="1" applyProtection="1" quotePrefix="1">
      <alignment horizontal="center"/>
      <protection locked="0"/>
    </xf>
    <xf numFmtId="176" fontId="4" fillId="0" borderId="58" xfId="0" applyNumberFormat="1" applyFont="1" applyBorder="1" applyAlignment="1" applyProtection="1">
      <alignment horizontal="center"/>
      <protection locked="0"/>
    </xf>
    <xf numFmtId="22" fontId="4" fillId="0" borderId="9" xfId="0" applyNumberFormat="1" applyFont="1" applyBorder="1" applyAlignment="1">
      <alignment horizontal="center"/>
    </xf>
    <xf numFmtId="1" fontId="4" fillId="0" borderId="45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172" fontId="5" fillId="0" borderId="4" xfId="0" applyNumberFormat="1" applyFont="1" applyBorder="1" applyAlignment="1" applyProtection="1" quotePrefix="1">
      <alignment horizontal="center"/>
      <protection locked="0"/>
    </xf>
    <xf numFmtId="4" fontId="34" fillId="0" borderId="0" xfId="0" applyNumberFormat="1" applyFont="1" applyBorder="1" applyAlignment="1">
      <alignment/>
    </xf>
    <xf numFmtId="7" fontId="13" fillId="0" borderId="19" xfId="0" applyNumberFormat="1" applyFont="1" applyBorder="1" applyAlignment="1">
      <alignment horizontal="right"/>
    </xf>
    <xf numFmtId="7" fontId="31" fillId="0" borderId="19" xfId="0" applyNumberFormat="1" applyFont="1" applyBorder="1" applyAlignment="1">
      <alignment horizontal="right"/>
    </xf>
    <xf numFmtId="0" fontId="13" fillId="0" borderId="59" xfId="0" applyFont="1" applyBorder="1" applyAlignment="1">
      <alignment horizontal="center"/>
    </xf>
    <xf numFmtId="7" fontId="13" fillId="0" borderId="60" xfId="0" applyNumberFormat="1" applyFont="1" applyBorder="1" applyAlignment="1">
      <alignment horizontal="center"/>
    </xf>
    <xf numFmtId="0" fontId="17" fillId="0" borderId="18" xfId="0" applyFont="1" applyBorder="1" applyAlignment="1">
      <alignment horizontal="right"/>
    </xf>
    <xf numFmtId="0" fontId="94" fillId="0" borderId="0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6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6" customWidth="1"/>
    <col min="2" max="2" width="16.00390625" style="16" customWidth="1"/>
    <col min="3" max="3" width="20.140625" style="16" customWidth="1"/>
    <col min="4" max="4" width="18.28125" style="16" customWidth="1"/>
    <col min="5" max="5" width="16.8515625" style="16" customWidth="1"/>
    <col min="6" max="6" width="26.8515625" style="16" customWidth="1"/>
    <col min="7" max="7" width="29.57421875" style="16" customWidth="1"/>
    <col min="8" max="8" width="21.421875" style="16" customWidth="1"/>
    <col min="9" max="9" width="16.140625" style="16" customWidth="1"/>
    <col min="10" max="10" width="2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68" customFormat="1" ht="26.25">
      <c r="B1" s="69"/>
      <c r="E1" s="13"/>
      <c r="K1" s="500"/>
    </row>
    <row r="2" spans="2:10" s="68" customFormat="1" ht="26.25">
      <c r="B2" s="69" t="s">
        <v>163</v>
      </c>
      <c r="C2" s="70"/>
      <c r="D2" s="71"/>
      <c r="E2" s="71"/>
      <c r="F2" s="71"/>
      <c r="G2" s="71"/>
      <c r="H2" s="71"/>
      <c r="I2" s="71"/>
      <c r="J2" s="71"/>
    </row>
    <row r="3" spans="3:19" ht="12.75">
      <c r="C3"/>
      <c r="D3" s="72"/>
      <c r="E3" s="72"/>
      <c r="F3" s="72"/>
      <c r="G3" s="72"/>
      <c r="H3" s="72"/>
      <c r="I3" s="72"/>
      <c r="J3" s="72"/>
      <c r="P3" s="14"/>
      <c r="Q3" s="14"/>
      <c r="R3" s="14"/>
      <c r="S3" s="14"/>
    </row>
    <row r="4" spans="1:19" s="75" customFormat="1" ht="11.25">
      <c r="A4" s="73" t="s">
        <v>16</v>
      </c>
      <c r="B4" s="7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s="75" customFormat="1" ht="11.25">
      <c r="A5" s="73" t="s">
        <v>17</v>
      </c>
      <c r="B5" s="7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2:19" s="68" customFormat="1" ht="11.25" customHeight="1">
      <c r="B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2:19" s="10" customFormat="1" ht="21">
      <c r="B7" s="234" t="s">
        <v>0</v>
      </c>
      <c r="C7" s="79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34" t="s">
        <v>161</v>
      </c>
      <c r="C9" s="79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81"/>
      <c r="E10" s="81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34" t="s">
        <v>158</v>
      </c>
      <c r="C11" s="4"/>
      <c r="D11" s="80"/>
      <c r="E11" s="80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82" customFormat="1" ht="16.5" thickBot="1">
      <c r="D12" s="83"/>
      <c r="E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2:19" s="82" customFormat="1" ht="16.5" thickTop="1">
      <c r="B13" s="85"/>
      <c r="C13" s="86"/>
      <c r="D13" s="86"/>
      <c r="E13" s="487"/>
      <c r="F13" s="86"/>
      <c r="G13" s="86"/>
      <c r="H13" s="86"/>
      <c r="I13" s="86"/>
      <c r="J13" s="87"/>
      <c r="K13" s="84"/>
      <c r="L13" s="84"/>
      <c r="M13" s="84"/>
      <c r="N13" s="84"/>
      <c r="O13" s="84"/>
      <c r="P13" s="84"/>
      <c r="Q13" s="84"/>
      <c r="R13" s="84"/>
      <c r="S13" s="84"/>
    </row>
    <row r="14" spans="1:19" s="15" customFormat="1" ht="19.5">
      <c r="A14" s="313"/>
      <c r="B14" s="653" t="s">
        <v>116</v>
      </c>
      <c r="C14" s="654"/>
      <c r="D14" s="654"/>
      <c r="E14" s="654"/>
      <c r="F14" s="654"/>
      <c r="G14" s="654"/>
      <c r="H14" s="654"/>
      <c r="I14" s="654"/>
      <c r="J14" s="655"/>
      <c r="K14" s="642"/>
      <c r="L14" s="90"/>
      <c r="M14" s="90"/>
      <c r="N14" s="90"/>
      <c r="O14" s="90"/>
      <c r="P14" s="90"/>
      <c r="Q14" s="90"/>
      <c r="R14" s="90"/>
      <c r="S14" s="90"/>
    </row>
    <row r="15" spans="2:19" s="15" customFormat="1" ht="13.5" customHeight="1">
      <c r="B15" s="91"/>
      <c r="C15" s="92"/>
      <c r="D15" s="486"/>
      <c r="E15" s="488"/>
      <c r="F15" s="48"/>
      <c r="G15" s="48"/>
      <c r="H15" s="48"/>
      <c r="I15" s="90"/>
      <c r="J15" s="93"/>
      <c r="K15" s="90"/>
      <c r="L15" s="90"/>
      <c r="M15" s="90"/>
      <c r="N15" s="90"/>
      <c r="O15" s="90"/>
      <c r="P15" s="90"/>
      <c r="Q15" s="90"/>
      <c r="R15" s="90"/>
      <c r="S15" s="90"/>
    </row>
    <row r="16" spans="2:19" s="15" customFormat="1" ht="19.5">
      <c r="B16" s="91"/>
      <c r="C16" s="94" t="s">
        <v>18</v>
      </c>
      <c r="D16" s="486" t="s">
        <v>19</v>
      </c>
      <c r="E16" s="488"/>
      <c r="F16" s="48"/>
      <c r="G16" s="48"/>
      <c r="H16" s="48"/>
      <c r="I16" s="95"/>
      <c r="J16" s="93"/>
      <c r="K16" s="90"/>
      <c r="L16" s="90"/>
      <c r="M16" s="90"/>
      <c r="N16" s="90"/>
      <c r="O16" s="90"/>
      <c r="P16" s="90"/>
      <c r="Q16" s="90"/>
      <c r="R16" s="90"/>
      <c r="S16" s="90"/>
    </row>
    <row r="17" spans="2:19" s="15" customFormat="1" ht="19.5">
      <c r="B17" s="91"/>
      <c r="C17" s="94"/>
      <c r="D17" s="486">
        <v>11</v>
      </c>
      <c r="E17" s="489" t="s">
        <v>162</v>
      </c>
      <c r="F17" s="48"/>
      <c r="G17" s="48"/>
      <c r="H17" s="646"/>
      <c r="I17" s="95">
        <f>ROUND('LI-0309'!AC41,2)</f>
        <v>89528.24</v>
      </c>
      <c r="J17" s="647"/>
      <c r="K17" s="90"/>
      <c r="L17" s="90"/>
      <c r="M17" s="90"/>
      <c r="N17" s="90"/>
      <c r="O17" s="90"/>
      <c r="P17" s="90"/>
      <c r="Q17" s="90"/>
      <c r="R17" s="90"/>
      <c r="S17" s="90"/>
    </row>
    <row r="18" spans="2:19" s="15" customFormat="1" ht="19.5">
      <c r="B18" s="91"/>
      <c r="C18" s="94"/>
      <c r="D18" s="486">
        <v>12</v>
      </c>
      <c r="E18" s="489" t="s">
        <v>20</v>
      </c>
      <c r="F18" s="48"/>
      <c r="G18" s="48"/>
      <c r="H18" s="48"/>
      <c r="I18" s="95">
        <f>'LIN-YACY'!V40</f>
        <v>3387</v>
      </c>
      <c r="J18" s="647"/>
      <c r="K18" s="90"/>
      <c r="L18" s="90"/>
      <c r="M18" s="90"/>
      <c r="N18" s="90"/>
      <c r="O18" s="90"/>
      <c r="P18" s="90"/>
      <c r="Q18" s="90"/>
      <c r="R18" s="90"/>
      <c r="S18" s="90"/>
    </row>
    <row r="19" spans="2:19" ht="12.75" customHeight="1">
      <c r="B19" s="96"/>
      <c r="C19" s="97"/>
      <c r="D19" s="486"/>
      <c r="E19" s="490"/>
      <c r="F19" s="98"/>
      <c r="G19" s="98"/>
      <c r="H19" s="98"/>
      <c r="I19" s="99"/>
      <c r="J19" s="648"/>
      <c r="K19" s="14"/>
      <c r="L19" s="14"/>
      <c r="M19" s="14"/>
      <c r="N19" s="14"/>
      <c r="O19" s="14"/>
      <c r="P19" s="14"/>
      <c r="Q19" s="14"/>
      <c r="R19" s="14"/>
      <c r="S19" s="14"/>
    </row>
    <row r="20" spans="2:19" s="15" customFormat="1" ht="19.5">
      <c r="B20" s="91"/>
      <c r="C20" s="94" t="s">
        <v>22</v>
      </c>
      <c r="D20" s="492" t="s">
        <v>23</v>
      </c>
      <c r="E20" s="488"/>
      <c r="F20" s="48"/>
      <c r="G20" s="48"/>
      <c r="H20" s="48"/>
      <c r="I20" s="95"/>
      <c r="J20" s="647"/>
      <c r="K20" s="90"/>
      <c r="L20" s="90"/>
      <c r="M20" s="90"/>
      <c r="N20" s="90"/>
      <c r="O20" s="90"/>
      <c r="P20" s="90"/>
      <c r="Q20" s="90"/>
      <c r="R20" s="90"/>
      <c r="S20" s="90"/>
    </row>
    <row r="21" spans="2:19" s="15" customFormat="1" ht="19.5">
      <c r="B21" s="91"/>
      <c r="C21" s="94"/>
      <c r="D21" s="486">
        <v>21</v>
      </c>
      <c r="E21" s="489" t="s">
        <v>24</v>
      </c>
      <c r="F21" s="48"/>
      <c r="G21" s="48"/>
      <c r="H21" s="48"/>
      <c r="I21" s="95"/>
      <c r="J21" s="647"/>
      <c r="K21" s="90"/>
      <c r="L21" s="90"/>
      <c r="M21" s="90"/>
      <c r="N21" s="90"/>
      <c r="O21" s="90"/>
      <c r="P21" s="90"/>
      <c r="Q21" s="90"/>
      <c r="R21" s="90"/>
      <c r="S21" s="90"/>
    </row>
    <row r="22" spans="2:19" s="15" customFormat="1" ht="19.5">
      <c r="B22" s="91"/>
      <c r="C22" s="94"/>
      <c r="D22" s="486"/>
      <c r="E22" s="491">
        <v>212</v>
      </c>
      <c r="F22" s="13" t="s">
        <v>25</v>
      </c>
      <c r="G22" s="48"/>
      <c r="H22" s="48"/>
      <c r="I22" s="95">
        <f>'TRAFO-TIBA'!AA41</f>
        <v>1537.42</v>
      </c>
      <c r="J22" s="647"/>
      <c r="K22" s="90"/>
      <c r="L22" s="90"/>
      <c r="M22" s="90"/>
      <c r="N22" s="90"/>
      <c r="O22" s="90"/>
      <c r="P22" s="90"/>
      <c r="Q22" s="90"/>
      <c r="R22" s="90"/>
      <c r="S22" s="90"/>
    </row>
    <row r="23" spans="2:19" s="15" customFormat="1" ht="19.5">
      <c r="B23" s="91"/>
      <c r="C23" s="94"/>
      <c r="D23" s="486"/>
      <c r="E23" s="491">
        <v>213</v>
      </c>
      <c r="F23" s="13" t="s">
        <v>92</v>
      </c>
      <c r="G23" s="48"/>
      <c r="H23" s="48"/>
      <c r="I23" s="95">
        <f>'TRAFO-ENECOR'!AA41</f>
        <v>1026.6</v>
      </c>
      <c r="J23" s="647"/>
      <c r="K23" s="90"/>
      <c r="L23" s="90"/>
      <c r="M23" s="90"/>
      <c r="N23" s="90"/>
      <c r="O23" s="90"/>
      <c r="P23" s="90"/>
      <c r="Q23" s="90"/>
      <c r="R23" s="90"/>
      <c r="S23" s="90"/>
    </row>
    <row r="24" spans="2:19" s="15" customFormat="1" ht="19.5">
      <c r="B24" s="91"/>
      <c r="C24" s="94"/>
      <c r="D24" s="486">
        <v>22</v>
      </c>
      <c r="E24" s="489" t="s">
        <v>26</v>
      </c>
      <c r="F24" s="48"/>
      <c r="G24" s="48"/>
      <c r="H24" s="48"/>
      <c r="I24" s="95"/>
      <c r="J24" s="647"/>
      <c r="K24" s="90"/>
      <c r="L24" s="90"/>
      <c r="M24" s="90"/>
      <c r="N24" s="90"/>
      <c r="O24" s="90"/>
      <c r="P24" s="90"/>
      <c r="Q24" s="90"/>
      <c r="R24" s="90"/>
      <c r="S24" s="90"/>
    </row>
    <row r="25" spans="2:19" s="15" customFormat="1" ht="19.5">
      <c r="B25" s="91"/>
      <c r="C25" s="94"/>
      <c r="D25" s="486"/>
      <c r="E25" s="491">
        <v>222</v>
      </c>
      <c r="F25" s="13" t="s">
        <v>25</v>
      </c>
      <c r="G25" s="48"/>
      <c r="H25" s="48"/>
      <c r="I25" s="95">
        <f>'SALIDA-TIBA (2)'!T43</f>
        <v>40908.33</v>
      </c>
      <c r="J25" s="647"/>
      <c r="K25" s="90"/>
      <c r="L25" s="90"/>
      <c r="M25" s="90"/>
      <c r="N25" s="90"/>
      <c r="O25" s="90"/>
      <c r="P25" s="90"/>
      <c r="Q25" s="90"/>
      <c r="R25" s="90"/>
      <c r="S25" s="90"/>
    </row>
    <row r="26" spans="2:19" s="15" customFormat="1" ht="19.5">
      <c r="B26" s="91"/>
      <c r="C26" s="94"/>
      <c r="D26" s="486"/>
      <c r="E26" s="491">
        <v>223</v>
      </c>
      <c r="F26" s="13" t="s">
        <v>92</v>
      </c>
      <c r="G26" s="48"/>
      <c r="H26" s="48"/>
      <c r="I26" s="95">
        <f>'SALIDA-ENECOR'!T43</f>
        <v>2791.28</v>
      </c>
      <c r="J26" s="647"/>
      <c r="K26" s="90"/>
      <c r="L26" s="90"/>
      <c r="M26" s="90"/>
      <c r="N26" s="90"/>
      <c r="O26" s="90"/>
      <c r="P26" s="90"/>
      <c r="Q26" s="90"/>
      <c r="R26" s="90"/>
      <c r="S26" s="90"/>
    </row>
    <row r="27" spans="2:19" ht="12.75" customHeight="1">
      <c r="B27" s="96"/>
      <c r="C27" s="97"/>
      <c r="D27" s="486"/>
      <c r="E27" s="490"/>
      <c r="F27" s="98"/>
      <c r="G27" s="98"/>
      <c r="H27" s="98"/>
      <c r="I27" s="99"/>
      <c r="J27" s="648"/>
      <c r="K27" s="14"/>
      <c r="L27" s="14"/>
      <c r="M27" s="14"/>
      <c r="N27" s="14"/>
      <c r="O27" s="14"/>
      <c r="P27" s="14"/>
      <c r="Q27" s="14"/>
      <c r="R27" s="14"/>
      <c r="S27" s="14"/>
    </row>
    <row r="28" spans="2:19" s="15" customFormat="1" ht="19.5">
      <c r="B28" s="91"/>
      <c r="C28" s="94" t="s">
        <v>27</v>
      </c>
      <c r="D28" s="492" t="s">
        <v>28</v>
      </c>
      <c r="E28" s="488"/>
      <c r="F28" s="48"/>
      <c r="G28" s="48"/>
      <c r="H28" s="48"/>
      <c r="I28" s="95"/>
      <c r="J28" s="647"/>
      <c r="K28" s="90"/>
      <c r="L28" s="90"/>
      <c r="M28" s="90"/>
      <c r="N28" s="90"/>
      <c r="O28" s="90"/>
      <c r="P28" s="90"/>
      <c r="Q28" s="90"/>
      <c r="R28" s="90"/>
      <c r="S28" s="90"/>
    </row>
    <row r="29" spans="2:19" s="15" customFormat="1" ht="19.5">
      <c r="B29" s="91"/>
      <c r="C29" s="94"/>
      <c r="D29" s="486">
        <v>32</v>
      </c>
      <c r="E29" s="489" t="s">
        <v>21</v>
      </c>
      <c r="F29" s="48"/>
      <c r="G29" s="48"/>
      <c r="H29" s="48"/>
      <c r="I29" s="95">
        <f>'REAC-LITSA'!V45</f>
        <v>78.16</v>
      </c>
      <c r="J29" s="647"/>
      <c r="K29" s="90"/>
      <c r="L29" s="90"/>
      <c r="M29" s="90"/>
      <c r="N29" s="90"/>
      <c r="O29" s="90"/>
      <c r="P29" s="90"/>
      <c r="Q29" s="90"/>
      <c r="R29" s="90"/>
      <c r="S29" s="90"/>
    </row>
    <row r="30" spans="2:19" s="15" customFormat="1" ht="12.75" customHeight="1">
      <c r="B30" s="91"/>
      <c r="C30" s="94"/>
      <c r="D30" s="486"/>
      <c r="E30" s="489"/>
      <c r="F30" s="48"/>
      <c r="G30" s="48"/>
      <c r="H30" s="48"/>
      <c r="I30" s="95"/>
      <c r="J30" s="93"/>
      <c r="K30" s="90"/>
      <c r="L30" s="90"/>
      <c r="M30" s="90"/>
      <c r="N30" s="90"/>
      <c r="O30" s="90"/>
      <c r="P30" s="90"/>
      <c r="Q30" s="90"/>
      <c r="R30" s="90"/>
      <c r="S30" s="90"/>
    </row>
    <row r="31" spans="2:19" s="15" customFormat="1" ht="20.25" thickBot="1">
      <c r="B31" s="91"/>
      <c r="C31" s="92"/>
      <c r="D31" s="486"/>
      <c r="E31" s="488"/>
      <c r="F31" s="48"/>
      <c r="G31" s="48"/>
      <c r="H31" s="48"/>
      <c r="I31" s="90"/>
      <c r="J31" s="93"/>
      <c r="K31" s="90"/>
      <c r="L31" s="90"/>
      <c r="M31" s="90"/>
      <c r="N31" s="90"/>
      <c r="O31" s="90"/>
      <c r="P31" s="90"/>
      <c r="Q31" s="90"/>
      <c r="R31" s="90"/>
      <c r="S31" s="90"/>
    </row>
    <row r="32" spans="2:19" s="15" customFormat="1" ht="20.25" thickBot="1" thickTop="1">
      <c r="B32" s="91"/>
      <c r="C32" s="94"/>
      <c r="D32" s="94"/>
      <c r="E32" s="90"/>
      <c r="F32" s="649" t="s">
        <v>29</v>
      </c>
      <c r="G32" s="650">
        <f>SUM(I16:I30)</f>
        <v>139257.03000000003</v>
      </c>
      <c r="H32" s="233"/>
      <c r="I32" s="90"/>
      <c r="J32" s="93"/>
      <c r="K32" s="90"/>
      <c r="L32" s="90"/>
      <c r="M32" s="90"/>
      <c r="N32" s="90"/>
      <c r="O32" s="90"/>
      <c r="P32" s="90"/>
      <c r="Q32" s="90"/>
      <c r="R32" s="90"/>
      <c r="S32" s="90"/>
    </row>
    <row r="33" spans="2:19" s="15" customFormat="1" ht="9.75" customHeight="1" thickTop="1">
      <c r="B33" s="91"/>
      <c r="C33" s="94"/>
      <c r="D33" s="94"/>
      <c r="E33" s="90"/>
      <c r="F33" s="493"/>
      <c r="G33" s="233"/>
      <c r="H33" s="233"/>
      <c r="I33" s="90"/>
      <c r="J33" s="93"/>
      <c r="K33" s="90"/>
      <c r="L33" s="90"/>
      <c r="M33" s="90"/>
      <c r="N33" s="90"/>
      <c r="O33" s="90"/>
      <c r="P33" s="90"/>
      <c r="Q33" s="90"/>
      <c r="R33" s="90"/>
      <c r="S33" s="90"/>
    </row>
    <row r="34" spans="2:19" s="15" customFormat="1" ht="18.75">
      <c r="B34" s="91"/>
      <c r="C34" s="523" t="s">
        <v>101</v>
      </c>
      <c r="D34" s="94"/>
      <c r="E34" s="90"/>
      <c r="F34" s="493"/>
      <c r="G34" s="233"/>
      <c r="H34" s="233"/>
      <c r="I34" s="90"/>
      <c r="J34" s="93"/>
      <c r="K34" s="90"/>
      <c r="L34" s="90"/>
      <c r="M34" s="90"/>
      <c r="N34" s="90"/>
      <c r="O34" s="90"/>
      <c r="P34" s="90"/>
      <c r="Q34" s="90"/>
      <c r="R34" s="90"/>
      <c r="S34" s="90"/>
    </row>
    <row r="35" spans="2:19" s="82" customFormat="1" ht="10.5" customHeight="1" thickBot="1">
      <c r="B35" s="101"/>
      <c r="C35" s="102"/>
      <c r="D35" s="102"/>
      <c r="E35" s="103"/>
      <c r="F35" s="103"/>
      <c r="G35" s="103"/>
      <c r="H35" s="103"/>
      <c r="I35" s="103"/>
      <c r="J35" s="104"/>
      <c r="K35" s="84"/>
      <c r="L35" s="84"/>
      <c r="M35" s="105"/>
      <c r="N35" s="106"/>
      <c r="O35" s="106"/>
      <c r="P35" s="107"/>
      <c r="Q35" s="108"/>
      <c r="R35" s="84"/>
      <c r="S35" s="84"/>
    </row>
    <row r="36" spans="4:19" ht="13.5" thickTop="1">
      <c r="D36" s="14"/>
      <c r="F36" s="14"/>
      <c r="G36" s="14"/>
      <c r="H36" s="14"/>
      <c r="I36" s="14"/>
      <c r="J36" s="14"/>
      <c r="K36" s="14"/>
      <c r="L36" s="14"/>
      <c r="M36" s="45"/>
      <c r="N36" s="109"/>
      <c r="O36" s="109"/>
      <c r="P36" s="14"/>
      <c r="Q36" s="2"/>
      <c r="R36" s="14"/>
      <c r="S36" s="14"/>
    </row>
    <row r="37" spans="4:19" ht="12.75">
      <c r="D37" s="14"/>
      <c r="F37" s="14"/>
      <c r="G37" s="14"/>
      <c r="H37" s="14"/>
      <c r="I37" s="14"/>
      <c r="J37" s="14"/>
      <c r="K37" s="14"/>
      <c r="L37" s="14"/>
      <c r="M37" s="14"/>
      <c r="N37" s="110"/>
      <c r="O37" s="110"/>
      <c r="P37" s="111"/>
      <c r="Q37" s="2"/>
      <c r="R37" s="14"/>
      <c r="S37" s="14"/>
    </row>
    <row r="38" spans="4:19" ht="12.7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10"/>
      <c r="O38" s="110"/>
      <c r="P38" s="111"/>
      <c r="Q38" s="2"/>
      <c r="R38" s="14"/>
      <c r="S38" s="14"/>
    </row>
    <row r="39" spans="4:19" ht="12.75">
      <c r="D39" s="14"/>
      <c r="E39" s="14"/>
      <c r="L39" s="14"/>
      <c r="M39" s="14"/>
      <c r="N39" s="14"/>
      <c r="O39" s="14"/>
      <c r="P39" s="14"/>
      <c r="Q39" s="14"/>
      <c r="R39" s="14"/>
      <c r="S39" s="14"/>
    </row>
    <row r="40" spans="4:19" ht="12.75">
      <c r="D40" s="14"/>
      <c r="E40" s="14"/>
      <c r="P40" s="14"/>
      <c r="Q40" s="14"/>
      <c r="R40" s="14"/>
      <c r="S40" s="14"/>
    </row>
    <row r="41" spans="4:19" ht="12.75">
      <c r="D41" s="14"/>
      <c r="E41" s="14"/>
      <c r="P41" s="14"/>
      <c r="Q41" s="14"/>
      <c r="R41" s="14"/>
      <c r="S41" s="14"/>
    </row>
    <row r="42" spans="4:19" ht="12.75">
      <c r="D42" s="14"/>
      <c r="E42" s="14"/>
      <c r="P42" s="14"/>
      <c r="Q42" s="14"/>
      <c r="R42" s="14"/>
      <c r="S42" s="14"/>
    </row>
    <row r="43" spans="4:19" ht="12.75">
      <c r="D43" s="14"/>
      <c r="E43" s="14"/>
      <c r="P43" s="14"/>
      <c r="Q43" s="14"/>
      <c r="R43" s="14"/>
      <c r="S43" s="14"/>
    </row>
    <row r="44" spans="4:19" ht="12.75">
      <c r="D44" s="14"/>
      <c r="E44" s="14"/>
      <c r="P44" s="14"/>
      <c r="Q44" s="14"/>
      <c r="R44" s="14"/>
      <c r="S44" s="14"/>
    </row>
    <row r="45" spans="16:19" ht="12.75">
      <c r="P45" s="14"/>
      <c r="Q45" s="14"/>
      <c r="R45" s="14"/>
      <c r="S45" s="14"/>
    </row>
    <row r="46" spans="16:19" ht="12.75">
      <c r="P46" s="14"/>
      <c r="Q46" s="14"/>
      <c r="R46" s="14"/>
      <c r="S46" s="14"/>
    </row>
  </sheetData>
  <mergeCells count="1">
    <mergeCell ref="B14:J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5"/>
  <sheetViews>
    <sheetView zoomScale="75" zoomScaleNormal="75" workbookViewId="0" topLeftCell="C13">
      <selection activeCell="N32" sqref="N3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68" customFormat="1" ht="26.25">
      <c r="A1" s="112"/>
      <c r="AD1" s="500"/>
    </row>
    <row r="2" spans="1:30" s="68" customFormat="1" ht="26.25">
      <c r="A2" s="112"/>
      <c r="B2" s="69" t="str">
        <f>+'tot-0309'!B2</f>
        <v>ANEXO I-2 a la Resolución ENRE N°            520/2006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="16" customFormat="1" ht="12.75">
      <c r="A3" s="44"/>
    </row>
    <row r="4" spans="1:2" s="75" customFormat="1" ht="11.25">
      <c r="A4" s="73" t="s">
        <v>16</v>
      </c>
      <c r="B4" s="144"/>
    </row>
    <row r="5" spans="1:2" s="75" customFormat="1" ht="11.25">
      <c r="A5" s="73" t="s">
        <v>17</v>
      </c>
      <c r="B5" s="144"/>
    </row>
    <row r="6" s="16" customFormat="1" ht="13.5" thickBot="1"/>
    <row r="7" spans="2:30" s="16" customFormat="1" ht="13.5" thickTop="1">
      <c r="B7" s="113"/>
      <c r="C7" s="114"/>
      <c r="D7" s="114"/>
      <c r="E7" s="115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6"/>
    </row>
    <row r="8" spans="2:30" s="10" customFormat="1" ht="20.25">
      <c r="B8" s="126"/>
      <c r="C8" s="11"/>
      <c r="D8" s="7" t="s">
        <v>30</v>
      </c>
      <c r="E8" s="11"/>
      <c r="F8" s="11"/>
      <c r="G8" s="11"/>
      <c r="H8" s="11"/>
      <c r="N8" s="11"/>
      <c r="O8" s="11"/>
      <c r="P8" s="127"/>
      <c r="Q8" s="127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8"/>
    </row>
    <row r="9" spans="2:30" s="16" customFormat="1" ht="12.75">
      <c r="B9" s="9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17"/>
    </row>
    <row r="10" spans="2:30" s="10" customFormat="1" ht="20.25">
      <c r="B10" s="126"/>
      <c r="C10" s="11"/>
      <c r="D10" s="127" t="s">
        <v>31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8"/>
    </row>
    <row r="11" spans="2:30" s="16" customFormat="1" ht="12.75">
      <c r="B11" s="9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17"/>
    </row>
    <row r="12" spans="2:30" s="10" customFormat="1" ht="20.25">
      <c r="B12" s="126"/>
      <c r="C12" s="11"/>
      <c r="D12" s="127" t="s">
        <v>32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27"/>
      <c r="Q12" s="12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8"/>
    </row>
    <row r="13" spans="2:30" s="16" customFormat="1" ht="12.75">
      <c r="B13" s="96"/>
      <c r="C13" s="14"/>
      <c r="D13" s="14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7"/>
    </row>
    <row r="14" spans="2:30" s="15" customFormat="1" ht="19.5">
      <c r="B14" s="88" t="str">
        <f>+'tot-0309'!B14</f>
        <v>Desde el 01 al 30 de septiembre de 2003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130"/>
      <c r="O14" s="130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131"/>
    </row>
    <row r="15" spans="2:30" s="16" customFormat="1" ht="16.5" customHeight="1" thickBot="1">
      <c r="B15" s="96"/>
      <c r="C15" s="14"/>
      <c r="D15" s="14"/>
      <c r="E15" s="2"/>
      <c r="F15" s="2"/>
      <c r="G15" s="14"/>
      <c r="H15" s="14"/>
      <c r="I15" s="14"/>
      <c r="J15" s="125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17"/>
    </row>
    <row r="16" spans="2:30" s="16" customFormat="1" ht="16.5" customHeight="1" thickBot="1" thickTop="1">
      <c r="B16" s="96"/>
      <c r="C16" s="14"/>
      <c r="D16" s="132" t="s">
        <v>33</v>
      </c>
      <c r="E16" s="497">
        <v>56.353</v>
      </c>
      <c r="F16" s="23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17"/>
    </row>
    <row r="17" spans="2:30" s="16" customFormat="1" ht="16.5" customHeight="1" thickBot="1" thickTop="1">
      <c r="B17" s="96"/>
      <c r="C17" s="14"/>
      <c r="D17" s="132" t="s">
        <v>34</v>
      </c>
      <c r="E17" s="497">
        <v>46.961</v>
      </c>
      <c r="F17" s="235"/>
      <c r="G17" s="14"/>
      <c r="H17" s="14"/>
      <c r="I17" s="14"/>
      <c r="J17" s="502"/>
      <c r="K17" s="50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19"/>
      <c r="W17" s="119"/>
      <c r="X17" s="119"/>
      <c r="Y17" s="119"/>
      <c r="Z17" s="119"/>
      <c r="AA17" s="119"/>
      <c r="AB17" s="119"/>
      <c r="AD17" s="117"/>
    </row>
    <row r="18" spans="2:30" s="16" customFormat="1" ht="16.5" customHeight="1" thickBot="1" thickTop="1">
      <c r="B18" s="96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20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17"/>
    </row>
    <row r="19" spans="2:30" s="16" customFormat="1" ht="33.75" customHeight="1" thickBot="1" thickTop="1">
      <c r="B19" s="96"/>
      <c r="C19" s="133" t="s">
        <v>35</v>
      </c>
      <c r="D19" s="136" t="s">
        <v>19</v>
      </c>
      <c r="E19" s="353" t="s">
        <v>36</v>
      </c>
      <c r="F19" s="141" t="s">
        <v>37</v>
      </c>
      <c r="G19" s="135" t="s">
        <v>38</v>
      </c>
      <c r="H19" s="354" t="s">
        <v>39</v>
      </c>
      <c r="I19" s="351" t="s">
        <v>40</v>
      </c>
      <c r="J19" s="136" t="s">
        <v>41</v>
      </c>
      <c r="K19" s="137" t="s">
        <v>42</v>
      </c>
      <c r="L19" s="140" t="s">
        <v>43</v>
      </c>
      <c r="M19" s="141" t="s">
        <v>44</v>
      </c>
      <c r="N19" s="140" t="s">
        <v>45</v>
      </c>
      <c r="O19" s="141" t="s">
        <v>46</v>
      </c>
      <c r="P19" s="137" t="s">
        <v>47</v>
      </c>
      <c r="Q19" s="136" t="s">
        <v>48</v>
      </c>
      <c r="R19" s="316" t="s">
        <v>49</v>
      </c>
      <c r="S19" s="319" t="s">
        <v>50</v>
      </c>
      <c r="T19" s="296" t="s">
        <v>51</v>
      </c>
      <c r="U19" s="297"/>
      <c r="V19" s="298"/>
      <c r="W19" s="323" t="s">
        <v>52</v>
      </c>
      <c r="X19" s="324"/>
      <c r="Y19" s="325"/>
      <c r="Z19" s="339" t="s">
        <v>53</v>
      </c>
      <c r="AA19" s="340" t="s">
        <v>54</v>
      </c>
      <c r="AB19" s="142" t="s">
        <v>55</v>
      </c>
      <c r="AC19" s="142" t="s">
        <v>56</v>
      </c>
      <c r="AD19" s="121"/>
    </row>
    <row r="20" spans="2:30" s="16" customFormat="1" ht="16.5" customHeight="1" hidden="1" thickTop="1">
      <c r="B20" s="96"/>
      <c r="C20" s="336"/>
      <c r="D20" s="358"/>
      <c r="E20" s="358"/>
      <c r="F20" s="336"/>
      <c r="G20" s="336"/>
      <c r="H20" s="356"/>
      <c r="I20" s="357"/>
      <c r="J20" s="336"/>
      <c r="K20" s="336"/>
      <c r="L20" s="336"/>
      <c r="M20" s="336"/>
      <c r="N20" s="336"/>
      <c r="O20" s="336"/>
      <c r="P20" s="336"/>
      <c r="Q20" s="336"/>
      <c r="R20" s="317"/>
      <c r="S20" s="320"/>
      <c r="T20" s="328"/>
      <c r="U20" s="329"/>
      <c r="V20" s="330"/>
      <c r="W20" s="331"/>
      <c r="X20" s="332"/>
      <c r="Y20" s="333"/>
      <c r="Z20" s="337"/>
      <c r="AA20" s="341"/>
      <c r="AB20" s="336"/>
      <c r="AC20" s="482"/>
      <c r="AD20" s="117"/>
    </row>
    <row r="21" spans="2:30" s="16" customFormat="1" ht="16.5" customHeight="1" thickTop="1">
      <c r="B21" s="96"/>
      <c r="C21" s="17"/>
      <c r="D21" s="17"/>
      <c r="E21" s="20"/>
      <c r="F21" s="17"/>
      <c r="G21" s="17"/>
      <c r="H21" s="349"/>
      <c r="I21" s="352"/>
      <c r="J21" s="19"/>
      <c r="K21" s="14"/>
      <c r="L21" s="17"/>
      <c r="M21" s="17"/>
      <c r="N21" s="18"/>
      <c r="O21" s="17"/>
      <c r="P21" s="17"/>
      <c r="Q21" s="17"/>
      <c r="R21" s="315"/>
      <c r="S21" s="318"/>
      <c r="T21" s="335"/>
      <c r="U21" s="321"/>
      <c r="V21" s="322"/>
      <c r="W21" s="334"/>
      <c r="X21" s="326"/>
      <c r="Y21" s="327"/>
      <c r="Z21" s="338"/>
      <c r="AA21" s="342"/>
      <c r="AB21" s="17"/>
      <c r="AC21" s="143"/>
      <c r="AD21" s="117"/>
    </row>
    <row r="22" spans="2:30" s="16" customFormat="1" ht="16.5" customHeight="1">
      <c r="B22" s="96"/>
      <c r="C22" s="524">
        <v>7</v>
      </c>
      <c r="D22" s="524" t="s">
        <v>95</v>
      </c>
      <c r="E22" s="531">
        <v>500</v>
      </c>
      <c r="F22" s="532">
        <v>348.4</v>
      </c>
      <c r="G22" s="531" t="s">
        <v>1</v>
      </c>
      <c r="H22" s="355">
        <f>IF(G22="A",200,IF(G22="B",60,20))</f>
        <v>200</v>
      </c>
      <c r="I22" s="494">
        <f>IF(E22=500,IF(F22&lt;100,100*$E$16/100,F22*$E$16/100),IF(F22&lt;100,100*$E$17/100,F22*$E$17/100))</f>
        <v>196.333852</v>
      </c>
      <c r="J22" s="540">
        <v>37882.46527777778</v>
      </c>
      <c r="K22" s="541">
        <v>37882.51875</v>
      </c>
      <c r="L22" s="22">
        <f>IF(D22="","",(K22-J22)*24)</f>
        <v>1.2833333333255723</v>
      </c>
      <c r="M22" s="23">
        <f>IF(D22="","",ROUND((K22-J22)*24*60,0))</f>
        <v>77</v>
      </c>
      <c r="N22" s="544" t="s">
        <v>100</v>
      </c>
      <c r="O22" s="545" t="str">
        <f>IF(D22="","","--")</f>
        <v>--</v>
      </c>
      <c r="P22" s="546" t="str">
        <f>IF(D22="","","NO")</f>
        <v>NO</v>
      </c>
      <c r="Q22" s="546" t="str">
        <f>IF(D22="","",IF(OR(N22="P",N22="RP"),"--","NO"))</f>
        <v>NO</v>
      </c>
      <c r="R22" s="547" t="str">
        <f>IF(N22="P",I22*H22*ROUND(M22/60,2)*0.01,"--")</f>
        <v>--</v>
      </c>
      <c r="S22" s="548" t="str">
        <f>IF(N22="RP",I22*H22*ROUND(M22/60,2)*0.01*O22/100,"--")</f>
        <v>--</v>
      </c>
      <c r="T22" s="549">
        <f>IF(AND(N22="F",Q22="NO"),I22*H22*IF(P22="SI",1.2,1),"--")</f>
        <v>39266.7704</v>
      </c>
      <c r="U22" s="550">
        <f>IF(AND(N22="F",M22&gt;=10),I22*H22*IF(P22="SI",1.2,1)*IF(M22&lt;=300,ROUND(M22/60,2),5),"--")</f>
        <v>50261.466112</v>
      </c>
      <c r="V22" s="551" t="str">
        <f>IF(AND(N22="F",M22&gt;300),(ROUND(M22/60,2)-5)*I22*H22*0.1*IF(P22="SI",1.2,1),"--")</f>
        <v>--</v>
      </c>
      <c r="W22" s="552" t="str">
        <f>IF(AND(N22="R",Q22="NO"),I22*H22*O22/100*IF(P22="SI",1.2,1),"--")</f>
        <v>--</v>
      </c>
      <c r="X22" s="553" t="str">
        <f>IF(AND(N22="R",M22&gt;=10),I22*H22*O22/100*IF(P22="SI",1.2,1)*IF(M22&lt;=300,ROUND(M22/60,2),5),"--")</f>
        <v>--</v>
      </c>
      <c r="Y22" s="554" t="str">
        <f>IF(AND(N22="R",M22&gt;300),(ROUND(M22/60,2)-5)*I22*H22*0.1*O22/100*IF(P22="SI",1.2,1),"--")</f>
        <v>--</v>
      </c>
      <c r="Z22" s="555" t="str">
        <f>IF(N22="RF",ROUND(M22/60,2)*I22*H22*0.1*IF(P22="SI",1.2,1),"--")</f>
        <v>--</v>
      </c>
      <c r="AA22" s="556" t="str">
        <f>IF(N22="RR",ROUND(M22/60,2)*I22*H22*0.1*O22/100*IF(P22="SI",1.2,1),"--")</f>
        <v>--</v>
      </c>
      <c r="AB22" s="557" t="str">
        <f>IF(D22="","","SI")</f>
        <v>SI</v>
      </c>
      <c r="AC22" s="24">
        <f>IF(D22="","",SUM(R22:AA22)*IF(AB22="SI",1,2))</f>
        <v>89528.236512</v>
      </c>
      <c r="AD22" s="442"/>
    </row>
    <row r="23" spans="2:30" s="16" customFormat="1" ht="16.5" customHeight="1">
      <c r="B23" s="96"/>
      <c r="C23" s="524"/>
      <c r="D23" s="528"/>
      <c r="E23" s="529"/>
      <c r="F23" s="530"/>
      <c r="G23" s="529"/>
      <c r="H23" s="355"/>
      <c r="I23" s="494"/>
      <c r="J23" s="538"/>
      <c r="K23" s="539"/>
      <c r="L23" s="22"/>
      <c r="M23" s="23"/>
      <c r="N23" s="544"/>
      <c r="O23" s="545"/>
      <c r="P23" s="546"/>
      <c r="Q23" s="546"/>
      <c r="R23" s="547"/>
      <c r="S23" s="548"/>
      <c r="T23" s="549"/>
      <c r="U23" s="550"/>
      <c r="V23" s="551"/>
      <c r="W23" s="552"/>
      <c r="X23" s="553"/>
      <c r="Y23" s="554"/>
      <c r="Z23" s="555"/>
      <c r="AA23" s="556"/>
      <c r="AB23" s="557"/>
      <c r="AC23" s="24"/>
      <c r="AD23" s="442"/>
    </row>
    <row r="24" spans="2:30" s="16" customFormat="1" ht="16.5" customHeight="1">
      <c r="B24" s="651"/>
      <c r="C24" s="524"/>
      <c r="D24" s="37"/>
      <c r="E24" s="37"/>
      <c r="F24" s="37"/>
      <c r="G24" s="37"/>
      <c r="H24" s="355"/>
      <c r="I24" s="494"/>
      <c r="J24" s="536"/>
      <c r="K24" s="537"/>
      <c r="L24" s="22"/>
      <c r="M24" s="23"/>
      <c r="N24" s="544"/>
      <c r="O24" s="545"/>
      <c r="P24" s="546"/>
      <c r="Q24" s="546"/>
      <c r="R24" s="547"/>
      <c r="S24" s="548"/>
      <c r="T24" s="549"/>
      <c r="U24" s="550"/>
      <c r="V24" s="551"/>
      <c r="W24" s="552"/>
      <c r="X24" s="553"/>
      <c r="Y24" s="554"/>
      <c r="Z24" s="555"/>
      <c r="AA24" s="556"/>
      <c r="AB24" s="557"/>
      <c r="AC24" s="24"/>
      <c r="AD24" s="442"/>
    </row>
    <row r="25" spans="2:30" s="16" customFormat="1" ht="16.5" customHeight="1">
      <c r="B25" s="96"/>
      <c r="C25" s="524"/>
      <c r="D25" s="525"/>
      <c r="E25" s="526"/>
      <c r="F25" s="527"/>
      <c r="G25" s="526"/>
      <c r="H25" s="355"/>
      <c r="I25" s="494"/>
      <c r="J25" s="536"/>
      <c r="K25" s="537"/>
      <c r="L25" s="22"/>
      <c r="M25" s="23"/>
      <c r="N25" s="544"/>
      <c r="O25" s="545"/>
      <c r="P25" s="546"/>
      <c r="Q25" s="546"/>
      <c r="R25" s="547"/>
      <c r="S25" s="548"/>
      <c r="T25" s="549"/>
      <c r="U25" s="550"/>
      <c r="V25" s="551"/>
      <c r="W25" s="552"/>
      <c r="X25" s="553"/>
      <c r="Y25" s="554"/>
      <c r="Z25" s="555"/>
      <c r="AA25" s="556"/>
      <c r="AB25" s="557"/>
      <c r="AC25" s="24"/>
      <c r="AD25" s="442"/>
    </row>
    <row r="26" spans="2:30" s="16" customFormat="1" ht="16.5" customHeight="1">
      <c r="B26" s="96"/>
      <c r="C26" s="524"/>
      <c r="D26" s="524"/>
      <c r="E26" s="531"/>
      <c r="F26" s="532"/>
      <c r="G26" s="531"/>
      <c r="H26" s="355"/>
      <c r="I26" s="494"/>
      <c r="J26" s="540"/>
      <c r="K26" s="541"/>
      <c r="L26" s="22"/>
      <c r="M26" s="23"/>
      <c r="N26" s="544"/>
      <c r="O26" s="545"/>
      <c r="P26" s="546"/>
      <c r="Q26" s="546"/>
      <c r="R26" s="547"/>
      <c r="S26" s="548"/>
      <c r="T26" s="549"/>
      <c r="U26" s="550"/>
      <c r="V26" s="551"/>
      <c r="W26" s="552"/>
      <c r="X26" s="553"/>
      <c r="Y26" s="554"/>
      <c r="Z26" s="555"/>
      <c r="AA26" s="556"/>
      <c r="AB26" s="557"/>
      <c r="AC26" s="24"/>
      <c r="AD26" s="442"/>
    </row>
    <row r="27" spans="2:30" s="16" customFormat="1" ht="16.5" customHeight="1">
      <c r="B27" s="96"/>
      <c r="C27" s="524"/>
      <c r="D27" s="524"/>
      <c r="E27" s="531"/>
      <c r="F27" s="532"/>
      <c r="G27" s="531"/>
      <c r="H27" s="355"/>
      <c r="I27" s="494"/>
      <c r="J27" s="540"/>
      <c r="K27" s="541"/>
      <c r="L27" s="22"/>
      <c r="M27" s="23"/>
      <c r="N27" s="544"/>
      <c r="O27" s="545"/>
      <c r="P27" s="546"/>
      <c r="Q27" s="546"/>
      <c r="R27" s="547"/>
      <c r="S27" s="548"/>
      <c r="T27" s="549"/>
      <c r="U27" s="550"/>
      <c r="V27" s="551"/>
      <c r="W27" s="552"/>
      <c r="X27" s="553"/>
      <c r="Y27" s="554"/>
      <c r="Z27" s="555"/>
      <c r="AA27" s="556"/>
      <c r="AB27" s="557"/>
      <c r="AC27" s="24"/>
      <c r="AD27" s="442"/>
    </row>
    <row r="28" spans="2:30" s="16" customFormat="1" ht="16.5" customHeight="1">
      <c r="B28" s="96"/>
      <c r="C28" s="524"/>
      <c r="D28" s="524"/>
      <c r="E28" s="531"/>
      <c r="F28" s="532"/>
      <c r="G28" s="531"/>
      <c r="H28" s="355"/>
      <c r="I28" s="494"/>
      <c r="J28" s="540"/>
      <c r="K28" s="541"/>
      <c r="L28" s="22"/>
      <c r="M28" s="23"/>
      <c r="N28" s="544"/>
      <c r="O28" s="545"/>
      <c r="P28" s="546"/>
      <c r="Q28" s="546"/>
      <c r="R28" s="547"/>
      <c r="S28" s="548"/>
      <c r="T28" s="549"/>
      <c r="U28" s="550"/>
      <c r="V28" s="551"/>
      <c r="W28" s="552"/>
      <c r="X28" s="553"/>
      <c r="Y28" s="554"/>
      <c r="Z28" s="555"/>
      <c r="AA28" s="556"/>
      <c r="AB28" s="557"/>
      <c r="AC28" s="24"/>
      <c r="AD28" s="442"/>
    </row>
    <row r="29" spans="2:30" s="16" customFormat="1" ht="16.5" customHeight="1">
      <c r="B29" s="96"/>
      <c r="C29" s="524"/>
      <c r="D29" s="524"/>
      <c r="E29" s="531"/>
      <c r="F29" s="532"/>
      <c r="G29" s="531"/>
      <c r="H29" s="355"/>
      <c r="I29" s="494"/>
      <c r="J29" s="540"/>
      <c r="K29" s="541"/>
      <c r="L29" s="22"/>
      <c r="M29" s="23"/>
      <c r="N29" s="544"/>
      <c r="O29" s="545"/>
      <c r="P29" s="546"/>
      <c r="Q29" s="546"/>
      <c r="R29" s="547"/>
      <c r="S29" s="548"/>
      <c r="T29" s="549"/>
      <c r="U29" s="550"/>
      <c r="V29" s="551"/>
      <c r="W29" s="552"/>
      <c r="X29" s="553"/>
      <c r="Y29" s="554"/>
      <c r="Z29" s="555"/>
      <c r="AA29" s="556"/>
      <c r="AB29" s="557"/>
      <c r="AC29" s="24"/>
      <c r="AD29" s="442"/>
    </row>
    <row r="30" spans="2:30" s="16" customFormat="1" ht="16.5" customHeight="1">
      <c r="B30" s="96"/>
      <c r="C30" s="524"/>
      <c r="D30" s="524"/>
      <c r="E30" s="531"/>
      <c r="F30" s="532"/>
      <c r="G30" s="531"/>
      <c r="H30" s="355"/>
      <c r="I30" s="494"/>
      <c r="J30" s="540"/>
      <c r="K30" s="541"/>
      <c r="L30" s="22"/>
      <c r="M30" s="23"/>
      <c r="N30" s="544"/>
      <c r="O30" s="545"/>
      <c r="P30" s="546"/>
      <c r="Q30" s="546"/>
      <c r="R30" s="547"/>
      <c r="S30" s="548"/>
      <c r="T30" s="549"/>
      <c r="U30" s="550"/>
      <c r="V30" s="551"/>
      <c r="W30" s="552"/>
      <c r="X30" s="553"/>
      <c r="Y30" s="554"/>
      <c r="Z30" s="555"/>
      <c r="AA30" s="556"/>
      <c r="AB30" s="557"/>
      <c r="AC30" s="24"/>
      <c r="AD30" s="442"/>
    </row>
    <row r="31" spans="2:30" s="16" customFormat="1" ht="16.5" customHeight="1">
      <c r="B31" s="96"/>
      <c r="C31" s="524"/>
      <c r="D31" s="524"/>
      <c r="E31" s="531"/>
      <c r="F31" s="532"/>
      <c r="G31" s="531"/>
      <c r="H31" s="355"/>
      <c r="I31" s="494"/>
      <c r="J31" s="540"/>
      <c r="K31" s="542"/>
      <c r="L31" s="22"/>
      <c r="M31" s="23"/>
      <c r="N31" s="544"/>
      <c r="O31" s="545"/>
      <c r="P31" s="546"/>
      <c r="Q31" s="546"/>
      <c r="R31" s="547"/>
      <c r="S31" s="548"/>
      <c r="T31" s="549"/>
      <c r="U31" s="550"/>
      <c r="V31" s="551"/>
      <c r="W31" s="552"/>
      <c r="X31" s="553"/>
      <c r="Y31" s="554"/>
      <c r="Z31" s="555"/>
      <c r="AA31" s="556"/>
      <c r="AB31" s="557"/>
      <c r="AC31" s="24"/>
      <c r="AD31" s="442"/>
    </row>
    <row r="32" spans="2:30" s="16" customFormat="1" ht="16.5" customHeight="1">
      <c r="B32" s="651"/>
      <c r="C32" s="524"/>
      <c r="D32" s="524"/>
      <c r="E32" s="531"/>
      <c r="F32" s="532"/>
      <c r="G32" s="531"/>
      <c r="H32" s="355"/>
      <c r="I32" s="494"/>
      <c r="J32" s="540"/>
      <c r="K32" s="542"/>
      <c r="L32" s="22"/>
      <c r="M32" s="23"/>
      <c r="N32" s="544"/>
      <c r="O32" s="545"/>
      <c r="P32" s="546"/>
      <c r="Q32" s="546"/>
      <c r="R32" s="547"/>
      <c r="S32" s="548"/>
      <c r="T32" s="549"/>
      <c r="U32" s="550"/>
      <c r="V32" s="551"/>
      <c r="W32" s="552"/>
      <c r="X32" s="553"/>
      <c r="Y32" s="554"/>
      <c r="Z32" s="555"/>
      <c r="AA32" s="556"/>
      <c r="AB32" s="557"/>
      <c r="AC32" s="24"/>
      <c r="AD32" s="442"/>
    </row>
    <row r="33" spans="2:30" s="16" customFormat="1" ht="16.5" customHeight="1">
      <c r="B33" s="651"/>
      <c r="C33" s="524"/>
      <c r="D33" s="524"/>
      <c r="E33" s="531"/>
      <c r="F33" s="532"/>
      <c r="G33" s="531"/>
      <c r="H33" s="355"/>
      <c r="I33" s="494"/>
      <c r="J33" s="540"/>
      <c r="K33" s="542"/>
      <c r="L33" s="22"/>
      <c r="M33" s="23"/>
      <c r="N33" s="544"/>
      <c r="O33" s="545"/>
      <c r="P33" s="546"/>
      <c r="Q33" s="546"/>
      <c r="R33" s="547"/>
      <c r="S33" s="548"/>
      <c r="T33" s="549"/>
      <c r="U33" s="550"/>
      <c r="V33" s="551"/>
      <c r="W33" s="552"/>
      <c r="X33" s="553"/>
      <c r="Y33" s="554"/>
      <c r="Z33" s="555"/>
      <c r="AA33" s="556"/>
      <c r="AB33" s="557"/>
      <c r="AC33" s="24"/>
      <c r="AD33" s="442"/>
    </row>
    <row r="34" spans="2:30" s="16" customFormat="1" ht="16.5" customHeight="1">
      <c r="B34" s="96"/>
      <c r="C34" s="524"/>
      <c r="D34" s="524"/>
      <c r="E34" s="531"/>
      <c r="F34" s="532"/>
      <c r="G34" s="531"/>
      <c r="H34" s="355"/>
      <c r="I34" s="494"/>
      <c r="J34" s="540"/>
      <c r="K34" s="542"/>
      <c r="L34" s="22"/>
      <c r="M34" s="23"/>
      <c r="N34" s="544"/>
      <c r="O34" s="545"/>
      <c r="P34" s="546"/>
      <c r="Q34" s="546"/>
      <c r="R34" s="547"/>
      <c r="S34" s="548"/>
      <c r="T34" s="549"/>
      <c r="U34" s="550"/>
      <c r="V34" s="551"/>
      <c r="W34" s="552"/>
      <c r="X34" s="553"/>
      <c r="Y34" s="554"/>
      <c r="Z34" s="555"/>
      <c r="AA34" s="556"/>
      <c r="AB34" s="557"/>
      <c r="AC34" s="24"/>
      <c r="AD34" s="442"/>
    </row>
    <row r="35" spans="2:30" s="16" customFormat="1" ht="16.5" customHeight="1">
      <c r="B35" s="96"/>
      <c r="C35" s="524"/>
      <c r="D35" s="524"/>
      <c r="E35" s="531"/>
      <c r="F35" s="532"/>
      <c r="G35" s="531"/>
      <c r="H35" s="355"/>
      <c r="I35" s="494"/>
      <c r="J35" s="536"/>
      <c r="K35" s="537"/>
      <c r="L35" s="22"/>
      <c r="M35" s="23"/>
      <c r="N35" s="544"/>
      <c r="O35" s="545"/>
      <c r="P35" s="546"/>
      <c r="Q35" s="546"/>
      <c r="R35" s="547"/>
      <c r="S35" s="548"/>
      <c r="T35" s="549"/>
      <c r="U35" s="550"/>
      <c r="V35" s="551"/>
      <c r="W35" s="552"/>
      <c r="X35" s="553"/>
      <c r="Y35" s="554"/>
      <c r="Z35" s="555"/>
      <c r="AA35" s="556"/>
      <c r="AB35" s="557"/>
      <c r="AC35" s="24"/>
      <c r="AD35" s="442"/>
    </row>
    <row r="36" spans="2:30" s="16" customFormat="1" ht="16.5" customHeight="1">
      <c r="B36" s="96"/>
      <c r="C36" s="524"/>
      <c r="D36" s="524"/>
      <c r="E36" s="531"/>
      <c r="F36" s="532"/>
      <c r="G36" s="531"/>
      <c r="H36" s="355">
        <f>IF(G36="A",200,IF(G36="B",60,20))</f>
        <v>20</v>
      </c>
      <c r="I36" s="494">
        <f>IF(E36=500,IF(F36&lt;100,100*$E$16/100,F36*$E$16/100),IF(F36&lt;100,100*$E$17/100,F36*$E$17/100))</f>
        <v>46.96099999999999</v>
      </c>
      <c r="J36" s="540"/>
      <c r="K36" s="542"/>
      <c r="L36" s="22">
        <f>IF(D36="","",(K36-J36)*24)</f>
      </c>
      <c r="M36" s="23">
        <f>IF(D36="","",ROUND((K36-J36)*24*60,0))</f>
      </c>
      <c r="N36" s="544"/>
      <c r="O36" s="545">
        <f>IF(D36="","","--")</f>
      </c>
      <c r="P36" s="546">
        <f>IF(D36="","","NO")</f>
      </c>
      <c r="Q36" s="546">
        <f>IF(D36="","",IF(OR(N36="P",N36="RP"),"--","NO"))</f>
      </c>
      <c r="R36" s="547" t="str">
        <f>IF(N36="P",I36*H36*ROUND(M36/60,2)*0.01,"--")</f>
        <v>--</v>
      </c>
      <c r="S36" s="548" t="str">
        <f>IF(N36="RP",I36*H36*ROUND(M36/60,2)*0.01*O36/100,"--")</f>
        <v>--</v>
      </c>
      <c r="T36" s="549" t="str">
        <f>IF(AND(N36="F",Q36="NO"),I36*H36*IF(P36="SI",1.2,1),"--")</f>
        <v>--</v>
      </c>
      <c r="U36" s="550" t="str">
        <f>IF(AND(N36="F",M36&gt;=10),I36*H36*IF(P36="SI",1.2,1)*IF(M36&lt;=300,ROUND(M36/60,2),5),"--")</f>
        <v>--</v>
      </c>
      <c r="V36" s="551" t="str">
        <f>IF(AND(N36="F",M36&gt;300),(ROUND(M36/60,2)-5)*I36*H36*0.1*IF(P36="SI",1.2,1),"--")</f>
        <v>--</v>
      </c>
      <c r="W36" s="552" t="str">
        <f>IF(AND(N36="R",Q36="NO"),I36*H36*O36/100*IF(P36="SI",1.2,1),"--")</f>
        <v>--</v>
      </c>
      <c r="X36" s="553" t="str">
        <f>IF(AND(N36="R",M36&gt;=10),I36*H36*O36/100*IF(P36="SI",1.2,1)*IF(M36&lt;=300,ROUND(M36/60,2),5),"--")</f>
        <v>--</v>
      </c>
      <c r="Y36" s="554" t="str">
        <f>IF(AND(N36="R",M36&gt;300),(ROUND(M36/60,2)-5)*I36*H36*0.1*O36/100*IF(P36="SI",1.2,1),"--")</f>
        <v>--</v>
      </c>
      <c r="Z36" s="555" t="str">
        <f>IF(N36="RF",ROUND(M36/60,2)*I36*H36*0.1*IF(P36="SI",1.2,1),"--")</f>
        <v>--</v>
      </c>
      <c r="AA36" s="556" t="str">
        <f>IF(N36="RR",ROUND(M36/60,2)*I36*H36*0.1*O36/100*IF(P36="SI",1.2,1),"--")</f>
        <v>--</v>
      </c>
      <c r="AB36" s="557">
        <f>IF(D36="","","SI")</f>
      </c>
      <c r="AC36" s="24">
        <f>IF(D36="","",SUM(R36:AA36)*IF(AB36="SI",1,2))</f>
      </c>
      <c r="AD36" s="442"/>
    </row>
    <row r="37" spans="2:30" s="16" customFormat="1" ht="16.5" customHeight="1">
      <c r="B37" s="96"/>
      <c r="C37" s="524"/>
      <c r="D37" s="524"/>
      <c r="E37" s="531"/>
      <c r="F37" s="532"/>
      <c r="G37" s="531"/>
      <c r="H37" s="355">
        <f>IF(G37="A",200,IF(G37="B",60,20))</f>
        <v>20</v>
      </c>
      <c r="I37" s="494">
        <f>IF(E37=500,IF(F37&lt;100,100*$E$16/100,F37*$E$16/100),IF(F37&lt;100,100*$E$17/100,F37*$E$17/100))</f>
        <v>46.96099999999999</v>
      </c>
      <c r="J37" s="540"/>
      <c r="K37" s="542"/>
      <c r="L37" s="22">
        <f>IF(D37="","",(K37-J37)*24)</f>
      </c>
      <c r="M37" s="23">
        <f>IF(D37="","",ROUND((K37-J37)*24*60,0))</f>
      </c>
      <c r="N37" s="544"/>
      <c r="O37" s="545">
        <f>IF(D37="","","--")</f>
      </c>
      <c r="P37" s="546">
        <f>IF(D37="","","NO")</f>
      </c>
      <c r="Q37" s="546">
        <f>IF(D37="","",IF(OR(N37="P",N37="RP"),"--","NO"))</f>
      </c>
      <c r="R37" s="547" t="str">
        <f>IF(N37="P",I37*H37*ROUND(M37/60,2)*0.01,"--")</f>
        <v>--</v>
      </c>
      <c r="S37" s="548" t="str">
        <f>IF(N37="RP",I37*H37*ROUND(M37/60,2)*0.01*O37/100,"--")</f>
        <v>--</v>
      </c>
      <c r="T37" s="549" t="str">
        <f>IF(AND(N37="F",Q37="NO"),I37*H37*IF(P37="SI",1.2,1),"--")</f>
        <v>--</v>
      </c>
      <c r="U37" s="550" t="str">
        <f>IF(AND(N37="F",M37&gt;=10),I37*H37*IF(P37="SI",1.2,1)*IF(M37&lt;=300,ROUND(M37/60,2),5),"--")</f>
        <v>--</v>
      </c>
      <c r="V37" s="551" t="str">
        <f>IF(AND(N37="F",M37&gt;300),(ROUND(M37/60,2)-5)*I37*H37*0.1*IF(P37="SI",1.2,1),"--")</f>
        <v>--</v>
      </c>
      <c r="W37" s="552" t="str">
        <f>IF(AND(N37="R",Q37="NO"),I37*H37*O37/100*IF(P37="SI",1.2,1),"--")</f>
        <v>--</v>
      </c>
      <c r="X37" s="553" t="str">
        <f>IF(AND(N37="R",M37&gt;=10),I37*H37*O37/100*IF(P37="SI",1.2,1)*IF(M37&lt;=300,ROUND(M37/60,2),5),"--")</f>
        <v>--</v>
      </c>
      <c r="Y37" s="554" t="str">
        <f>IF(AND(N37="R",M37&gt;300),(ROUND(M37/60,2)-5)*I37*H37*0.1*O37/100*IF(P37="SI",1.2,1),"--")</f>
        <v>--</v>
      </c>
      <c r="Z37" s="555" t="str">
        <f>IF(N37="RF",ROUND(M37/60,2)*I37*H37*0.1*IF(P37="SI",1.2,1),"--")</f>
        <v>--</v>
      </c>
      <c r="AA37" s="556" t="str">
        <f>IF(N37="RR",ROUND(M37/60,2)*I37*H37*0.1*O37/100*IF(P37="SI",1.2,1),"--")</f>
        <v>--</v>
      </c>
      <c r="AB37" s="557">
        <f>IF(D37="","","SI")</f>
      </c>
      <c r="AC37" s="24">
        <f>IF(D37="","",SUM(R37:AA37)*IF(AB37="SI",1,2))</f>
      </c>
      <c r="AD37" s="442"/>
    </row>
    <row r="38" spans="2:30" s="16" customFormat="1" ht="16.5" customHeight="1">
      <c r="B38" s="96"/>
      <c r="C38" s="524"/>
      <c r="D38" s="524"/>
      <c r="E38" s="531"/>
      <c r="F38" s="532"/>
      <c r="G38" s="531"/>
      <c r="H38" s="355">
        <f>IF(G38="A",200,IF(G38="B",60,20))</f>
        <v>20</v>
      </c>
      <c r="I38" s="494">
        <f>IF(E38=500,IF(F38&lt;100,100*$E$16/100,F38*$E$16/100),IF(F38&lt;100,100*$E$17/100,F38*$E$17/100))</f>
        <v>46.96099999999999</v>
      </c>
      <c r="J38" s="540"/>
      <c r="K38" s="542"/>
      <c r="L38" s="22">
        <f>IF(D38="","",(K38-J38)*24)</f>
      </c>
      <c r="M38" s="23">
        <f>IF(D38="","",ROUND((K38-J38)*24*60,0))</f>
      </c>
      <c r="N38" s="544"/>
      <c r="O38" s="545">
        <f>IF(D38="","","--")</f>
      </c>
      <c r="P38" s="546">
        <f>IF(D38="","","NO")</f>
      </c>
      <c r="Q38" s="546">
        <f>IF(D38="","",IF(OR(N38="P",N38="RP"),"--","NO"))</f>
      </c>
      <c r="R38" s="547" t="str">
        <f>IF(N38="P",I38*H38*ROUND(M38/60,2)*0.01,"--")</f>
        <v>--</v>
      </c>
      <c r="S38" s="548" t="str">
        <f>IF(N38="RP",I38*H38*ROUND(M38/60,2)*0.01*O38/100,"--")</f>
        <v>--</v>
      </c>
      <c r="T38" s="549" t="str">
        <f>IF(AND(N38="F",Q38="NO"),I38*H38*IF(P38="SI",1.2,1),"--")</f>
        <v>--</v>
      </c>
      <c r="U38" s="550" t="str">
        <f>IF(AND(N38="F",M38&gt;=10),I38*H38*IF(P38="SI",1.2,1)*IF(M38&lt;=300,ROUND(M38/60,2),5),"--")</f>
        <v>--</v>
      </c>
      <c r="V38" s="551" t="str">
        <f>IF(AND(N38="F",M38&gt;300),(ROUND(M38/60,2)-5)*I38*H38*0.1*IF(P38="SI",1.2,1),"--")</f>
        <v>--</v>
      </c>
      <c r="W38" s="552" t="str">
        <f>IF(AND(N38="R",Q38="NO"),I38*H38*O38/100*IF(P38="SI",1.2,1),"--")</f>
        <v>--</v>
      </c>
      <c r="X38" s="553" t="str">
        <f>IF(AND(N38="R",M38&gt;=10),I38*H38*O38/100*IF(P38="SI",1.2,1)*IF(M38&lt;=300,ROUND(M38/60,2),5),"--")</f>
        <v>--</v>
      </c>
      <c r="Y38" s="554" t="str">
        <f>IF(AND(N38="R",M38&gt;300),(ROUND(M38/60,2)-5)*I38*H38*0.1*O38/100*IF(P38="SI",1.2,1),"--")</f>
        <v>--</v>
      </c>
      <c r="Z38" s="555" t="str">
        <f>IF(N38="RF",ROUND(M38/60,2)*I38*H38*0.1*IF(P38="SI",1.2,1),"--")</f>
        <v>--</v>
      </c>
      <c r="AA38" s="556" t="str">
        <f>IF(N38="RR",ROUND(M38/60,2)*I38*H38*0.1*O38/100*IF(P38="SI",1.2,1),"--")</f>
        <v>--</v>
      </c>
      <c r="AB38" s="557">
        <f>IF(D38="","","SI")</f>
      </c>
      <c r="AC38" s="24">
        <f>IF(D38="","",SUM(R38:AA38)*IF(AB38="SI",1,2))</f>
      </c>
      <c r="AD38" s="442"/>
    </row>
    <row r="39" spans="2:30" s="16" customFormat="1" ht="16.5" customHeight="1">
      <c r="B39" s="96"/>
      <c r="C39" s="524"/>
      <c r="D39" s="524"/>
      <c r="E39" s="531"/>
      <c r="F39" s="532"/>
      <c r="G39" s="531"/>
      <c r="H39" s="355">
        <f>IF(G39="A",200,IF(G39="B",60,20))</f>
        <v>20</v>
      </c>
      <c r="I39" s="494">
        <f>IF(E39=500,IF(F39&lt;100,100*$E$16/100,F39*$E$16/100),IF(F39&lt;100,100*$E$17/100,F39*$E$17/100))</f>
        <v>46.96099999999999</v>
      </c>
      <c r="J39" s="540"/>
      <c r="K39" s="542"/>
      <c r="L39" s="22">
        <f>IF(D39="","",(K39-J39)*24)</f>
      </c>
      <c r="M39" s="23">
        <f>IF(D39="","",ROUND((K39-J39)*24*60,0))</f>
      </c>
      <c r="N39" s="544"/>
      <c r="O39" s="545">
        <f>IF(D39="","","--")</f>
      </c>
      <c r="P39" s="546">
        <f>IF(D39="","","NO")</f>
      </c>
      <c r="Q39" s="546">
        <f>IF(D39="","",IF(OR(N39="P",N39="RP"),"--","NO"))</f>
      </c>
      <c r="R39" s="547" t="str">
        <f>IF(N39="P",I39*H39*ROUND(M39/60,2)*0.01,"--")</f>
        <v>--</v>
      </c>
      <c r="S39" s="548" t="str">
        <f>IF(N39="RP",I39*H39*ROUND(M39/60,2)*0.01*O39/100,"--")</f>
        <v>--</v>
      </c>
      <c r="T39" s="549" t="str">
        <f>IF(AND(N39="F",Q39="NO"),I39*H39*IF(P39="SI",1.2,1),"--")</f>
        <v>--</v>
      </c>
      <c r="U39" s="550" t="str">
        <f>IF(AND(N39="F",M39&gt;=10),I39*H39*IF(P39="SI",1.2,1)*IF(M39&lt;=300,ROUND(M39/60,2),5),"--")</f>
        <v>--</v>
      </c>
      <c r="V39" s="551" t="str">
        <f>IF(AND(N39="F",M39&gt;300),(ROUND(M39/60,2)-5)*I39*H39*0.1*IF(P39="SI",1.2,1),"--")</f>
        <v>--</v>
      </c>
      <c r="W39" s="552" t="str">
        <f>IF(AND(N39="R",Q39="NO"),I39*H39*O39/100*IF(P39="SI",1.2,1),"--")</f>
        <v>--</v>
      </c>
      <c r="X39" s="553" t="str">
        <f>IF(AND(N39="R",M39&gt;=10),I39*H39*O39/100*IF(P39="SI",1.2,1)*IF(M39&lt;=300,ROUND(M39/60,2),5),"--")</f>
        <v>--</v>
      </c>
      <c r="Y39" s="554" t="str">
        <f>IF(AND(N39="R",M39&gt;300),(ROUND(M39/60,2)-5)*I39*H39*0.1*O39/100*IF(P39="SI",1.2,1),"--")</f>
        <v>--</v>
      </c>
      <c r="Z39" s="555" t="str">
        <f>IF(N39="RF",ROUND(M39/60,2)*I39*H39*0.1*IF(P39="SI",1.2,1),"--")</f>
        <v>--</v>
      </c>
      <c r="AA39" s="556" t="str">
        <f>IF(N39="RR",ROUND(M39/60,2)*I39*H39*0.1*O39/100*IF(P39="SI",1.2,1),"--")</f>
        <v>--</v>
      </c>
      <c r="AB39" s="557">
        <f>IF(D39="","","SI")</f>
      </c>
      <c r="AC39" s="24">
        <f>IF(D39="","",SUM(R39:AA39)*IF(AB39="SI",1,2))</f>
      </c>
      <c r="AD39" s="442"/>
    </row>
    <row r="40" spans="2:30" s="16" customFormat="1" ht="16.5" customHeight="1" thickBot="1">
      <c r="B40" s="96"/>
      <c r="C40" s="533"/>
      <c r="D40" s="533"/>
      <c r="E40" s="534"/>
      <c r="F40" s="533"/>
      <c r="G40" s="535"/>
      <c r="H40" s="350"/>
      <c r="I40" s="495"/>
      <c r="J40" s="543"/>
      <c r="K40" s="543"/>
      <c r="L40" s="27"/>
      <c r="M40" s="27"/>
      <c r="N40" s="543"/>
      <c r="O40" s="558"/>
      <c r="P40" s="543"/>
      <c r="Q40" s="543"/>
      <c r="R40" s="559"/>
      <c r="S40" s="560"/>
      <c r="T40" s="561"/>
      <c r="U40" s="562"/>
      <c r="V40" s="563"/>
      <c r="W40" s="564"/>
      <c r="X40" s="565"/>
      <c r="Y40" s="566"/>
      <c r="Z40" s="567"/>
      <c r="AA40" s="568"/>
      <c r="AB40" s="569"/>
      <c r="AC40" s="28"/>
      <c r="AD40" s="442"/>
    </row>
    <row r="41" spans="2:30" s="16" customFormat="1" ht="16.5" customHeight="1" thickBot="1" thickTop="1">
      <c r="B41" s="96"/>
      <c r="C41" s="236" t="s">
        <v>57</v>
      </c>
      <c r="D41" s="237" t="s">
        <v>58</v>
      </c>
      <c r="E41" s="30"/>
      <c r="F41" s="1"/>
      <c r="G41" s="31"/>
      <c r="H41" s="1"/>
      <c r="I41" s="32"/>
      <c r="J41" s="32"/>
      <c r="K41" s="32"/>
      <c r="L41" s="32"/>
      <c r="M41" s="32"/>
      <c r="N41" s="32"/>
      <c r="O41" s="33"/>
      <c r="P41" s="32"/>
      <c r="Q41" s="32"/>
      <c r="R41" s="343">
        <f aca="true" t="shared" si="0" ref="R41:AA41">SUM(R20:R40)</f>
        <v>0</v>
      </c>
      <c r="S41" s="344">
        <f t="shared" si="0"/>
        <v>0</v>
      </c>
      <c r="T41" s="345">
        <f t="shared" si="0"/>
        <v>39266.7704</v>
      </c>
      <c r="U41" s="345">
        <f t="shared" si="0"/>
        <v>50261.466112</v>
      </c>
      <c r="V41" s="345">
        <f t="shared" si="0"/>
        <v>0</v>
      </c>
      <c r="W41" s="346">
        <f t="shared" si="0"/>
        <v>0</v>
      </c>
      <c r="X41" s="346">
        <f t="shared" si="0"/>
        <v>0</v>
      </c>
      <c r="Y41" s="346">
        <f t="shared" si="0"/>
        <v>0</v>
      </c>
      <c r="Z41" s="347">
        <f t="shared" si="0"/>
        <v>0</v>
      </c>
      <c r="AA41" s="348">
        <f t="shared" si="0"/>
        <v>0</v>
      </c>
      <c r="AB41" s="34"/>
      <c r="AC41" s="504">
        <f>ROUND(SUM(AC20:AC40),2)</f>
        <v>89528.24</v>
      </c>
      <c r="AD41" s="442"/>
    </row>
    <row r="42" spans="2:30" s="241" customFormat="1" ht="9.75" thickTop="1">
      <c r="B42" s="242"/>
      <c r="C42" s="238"/>
      <c r="D42" s="240" t="s">
        <v>59</v>
      </c>
      <c r="E42" s="243"/>
      <c r="F42" s="244"/>
      <c r="G42" s="245"/>
      <c r="H42" s="244"/>
      <c r="I42" s="246"/>
      <c r="J42" s="246"/>
      <c r="K42" s="246"/>
      <c r="L42" s="246"/>
      <c r="M42" s="246"/>
      <c r="N42" s="246"/>
      <c r="O42" s="247"/>
      <c r="P42" s="246"/>
      <c r="Q42" s="246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9"/>
      <c r="AD42" s="250"/>
    </row>
    <row r="43" spans="2:30" s="241" customFormat="1" ht="18" customHeight="1">
      <c r="B43" s="242"/>
      <c r="C43" s="262" t="s">
        <v>159</v>
      </c>
      <c r="D43" s="652" t="s">
        <v>160</v>
      </c>
      <c r="E43" s="243"/>
      <c r="F43" s="244"/>
      <c r="G43" s="245"/>
      <c r="H43" s="244"/>
      <c r="I43" s="246"/>
      <c r="J43" s="246"/>
      <c r="K43" s="246"/>
      <c r="L43" s="246"/>
      <c r="M43" s="246"/>
      <c r="N43" s="246"/>
      <c r="O43" s="247"/>
      <c r="P43" s="246"/>
      <c r="Q43" s="246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9"/>
      <c r="AD43" s="250"/>
    </row>
    <row r="44" spans="2:30" s="16" customFormat="1" ht="8.25" customHeight="1" thickBot="1"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4"/>
    </row>
    <row r="45" spans="2:30" ht="16.5" customHeight="1" thickTop="1">
      <c r="B45" s="12"/>
      <c r="AD45" s="1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W155"/>
  <sheetViews>
    <sheetView zoomScale="75" zoomScaleNormal="75" workbookViewId="0" topLeftCell="H1">
      <selection activeCell="J30" sqref="J30"/>
    </sheetView>
  </sheetViews>
  <sheetFormatPr defaultColWidth="11.421875" defaultRowHeight="12.75" outlineLevelCol="1"/>
  <cols>
    <col min="1" max="2" width="15.7109375" style="0" customWidth="1"/>
    <col min="3" max="3" width="4.7109375" style="0" customWidth="1"/>
    <col min="4" max="4" width="44.28125" style="0" customWidth="1"/>
    <col min="5" max="5" width="6.57421875" style="0" customWidth="1"/>
    <col min="6" max="6" width="7.7109375" style="0" customWidth="1"/>
    <col min="7" max="7" width="14.57421875" style="0" bestFit="1" customWidth="1"/>
    <col min="8" max="8" width="13.8515625" style="0" bestFit="1" customWidth="1"/>
    <col min="9" max="10" width="7.140625" style="0" bestFit="1" customWidth="1"/>
    <col min="11" max="11" width="7.57421875" style="0" bestFit="1" customWidth="1"/>
    <col min="12" max="12" width="6.421875" style="0" bestFit="1" customWidth="1"/>
    <col min="13" max="13" width="16.140625" style="0" hidden="1" customWidth="1" outlineLevel="1"/>
    <col min="14" max="14" width="15.140625" style="0" hidden="1" customWidth="1" outlineLevel="1"/>
    <col min="15" max="15" width="15.00390625" style="0" hidden="1" customWidth="1" outlineLevel="1"/>
    <col min="16" max="16" width="18.28125" style="0" hidden="1" customWidth="1" outlineLevel="1"/>
    <col min="17" max="19" width="17.7109375" style="0" hidden="1" customWidth="1" outlineLevel="1"/>
    <col min="20" max="20" width="15.7109375" style="0" hidden="1" customWidth="1" outlineLevel="1"/>
    <col min="21" max="21" width="15.7109375" style="0" customWidth="1" collapsed="1"/>
    <col min="22" max="22" width="15.7109375" style="0" customWidth="1"/>
    <col min="23" max="23" width="11.57421875" style="0" customWidth="1"/>
    <col min="24" max="24" width="3.140625" style="0" customWidth="1"/>
    <col min="25" max="25" width="3.57421875" style="0" customWidth="1"/>
    <col min="26" max="26" width="24.28125" style="0" customWidth="1"/>
    <col min="27" max="27" width="4.7109375" style="0" customWidth="1"/>
    <col min="28" max="28" width="7.57421875" style="0" customWidth="1"/>
    <col min="29" max="30" width="4.140625" style="0" customWidth="1"/>
    <col min="31" max="31" width="7.140625" style="0" customWidth="1"/>
    <col min="32" max="32" width="5.28125" style="0" customWidth="1"/>
    <col min="33" max="33" width="5.421875" style="0" customWidth="1"/>
    <col min="34" max="34" width="4.7109375" style="0" customWidth="1"/>
    <col min="35" max="35" width="5.28125" style="0" customWidth="1"/>
    <col min="36" max="37" width="13.28125" style="0" customWidth="1"/>
    <col min="38" max="38" width="6.57421875" style="0" customWidth="1"/>
    <col min="39" max="39" width="6.421875" style="0" customWidth="1"/>
    <col min="44" max="44" width="12.7109375" style="0" customWidth="1"/>
    <col min="48" max="48" width="21.00390625" style="0" customWidth="1"/>
  </cols>
  <sheetData>
    <row r="1" spans="1:22" ht="27.75" customHeight="1">
      <c r="A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00"/>
    </row>
    <row r="2" spans="1:22" ht="27.75" customHeight="1">
      <c r="A2" s="3"/>
      <c r="B2" s="69" t="str">
        <f>+'tot-0309'!B2</f>
        <v>ANEXO I-2 a la Resolución ENRE N°            520/2006</v>
      </c>
      <c r="C2" s="4"/>
      <c r="D2" s="4"/>
      <c r="E2" s="4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2" ht="12.75">
      <c r="A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" s="75" customFormat="1" ht="11.25">
      <c r="A4" s="73" t="s">
        <v>16</v>
      </c>
      <c r="B4" s="144"/>
    </row>
    <row r="5" spans="1:2" s="75" customFormat="1" ht="11.25">
      <c r="A5" s="73" t="s">
        <v>17</v>
      </c>
      <c r="B5" s="144"/>
    </row>
    <row r="6" spans="6:22" ht="13.5" thickBo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3" ht="13.5" thickTop="1">
      <c r="B7" s="264"/>
      <c r="C7" s="265"/>
      <c r="D7" s="265"/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7"/>
    </row>
    <row r="8" spans="2:23" ht="20.25">
      <c r="B8" s="268"/>
      <c r="D8" s="7" t="s">
        <v>30</v>
      </c>
      <c r="F8" s="8"/>
      <c r="G8" s="4"/>
      <c r="H8" s="4"/>
      <c r="I8" s="4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70"/>
    </row>
    <row r="9" spans="2:23" ht="20.25">
      <c r="B9" s="268"/>
      <c r="C9" s="11"/>
      <c r="D9" s="271"/>
      <c r="E9" s="11"/>
      <c r="F9" s="1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72"/>
    </row>
    <row r="10" spans="2:23" ht="20.25">
      <c r="B10" s="268"/>
      <c r="D10" s="127" t="s">
        <v>61</v>
      </c>
      <c r="E10" s="11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72"/>
    </row>
    <row r="11" spans="2:23" ht="20.25">
      <c r="B11" s="268"/>
      <c r="C11" s="11"/>
      <c r="D11" s="11"/>
      <c r="E11" s="11"/>
      <c r="F11" s="220"/>
      <c r="G11" s="273"/>
      <c r="H11" s="273"/>
      <c r="I11" s="273"/>
      <c r="J11" s="273"/>
      <c r="K11" s="27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72"/>
    </row>
    <row r="12" spans="2:23" ht="16.5" customHeight="1">
      <c r="B12" s="274" t="str">
        <f>+'tot-0309'!B14</f>
        <v>Desde el 01 al 30 de septiembre de 2003</v>
      </c>
      <c r="C12" s="9"/>
      <c r="D12" s="9"/>
      <c r="E12" s="9"/>
      <c r="F12" s="4"/>
      <c r="G12" s="269"/>
      <c r="H12" s="269"/>
      <c r="I12" s="269"/>
      <c r="J12" s="4"/>
      <c r="K12" s="4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70"/>
    </row>
    <row r="13" spans="2:23" ht="16.5" customHeight="1" thickBot="1">
      <c r="B13" s="268"/>
      <c r="C13" s="12"/>
      <c r="D13" s="12"/>
      <c r="E13" s="1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72"/>
    </row>
    <row r="14" spans="2:23" ht="16.5" customHeight="1" thickBot="1" thickTop="1">
      <c r="B14" s="268"/>
      <c r="D14" s="443" t="s">
        <v>62</v>
      </c>
      <c r="E14" s="444">
        <v>4056628</v>
      </c>
      <c r="F14" s="445"/>
      <c r="L14" s="6"/>
      <c r="M14" s="6"/>
      <c r="N14" s="6"/>
      <c r="O14" s="6"/>
      <c r="P14" s="275"/>
      <c r="Q14" s="275"/>
      <c r="R14" s="275"/>
      <c r="S14" s="275"/>
      <c r="T14" s="5"/>
      <c r="U14" s="6"/>
      <c r="V14" s="6"/>
      <c r="W14" s="272"/>
    </row>
    <row r="15" spans="2:23" ht="16.5" customHeight="1" thickBot="1" thickTop="1">
      <c r="B15" s="268"/>
      <c r="C15" s="12"/>
      <c r="D15" s="12"/>
      <c r="E15" s="12"/>
      <c r="F15" s="6"/>
      <c r="G15" s="6"/>
      <c r="H15" s="6"/>
      <c r="I15" s="6"/>
      <c r="J15" s="27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72"/>
    </row>
    <row r="16" spans="2:23" ht="33.75" customHeight="1" thickBot="1" thickTop="1">
      <c r="B16" s="268"/>
      <c r="C16" s="133" t="s">
        <v>35</v>
      </c>
      <c r="D16" s="134" t="s">
        <v>19</v>
      </c>
      <c r="E16" s="139" t="s">
        <v>36</v>
      </c>
      <c r="F16" s="141" t="s">
        <v>37</v>
      </c>
      <c r="G16" s="136" t="s">
        <v>41</v>
      </c>
      <c r="H16" s="137" t="s">
        <v>42</v>
      </c>
      <c r="I16" s="141" t="s">
        <v>43</v>
      </c>
      <c r="J16" s="141" t="s">
        <v>44</v>
      </c>
      <c r="K16" s="141" t="s">
        <v>45</v>
      </c>
      <c r="L16" s="141" t="s">
        <v>46</v>
      </c>
      <c r="M16" s="446" t="s">
        <v>63</v>
      </c>
      <c r="N16" s="359" t="s">
        <v>50</v>
      </c>
      <c r="O16" s="454" t="s">
        <v>64</v>
      </c>
      <c r="P16" s="455"/>
      <c r="Q16" s="403" t="s">
        <v>65</v>
      </c>
      <c r="R16" s="464"/>
      <c r="S16" s="472" t="s">
        <v>53</v>
      </c>
      <c r="T16" s="477" t="s">
        <v>60</v>
      </c>
      <c r="U16" s="142" t="s">
        <v>66</v>
      </c>
      <c r="V16" s="142" t="s">
        <v>56</v>
      </c>
      <c r="W16" s="277"/>
    </row>
    <row r="17" spans="2:23" ht="16.5" customHeight="1" thickTop="1">
      <c r="B17" s="268"/>
      <c r="C17" s="336"/>
      <c r="D17" s="279"/>
      <c r="E17" s="439"/>
      <c r="F17" s="439"/>
      <c r="G17" s="279"/>
      <c r="H17" s="280"/>
      <c r="I17" s="358"/>
      <c r="J17" s="358"/>
      <c r="K17" s="358"/>
      <c r="L17" s="358"/>
      <c r="M17" s="447"/>
      <c r="N17" s="451"/>
      <c r="O17" s="456"/>
      <c r="P17" s="457"/>
      <c r="Q17" s="465"/>
      <c r="R17" s="466"/>
      <c r="S17" s="473"/>
      <c r="T17" s="478"/>
      <c r="U17" s="358"/>
      <c r="V17" s="483"/>
      <c r="W17" s="278"/>
    </row>
    <row r="18" spans="2:23" ht="16.5" customHeight="1">
      <c r="B18" s="268"/>
      <c r="C18" s="17"/>
      <c r="D18" s="18"/>
      <c r="E18" s="18"/>
      <c r="F18" s="18"/>
      <c r="G18" s="58"/>
      <c r="H18" s="437"/>
      <c r="I18" s="20"/>
      <c r="J18" s="20"/>
      <c r="K18" s="20"/>
      <c r="L18" s="20"/>
      <c r="M18" s="448"/>
      <c r="N18" s="452"/>
      <c r="O18" s="458"/>
      <c r="P18" s="459"/>
      <c r="Q18" s="467"/>
      <c r="R18" s="468"/>
      <c r="S18" s="474"/>
      <c r="T18" s="479"/>
      <c r="U18" s="20"/>
      <c r="V18" s="17"/>
      <c r="W18" s="278"/>
    </row>
    <row r="19" spans="2:23" ht="16.5" customHeight="1">
      <c r="B19" s="268"/>
      <c r="C19" s="524" t="s">
        <v>105</v>
      </c>
      <c r="D19" s="26" t="s">
        <v>2</v>
      </c>
      <c r="E19" s="26">
        <v>500</v>
      </c>
      <c r="F19" s="26">
        <v>3.6</v>
      </c>
      <c r="G19" s="540">
        <v>37879.39513888889</v>
      </c>
      <c r="H19" s="541">
        <v>37879.606944444444</v>
      </c>
      <c r="I19" s="22">
        <f>IF(D19="","",ROUND((H19-G19)*24,2))</f>
        <v>5.08</v>
      </c>
      <c r="J19" s="23">
        <f>IF(D19="","",ROUND((H19-G19)*24*60,0))</f>
        <v>305</v>
      </c>
      <c r="K19" s="546" t="s">
        <v>102</v>
      </c>
      <c r="L19" s="545" t="str">
        <f>IF(D19="","","--")</f>
        <v>--</v>
      </c>
      <c r="M19" s="449">
        <f>IF(K19="P",5*ROUND(IF(J19&gt;10,J19,10)/60,2),"--")</f>
        <v>25.4</v>
      </c>
      <c r="N19" s="360" t="str">
        <f>IF(K19="RP",5*L19/100*ROUND(IF(J19&gt;10,J19,10)/60,2),"--")</f>
        <v>--</v>
      </c>
      <c r="O19" s="460" t="str">
        <f>IF(K19="F",50*IF(J19&lt;300,ROUND(IF(J19&gt;10,J19,10)/60,2),5),"--")</f>
        <v>--</v>
      </c>
      <c r="P19" s="461" t="str">
        <f>IF(AND(K19="F",J19&gt;300),(ROUND(J19/60,2)-5)*10,"--")</f>
        <v>--</v>
      </c>
      <c r="Q19" s="407" t="str">
        <f>IF(K19="R",50*L19/100*IF(J19&lt;300,ROUND(IF(J19&gt;10,J19,10)/60,2),5),"--")</f>
        <v>--</v>
      </c>
      <c r="R19" s="469" t="str">
        <f>IF(AND(K19="R",J19&gt;300),(ROUND(J19/60,2)-5)*10*L19/100,"--")</f>
        <v>--</v>
      </c>
      <c r="S19" s="475" t="str">
        <f>IF(K19="RF",ROUND(J19/60,2)*10,"--")</f>
        <v>--</v>
      </c>
      <c r="T19" s="480" t="str">
        <f>IF(K19="R",ROUND(J19/60,2)*10*L19/100,"--")</f>
        <v>--</v>
      </c>
      <c r="U19" s="438">
        <f aca="true" t="shared" si="0" ref="U19:U38">IF(D19="","",SUM(M19:T19))</f>
        <v>25.4</v>
      </c>
      <c r="V19" s="281">
        <f>IF(D19="","",ROUND((U19/1500*$E$14)*F19/270.6,0))</f>
        <v>914</v>
      </c>
      <c r="W19" s="282"/>
    </row>
    <row r="20" spans="2:23" ht="16.5" customHeight="1">
      <c r="B20" s="268"/>
      <c r="C20" s="524" t="s">
        <v>106</v>
      </c>
      <c r="D20" s="26" t="s">
        <v>3</v>
      </c>
      <c r="E20" s="26">
        <v>500</v>
      </c>
      <c r="F20" s="26">
        <v>3.6</v>
      </c>
      <c r="G20" s="19">
        <v>37880.37986111111</v>
      </c>
      <c r="H20" s="640">
        <v>37880.64444444444</v>
      </c>
      <c r="I20" s="22">
        <f>IF(D20="","",ROUND((H20-G20)*24,2))</f>
        <v>6.35</v>
      </c>
      <c r="J20" s="23">
        <f>IF(D20="","",ROUND((H20-G20)*24*60,0))</f>
        <v>381</v>
      </c>
      <c r="K20" s="546" t="s">
        <v>102</v>
      </c>
      <c r="L20" s="545" t="str">
        <f>IF(D20="","","--")</f>
        <v>--</v>
      </c>
      <c r="M20" s="449">
        <f>IF(K20="P",5*ROUND(IF(J20&gt;10,J20,10)/60,2),"--")</f>
        <v>31.75</v>
      </c>
      <c r="N20" s="360" t="str">
        <f>IF(K20="RP",5*L20/100*ROUND(IF(J20&gt;10,J20,10)/60,2),"--")</f>
        <v>--</v>
      </c>
      <c r="O20" s="460" t="str">
        <f>IF(K20="F",50*IF(J20&lt;300,ROUND(IF(J20&gt;10,J20,10)/60,2),5),"--")</f>
        <v>--</v>
      </c>
      <c r="P20" s="461" t="str">
        <f>IF(AND(K20="F",J20&gt;300),(ROUND(J20/60,2)-5)*10,"--")</f>
        <v>--</v>
      </c>
      <c r="Q20" s="407" t="str">
        <f>IF(K20="R",50*L20/100*IF(J20&lt;300,ROUND(IF(J20&gt;10,J20,10)/60,2),5),"--")</f>
        <v>--</v>
      </c>
      <c r="R20" s="469" t="str">
        <f>IF(AND(K20="R",J20&gt;300),(ROUND(J20/60,2)-5)*10*L20/100,"--")</f>
        <v>--</v>
      </c>
      <c r="S20" s="475" t="str">
        <f>IF(K20="RF",ROUND(J20/60,2)*10,"--")</f>
        <v>--</v>
      </c>
      <c r="T20" s="480" t="str">
        <f>IF(K20="R",ROUND(J20/60,2)*10*L20/100,"--")</f>
        <v>--</v>
      </c>
      <c r="U20" s="438">
        <f>IF(D20="","",SUM(M20:T20))</f>
        <v>31.75</v>
      </c>
      <c r="V20" s="281">
        <f>IF(D20="","",ROUND((U20/1500*$E$14)*F20/270.6,0))</f>
        <v>1142</v>
      </c>
      <c r="W20" s="282"/>
    </row>
    <row r="21" spans="2:23" ht="16.5" customHeight="1">
      <c r="B21" s="268"/>
      <c r="C21" s="524" t="s">
        <v>107</v>
      </c>
      <c r="D21" s="26" t="s">
        <v>4</v>
      </c>
      <c r="E21" s="26">
        <v>500</v>
      </c>
      <c r="F21" s="26">
        <v>3.6</v>
      </c>
      <c r="G21" s="19">
        <v>37886.35208333333</v>
      </c>
      <c r="H21" s="640">
        <v>37886.660416666666</v>
      </c>
      <c r="I21" s="22">
        <f>IF(D21="","",ROUND((H21-G21)*24,2))</f>
        <v>7.4</v>
      </c>
      <c r="J21" s="23">
        <f>IF(D21="","",ROUND((H21-G21)*24*60,0))</f>
        <v>444</v>
      </c>
      <c r="K21" s="546" t="s">
        <v>102</v>
      </c>
      <c r="L21" s="545" t="str">
        <f>IF(D21="","","--")</f>
        <v>--</v>
      </c>
      <c r="M21" s="449">
        <f>IF(K21="P",5*ROUND(IF(J21&gt;10,J21,10)/60,2),"--")</f>
        <v>37</v>
      </c>
      <c r="N21" s="360" t="str">
        <f>IF(K21="RP",5*L21/100*ROUND(IF(J21&gt;10,J21,10)/60,2),"--")</f>
        <v>--</v>
      </c>
      <c r="O21" s="460" t="str">
        <f>IF(K21="F",50*IF(J21&lt;300,ROUND(IF(J21&gt;10,J21,10)/60,2),5),"--")</f>
        <v>--</v>
      </c>
      <c r="P21" s="461" t="str">
        <f>IF(AND(K21="F",J21&gt;300),(ROUND(J21/60,2)-5)*10,"--")</f>
        <v>--</v>
      </c>
      <c r="Q21" s="407" t="str">
        <f>IF(K21="R",50*L21/100*IF(J21&lt;300,ROUND(IF(J21&gt;10,J21,10)/60,2),5),"--")</f>
        <v>--</v>
      </c>
      <c r="R21" s="469" t="str">
        <f>IF(AND(K21="R",J21&gt;300),(ROUND(J21/60,2)-5)*10*L21/100,"--")</f>
        <v>--</v>
      </c>
      <c r="S21" s="475" t="str">
        <f>IF(K21="RF",ROUND(J21/60,2)*10,"--")</f>
        <v>--</v>
      </c>
      <c r="T21" s="480" t="str">
        <f>IF(K21="R",ROUND(J21/60,2)*10*L21/100,"--")</f>
        <v>--</v>
      </c>
      <c r="U21" s="438">
        <f>IF(D21="","",SUM(M21:T21))</f>
        <v>37</v>
      </c>
      <c r="V21" s="281">
        <f>IF(D21="","",ROUND((U21/1500*$E$14)*F21/270.6,0))</f>
        <v>1331</v>
      </c>
      <c r="W21" s="282"/>
    </row>
    <row r="22" spans="2:23" ht="16.5" customHeight="1">
      <c r="B22" s="268"/>
      <c r="C22" s="524"/>
      <c r="D22" s="26"/>
      <c r="E22" s="571"/>
      <c r="F22" s="571"/>
      <c r="G22" s="540"/>
      <c r="H22" s="542"/>
      <c r="I22" s="22"/>
      <c r="J22" s="23"/>
      <c r="K22" s="546"/>
      <c r="L22" s="545">
        <f aca="true" t="shared" si="1" ref="L22:L35">IF(D22="","","--")</f>
      </c>
      <c r="M22" s="449" t="str">
        <f aca="true" t="shared" si="2" ref="M22:M35">IF(K22="P",5*ROUND(IF(J22&gt;10,J22,10)/60,2),"--")</f>
        <v>--</v>
      </c>
      <c r="N22" s="360" t="str">
        <f aca="true" t="shared" si="3" ref="N22:N35">IF(K22="RP",5*L22/100*ROUND(IF(J22&gt;10,J22,10)/60,2),"--")</f>
        <v>--</v>
      </c>
      <c r="O22" s="460" t="str">
        <f aca="true" t="shared" si="4" ref="O22:O35">IF(K22="F",50*IF(J22&lt;300,ROUND(IF(J22&gt;10,J22,10)/60,2),5),"--")</f>
        <v>--</v>
      </c>
      <c r="P22" s="461" t="str">
        <f aca="true" t="shared" si="5" ref="P22:P35">IF(AND(K22="F",J22&gt;300),(ROUND(J22/60,2)-5)*10,"--")</f>
        <v>--</v>
      </c>
      <c r="Q22" s="407" t="str">
        <f aca="true" t="shared" si="6" ref="Q22:Q35">IF(K22="R",50*L22/100*IF(J22&lt;300,ROUND(IF(J22&gt;10,J22,10)/60,2),5),"--")</f>
        <v>--</v>
      </c>
      <c r="R22" s="469" t="str">
        <f aca="true" t="shared" si="7" ref="R22:R35">IF(AND(K22="R",J22&gt;300),(ROUND(J22/60,2)-5)*10*L22/100,"--")</f>
        <v>--</v>
      </c>
      <c r="S22" s="475" t="str">
        <f aca="true" t="shared" si="8" ref="S22:S35">IF(K22="RF",ROUND(J22/60,2)*10,"--")</f>
        <v>--</v>
      </c>
      <c r="T22" s="480" t="str">
        <f aca="true" t="shared" si="9" ref="T22:T35">IF(K22="R",ROUND(J22/60,2)*10*L22/100,"--")</f>
        <v>--</v>
      </c>
      <c r="U22" s="438"/>
      <c r="V22" s="281"/>
      <c r="W22" s="282"/>
    </row>
    <row r="23" spans="2:23" ht="16.5" customHeight="1">
      <c r="B23" s="268"/>
      <c r="C23" s="524"/>
      <c r="D23" s="26"/>
      <c r="E23" s="571"/>
      <c r="F23" s="571"/>
      <c r="G23" s="540"/>
      <c r="H23" s="542"/>
      <c r="I23" s="22"/>
      <c r="J23" s="23"/>
      <c r="K23" s="546"/>
      <c r="L23" s="545">
        <f t="shared" si="1"/>
      </c>
      <c r="M23" s="449" t="str">
        <f t="shared" si="2"/>
        <v>--</v>
      </c>
      <c r="N23" s="360" t="str">
        <f t="shared" si="3"/>
        <v>--</v>
      </c>
      <c r="O23" s="460" t="str">
        <f t="shared" si="4"/>
        <v>--</v>
      </c>
      <c r="P23" s="461" t="str">
        <f t="shared" si="5"/>
        <v>--</v>
      </c>
      <c r="Q23" s="407" t="str">
        <f t="shared" si="6"/>
        <v>--</v>
      </c>
      <c r="R23" s="469" t="str">
        <f t="shared" si="7"/>
        <v>--</v>
      </c>
      <c r="S23" s="475" t="str">
        <f t="shared" si="8"/>
        <v>--</v>
      </c>
      <c r="T23" s="480" t="str">
        <f t="shared" si="9"/>
        <v>--</v>
      </c>
      <c r="U23" s="438"/>
      <c r="V23" s="281"/>
      <c r="W23" s="282"/>
    </row>
    <row r="24" spans="2:23" ht="16.5" customHeight="1">
      <c r="B24" s="268"/>
      <c r="C24" s="524"/>
      <c r="D24" s="570"/>
      <c r="E24" s="571"/>
      <c r="F24" s="571"/>
      <c r="G24" s="540"/>
      <c r="H24" s="542"/>
      <c r="I24" s="22">
        <f aca="true" t="shared" si="10" ref="I24:I38">IF(D24="","",ROUND((H24-G24)*24,2))</f>
      </c>
      <c r="J24" s="23">
        <f aca="true" t="shared" si="11" ref="J24:J38">IF(D24="","",ROUND((H24-G24)*24*60,0))</f>
      </c>
      <c r="K24" s="546"/>
      <c r="L24" s="545">
        <f t="shared" si="1"/>
      </c>
      <c r="M24" s="449" t="str">
        <f t="shared" si="2"/>
        <v>--</v>
      </c>
      <c r="N24" s="360" t="str">
        <f t="shared" si="3"/>
        <v>--</v>
      </c>
      <c r="O24" s="460" t="str">
        <f t="shared" si="4"/>
        <v>--</v>
      </c>
      <c r="P24" s="461" t="str">
        <f t="shared" si="5"/>
        <v>--</v>
      </c>
      <c r="Q24" s="407" t="str">
        <f t="shared" si="6"/>
        <v>--</v>
      </c>
      <c r="R24" s="469" t="str">
        <f t="shared" si="7"/>
        <v>--</v>
      </c>
      <c r="S24" s="475" t="str">
        <f t="shared" si="8"/>
        <v>--</v>
      </c>
      <c r="T24" s="480" t="str">
        <f t="shared" si="9"/>
        <v>--</v>
      </c>
      <c r="U24" s="438">
        <f t="shared" si="0"/>
      </c>
      <c r="V24" s="281">
        <f aca="true" t="shared" si="12" ref="V24:V38">IF(D24="","",ROUND((U24/1500*$E$14)*F24/270.6,0))</f>
      </c>
      <c r="W24" s="282"/>
    </row>
    <row r="25" spans="2:23" ht="16.5" customHeight="1">
      <c r="B25" s="268"/>
      <c r="C25" s="524"/>
      <c r="D25" s="570"/>
      <c r="E25" s="571"/>
      <c r="F25" s="571"/>
      <c r="G25" s="540"/>
      <c r="H25" s="542"/>
      <c r="I25" s="22">
        <f t="shared" si="10"/>
      </c>
      <c r="J25" s="23">
        <f t="shared" si="11"/>
      </c>
      <c r="K25" s="546"/>
      <c r="L25" s="545">
        <f t="shared" si="1"/>
      </c>
      <c r="M25" s="449" t="str">
        <f t="shared" si="2"/>
        <v>--</v>
      </c>
      <c r="N25" s="360" t="str">
        <f t="shared" si="3"/>
        <v>--</v>
      </c>
      <c r="O25" s="460" t="str">
        <f t="shared" si="4"/>
        <v>--</v>
      </c>
      <c r="P25" s="461" t="str">
        <f t="shared" si="5"/>
        <v>--</v>
      </c>
      <c r="Q25" s="407" t="str">
        <f t="shared" si="6"/>
        <v>--</v>
      </c>
      <c r="R25" s="469" t="str">
        <f t="shared" si="7"/>
        <v>--</v>
      </c>
      <c r="S25" s="475" t="str">
        <f t="shared" si="8"/>
        <v>--</v>
      </c>
      <c r="T25" s="480" t="str">
        <f t="shared" si="9"/>
        <v>--</v>
      </c>
      <c r="U25" s="438">
        <f t="shared" si="0"/>
      </c>
      <c r="V25" s="281">
        <f t="shared" si="12"/>
      </c>
      <c r="W25" s="282"/>
    </row>
    <row r="26" spans="2:23" ht="16.5" customHeight="1">
      <c r="B26" s="268"/>
      <c r="C26" s="524"/>
      <c r="D26" s="570"/>
      <c r="E26" s="571"/>
      <c r="F26" s="571"/>
      <c r="G26" s="540"/>
      <c r="H26" s="542"/>
      <c r="I26" s="22">
        <f t="shared" si="10"/>
      </c>
      <c r="J26" s="23">
        <f t="shared" si="11"/>
      </c>
      <c r="K26" s="546"/>
      <c r="L26" s="545">
        <f t="shared" si="1"/>
      </c>
      <c r="M26" s="449" t="str">
        <f t="shared" si="2"/>
        <v>--</v>
      </c>
      <c r="N26" s="360" t="str">
        <f t="shared" si="3"/>
        <v>--</v>
      </c>
      <c r="O26" s="460" t="str">
        <f t="shared" si="4"/>
        <v>--</v>
      </c>
      <c r="P26" s="461" t="str">
        <f t="shared" si="5"/>
        <v>--</v>
      </c>
      <c r="Q26" s="407" t="str">
        <f t="shared" si="6"/>
        <v>--</v>
      </c>
      <c r="R26" s="469" t="str">
        <f t="shared" si="7"/>
        <v>--</v>
      </c>
      <c r="S26" s="475" t="str">
        <f t="shared" si="8"/>
        <v>--</v>
      </c>
      <c r="T26" s="480" t="str">
        <f t="shared" si="9"/>
        <v>--</v>
      </c>
      <c r="U26" s="438">
        <f t="shared" si="0"/>
      </c>
      <c r="V26" s="281">
        <f t="shared" si="12"/>
      </c>
      <c r="W26" s="282"/>
    </row>
    <row r="27" spans="2:23" ht="16.5" customHeight="1">
      <c r="B27" s="268"/>
      <c r="C27" s="524"/>
      <c r="D27" s="570"/>
      <c r="E27" s="571"/>
      <c r="F27" s="571"/>
      <c r="G27" s="540"/>
      <c r="H27" s="542"/>
      <c r="I27" s="22">
        <f t="shared" si="10"/>
      </c>
      <c r="J27" s="23">
        <f t="shared" si="11"/>
      </c>
      <c r="K27" s="546"/>
      <c r="L27" s="545">
        <f t="shared" si="1"/>
      </c>
      <c r="M27" s="449" t="str">
        <f t="shared" si="2"/>
        <v>--</v>
      </c>
      <c r="N27" s="360" t="str">
        <f t="shared" si="3"/>
        <v>--</v>
      </c>
      <c r="O27" s="460" t="str">
        <f t="shared" si="4"/>
        <v>--</v>
      </c>
      <c r="P27" s="461" t="str">
        <f t="shared" si="5"/>
        <v>--</v>
      </c>
      <c r="Q27" s="407" t="str">
        <f t="shared" si="6"/>
        <v>--</v>
      </c>
      <c r="R27" s="469" t="str">
        <f t="shared" si="7"/>
        <v>--</v>
      </c>
      <c r="S27" s="475" t="str">
        <f t="shared" si="8"/>
        <v>--</v>
      </c>
      <c r="T27" s="480" t="str">
        <f t="shared" si="9"/>
        <v>--</v>
      </c>
      <c r="U27" s="438">
        <f t="shared" si="0"/>
      </c>
      <c r="V27" s="281">
        <f t="shared" si="12"/>
      </c>
      <c r="W27" s="282"/>
    </row>
    <row r="28" spans="2:23" ht="16.5" customHeight="1">
      <c r="B28" s="268"/>
      <c r="C28" s="524"/>
      <c r="D28" s="570"/>
      <c r="E28" s="571"/>
      <c r="F28" s="571"/>
      <c r="G28" s="540"/>
      <c r="H28" s="542"/>
      <c r="I28" s="22">
        <f t="shared" si="10"/>
      </c>
      <c r="J28" s="23">
        <f t="shared" si="11"/>
      </c>
      <c r="K28" s="546"/>
      <c r="L28" s="545">
        <f t="shared" si="1"/>
      </c>
      <c r="M28" s="449" t="str">
        <f t="shared" si="2"/>
        <v>--</v>
      </c>
      <c r="N28" s="360" t="str">
        <f t="shared" si="3"/>
        <v>--</v>
      </c>
      <c r="O28" s="460" t="str">
        <f t="shared" si="4"/>
        <v>--</v>
      </c>
      <c r="P28" s="461" t="str">
        <f t="shared" si="5"/>
        <v>--</v>
      </c>
      <c r="Q28" s="407" t="str">
        <f t="shared" si="6"/>
        <v>--</v>
      </c>
      <c r="R28" s="469" t="str">
        <f t="shared" si="7"/>
        <v>--</v>
      </c>
      <c r="S28" s="475" t="str">
        <f t="shared" si="8"/>
        <v>--</v>
      </c>
      <c r="T28" s="480" t="str">
        <f t="shared" si="9"/>
        <v>--</v>
      </c>
      <c r="U28" s="438">
        <f t="shared" si="0"/>
      </c>
      <c r="V28" s="281">
        <f t="shared" si="12"/>
      </c>
      <c r="W28" s="282"/>
    </row>
    <row r="29" spans="2:23" ht="16.5" customHeight="1">
      <c r="B29" s="268"/>
      <c r="C29" s="524"/>
      <c r="D29" s="571"/>
      <c r="E29" s="571"/>
      <c r="F29" s="571"/>
      <c r="G29" s="540"/>
      <c r="H29" s="542"/>
      <c r="I29" s="22">
        <f t="shared" si="10"/>
      </c>
      <c r="J29" s="23">
        <f t="shared" si="11"/>
      </c>
      <c r="K29" s="546"/>
      <c r="L29" s="545">
        <f t="shared" si="1"/>
      </c>
      <c r="M29" s="449" t="str">
        <f t="shared" si="2"/>
        <v>--</v>
      </c>
      <c r="N29" s="360" t="str">
        <f t="shared" si="3"/>
        <v>--</v>
      </c>
      <c r="O29" s="460" t="str">
        <f t="shared" si="4"/>
        <v>--</v>
      </c>
      <c r="P29" s="461" t="str">
        <f t="shared" si="5"/>
        <v>--</v>
      </c>
      <c r="Q29" s="407" t="str">
        <f t="shared" si="6"/>
        <v>--</v>
      </c>
      <c r="R29" s="469" t="str">
        <f t="shared" si="7"/>
        <v>--</v>
      </c>
      <c r="S29" s="475" t="str">
        <f t="shared" si="8"/>
        <v>--</v>
      </c>
      <c r="T29" s="480" t="str">
        <f t="shared" si="9"/>
        <v>--</v>
      </c>
      <c r="U29" s="438">
        <f t="shared" si="0"/>
      </c>
      <c r="V29" s="281">
        <f t="shared" si="12"/>
      </c>
      <c r="W29" s="282"/>
    </row>
    <row r="30" spans="2:23" ht="16.5" customHeight="1">
      <c r="B30" s="268"/>
      <c r="C30" s="524"/>
      <c r="D30" s="571"/>
      <c r="E30" s="571"/>
      <c r="F30" s="571"/>
      <c r="G30" s="540"/>
      <c r="H30" s="542"/>
      <c r="I30" s="22">
        <f t="shared" si="10"/>
      </c>
      <c r="J30" s="23">
        <f t="shared" si="11"/>
      </c>
      <c r="K30" s="546"/>
      <c r="L30" s="545">
        <f t="shared" si="1"/>
      </c>
      <c r="M30" s="449" t="str">
        <f t="shared" si="2"/>
        <v>--</v>
      </c>
      <c r="N30" s="360" t="str">
        <f t="shared" si="3"/>
        <v>--</v>
      </c>
      <c r="O30" s="460" t="str">
        <f t="shared" si="4"/>
        <v>--</v>
      </c>
      <c r="P30" s="461" t="str">
        <f t="shared" si="5"/>
        <v>--</v>
      </c>
      <c r="Q30" s="407" t="str">
        <f t="shared" si="6"/>
        <v>--</v>
      </c>
      <c r="R30" s="469" t="str">
        <f t="shared" si="7"/>
        <v>--</v>
      </c>
      <c r="S30" s="475" t="str">
        <f t="shared" si="8"/>
        <v>--</v>
      </c>
      <c r="T30" s="480" t="str">
        <f t="shared" si="9"/>
        <v>--</v>
      </c>
      <c r="U30" s="438">
        <f t="shared" si="0"/>
      </c>
      <c r="V30" s="281">
        <f t="shared" si="12"/>
      </c>
      <c r="W30" s="282"/>
    </row>
    <row r="31" spans="2:23" ht="16.5" customHeight="1">
      <c r="B31" s="268"/>
      <c r="C31" s="524"/>
      <c r="D31" s="571"/>
      <c r="E31" s="571"/>
      <c r="F31" s="571"/>
      <c r="G31" s="540"/>
      <c r="H31" s="542"/>
      <c r="I31" s="22">
        <f t="shared" si="10"/>
      </c>
      <c r="J31" s="23">
        <f t="shared" si="11"/>
      </c>
      <c r="K31" s="546"/>
      <c r="L31" s="545">
        <f t="shared" si="1"/>
      </c>
      <c r="M31" s="449" t="str">
        <f t="shared" si="2"/>
        <v>--</v>
      </c>
      <c r="N31" s="360" t="str">
        <f t="shared" si="3"/>
        <v>--</v>
      </c>
      <c r="O31" s="460" t="str">
        <f t="shared" si="4"/>
        <v>--</v>
      </c>
      <c r="P31" s="461" t="str">
        <f t="shared" si="5"/>
        <v>--</v>
      </c>
      <c r="Q31" s="407" t="str">
        <f t="shared" si="6"/>
        <v>--</v>
      </c>
      <c r="R31" s="469" t="str">
        <f t="shared" si="7"/>
        <v>--</v>
      </c>
      <c r="S31" s="475" t="str">
        <f t="shared" si="8"/>
        <v>--</v>
      </c>
      <c r="T31" s="480" t="str">
        <f t="shared" si="9"/>
        <v>--</v>
      </c>
      <c r="U31" s="438">
        <f t="shared" si="0"/>
      </c>
      <c r="V31" s="281">
        <f t="shared" si="12"/>
      </c>
      <c r="W31" s="282"/>
    </row>
    <row r="32" spans="2:23" ht="16.5" customHeight="1">
      <c r="B32" s="268"/>
      <c r="C32" s="524"/>
      <c r="D32" s="571"/>
      <c r="E32" s="571"/>
      <c r="F32" s="571"/>
      <c r="G32" s="540"/>
      <c r="H32" s="542"/>
      <c r="I32" s="22">
        <f t="shared" si="10"/>
      </c>
      <c r="J32" s="23">
        <f t="shared" si="11"/>
      </c>
      <c r="K32" s="546"/>
      <c r="L32" s="545">
        <f t="shared" si="1"/>
      </c>
      <c r="M32" s="449" t="str">
        <f t="shared" si="2"/>
        <v>--</v>
      </c>
      <c r="N32" s="360" t="str">
        <f t="shared" si="3"/>
        <v>--</v>
      </c>
      <c r="O32" s="460" t="str">
        <f t="shared" si="4"/>
        <v>--</v>
      </c>
      <c r="P32" s="461" t="str">
        <f t="shared" si="5"/>
        <v>--</v>
      </c>
      <c r="Q32" s="407" t="str">
        <f t="shared" si="6"/>
        <v>--</v>
      </c>
      <c r="R32" s="469" t="str">
        <f t="shared" si="7"/>
        <v>--</v>
      </c>
      <c r="S32" s="475" t="str">
        <f t="shared" si="8"/>
        <v>--</v>
      </c>
      <c r="T32" s="480" t="str">
        <f t="shared" si="9"/>
        <v>--</v>
      </c>
      <c r="U32" s="438">
        <f t="shared" si="0"/>
      </c>
      <c r="V32" s="281">
        <f t="shared" si="12"/>
      </c>
      <c r="W32" s="282"/>
    </row>
    <row r="33" spans="2:23" ht="16.5" customHeight="1">
      <c r="B33" s="268"/>
      <c r="C33" s="524"/>
      <c r="D33" s="571"/>
      <c r="E33" s="571"/>
      <c r="F33" s="571"/>
      <c r="G33" s="540"/>
      <c r="H33" s="542"/>
      <c r="I33" s="22">
        <f t="shared" si="10"/>
      </c>
      <c r="J33" s="23">
        <f t="shared" si="11"/>
      </c>
      <c r="K33" s="546"/>
      <c r="L33" s="545">
        <f t="shared" si="1"/>
      </c>
      <c r="M33" s="449" t="str">
        <f t="shared" si="2"/>
        <v>--</v>
      </c>
      <c r="N33" s="360" t="str">
        <f t="shared" si="3"/>
        <v>--</v>
      </c>
      <c r="O33" s="460" t="str">
        <f t="shared" si="4"/>
        <v>--</v>
      </c>
      <c r="P33" s="461" t="str">
        <f t="shared" si="5"/>
        <v>--</v>
      </c>
      <c r="Q33" s="407" t="str">
        <f t="shared" si="6"/>
        <v>--</v>
      </c>
      <c r="R33" s="469" t="str">
        <f t="shared" si="7"/>
        <v>--</v>
      </c>
      <c r="S33" s="475" t="str">
        <f t="shared" si="8"/>
        <v>--</v>
      </c>
      <c r="T33" s="480" t="str">
        <f t="shared" si="9"/>
        <v>--</v>
      </c>
      <c r="U33" s="438">
        <f t="shared" si="0"/>
      </c>
      <c r="V33" s="281">
        <f t="shared" si="12"/>
      </c>
      <c r="W33" s="282"/>
    </row>
    <row r="34" spans="2:23" ht="16.5" customHeight="1">
      <c r="B34" s="268"/>
      <c r="C34" s="524"/>
      <c r="D34" s="571"/>
      <c r="E34" s="571"/>
      <c r="F34" s="571"/>
      <c r="G34" s="540"/>
      <c r="H34" s="542"/>
      <c r="I34" s="22">
        <f t="shared" si="10"/>
      </c>
      <c r="J34" s="23">
        <f t="shared" si="11"/>
      </c>
      <c r="K34" s="546"/>
      <c r="L34" s="545">
        <f t="shared" si="1"/>
      </c>
      <c r="M34" s="449" t="str">
        <f t="shared" si="2"/>
        <v>--</v>
      </c>
      <c r="N34" s="360" t="str">
        <f t="shared" si="3"/>
        <v>--</v>
      </c>
      <c r="O34" s="460" t="str">
        <f t="shared" si="4"/>
        <v>--</v>
      </c>
      <c r="P34" s="461" t="str">
        <f t="shared" si="5"/>
        <v>--</v>
      </c>
      <c r="Q34" s="407" t="str">
        <f t="shared" si="6"/>
        <v>--</v>
      </c>
      <c r="R34" s="469" t="str">
        <f t="shared" si="7"/>
        <v>--</v>
      </c>
      <c r="S34" s="475" t="str">
        <f t="shared" si="8"/>
        <v>--</v>
      </c>
      <c r="T34" s="480" t="str">
        <f t="shared" si="9"/>
        <v>--</v>
      </c>
      <c r="U34" s="438">
        <f t="shared" si="0"/>
      </c>
      <c r="V34" s="281">
        <f t="shared" si="12"/>
      </c>
      <c r="W34" s="282"/>
    </row>
    <row r="35" spans="2:23" ht="16.5" customHeight="1">
      <c r="B35" s="268"/>
      <c r="C35" s="524"/>
      <c r="D35" s="571"/>
      <c r="E35" s="571"/>
      <c r="F35" s="571"/>
      <c r="G35" s="540"/>
      <c r="H35" s="542"/>
      <c r="I35" s="22">
        <f t="shared" si="10"/>
      </c>
      <c r="J35" s="23">
        <f t="shared" si="11"/>
      </c>
      <c r="K35" s="546"/>
      <c r="L35" s="545">
        <f t="shared" si="1"/>
      </c>
      <c r="M35" s="449" t="str">
        <f t="shared" si="2"/>
        <v>--</v>
      </c>
      <c r="N35" s="360" t="str">
        <f t="shared" si="3"/>
        <v>--</v>
      </c>
      <c r="O35" s="460" t="str">
        <f t="shared" si="4"/>
        <v>--</v>
      </c>
      <c r="P35" s="461" t="str">
        <f t="shared" si="5"/>
        <v>--</v>
      </c>
      <c r="Q35" s="407" t="str">
        <f t="shared" si="6"/>
        <v>--</v>
      </c>
      <c r="R35" s="469" t="str">
        <f t="shared" si="7"/>
        <v>--</v>
      </c>
      <c r="S35" s="475" t="str">
        <f t="shared" si="8"/>
        <v>--</v>
      </c>
      <c r="T35" s="480" t="str">
        <f t="shared" si="9"/>
        <v>--</v>
      </c>
      <c r="U35" s="438">
        <f t="shared" si="0"/>
      </c>
      <c r="V35" s="281">
        <f t="shared" si="12"/>
      </c>
      <c r="W35" s="282"/>
    </row>
    <row r="36" spans="2:23" ht="16.5" customHeight="1">
      <c r="B36" s="268"/>
      <c r="C36" s="524"/>
      <c r="D36" s="571"/>
      <c r="E36" s="571"/>
      <c r="F36" s="571"/>
      <c r="G36" s="540"/>
      <c r="H36" s="542"/>
      <c r="I36" s="22">
        <f t="shared" si="10"/>
      </c>
      <c r="J36" s="23">
        <f t="shared" si="11"/>
      </c>
      <c r="K36" s="546"/>
      <c r="L36" s="545">
        <f>IF(D36="","","--")</f>
      </c>
      <c r="M36" s="449" t="str">
        <f>IF(K36="P",5*ROUND(IF(J36&gt;10,J36,10)/60,2),"--")</f>
        <v>--</v>
      </c>
      <c r="N36" s="360" t="str">
        <f>IF(K36="RP",5*L36/100*ROUND(IF(J36&gt;10,J36,10)/60,2),"--")</f>
        <v>--</v>
      </c>
      <c r="O36" s="460" t="str">
        <f>IF(K36="F",50*IF(J36&lt;300,ROUND(IF(J36&gt;10,J36,10)/60,2),5),"--")</f>
        <v>--</v>
      </c>
      <c r="P36" s="461" t="str">
        <f>IF(AND(K36="F",J36&gt;300),(ROUND(J36/60,2)-5)*10,"--")</f>
        <v>--</v>
      </c>
      <c r="Q36" s="407" t="str">
        <f>IF(K36="R",50*L36/100*IF(J36&lt;300,ROUND(IF(J36&gt;10,J36,10)/60,2),5),"--")</f>
        <v>--</v>
      </c>
      <c r="R36" s="469" t="str">
        <f>IF(AND(K36="R",J36&gt;300),(ROUND(J36/60,2)-5)*10*L36/100,"--")</f>
        <v>--</v>
      </c>
      <c r="S36" s="475" t="str">
        <f>IF(K36="RF",ROUND(J36/60,2)*10,"--")</f>
        <v>--</v>
      </c>
      <c r="T36" s="480" t="str">
        <f>IF(K36="R",ROUND(J36/60,2)*10*L36/100,"--")</f>
        <v>--</v>
      </c>
      <c r="U36" s="438">
        <f t="shared" si="0"/>
      </c>
      <c r="V36" s="281">
        <f t="shared" si="12"/>
      </c>
      <c r="W36" s="282"/>
    </row>
    <row r="37" spans="2:23" ht="16.5" customHeight="1">
      <c r="B37" s="268"/>
      <c r="C37" s="524"/>
      <c r="D37" s="571"/>
      <c r="E37" s="571"/>
      <c r="F37" s="571"/>
      <c r="G37" s="540"/>
      <c r="H37" s="542"/>
      <c r="I37" s="22">
        <f t="shared" si="10"/>
      </c>
      <c r="J37" s="23">
        <f t="shared" si="11"/>
      </c>
      <c r="K37" s="546"/>
      <c r="L37" s="545">
        <f>IF(D37="","","--")</f>
      </c>
      <c r="M37" s="449" t="str">
        <f>IF(K37="P",5*ROUND(IF(J37&gt;10,J37,10)/60,2),"--")</f>
        <v>--</v>
      </c>
      <c r="N37" s="360" t="str">
        <f>IF(K37="RP",5*L37/100*ROUND(IF(J37&gt;10,J37,10)/60,2),"--")</f>
        <v>--</v>
      </c>
      <c r="O37" s="460" t="str">
        <f>IF(K37="F",50*IF(J37&lt;300,ROUND(IF(J37&gt;10,J37,10)/60,2),5),"--")</f>
        <v>--</v>
      </c>
      <c r="P37" s="461" t="str">
        <f>IF(AND(K37="F",J37&gt;300),(ROUND(J37/60,2)-5)*10,"--")</f>
        <v>--</v>
      </c>
      <c r="Q37" s="407" t="str">
        <f>IF(K37="R",50*L37/100*IF(J37&lt;300,ROUND(IF(J37&gt;10,J37,10)/60,2),5),"--")</f>
        <v>--</v>
      </c>
      <c r="R37" s="469" t="str">
        <f>IF(AND(K37="R",J37&gt;300),(ROUND(J37/60,2)-5)*10*L37/100,"--")</f>
        <v>--</v>
      </c>
      <c r="S37" s="475" t="str">
        <f>IF(K37="RF",ROUND(J37/60,2)*10,"--")</f>
        <v>--</v>
      </c>
      <c r="T37" s="480" t="str">
        <f>IF(K37="R",ROUND(J37/60,2)*10*L37/100,"--")</f>
        <v>--</v>
      </c>
      <c r="U37" s="438">
        <f t="shared" si="0"/>
      </c>
      <c r="V37" s="281">
        <f t="shared" si="12"/>
      </c>
      <c r="W37" s="282"/>
    </row>
    <row r="38" spans="2:23" ht="16.5" customHeight="1">
      <c r="B38" s="268"/>
      <c r="C38" s="524"/>
      <c r="D38" s="571"/>
      <c r="E38" s="571"/>
      <c r="F38" s="571"/>
      <c r="G38" s="540"/>
      <c r="H38" s="542"/>
      <c r="I38" s="22">
        <f t="shared" si="10"/>
      </c>
      <c r="J38" s="23">
        <f t="shared" si="11"/>
      </c>
      <c r="K38" s="546"/>
      <c r="L38" s="545">
        <f>IF(D38="","","--")</f>
      </c>
      <c r="M38" s="449" t="str">
        <f>IF(K38="P",5*ROUND(IF(J38&gt;10,J38,10)/60,2),"--")</f>
        <v>--</v>
      </c>
      <c r="N38" s="360" t="str">
        <f>IF(K38="RP",5*L38/100*ROUND(IF(J38&gt;10,J38,10)/60,2),"--")</f>
        <v>--</v>
      </c>
      <c r="O38" s="460" t="str">
        <f>IF(K38="F",50*IF(J38&lt;300,ROUND(IF(J38&gt;10,J38,10)/60,2),5),"--")</f>
        <v>--</v>
      </c>
      <c r="P38" s="461" t="str">
        <f>IF(AND(K38="F",J38&gt;300),(ROUND(J38/60,2)-5)*10,"--")</f>
        <v>--</v>
      </c>
      <c r="Q38" s="407" t="str">
        <f>IF(K38="R",50*L38/100*IF(J38&lt;300,ROUND(IF(J38&gt;10,J38,10)/60,2),5),"--")</f>
        <v>--</v>
      </c>
      <c r="R38" s="469" t="str">
        <f>IF(AND(K38="R",J38&gt;300),(ROUND(J38/60,2)-5)*10*L38/100,"--")</f>
        <v>--</v>
      </c>
      <c r="S38" s="475" t="str">
        <f>IF(K38="RF",ROUND(J38/60,2)*10,"--")</f>
        <v>--</v>
      </c>
      <c r="T38" s="480" t="str">
        <f>IF(K38="R",ROUND(J38/60,2)*10*L38/100,"--")</f>
        <v>--</v>
      </c>
      <c r="U38" s="438">
        <f t="shared" si="0"/>
      </c>
      <c r="V38" s="281">
        <f t="shared" si="12"/>
      </c>
      <c r="W38" s="282"/>
    </row>
    <row r="39" spans="2:23" ht="16.5" customHeight="1" thickBot="1">
      <c r="B39" s="268"/>
      <c r="C39" s="533"/>
      <c r="D39" s="572"/>
      <c r="E39" s="572"/>
      <c r="F39" s="572"/>
      <c r="G39" s="543"/>
      <c r="H39" s="543"/>
      <c r="I39" s="283"/>
      <c r="J39" s="283"/>
      <c r="K39" s="543"/>
      <c r="L39" s="558"/>
      <c r="M39" s="450"/>
      <c r="N39" s="453"/>
      <c r="O39" s="462"/>
      <c r="P39" s="463"/>
      <c r="Q39" s="470"/>
      <c r="R39" s="471"/>
      <c r="S39" s="476"/>
      <c r="T39" s="481"/>
      <c r="U39" s="522"/>
      <c r="V39" s="521"/>
      <c r="W39" s="282"/>
    </row>
    <row r="40" spans="2:23" ht="16.5" customHeight="1" thickBot="1" thickTop="1">
      <c r="B40" s="268"/>
      <c r="C40" s="236" t="s">
        <v>57</v>
      </c>
      <c r="D40" s="237" t="s">
        <v>58</v>
      </c>
      <c r="E40" s="29"/>
      <c r="F40" s="32"/>
      <c r="G40" s="32"/>
      <c r="H40" s="32"/>
      <c r="I40" s="32"/>
      <c r="J40" s="32"/>
      <c r="K40" s="284"/>
      <c r="L40" s="32"/>
      <c r="M40" s="32">
        <f aca="true" t="shared" si="13" ref="M40:S40">SUM(N17:N39)</f>
        <v>0</v>
      </c>
      <c r="N40" s="32">
        <f t="shared" si="13"/>
        <v>0</v>
      </c>
      <c r="O40" s="32">
        <f t="shared" si="13"/>
        <v>0</v>
      </c>
      <c r="P40" s="32">
        <f t="shared" si="13"/>
        <v>0</v>
      </c>
      <c r="Q40" s="32">
        <f t="shared" si="13"/>
        <v>0</v>
      </c>
      <c r="R40" s="32">
        <f t="shared" si="13"/>
        <v>0</v>
      </c>
      <c r="S40" s="32">
        <f t="shared" si="13"/>
        <v>0</v>
      </c>
      <c r="T40" s="32"/>
      <c r="U40" s="32"/>
      <c r="V40" s="56">
        <f>SUM(V17:V39)</f>
        <v>3387</v>
      </c>
      <c r="W40" s="520"/>
    </row>
    <row r="41" spans="2:23" s="285" customFormat="1" ht="9.75" thickTop="1">
      <c r="B41" s="286"/>
      <c r="C41" s="238"/>
      <c r="D41" s="240" t="s">
        <v>59</v>
      </c>
      <c r="E41" s="239"/>
      <c r="F41" s="246"/>
      <c r="G41" s="246"/>
      <c r="H41" s="246"/>
      <c r="I41" s="246"/>
      <c r="J41" s="246"/>
      <c r="K41" s="287"/>
      <c r="L41" s="248"/>
      <c r="M41" s="248"/>
      <c r="N41" s="288"/>
      <c r="O41" s="288"/>
      <c r="P41" s="289"/>
      <c r="Q41" s="289"/>
      <c r="R41" s="289"/>
      <c r="S41" s="289"/>
      <c r="T41" s="290"/>
      <c r="U41" s="259"/>
      <c r="V41" s="259"/>
      <c r="W41" s="291"/>
    </row>
    <row r="42" spans="2:23" ht="16.5" customHeight="1" thickBot="1">
      <c r="B42" s="292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4"/>
      <c r="U42" s="293"/>
      <c r="V42" s="293"/>
      <c r="W42" s="295"/>
    </row>
    <row r="43" spans="2:22" ht="16.5" customHeight="1" thickTop="1">
      <c r="B43" s="12"/>
      <c r="T43" s="3"/>
      <c r="V43" s="12"/>
    </row>
    <row r="44" ht="16.5" customHeight="1">
      <c r="T44" s="3"/>
    </row>
    <row r="45" ht="16.5" customHeight="1">
      <c r="T45" s="3"/>
    </row>
    <row r="46" ht="12.75">
      <c r="T46" s="3"/>
    </row>
    <row r="47" ht="12.75">
      <c r="T47" s="3"/>
    </row>
    <row r="48" ht="12.75">
      <c r="T48" s="3"/>
    </row>
    <row r="49" ht="12.75">
      <c r="T49" s="3"/>
    </row>
    <row r="50" ht="12.75">
      <c r="T50" s="3"/>
    </row>
    <row r="51" ht="12.75">
      <c r="T51" s="3"/>
    </row>
    <row r="52" ht="12.75">
      <c r="T52" s="3"/>
    </row>
    <row r="53" ht="12.75">
      <c r="T53" s="3"/>
    </row>
    <row r="54" ht="12.75">
      <c r="T54" s="3"/>
    </row>
    <row r="55" ht="12.75">
      <c r="T55" s="3"/>
    </row>
    <row r="56" ht="12.75">
      <c r="T56" s="3"/>
    </row>
    <row r="57" ht="12.75">
      <c r="T57" s="3"/>
    </row>
    <row r="58" ht="12.75">
      <c r="T58" s="3"/>
    </row>
    <row r="59" ht="12.75">
      <c r="T59" s="3"/>
    </row>
    <row r="60" ht="12.75">
      <c r="T60" s="3"/>
    </row>
    <row r="61" ht="12.75">
      <c r="T61" s="3"/>
    </row>
    <row r="62" ht="12.75">
      <c r="T62" s="3"/>
    </row>
    <row r="63" ht="12.75">
      <c r="T63" s="3"/>
    </row>
    <row r="64" ht="12.75">
      <c r="T64" s="3"/>
    </row>
    <row r="65" ht="12.75">
      <c r="T65" s="3"/>
    </row>
    <row r="66" ht="12.75">
      <c r="T66" s="3"/>
    </row>
    <row r="67" ht="12.75">
      <c r="T67" s="3"/>
    </row>
    <row r="68" ht="12.75">
      <c r="T68" s="3"/>
    </row>
    <row r="69" ht="12.75">
      <c r="T69" s="3"/>
    </row>
    <row r="70" ht="12.75">
      <c r="T70" s="3"/>
    </row>
    <row r="71" ht="12.75">
      <c r="T71" s="3"/>
    </row>
    <row r="72" ht="12.75">
      <c r="T72" s="3"/>
    </row>
    <row r="73" ht="12.75">
      <c r="T73" s="3"/>
    </row>
    <row r="74" ht="12.75">
      <c r="T74" s="3"/>
    </row>
    <row r="75" ht="12.75">
      <c r="T75" s="3"/>
    </row>
    <row r="76" ht="12.75">
      <c r="T76" s="3"/>
    </row>
    <row r="77" ht="12.75">
      <c r="T77" s="3"/>
    </row>
    <row r="78" ht="12.75">
      <c r="T78" s="3"/>
    </row>
    <row r="79" ht="12.75">
      <c r="T79" s="3"/>
    </row>
    <row r="80" ht="12.75">
      <c r="T80" s="3"/>
    </row>
    <row r="81" ht="12.75">
      <c r="T81" s="3"/>
    </row>
    <row r="82" ht="12.75">
      <c r="T82" s="3"/>
    </row>
    <row r="83" ht="12.75">
      <c r="T83" s="3"/>
    </row>
    <row r="84" ht="12.75">
      <c r="T84" s="3"/>
    </row>
    <row r="85" ht="12.75">
      <c r="T85" s="3"/>
    </row>
    <row r="86" ht="12.75">
      <c r="T86" s="3"/>
    </row>
    <row r="87" ht="12.75">
      <c r="T87" s="3"/>
    </row>
    <row r="88" ht="12.75">
      <c r="T88" s="3"/>
    </row>
    <row r="89" ht="12.75">
      <c r="T89" s="3"/>
    </row>
    <row r="90" ht="12.75">
      <c r="T90" s="3"/>
    </row>
    <row r="91" ht="12.75">
      <c r="T91" s="3"/>
    </row>
    <row r="92" ht="12.75">
      <c r="T92" s="3"/>
    </row>
    <row r="93" ht="12.75">
      <c r="T93" s="3"/>
    </row>
    <row r="94" ht="12.75">
      <c r="T94" s="3"/>
    </row>
    <row r="95" ht="12.75">
      <c r="T95" s="3"/>
    </row>
    <row r="96" ht="12.75">
      <c r="T96" s="3"/>
    </row>
    <row r="97" ht="12.75">
      <c r="T97" s="3"/>
    </row>
    <row r="98" ht="12.75">
      <c r="T98" s="3"/>
    </row>
    <row r="99" ht="12.75">
      <c r="T99" s="3"/>
    </row>
    <row r="100" ht="12.75">
      <c r="T100" s="3"/>
    </row>
    <row r="101" ht="12.75">
      <c r="T101" s="3"/>
    </row>
    <row r="102" ht="12.75">
      <c r="T102" s="3"/>
    </row>
    <row r="103" ht="12.75">
      <c r="T103" s="3"/>
    </row>
    <row r="104" ht="12.75">
      <c r="T104" s="3"/>
    </row>
    <row r="105" ht="12.75">
      <c r="T105" s="3"/>
    </row>
    <row r="106" ht="12.75">
      <c r="T106" s="3"/>
    </row>
    <row r="107" ht="12.75">
      <c r="T107" s="3"/>
    </row>
    <row r="108" ht="12.75">
      <c r="T108" s="3"/>
    </row>
    <row r="109" ht="12.75">
      <c r="T109" s="3"/>
    </row>
    <row r="110" ht="12.75">
      <c r="T110" s="3"/>
    </row>
    <row r="111" ht="12.75">
      <c r="T111" s="3"/>
    </row>
    <row r="112" ht="12.75">
      <c r="T112" s="3"/>
    </row>
    <row r="113" ht="12.75">
      <c r="T113" s="3"/>
    </row>
    <row r="114" ht="12.75">
      <c r="T114" s="3"/>
    </row>
    <row r="115" ht="12.75">
      <c r="T115" s="3"/>
    </row>
    <row r="116" ht="12.75">
      <c r="T116" s="3"/>
    </row>
    <row r="117" ht="12.75">
      <c r="T117" s="3"/>
    </row>
    <row r="118" ht="12.75">
      <c r="T118" s="3"/>
    </row>
    <row r="119" ht="12.75">
      <c r="T119" s="3"/>
    </row>
    <row r="120" ht="12.75">
      <c r="T120" s="3"/>
    </row>
    <row r="121" ht="12.75">
      <c r="T121" s="3"/>
    </row>
    <row r="122" ht="12.75">
      <c r="T122" s="3"/>
    </row>
    <row r="123" ht="12.75">
      <c r="T123" s="3"/>
    </row>
    <row r="124" ht="12.75">
      <c r="T124" s="3"/>
    </row>
    <row r="125" ht="12.75">
      <c r="T125" s="3"/>
    </row>
    <row r="126" ht="12.75">
      <c r="T126" s="3"/>
    </row>
    <row r="127" ht="12.75">
      <c r="T127" s="3"/>
    </row>
    <row r="128" ht="12.75">
      <c r="T128" s="3"/>
    </row>
    <row r="129" ht="12.75">
      <c r="T129" s="3"/>
    </row>
    <row r="130" ht="12.75">
      <c r="T130" s="3"/>
    </row>
    <row r="131" ht="12.75">
      <c r="T131" s="3"/>
    </row>
    <row r="132" ht="12.75">
      <c r="T132" s="3"/>
    </row>
    <row r="133" ht="12.75">
      <c r="T133" s="3"/>
    </row>
    <row r="134" ht="12.75">
      <c r="T134" s="3"/>
    </row>
    <row r="135" ht="12.75">
      <c r="T135" s="3"/>
    </row>
    <row r="136" ht="12.75">
      <c r="T136" s="3"/>
    </row>
    <row r="137" ht="12.75">
      <c r="T137" s="3"/>
    </row>
    <row r="138" ht="12.75">
      <c r="T138" s="3"/>
    </row>
    <row r="139" ht="12.75">
      <c r="T139" s="3"/>
    </row>
    <row r="140" ht="12.75">
      <c r="T140" s="3"/>
    </row>
    <row r="141" ht="12.75">
      <c r="T141" s="3"/>
    </row>
    <row r="142" ht="12.75">
      <c r="T142" s="3"/>
    </row>
    <row r="143" ht="12.75">
      <c r="T143" s="3"/>
    </row>
    <row r="144" ht="12.75">
      <c r="T144" s="3"/>
    </row>
    <row r="145" ht="12.75">
      <c r="T145" s="3"/>
    </row>
    <row r="146" ht="12.75">
      <c r="T146" s="3"/>
    </row>
    <row r="147" ht="12.75">
      <c r="T147" s="3"/>
    </row>
    <row r="148" ht="12.75">
      <c r="T148" s="3"/>
    </row>
    <row r="149" ht="12.75">
      <c r="T149" s="3"/>
    </row>
    <row r="150" ht="12.75">
      <c r="T150" s="3"/>
    </row>
    <row r="151" ht="12.75">
      <c r="T151" s="3"/>
    </row>
    <row r="152" ht="12.75">
      <c r="T152" s="3"/>
    </row>
    <row r="153" ht="12.75">
      <c r="T153" s="3"/>
    </row>
    <row r="154" ht="12.75">
      <c r="T154" s="3"/>
    </row>
    <row r="155" ht="12.75">
      <c r="T155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155"/>
  <sheetViews>
    <sheetView zoomScale="75" zoomScaleNormal="75" workbookViewId="0" topLeftCell="E14">
      <selection activeCell="D52" sqref="D5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68" customFormat="1" ht="26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501"/>
    </row>
    <row r="2" spans="1:28" s="68" customFormat="1" ht="26.25">
      <c r="A2" s="112"/>
      <c r="B2" s="155" t="str">
        <f>+'tot-0309'!B2</f>
        <v>ANEXO I-2 a la Resolución ENRE N°            520/2006</v>
      </c>
      <c r="C2" s="155"/>
      <c r="D2" s="155"/>
      <c r="E2" s="69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16" customFormat="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s="75" customFormat="1" ht="11.25">
      <c r="A4" s="179" t="s">
        <v>68</v>
      </c>
      <c r="B4" s="180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</row>
    <row r="5" spans="1:28" s="75" customFormat="1" ht="11.25">
      <c r="A5" s="179" t="s">
        <v>17</v>
      </c>
      <c r="B5" s="180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</row>
    <row r="6" spans="1:28" s="16" customFormat="1" ht="13.5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16" customFormat="1" ht="13.5" thickTop="1">
      <c r="A7" s="44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16"/>
    </row>
    <row r="8" spans="1:28" s="10" customFormat="1" ht="20.25">
      <c r="A8" s="157"/>
      <c r="B8" s="158"/>
      <c r="C8" s="157"/>
      <c r="D8" s="160" t="s">
        <v>30</v>
      </c>
      <c r="E8" s="157"/>
      <c r="F8" s="157"/>
      <c r="G8" s="159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35"/>
      <c r="S8" s="35"/>
      <c r="T8" s="35"/>
      <c r="U8" s="35"/>
      <c r="V8" s="35"/>
      <c r="W8" s="35"/>
      <c r="X8" s="35"/>
      <c r="Y8" s="35"/>
      <c r="Z8" s="35"/>
      <c r="AA8" s="35"/>
      <c r="AB8" s="128"/>
    </row>
    <row r="9" spans="1:28" s="16" customFormat="1" ht="12.75">
      <c r="A9" s="44"/>
      <c r="B9" s="148"/>
      <c r="C9" s="44"/>
      <c r="D9" s="45"/>
      <c r="E9" s="154"/>
      <c r="F9" s="44"/>
      <c r="G9" s="45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45"/>
      <c r="T9" s="45"/>
      <c r="U9" s="45"/>
      <c r="V9" s="45"/>
      <c r="W9" s="45"/>
      <c r="X9" s="45"/>
      <c r="Y9" s="45"/>
      <c r="Z9" s="45"/>
      <c r="AA9" s="45"/>
      <c r="AB9" s="117"/>
    </row>
    <row r="10" spans="1:28" s="10" customFormat="1" ht="20.25">
      <c r="A10" s="157"/>
      <c r="B10" s="158"/>
      <c r="C10" s="157"/>
      <c r="D10" s="7" t="s">
        <v>77</v>
      </c>
      <c r="E10" s="157"/>
      <c r="F10" s="47"/>
      <c r="G10" s="35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128"/>
    </row>
    <row r="11" spans="1:28" s="16" customFormat="1" ht="12.75">
      <c r="A11" s="44"/>
      <c r="B11" s="148"/>
      <c r="C11" s="44"/>
      <c r="D11" s="45"/>
      <c r="E11" s="45"/>
      <c r="F11" s="45"/>
      <c r="G11" s="149"/>
      <c r="H11" s="45"/>
      <c r="I11" s="45"/>
      <c r="J11" s="45"/>
      <c r="K11" s="45"/>
      <c r="L11" s="45"/>
      <c r="M11" s="44"/>
      <c r="N11" s="44"/>
      <c r="O11" s="44"/>
      <c r="P11" s="44"/>
      <c r="Q11" s="44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117"/>
    </row>
    <row r="12" spans="1:28" s="15" customFormat="1" ht="19.5">
      <c r="A12" s="162"/>
      <c r="B12" s="163" t="str">
        <f>+'tot-0309'!B14</f>
        <v>Desde el 01 al 30 de septiembre de 2003</v>
      </c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4"/>
      <c r="N12" s="164"/>
      <c r="O12" s="164"/>
      <c r="P12" s="164"/>
      <c r="Q12" s="164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6"/>
    </row>
    <row r="13" spans="1:28" s="16" customFormat="1" ht="13.5" thickBot="1">
      <c r="A13" s="44"/>
      <c r="B13" s="148"/>
      <c r="C13" s="44"/>
      <c r="D13" s="45"/>
      <c r="E13" s="45"/>
      <c r="F13" s="45"/>
      <c r="G13" s="149"/>
      <c r="H13" s="45"/>
      <c r="I13" s="45"/>
      <c r="J13" s="45"/>
      <c r="K13" s="45"/>
      <c r="L13" s="45"/>
      <c r="M13" s="44"/>
      <c r="N13" s="44"/>
      <c r="O13" s="44"/>
      <c r="P13" s="44"/>
      <c r="Q13" s="44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117"/>
    </row>
    <row r="14" spans="1:28" s="16" customFormat="1" ht="16.5" customHeight="1" thickBot="1" thickTop="1">
      <c r="A14" s="44"/>
      <c r="B14" s="148"/>
      <c r="C14" s="44"/>
      <c r="D14" s="302" t="s">
        <v>69</v>
      </c>
      <c r="E14" s="303"/>
      <c r="F14" s="304">
        <v>0.059</v>
      </c>
      <c r="H14" s="44"/>
      <c r="I14" s="44"/>
      <c r="J14" s="44"/>
      <c r="K14" s="44"/>
      <c r="L14" s="44"/>
      <c r="M14" s="44"/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117"/>
    </row>
    <row r="15" spans="1:28" s="16" customFormat="1" ht="16.5" customHeight="1" thickBot="1" thickTop="1">
      <c r="A15" s="44"/>
      <c r="B15" s="148"/>
      <c r="C15" s="44"/>
      <c r="D15" s="167" t="s">
        <v>70</v>
      </c>
      <c r="E15" s="168"/>
      <c r="F15" s="169">
        <v>200</v>
      </c>
      <c r="G1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46"/>
      <c r="W15" s="46"/>
      <c r="X15" s="46"/>
      <c r="Y15" s="46"/>
      <c r="Z15" s="46"/>
      <c r="AA15" s="44"/>
      <c r="AB15" s="117"/>
    </row>
    <row r="16" spans="1:28" s="16" customFormat="1" ht="16.5" customHeight="1" thickBot="1" thickTop="1">
      <c r="A16" s="44"/>
      <c r="B16" s="148"/>
      <c r="C16" s="44"/>
      <c r="D16" s="45"/>
      <c r="E16" s="45"/>
      <c r="F16" s="45"/>
      <c r="G16" s="1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117"/>
    </row>
    <row r="17" spans="1:28" s="16" customFormat="1" ht="33.75" customHeight="1" thickBot="1" thickTop="1">
      <c r="A17" s="44"/>
      <c r="B17" s="148"/>
      <c r="C17" s="170" t="s">
        <v>35</v>
      </c>
      <c r="D17" s="173" t="s">
        <v>71</v>
      </c>
      <c r="E17" s="171" t="s">
        <v>12</v>
      </c>
      <c r="F17" s="174" t="s">
        <v>72</v>
      </c>
      <c r="G17" s="175" t="s">
        <v>36</v>
      </c>
      <c r="H17" s="299" t="s">
        <v>40</v>
      </c>
      <c r="I17" s="171" t="s">
        <v>41</v>
      </c>
      <c r="J17" s="171" t="s">
        <v>42</v>
      </c>
      <c r="K17" s="173" t="s">
        <v>73</v>
      </c>
      <c r="L17" s="173" t="s">
        <v>44</v>
      </c>
      <c r="M17" s="140" t="s">
        <v>45</v>
      </c>
      <c r="N17" s="140" t="s">
        <v>46</v>
      </c>
      <c r="O17" s="172" t="s">
        <v>48</v>
      </c>
      <c r="P17" s="171" t="s">
        <v>74</v>
      </c>
      <c r="Q17" s="365" t="s">
        <v>39</v>
      </c>
      <c r="R17" s="368" t="s">
        <v>49</v>
      </c>
      <c r="S17" s="372" t="s">
        <v>50</v>
      </c>
      <c r="T17" s="296" t="s">
        <v>75</v>
      </c>
      <c r="U17" s="298"/>
      <c r="V17" s="382" t="s">
        <v>76</v>
      </c>
      <c r="W17" s="383"/>
      <c r="X17" s="391" t="s">
        <v>53</v>
      </c>
      <c r="Y17" s="394" t="s">
        <v>54</v>
      </c>
      <c r="Z17" s="142" t="s">
        <v>55</v>
      </c>
      <c r="AA17" s="175" t="s">
        <v>56</v>
      </c>
      <c r="AB17" s="117"/>
    </row>
    <row r="18" spans="1:28" s="16" customFormat="1" ht="16.5" customHeight="1" thickTop="1">
      <c r="A18" s="44"/>
      <c r="B18" s="148"/>
      <c r="C18" s="362"/>
      <c r="D18" s="362"/>
      <c r="E18" s="362"/>
      <c r="F18" s="362"/>
      <c r="G18" s="363"/>
      <c r="H18" s="361"/>
      <c r="I18" s="362"/>
      <c r="J18" s="362"/>
      <c r="K18" s="362"/>
      <c r="L18" s="362"/>
      <c r="M18" s="362"/>
      <c r="N18" s="336"/>
      <c r="O18" s="364"/>
      <c r="P18" s="362"/>
      <c r="Q18" s="366"/>
      <c r="R18" s="369"/>
      <c r="S18" s="373"/>
      <c r="T18" s="376"/>
      <c r="U18" s="377"/>
      <c r="V18" s="384"/>
      <c r="W18" s="385"/>
      <c r="X18" s="392"/>
      <c r="Y18" s="395"/>
      <c r="Z18" s="364"/>
      <c r="AA18" s="498"/>
      <c r="AB18" s="117"/>
    </row>
    <row r="19" spans="1:28" s="16" customFormat="1" ht="16.5" customHeight="1">
      <c r="A19" s="44"/>
      <c r="B19" s="148"/>
      <c r="C19" s="37"/>
      <c r="D19" s="37"/>
      <c r="E19" s="37"/>
      <c r="F19" s="37"/>
      <c r="G19" s="38"/>
      <c r="H19" s="306"/>
      <c r="I19" s="37"/>
      <c r="J19" s="37"/>
      <c r="K19" s="37"/>
      <c r="L19" s="37"/>
      <c r="M19" s="37"/>
      <c r="N19" s="18"/>
      <c r="O19" s="39"/>
      <c r="P19" s="37"/>
      <c r="Q19" s="367"/>
      <c r="R19" s="370"/>
      <c r="S19" s="374"/>
      <c r="T19" s="378"/>
      <c r="U19" s="379"/>
      <c r="V19" s="386"/>
      <c r="W19" s="387"/>
      <c r="X19" s="393"/>
      <c r="Y19" s="396"/>
      <c r="Z19" s="39"/>
      <c r="AA19" s="176"/>
      <c r="AB19" s="117"/>
    </row>
    <row r="20" spans="1:28" s="16" customFormat="1" ht="16.5" customHeight="1">
      <c r="A20" s="44"/>
      <c r="B20" s="148"/>
      <c r="C20" s="525" t="s">
        <v>108</v>
      </c>
      <c r="D20" s="574" t="s">
        <v>103</v>
      </c>
      <c r="E20" s="575" t="s">
        <v>104</v>
      </c>
      <c r="F20" s="576">
        <v>300</v>
      </c>
      <c r="G20" s="641" t="s">
        <v>8</v>
      </c>
      <c r="H20" s="496">
        <f aca="true" t="shared" si="0" ref="H20:H39">F20*$F$14</f>
        <v>17.7</v>
      </c>
      <c r="I20" s="583">
        <v>37880.41527777778</v>
      </c>
      <c r="J20" s="583">
        <v>37880.64375</v>
      </c>
      <c r="K20" s="40">
        <f aca="true" t="shared" si="1" ref="K20:K39">IF(D20="","",(J20-I20)*24)</f>
        <v>5.4833333333954215</v>
      </c>
      <c r="L20" s="41">
        <f aca="true" t="shared" si="2" ref="L20:L39">IF(D20="","",ROUND((J20-I20)*24*60,0))</f>
        <v>329</v>
      </c>
      <c r="M20" s="585" t="s">
        <v>102</v>
      </c>
      <c r="N20" s="573" t="str">
        <f aca="true" t="shared" si="3" ref="N20:N39">IF(D20="","","--")</f>
        <v>--</v>
      </c>
      <c r="O20" s="586" t="str">
        <f>IF(D20="","",IF(OR(M20="P",M20="RP"),"--","NO"))</f>
        <v>--</v>
      </c>
      <c r="P20" s="546" t="str">
        <f aca="true" t="shared" si="4" ref="P20:P39">IF(D20="","","NO")</f>
        <v>NO</v>
      </c>
      <c r="Q20" s="606">
        <f aca="true" t="shared" si="5" ref="Q20:Q39">$F$15*IF(OR(M20="P",M20="RP"),0.1,1)*IF(P20="SI",1,0.1)</f>
        <v>2</v>
      </c>
      <c r="R20" s="589">
        <f aca="true" t="shared" si="6" ref="R20:R39">IF(M20="P",H20*Q20*ROUND(L20/60,2),"--")</f>
        <v>193.99200000000002</v>
      </c>
      <c r="S20" s="590" t="str">
        <f aca="true" t="shared" si="7" ref="S20:S39">IF(M20="RP",H20*Q20*N20/100*ROUND(L20/60,2),"--")</f>
        <v>--</v>
      </c>
      <c r="T20" s="591" t="str">
        <f aca="true" t="shared" si="8" ref="T20:T39">IF(AND(M20="F",O20="NO"),H20*Q20,"--")</f>
        <v>--</v>
      </c>
      <c r="U20" s="592" t="str">
        <f aca="true" t="shared" si="9" ref="U20:U39">IF(M20="F",H20*Q20*ROUND(L20/60,2),"--")</f>
        <v>--</v>
      </c>
      <c r="V20" s="593" t="str">
        <f aca="true" t="shared" si="10" ref="V20:V39">IF(AND(M20="R",O20="NO"),H20*Q20*N20/100,"--")</f>
        <v>--</v>
      </c>
      <c r="W20" s="594" t="str">
        <f aca="true" t="shared" si="11" ref="W20:W39">IF(M20="R",H20*Q20*N20/100*ROUND(L20/60,2),"--")</f>
        <v>--</v>
      </c>
      <c r="X20" s="595" t="str">
        <f aca="true" t="shared" si="12" ref="X20:X39">IF(M20="RF",H20*Q20*ROUND(L20/60,2),"--")</f>
        <v>--</v>
      </c>
      <c r="Y20" s="596" t="str">
        <f aca="true" t="shared" si="13" ref="Y20:Y39">IF(M20="RR",H20*Q20*N20/100*ROUND(L20/60,2),"--")</f>
        <v>--</v>
      </c>
      <c r="Z20" s="607" t="str">
        <f aca="true" t="shared" si="14" ref="Z20:Z39">IF(D20="","","SI")</f>
        <v>SI</v>
      </c>
      <c r="AA20" s="177">
        <f aca="true" t="shared" si="15" ref="AA20:AA39">IF(D20="","",SUM(R20:Y20)*IF(Z20="SI",1,2))</f>
        <v>193.99200000000002</v>
      </c>
      <c r="AB20" s="117"/>
    </row>
    <row r="21" spans="1:28" s="16" customFormat="1" ht="16.5" customHeight="1">
      <c r="A21" s="44"/>
      <c r="B21" s="148"/>
      <c r="C21" s="525" t="s">
        <v>117</v>
      </c>
      <c r="D21" s="574" t="s">
        <v>103</v>
      </c>
      <c r="E21" s="575" t="s">
        <v>6</v>
      </c>
      <c r="F21" s="576">
        <v>300</v>
      </c>
      <c r="G21" s="641" t="s">
        <v>8</v>
      </c>
      <c r="H21" s="496">
        <f t="shared" si="0"/>
        <v>17.7</v>
      </c>
      <c r="I21" s="583">
        <v>37881.37291666667</v>
      </c>
      <c r="J21" s="583">
        <v>37881.39097222222</v>
      </c>
      <c r="K21" s="40">
        <f t="shared" si="1"/>
        <v>0.4333333333488554</v>
      </c>
      <c r="L21" s="41">
        <f t="shared" si="2"/>
        <v>26</v>
      </c>
      <c r="M21" s="585" t="s">
        <v>100</v>
      </c>
      <c r="N21" s="573" t="str">
        <f t="shared" si="3"/>
        <v>--</v>
      </c>
      <c r="O21" s="586" t="str">
        <f aca="true" t="shared" si="16" ref="O21:O39">IF(D21="","",IF(M21="P","--","NO"))</f>
        <v>NO</v>
      </c>
      <c r="P21" s="546" t="str">
        <f t="shared" si="4"/>
        <v>NO</v>
      </c>
      <c r="Q21" s="606">
        <f t="shared" si="5"/>
        <v>20</v>
      </c>
      <c r="R21" s="589" t="str">
        <f t="shared" si="6"/>
        <v>--</v>
      </c>
      <c r="S21" s="590" t="str">
        <f t="shared" si="7"/>
        <v>--</v>
      </c>
      <c r="T21" s="591">
        <f t="shared" si="8"/>
        <v>354</v>
      </c>
      <c r="U21" s="592">
        <f t="shared" si="9"/>
        <v>152.22</v>
      </c>
      <c r="V21" s="593" t="str">
        <f t="shared" si="10"/>
        <v>--</v>
      </c>
      <c r="W21" s="594" t="str">
        <f t="shared" si="11"/>
        <v>--</v>
      </c>
      <c r="X21" s="595" t="str">
        <f t="shared" si="12"/>
        <v>--</v>
      </c>
      <c r="Y21" s="596" t="str">
        <f t="shared" si="13"/>
        <v>--</v>
      </c>
      <c r="Z21" s="607" t="str">
        <f t="shared" si="14"/>
        <v>SI</v>
      </c>
      <c r="AA21" s="177">
        <f t="shared" si="15"/>
        <v>506.22</v>
      </c>
      <c r="AB21" s="117"/>
    </row>
    <row r="22" spans="1:28" s="16" customFormat="1" ht="16.5" customHeight="1">
      <c r="A22" s="44"/>
      <c r="B22" s="148"/>
      <c r="C22" s="525" t="s">
        <v>118</v>
      </c>
      <c r="D22" s="574" t="s">
        <v>103</v>
      </c>
      <c r="E22" s="575" t="s">
        <v>104</v>
      </c>
      <c r="F22" s="576">
        <v>300</v>
      </c>
      <c r="G22" s="641" t="s">
        <v>8</v>
      </c>
      <c r="H22" s="496">
        <f t="shared" si="0"/>
        <v>17.7</v>
      </c>
      <c r="I22" s="583">
        <v>37881.37291666667</v>
      </c>
      <c r="J22" s="583">
        <v>37881.395833333336</v>
      </c>
      <c r="K22" s="40">
        <f t="shared" si="1"/>
        <v>0.5500000000465661</v>
      </c>
      <c r="L22" s="41">
        <f t="shared" si="2"/>
        <v>33</v>
      </c>
      <c r="M22" s="585" t="s">
        <v>100</v>
      </c>
      <c r="N22" s="573" t="str">
        <f t="shared" si="3"/>
        <v>--</v>
      </c>
      <c r="O22" s="586" t="str">
        <f t="shared" si="16"/>
        <v>NO</v>
      </c>
      <c r="P22" s="546" t="str">
        <f t="shared" si="4"/>
        <v>NO</v>
      </c>
      <c r="Q22" s="606">
        <f t="shared" si="5"/>
        <v>20</v>
      </c>
      <c r="R22" s="589" t="str">
        <f t="shared" si="6"/>
        <v>--</v>
      </c>
      <c r="S22" s="590" t="str">
        <f t="shared" si="7"/>
        <v>--</v>
      </c>
      <c r="T22" s="591">
        <f t="shared" si="8"/>
        <v>354</v>
      </c>
      <c r="U22" s="592">
        <f t="shared" si="9"/>
        <v>194.70000000000002</v>
      </c>
      <c r="V22" s="593" t="str">
        <f t="shared" si="10"/>
        <v>--</v>
      </c>
      <c r="W22" s="594" t="str">
        <f t="shared" si="11"/>
        <v>--</v>
      </c>
      <c r="X22" s="595" t="str">
        <f t="shared" si="12"/>
        <v>--</v>
      </c>
      <c r="Y22" s="596" t="str">
        <f t="shared" si="13"/>
        <v>--</v>
      </c>
      <c r="Z22" s="607" t="str">
        <f t="shared" si="14"/>
        <v>SI</v>
      </c>
      <c r="AA22" s="177">
        <f t="shared" si="15"/>
        <v>548.7</v>
      </c>
      <c r="AB22" s="117"/>
    </row>
    <row r="23" spans="1:28" s="16" customFormat="1" ht="16.5" customHeight="1">
      <c r="A23" s="44"/>
      <c r="B23" s="148"/>
      <c r="C23" s="525" t="s">
        <v>119</v>
      </c>
      <c r="D23" s="574" t="s">
        <v>103</v>
      </c>
      <c r="E23" s="575" t="s">
        <v>104</v>
      </c>
      <c r="F23" s="576">
        <v>300</v>
      </c>
      <c r="G23" s="641" t="s">
        <v>8</v>
      </c>
      <c r="H23" s="496">
        <f t="shared" si="0"/>
        <v>17.7</v>
      </c>
      <c r="I23" s="583">
        <v>37882.37569444445</v>
      </c>
      <c r="J23" s="583">
        <v>37882.71527777778</v>
      </c>
      <c r="K23" s="40">
        <f t="shared" si="1"/>
        <v>8.150000000023283</v>
      </c>
      <c r="L23" s="41">
        <f t="shared" si="2"/>
        <v>489</v>
      </c>
      <c r="M23" s="585" t="s">
        <v>102</v>
      </c>
      <c r="N23" s="573" t="str">
        <f t="shared" si="3"/>
        <v>--</v>
      </c>
      <c r="O23" s="586" t="str">
        <f t="shared" si="16"/>
        <v>--</v>
      </c>
      <c r="P23" s="546" t="str">
        <f t="shared" si="4"/>
        <v>NO</v>
      </c>
      <c r="Q23" s="606">
        <f t="shared" si="5"/>
        <v>2</v>
      </c>
      <c r="R23" s="589">
        <f t="shared" si="6"/>
        <v>288.51</v>
      </c>
      <c r="S23" s="590" t="str">
        <f t="shared" si="7"/>
        <v>--</v>
      </c>
      <c r="T23" s="591" t="str">
        <f t="shared" si="8"/>
        <v>--</v>
      </c>
      <c r="U23" s="592" t="str">
        <f t="shared" si="9"/>
        <v>--</v>
      </c>
      <c r="V23" s="593" t="str">
        <f t="shared" si="10"/>
        <v>--</v>
      </c>
      <c r="W23" s="594" t="str">
        <f t="shared" si="11"/>
        <v>--</v>
      </c>
      <c r="X23" s="595" t="str">
        <f t="shared" si="12"/>
        <v>--</v>
      </c>
      <c r="Y23" s="596" t="str">
        <f t="shared" si="13"/>
        <v>--</v>
      </c>
      <c r="Z23" s="607" t="str">
        <f t="shared" si="14"/>
        <v>SI</v>
      </c>
      <c r="AA23" s="177">
        <f t="shared" si="15"/>
        <v>288.51</v>
      </c>
      <c r="AB23" s="117"/>
    </row>
    <row r="24" spans="1:28" s="16" customFormat="1" ht="16.5" customHeight="1">
      <c r="A24" s="44"/>
      <c r="B24" s="148"/>
      <c r="C24" s="525"/>
      <c r="D24" s="574"/>
      <c r="E24" s="575"/>
      <c r="F24" s="576"/>
      <c r="G24" s="577"/>
      <c r="H24" s="496">
        <f t="shared" si="0"/>
        <v>0</v>
      </c>
      <c r="I24" s="583"/>
      <c r="J24" s="583"/>
      <c r="K24" s="40">
        <f t="shared" si="1"/>
      </c>
      <c r="L24" s="41">
        <f t="shared" si="2"/>
      </c>
      <c r="M24" s="585"/>
      <c r="N24" s="573">
        <f t="shared" si="3"/>
      </c>
      <c r="O24" s="586">
        <f t="shared" si="16"/>
      </c>
      <c r="P24" s="546">
        <f t="shared" si="4"/>
      </c>
      <c r="Q24" s="606">
        <f t="shared" si="5"/>
        <v>20</v>
      </c>
      <c r="R24" s="589" t="str">
        <f t="shared" si="6"/>
        <v>--</v>
      </c>
      <c r="S24" s="590" t="str">
        <f t="shared" si="7"/>
        <v>--</v>
      </c>
      <c r="T24" s="591" t="str">
        <f t="shared" si="8"/>
        <v>--</v>
      </c>
      <c r="U24" s="592" t="str">
        <f t="shared" si="9"/>
        <v>--</v>
      </c>
      <c r="V24" s="593" t="str">
        <f t="shared" si="10"/>
        <v>--</v>
      </c>
      <c r="W24" s="594" t="str">
        <f t="shared" si="11"/>
        <v>--</v>
      </c>
      <c r="X24" s="595" t="str">
        <f t="shared" si="12"/>
        <v>--</v>
      </c>
      <c r="Y24" s="596" t="str">
        <f t="shared" si="13"/>
        <v>--</v>
      </c>
      <c r="Z24" s="607">
        <f t="shared" si="14"/>
      </c>
      <c r="AA24" s="177">
        <f t="shared" si="15"/>
      </c>
      <c r="AB24" s="117"/>
    </row>
    <row r="25" spans="1:28" s="16" customFormat="1" ht="16.5" customHeight="1">
      <c r="A25" s="44"/>
      <c r="B25" s="148"/>
      <c r="C25" s="525"/>
      <c r="D25" s="574"/>
      <c r="E25" s="575"/>
      <c r="F25" s="576"/>
      <c r="G25" s="577"/>
      <c r="H25" s="496">
        <f t="shared" si="0"/>
        <v>0</v>
      </c>
      <c r="I25" s="583"/>
      <c r="J25" s="583"/>
      <c r="K25" s="40">
        <f t="shared" si="1"/>
      </c>
      <c r="L25" s="41">
        <f t="shared" si="2"/>
      </c>
      <c r="M25" s="585"/>
      <c r="N25" s="573">
        <f t="shared" si="3"/>
      </c>
      <c r="O25" s="586">
        <f t="shared" si="16"/>
      </c>
      <c r="P25" s="546">
        <f t="shared" si="4"/>
      </c>
      <c r="Q25" s="606">
        <f t="shared" si="5"/>
        <v>20</v>
      </c>
      <c r="R25" s="589" t="str">
        <f t="shared" si="6"/>
        <v>--</v>
      </c>
      <c r="S25" s="590" t="str">
        <f t="shared" si="7"/>
        <v>--</v>
      </c>
      <c r="T25" s="591" t="str">
        <f t="shared" si="8"/>
        <v>--</v>
      </c>
      <c r="U25" s="592" t="str">
        <f t="shared" si="9"/>
        <v>--</v>
      </c>
      <c r="V25" s="593" t="str">
        <f t="shared" si="10"/>
        <v>--</v>
      </c>
      <c r="W25" s="594" t="str">
        <f t="shared" si="11"/>
        <v>--</v>
      </c>
      <c r="X25" s="595" t="str">
        <f t="shared" si="12"/>
        <v>--</v>
      </c>
      <c r="Y25" s="596" t="str">
        <f t="shared" si="13"/>
        <v>--</v>
      </c>
      <c r="Z25" s="607">
        <f t="shared" si="14"/>
      </c>
      <c r="AA25" s="177">
        <f t="shared" si="15"/>
      </c>
      <c r="AB25" s="117"/>
    </row>
    <row r="26" spans="1:29" s="16" customFormat="1" ht="16.5" customHeight="1">
      <c r="A26" s="44"/>
      <c r="B26" s="148"/>
      <c r="C26" s="525"/>
      <c r="D26" s="574"/>
      <c r="E26" s="575"/>
      <c r="F26" s="576"/>
      <c r="G26" s="577"/>
      <c r="H26" s="496">
        <f t="shared" si="0"/>
        <v>0</v>
      </c>
      <c r="I26" s="583"/>
      <c r="J26" s="583"/>
      <c r="K26" s="40">
        <f t="shared" si="1"/>
      </c>
      <c r="L26" s="41">
        <f t="shared" si="2"/>
      </c>
      <c r="M26" s="585"/>
      <c r="N26" s="573">
        <f t="shared" si="3"/>
      </c>
      <c r="O26" s="586">
        <f t="shared" si="16"/>
      </c>
      <c r="P26" s="546">
        <f t="shared" si="4"/>
      </c>
      <c r="Q26" s="606">
        <f t="shared" si="5"/>
        <v>20</v>
      </c>
      <c r="R26" s="589" t="str">
        <f t="shared" si="6"/>
        <v>--</v>
      </c>
      <c r="S26" s="590" t="str">
        <f t="shared" si="7"/>
        <v>--</v>
      </c>
      <c r="T26" s="591" t="str">
        <f t="shared" si="8"/>
        <v>--</v>
      </c>
      <c r="U26" s="592" t="str">
        <f t="shared" si="9"/>
        <v>--</v>
      </c>
      <c r="V26" s="593" t="str">
        <f t="shared" si="10"/>
        <v>--</v>
      </c>
      <c r="W26" s="594" t="str">
        <f t="shared" si="11"/>
        <v>--</v>
      </c>
      <c r="X26" s="595" t="str">
        <f t="shared" si="12"/>
        <v>--</v>
      </c>
      <c r="Y26" s="596" t="str">
        <f t="shared" si="13"/>
        <v>--</v>
      </c>
      <c r="Z26" s="607">
        <f t="shared" si="14"/>
      </c>
      <c r="AA26" s="177">
        <f t="shared" si="15"/>
      </c>
      <c r="AB26" s="117"/>
      <c r="AC26" s="45"/>
    </row>
    <row r="27" spans="1:28" s="16" customFormat="1" ht="16.5" customHeight="1">
      <c r="A27" s="44"/>
      <c r="B27" s="148"/>
      <c r="C27" s="525"/>
      <c r="D27" s="574"/>
      <c r="E27" s="575"/>
      <c r="F27" s="576"/>
      <c r="G27" s="577"/>
      <c r="H27" s="496">
        <f t="shared" si="0"/>
        <v>0</v>
      </c>
      <c r="I27" s="583"/>
      <c r="J27" s="583"/>
      <c r="K27" s="40">
        <f t="shared" si="1"/>
      </c>
      <c r="L27" s="41">
        <f t="shared" si="2"/>
      </c>
      <c r="M27" s="585"/>
      <c r="N27" s="573">
        <f t="shared" si="3"/>
      </c>
      <c r="O27" s="586">
        <f t="shared" si="16"/>
      </c>
      <c r="P27" s="546">
        <f t="shared" si="4"/>
      </c>
      <c r="Q27" s="606">
        <f t="shared" si="5"/>
        <v>20</v>
      </c>
      <c r="R27" s="589" t="str">
        <f t="shared" si="6"/>
        <v>--</v>
      </c>
      <c r="S27" s="590" t="str">
        <f t="shared" si="7"/>
        <v>--</v>
      </c>
      <c r="T27" s="591" t="str">
        <f t="shared" si="8"/>
        <v>--</v>
      </c>
      <c r="U27" s="592" t="str">
        <f t="shared" si="9"/>
        <v>--</v>
      </c>
      <c r="V27" s="593" t="str">
        <f t="shared" si="10"/>
        <v>--</v>
      </c>
      <c r="W27" s="594" t="str">
        <f t="shared" si="11"/>
        <v>--</v>
      </c>
      <c r="X27" s="595" t="str">
        <f t="shared" si="12"/>
        <v>--</v>
      </c>
      <c r="Y27" s="596" t="str">
        <f t="shared" si="13"/>
        <v>--</v>
      </c>
      <c r="Z27" s="607">
        <f t="shared" si="14"/>
      </c>
      <c r="AA27" s="177">
        <f t="shared" si="15"/>
      </c>
      <c r="AB27" s="117"/>
    </row>
    <row r="28" spans="1:28" s="16" customFormat="1" ht="16.5" customHeight="1">
      <c r="A28" s="44"/>
      <c r="B28" s="148"/>
      <c r="C28" s="525"/>
      <c r="D28" s="574"/>
      <c r="E28" s="575"/>
      <c r="F28" s="576"/>
      <c r="G28" s="577"/>
      <c r="H28" s="496">
        <f t="shared" si="0"/>
        <v>0</v>
      </c>
      <c r="I28" s="583"/>
      <c r="J28" s="583"/>
      <c r="K28" s="40">
        <f t="shared" si="1"/>
      </c>
      <c r="L28" s="41">
        <f t="shared" si="2"/>
      </c>
      <c r="M28" s="585"/>
      <c r="N28" s="573">
        <f t="shared" si="3"/>
      </c>
      <c r="O28" s="586">
        <f t="shared" si="16"/>
      </c>
      <c r="P28" s="546">
        <f t="shared" si="4"/>
      </c>
      <c r="Q28" s="606">
        <f t="shared" si="5"/>
        <v>20</v>
      </c>
      <c r="R28" s="589" t="str">
        <f t="shared" si="6"/>
        <v>--</v>
      </c>
      <c r="S28" s="590" t="str">
        <f t="shared" si="7"/>
        <v>--</v>
      </c>
      <c r="T28" s="591" t="str">
        <f t="shared" si="8"/>
        <v>--</v>
      </c>
      <c r="U28" s="592" t="str">
        <f t="shared" si="9"/>
        <v>--</v>
      </c>
      <c r="V28" s="593" t="str">
        <f t="shared" si="10"/>
        <v>--</v>
      </c>
      <c r="W28" s="594" t="str">
        <f t="shared" si="11"/>
        <v>--</v>
      </c>
      <c r="X28" s="595" t="str">
        <f t="shared" si="12"/>
        <v>--</v>
      </c>
      <c r="Y28" s="596" t="str">
        <f t="shared" si="13"/>
        <v>--</v>
      </c>
      <c r="Z28" s="607">
        <f t="shared" si="14"/>
      </c>
      <c r="AA28" s="177">
        <f t="shared" si="15"/>
      </c>
      <c r="AB28" s="117"/>
    </row>
    <row r="29" spans="1:28" s="16" customFormat="1" ht="16.5" customHeight="1">
      <c r="A29" s="44"/>
      <c r="B29" s="148"/>
      <c r="C29" s="525"/>
      <c r="D29" s="574"/>
      <c r="E29" s="575"/>
      <c r="F29" s="576"/>
      <c r="G29" s="577"/>
      <c r="H29" s="496">
        <f t="shared" si="0"/>
        <v>0</v>
      </c>
      <c r="I29" s="583"/>
      <c r="J29" s="583"/>
      <c r="K29" s="40">
        <f t="shared" si="1"/>
      </c>
      <c r="L29" s="41">
        <f t="shared" si="2"/>
      </c>
      <c r="M29" s="585"/>
      <c r="N29" s="573">
        <f t="shared" si="3"/>
      </c>
      <c r="O29" s="586">
        <f t="shared" si="16"/>
      </c>
      <c r="P29" s="546">
        <f t="shared" si="4"/>
      </c>
      <c r="Q29" s="606">
        <f t="shared" si="5"/>
        <v>20</v>
      </c>
      <c r="R29" s="589" t="str">
        <f t="shared" si="6"/>
        <v>--</v>
      </c>
      <c r="S29" s="590" t="str">
        <f t="shared" si="7"/>
        <v>--</v>
      </c>
      <c r="T29" s="591" t="str">
        <f t="shared" si="8"/>
        <v>--</v>
      </c>
      <c r="U29" s="592" t="str">
        <f t="shared" si="9"/>
        <v>--</v>
      </c>
      <c r="V29" s="593" t="str">
        <f t="shared" si="10"/>
        <v>--</v>
      </c>
      <c r="W29" s="594" t="str">
        <f t="shared" si="11"/>
        <v>--</v>
      </c>
      <c r="X29" s="595" t="str">
        <f t="shared" si="12"/>
        <v>--</v>
      </c>
      <c r="Y29" s="596" t="str">
        <f t="shared" si="13"/>
        <v>--</v>
      </c>
      <c r="Z29" s="607">
        <f t="shared" si="14"/>
      </c>
      <c r="AA29" s="177">
        <f t="shared" si="15"/>
      </c>
      <c r="AB29" s="117"/>
    </row>
    <row r="30" spans="1:28" s="16" customFormat="1" ht="16.5" customHeight="1">
      <c r="A30" s="44"/>
      <c r="B30" s="148"/>
      <c r="C30" s="525"/>
      <c r="D30" s="574"/>
      <c r="E30" s="578"/>
      <c r="F30" s="576"/>
      <c r="G30" s="577"/>
      <c r="H30" s="496">
        <f t="shared" si="0"/>
        <v>0</v>
      </c>
      <c r="I30" s="583"/>
      <c r="J30" s="583"/>
      <c r="K30" s="40">
        <f t="shared" si="1"/>
      </c>
      <c r="L30" s="41">
        <f t="shared" si="2"/>
      </c>
      <c r="M30" s="585"/>
      <c r="N30" s="573">
        <f t="shared" si="3"/>
      </c>
      <c r="O30" s="586">
        <f t="shared" si="16"/>
      </c>
      <c r="P30" s="546">
        <f t="shared" si="4"/>
      </c>
      <c r="Q30" s="606">
        <f t="shared" si="5"/>
        <v>20</v>
      </c>
      <c r="R30" s="589" t="str">
        <f t="shared" si="6"/>
        <v>--</v>
      </c>
      <c r="S30" s="590" t="str">
        <f t="shared" si="7"/>
        <v>--</v>
      </c>
      <c r="T30" s="591" t="str">
        <f t="shared" si="8"/>
        <v>--</v>
      </c>
      <c r="U30" s="592" t="str">
        <f t="shared" si="9"/>
        <v>--</v>
      </c>
      <c r="V30" s="593" t="str">
        <f t="shared" si="10"/>
        <v>--</v>
      </c>
      <c r="W30" s="594" t="str">
        <f t="shared" si="11"/>
        <v>--</v>
      </c>
      <c r="X30" s="595" t="str">
        <f t="shared" si="12"/>
        <v>--</v>
      </c>
      <c r="Y30" s="596" t="str">
        <f t="shared" si="13"/>
        <v>--</v>
      </c>
      <c r="Z30" s="607">
        <f t="shared" si="14"/>
      </c>
      <c r="AA30" s="177">
        <f t="shared" si="15"/>
      </c>
      <c r="AB30" s="117"/>
    </row>
    <row r="31" spans="1:28" s="16" customFormat="1" ht="16.5" customHeight="1">
      <c r="A31" s="44"/>
      <c r="B31" s="148"/>
      <c r="C31" s="525"/>
      <c r="D31" s="574"/>
      <c r="E31" s="578"/>
      <c r="F31" s="576"/>
      <c r="G31" s="577"/>
      <c r="H31" s="496">
        <f t="shared" si="0"/>
        <v>0</v>
      </c>
      <c r="I31" s="583"/>
      <c r="J31" s="583"/>
      <c r="K31" s="40">
        <f t="shared" si="1"/>
      </c>
      <c r="L31" s="41">
        <f t="shared" si="2"/>
      </c>
      <c r="M31" s="585"/>
      <c r="N31" s="573">
        <f t="shared" si="3"/>
      </c>
      <c r="O31" s="586">
        <f t="shared" si="16"/>
      </c>
      <c r="P31" s="546">
        <f t="shared" si="4"/>
      </c>
      <c r="Q31" s="606">
        <f t="shared" si="5"/>
        <v>20</v>
      </c>
      <c r="R31" s="589" t="str">
        <f t="shared" si="6"/>
        <v>--</v>
      </c>
      <c r="S31" s="590" t="str">
        <f t="shared" si="7"/>
        <v>--</v>
      </c>
      <c r="T31" s="591" t="str">
        <f t="shared" si="8"/>
        <v>--</v>
      </c>
      <c r="U31" s="592" t="str">
        <f t="shared" si="9"/>
        <v>--</v>
      </c>
      <c r="V31" s="593" t="str">
        <f t="shared" si="10"/>
        <v>--</v>
      </c>
      <c r="W31" s="594" t="str">
        <f t="shared" si="11"/>
        <v>--</v>
      </c>
      <c r="X31" s="595" t="str">
        <f t="shared" si="12"/>
        <v>--</v>
      </c>
      <c r="Y31" s="596" t="str">
        <f t="shared" si="13"/>
        <v>--</v>
      </c>
      <c r="Z31" s="607">
        <f t="shared" si="14"/>
      </c>
      <c r="AA31" s="177">
        <f t="shared" si="15"/>
      </c>
      <c r="AB31" s="117"/>
    </row>
    <row r="32" spans="1:28" s="16" customFormat="1" ht="16.5" customHeight="1">
      <c r="A32" s="44"/>
      <c r="B32" s="148"/>
      <c r="C32" s="525"/>
      <c r="D32" s="574"/>
      <c r="E32" s="578"/>
      <c r="F32" s="576"/>
      <c r="G32" s="577"/>
      <c r="H32" s="496">
        <f t="shared" si="0"/>
        <v>0</v>
      </c>
      <c r="I32" s="583"/>
      <c r="J32" s="583"/>
      <c r="K32" s="40">
        <f t="shared" si="1"/>
      </c>
      <c r="L32" s="41">
        <f t="shared" si="2"/>
      </c>
      <c r="M32" s="585"/>
      <c r="N32" s="573">
        <f t="shared" si="3"/>
      </c>
      <c r="O32" s="586">
        <f t="shared" si="16"/>
      </c>
      <c r="P32" s="546">
        <f t="shared" si="4"/>
      </c>
      <c r="Q32" s="606">
        <f t="shared" si="5"/>
        <v>20</v>
      </c>
      <c r="R32" s="589" t="str">
        <f t="shared" si="6"/>
        <v>--</v>
      </c>
      <c r="S32" s="590" t="str">
        <f t="shared" si="7"/>
        <v>--</v>
      </c>
      <c r="T32" s="591" t="str">
        <f t="shared" si="8"/>
        <v>--</v>
      </c>
      <c r="U32" s="592" t="str">
        <f t="shared" si="9"/>
        <v>--</v>
      </c>
      <c r="V32" s="593" t="str">
        <f t="shared" si="10"/>
        <v>--</v>
      </c>
      <c r="W32" s="594" t="str">
        <f t="shared" si="11"/>
        <v>--</v>
      </c>
      <c r="X32" s="595" t="str">
        <f t="shared" si="12"/>
        <v>--</v>
      </c>
      <c r="Y32" s="596" t="str">
        <f t="shared" si="13"/>
        <v>--</v>
      </c>
      <c r="Z32" s="607">
        <f t="shared" si="14"/>
      </c>
      <c r="AA32" s="177">
        <f t="shared" si="15"/>
      </c>
      <c r="AB32" s="117"/>
    </row>
    <row r="33" spans="1:28" s="16" customFormat="1" ht="16.5" customHeight="1">
      <c r="A33" s="44"/>
      <c r="B33" s="148"/>
      <c r="C33" s="525"/>
      <c r="D33" s="574"/>
      <c r="E33" s="578"/>
      <c r="F33" s="576"/>
      <c r="G33" s="577"/>
      <c r="H33" s="496">
        <f t="shared" si="0"/>
        <v>0</v>
      </c>
      <c r="I33" s="583"/>
      <c r="J33" s="583"/>
      <c r="K33" s="40">
        <f t="shared" si="1"/>
      </c>
      <c r="L33" s="41">
        <f t="shared" si="2"/>
      </c>
      <c r="M33" s="585"/>
      <c r="N33" s="573">
        <f t="shared" si="3"/>
      </c>
      <c r="O33" s="586">
        <f t="shared" si="16"/>
      </c>
      <c r="P33" s="546">
        <f t="shared" si="4"/>
      </c>
      <c r="Q33" s="606">
        <f t="shared" si="5"/>
        <v>20</v>
      </c>
      <c r="R33" s="589" t="str">
        <f t="shared" si="6"/>
        <v>--</v>
      </c>
      <c r="S33" s="590" t="str">
        <f t="shared" si="7"/>
        <v>--</v>
      </c>
      <c r="T33" s="591" t="str">
        <f t="shared" si="8"/>
        <v>--</v>
      </c>
      <c r="U33" s="592" t="str">
        <f t="shared" si="9"/>
        <v>--</v>
      </c>
      <c r="V33" s="593" t="str">
        <f t="shared" si="10"/>
        <v>--</v>
      </c>
      <c r="W33" s="594" t="str">
        <f t="shared" si="11"/>
        <v>--</v>
      </c>
      <c r="X33" s="595" t="str">
        <f t="shared" si="12"/>
        <v>--</v>
      </c>
      <c r="Y33" s="596" t="str">
        <f t="shared" si="13"/>
        <v>--</v>
      </c>
      <c r="Z33" s="607">
        <f t="shared" si="14"/>
      </c>
      <c r="AA33" s="177">
        <f t="shared" si="15"/>
      </c>
      <c r="AB33" s="117"/>
    </row>
    <row r="34" spans="1:28" s="16" customFormat="1" ht="16.5" customHeight="1">
      <c r="A34" s="44"/>
      <c r="B34" s="148"/>
      <c r="C34" s="525"/>
      <c r="D34" s="574"/>
      <c r="E34" s="578"/>
      <c r="F34" s="576"/>
      <c r="G34" s="577"/>
      <c r="H34" s="496">
        <f t="shared" si="0"/>
        <v>0</v>
      </c>
      <c r="I34" s="583"/>
      <c r="J34" s="583"/>
      <c r="K34" s="40">
        <f t="shared" si="1"/>
      </c>
      <c r="L34" s="41">
        <f t="shared" si="2"/>
      </c>
      <c r="M34" s="585"/>
      <c r="N34" s="573">
        <f t="shared" si="3"/>
      </c>
      <c r="O34" s="586">
        <f t="shared" si="16"/>
      </c>
      <c r="P34" s="546">
        <f t="shared" si="4"/>
      </c>
      <c r="Q34" s="606">
        <f t="shared" si="5"/>
        <v>20</v>
      </c>
      <c r="R34" s="589" t="str">
        <f t="shared" si="6"/>
        <v>--</v>
      </c>
      <c r="S34" s="590" t="str">
        <f t="shared" si="7"/>
        <v>--</v>
      </c>
      <c r="T34" s="591" t="str">
        <f t="shared" si="8"/>
        <v>--</v>
      </c>
      <c r="U34" s="592" t="str">
        <f t="shared" si="9"/>
        <v>--</v>
      </c>
      <c r="V34" s="593" t="str">
        <f t="shared" si="10"/>
        <v>--</v>
      </c>
      <c r="W34" s="594" t="str">
        <f t="shared" si="11"/>
        <v>--</v>
      </c>
      <c r="X34" s="595" t="str">
        <f t="shared" si="12"/>
        <v>--</v>
      </c>
      <c r="Y34" s="596" t="str">
        <f t="shared" si="13"/>
        <v>--</v>
      </c>
      <c r="Z34" s="607">
        <f t="shared" si="14"/>
      </c>
      <c r="AA34" s="177">
        <f t="shared" si="15"/>
      </c>
      <c r="AB34" s="117"/>
    </row>
    <row r="35" spans="1:28" s="16" customFormat="1" ht="16.5" customHeight="1">
      <c r="A35" s="44"/>
      <c r="B35" s="148"/>
      <c r="C35" s="525"/>
      <c r="D35" s="574"/>
      <c r="E35" s="578"/>
      <c r="F35" s="576"/>
      <c r="G35" s="577"/>
      <c r="H35" s="496">
        <f t="shared" si="0"/>
        <v>0</v>
      </c>
      <c r="I35" s="583"/>
      <c r="J35" s="583"/>
      <c r="K35" s="40">
        <f t="shared" si="1"/>
      </c>
      <c r="L35" s="41">
        <f t="shared" si="2"/>
      </c>
      <c r="M35" s="585"/>
      <c r="N35" s="573">
        <f t="shared" si="3"/>
      </c>
      <c r="O35" s="586">
        <f t="shared" si="16"/>
      </c>
      <c r="P35" s="546">
        <f t="shared" si="4"/>
      </c>
      <c r="Q35" s="606">
        <f t="shared" si="5"/>
        <v>20</v>
      </c>
      <c r="R35" s="589" t="str">
        <f t="shared" si="6"/>
        <v>--</v>
      </c>
      <c r="S35" s="590" t="str">
        <f t="shared" si="7"/>
        <v>--</v>
      </c>
      <c r="T35" s="591" t="str">
        <f t="shared" si="8"/>
        <v>--</v>
      </c>
      <c r="U35" s="592" t="str">
        <f t="shared" si="9"/>
        <v>--</v>
      </c>
      <c r="V35" s="593" t="str">
        <f t="shared" si="10"/>
        <v>--</v>
      </c>
      <c r="W35" s="594" t="str">
        <f t="shared" si="11"/>
        <v>--</v>
      </c>
      <c r="X35" s="595" t="str">
        <f t="shared" si="12"/>
        <v>--</v>
      </c>
      <c r="Y35" s="596" t="str">
        <f t="shared" si="13"/>
        <v>--</v>
      </c>
      <c r="Z35" s="607">
        <f t="shared" si="14"/>
      </c>
      <c r="AA35" s="177">
        <f t="shared" si="15"/>
      </c>
      <c r="AB35" s="117"/>
    </row>
    <row r="36" spans="1:28" s="16" customFormat="1" ht="16.5" customHeight="1">
      <c r="A36" s="44"/>
      <c r="B36" s="148"/>
      <c r="C36" s="525"/>
      <c r="D36" s="574"/>
      <c r="E36" s="578"/>
      <c r="F36" s="576"/>
      <c r="G36" s="577"/>
      <c r="H36" s="496">
        <f t="shared" si="0"/>
        <v>0</v>
      </c>
      <c r="I36" s="583"/>
      <c r="J36" s="583"/>
      <c r="K36" s="40">
        <f t="shared" si="1"/>
      </c>
      <c r="L36" s="41">
        <f t="shared" si="2"/>
      </c>
      <c r="M36" s="585"/>
      <c r="N36" s="573">
        <f t="shared" si="3"/>
      </c>
      <c r="O36" s="586">
        <f t="shared" si="16"/>
      </c>
      <c r="P36" s="546">
        <f t="shared" si="4"/>
      </c>
      <c r="Q36" s="606">
        <f t="shared" si="5"/>
        <v>20</v>
      </c>
      <c r="R36" s="589" t="str">
        <f t="shared" si="6"/>
        <v>--</v>
      </c>
      <c r="S36" s="590" t="str">
        <f t="shared" si="7"/>
        <v>--</v>
      </c>
      <c r="T36" s="591" t="str">
        <f t="shared" si="8"/>
        <v>--</v>
      </c>
      <c r="U36" s="592" t="str">
        <f t="shared" si="9"/>
        <v>--</v>
      </c>
      <c r="V36" s="593" t="str">
        <f t="shared" si="10"/>
        <v>--</v>
      </c>
      <c r="W36" s="594" t="str">
        <f t="shared" si="11"/>
        <v>--</v>
      </c>
      <c r="X36" s="595" t="str">
        <f t="shared" si="12"/>
        <v>--</v>
      </c>
      <c r="Y36" s="596" t="str">
        <f t="shared" si="13"/>
        <v>--</v>
      </c>
      <c r="Z36" s="607">
        <f t="shared" si="14"/>
      </c>
      <c r="AA36" s="177">
        <f t="shared" si="15"/>
      </c>
      <c r="AB36" s="117"/>
    </row>
    <row r="37" spans="1:28" s="16" customFormat="1" ht="16.5" customHeight="1">
      <c r="A37" s="44"/>
      <c r="B37" s="148"/>
      <c r="C37" s="525"/>
      <c r="D37" s="574"/>
      <c r="E37" s="578"/>
      <c r="F37" s="576"/>
      <c r="G37" s="577"/>
      <c r="H37" s="496">
        <f t="shared" si="0"/>
        <v>0</v>
      </c>
      <c r="I37" s="583"/>
      <c r="J37" s="583"/>
      <c r="K37" s="40">
        <f t="shared" si="1"/>
      </c>
      <c r="L37" s="41">
        <f t="shared" si="2"/>
      </c>
      <c r="M37" s="585"/>
      <c r="N37" s="573">
        <f t="shared" si="3"/>
      </c>
      <c r="O37" s="586">
        <f t="shared" si="16"/>
      </c>
      <c r="P37" s="546">
        <f t="shared" si="4"/>
      </c>
      <c r="Q37" s="606">
        <f t="shared" si="5"/>
        <v>20</v>
      </c>
      <c r="R37" s="589" t="str">
        <f t="shared" si="6"/>
        <v>--</v>
      </c>
      <c r="S37" s="590" t="str">
        <f t="shared" si="7"/>
        <v>--</v>
      </c>
      <c r="T37" s="591" t="str">
        <f t="shared" si="8"/>
        <v>--</v>
      </c>
      <c r="U37" s="592" t="str">
        <f t="shared" si="9"/>
        <v>--</v>
      </c>
      <c r="V37" s="593" t="str">
        <f t="shared" si="10"/>
        <v>--</v>
      </c>
      <c r="W37" s="594" t="str">
        <f t="shared" si="11"/>
        <v>--</v>
      </c>
      <c r="X37" s="595" t="str">
        <f t="shared" si="12"/>
        <v>--</v>
      </c>
      <c r="Y37" s="596" t="str">
        <f t="shared" si="13"/>
        <v>--</v>
      </c>
      <c r="Z37" s="607">
        <f t="shared" si="14"/>
      </c>
      <c r="AA37" s="177">
        <f t="shared" si="15"/>
      </c>
      <c r="AB37" s="117"/>
    </row>
    <row r="38" spans="1:28" s="16" customFormat="1" ht="16.5" customHeight="1">
      <c r="A38" s="44"/>
      <c r="B38" s="148"/>
      <c r="C38" s="525"/>
      <c r="D38" s="574"/>
      <c r="E38" s="578"/>
      <c r="F38" s="576"/>
      <c r="G38" s="577"/>
      <c r="H38" s="496">
        <f t="shared" si="0"/>
        <v>0</v>
      </c>
      <c r="I38" s="583"/>
      <c r="J38" s="583"/>
      <c r="K38" s="40">
        <f t="shared" si="1"/>
      </c>
      <c r="L38" s="41">
        <f t="shared" si="2"/>
      </c>
      <c r="M38" s="585"/>
      <c r="N38" s="573">
        <f t="shared" si="3"/>
      </c>
      <c r="O38" s="586">
        <f t="shared" si="16"/>
      </c>
      <c r="P38" s="546">
        <f t="shared" si="4"/>
      </c>
      <c r="Q38" s="606">
        <f t="shared" si="5"/>
        <v>20</v>
      </c>
      <c r="R38" s="589" t="str">
        <f t="shared" si="6"/>
        <v>--</v>
      </c>
      <c r="S38" s="590" t="str">
        <f t="shared" si="7"/>
        <v>--</v>
      </c>
      <c r="T38" s="591" t="str">
        <f t="shared" si="8"/>
        <v>--</v>
      </c>
      <c r="U38" s="592" t="str">
        <f t="shared" si="9"/>
        <v>--</v>
      </c>
      <c r="V38" s="593" t="str">
        <f t="shared" si="10"/>
        <v>--</v>
      </c>
      <c r="W38" s="594" t="str">
        <f t="shared" si="11"/>
        <v>--</v>
      </c>
      <c r="X38" s="595" t="str">
        <f t="shared" si="12"/>
        <v>--</v>
      </c>
      <c r="Y38" s="596" t="str">
        <f t="shared" si="13"/>
        <v>--</v>
      </c>
      <c r="Z38" s="607">
        <f t="shared" si="14"/>
      </c>
      <c r="AA38" s="177">
        <f t="shared" si="15"/>
      </c>
      <c r="AB38" s="117"/>
    </row>
    <row r="39" spans="1:28" s="16" customFormat="1" ht="16.5" customHeight="1">
      <c r="A39" s="44"/>
      <c r="B39" s="148"/>
      <c r="C39" s="525"/>
      <c r="D39" s="574"/>
      <c r="E39" s="578"/>
      <c r="F39" s="576"/>
      <c r="G39" s="577"/>
      <c r="H39" s="496">
        <f t="shared" si="0"/>
        <v>0</v>
      </c>
      <c r="I39" s="583"/>
      <c r="J39" s="583"/>
      <c r="K39" s="40">
        <f t="shared" si="1"/>
      </c>
      <c r="L39" s="41">
        <f t="shared" si="2"/>
      </c>
      <c r="M39" s="585"/>
      <c r="N39" s="573">
        <f t="shared" si="3"/>
      </c>
      <c r="O39" s="586">
        <f t="shared" si="16"/>
      </c>
      <c r="P39" s="546">
        <f t="shared" si="4"/>
      </c>
      <c r="Q39" s="606">
        <f t="shared" si="5"/>
        <v>20</v>
      </c>
      <c r="R39" s="589" t="str">
        <f t="shared" si="6"/>
        <v>--</v>
      </c>
      <c r="S39" s="590" t="str">
        <f t="shared" si="7"/>
        <v>--</v>
      </c>
      <c r="T39" s="591" t="str">
        <f t="shared" si="8"/>
        <v>--</v>
      </c>
      <c r="U39" s="592" t="str">
        <f t="shared" si="9"/>
        <v>--</v>
      </c>
      <c r="V39" s="593" t="str">
        <f t="shared" si="10"/>
        <v>--</v>
      </c>
      <c r="W39" s="594" t="str">
        <f t="shared" si="11"/>
        <v>--</v>
      </c>
      <c r="X39" s="595" t="str">
        <f t="shared" si="12"/>
        <v>--</v>
      </c>
      <c r="Y39" s="596" t="str">
        <f t="shared" si="13"/>
        <v>--</v>
      </c>
      <c r="Z39" s="607">
        <f t="shared" si="14"/>
      </c>
      <c r="AA39" s="177">
        <f t="shared" si="15"/>
      </c>
      <c r="AB39" s="117"/>
    </row>
    <row r="40" spans="1:28" s="16" customFormat="1" ht="16.5" customHeight="1" thickBot="1">
      <c r="A40" s="44"/>
      <c r="B40" s="148"/>
      <c r="C40" s="579"/>
      <c r="D40" s="580"/>
      <c r="E40" s="581"/>
      <c r="F40" s="580"/>
      <c r="G40" s="582"/>
      <c r="H40" s="301"/>
      <c r="I40" s="579"/>
      <c r="J40" s="584"/>
      <c r="K40" s="42"/>
      <c r="L40" s="43"/>
      <c r="M40" s="587"/>
      <c r="N40" s="558"/>
      <c r="O40" s="588"/>
      <c r="P40" s="587"/>
      <c r="Q40" s="608"/>
      <c r="R40" s="597"/>
      <c r="S40" s="598"/>
      <c r="T40" s="599"/>
      <c r="U40" s="600"/>
      <c r="V40" s="601"/>
      <c r="W40" s="602"/>
      <c r="X40" s="603"/>
      <c r="Y40" s="604"/>
      <c r="Z40" s="605"/>
      <c r="AA40" s="178"/>
      <c r="AB40" s="117"/>
    </row>
    <row r="41" spans="1:28" s="16" customFormat="1" ht="16.5" customHeight="1" thickBot="1" thickTop="1">
      <c r="A41" s="44"/>
      <c r="B41" s="148"/>
      <c r="C41" s="236" t="s">
        <v>57</v>
      </c>
      <c r="D41" s="237" t="s">
        <v>58</v>
      </c>
      <c r="E41" s="45"/>
      <c r="F41" s="45"/>
      <c r="G41" s="45"/>
      <c r="H41" s="45"/>
      <c r="I41" s="45"/>
      <c r="J41" s="46"/>
      <c r="K41" s="45"/>
      <c r="L41" s="45"/>
      <c r="M41" s="45"/>
      <c r="N41" s="45"/>
      <c r="O41" s="45"/>
      <c r="P41" s="45"/>
      <c r="Q41" s="45"/>
      <c r="R41" s="371">
        <f aca="true" t="shared" si="17" ref="R41:Y41">SUM(R18:R40)</f>
        <v>482.502</v>
      </c>
      <c r="S41" s="375">
        <f t="shared" si="17"/>
        <v>0</v>
      </c>
      <c r="T41" s="380">
        <f t="shared" si="17"/>
        <v>708</v>
      </c>
      <c r="U41" s="381">
        <f t="shared" si="17"/>
        <v>346.92</v>
      </c>
      <c r="V41" s="388">
        <f t="shared" si="17"/>
        <v>0</v>
      </c>
      <c r="W41" s="389">
        <f t="shared" si="17"/>
        <v>0</v>
      </c>
      <c r="X41" s="440">
        <f t="shared" si="17"/>
        <v>0</v>
      </c>
      <c r="Y41" s="441">
        <f t="shared" si="17"/>
        <v>0</v>
      </c>
      <c r="Z41" s="44"/>
      <c r="AA41" s="307">
        <f>ROUND(SUM(AA18:AA40),2)</f>
        <v>1537.42</v>
      </c>
      <c r="AB41" s="117"/>
    </row>
    <row r="42" spans="1:28" s="241" customFormat="1" ht="9.75" thickTop="1">
      <c r="A42" s="251"/>
      <c r="B42" s="252"/>
      <c r="C42" s="238"/>
      <c r="D42" s="240" t="s">
        <v>59</v>
      </c>
      <c r="E42" s="253"/>
      <c r="F42" s="253"/>
      <c r="G42" s="253"/>
      <c r="H42" s="253"/>
      <c r="I42" s="253"/>
      <c r="J42" s="254"/>
      <c r="K42" s="253"/>
      <c r="L42" s="253"/>
      <c r="M42" s="253"/>
      <c r="N42" s="253"/>
      <c r="O42" s="253"/>
      <c r="P42" s="253"/>
      <c r="Q42" s="253"/>
      <c r="R42" s="256"/>
      <c r="S42" s="256"/>
      <c r="T42" s="256"/>
      <c r="U42" s="256"/>
      <c r="V42" s="256"/>
      <c r="W42" s="256"/>
      <c r="X42" s="256"/>
      <c r="Y42" s="256"/>
      <c r="Z42" s="251"/>
      <c r="AA42" s="255"/>
      <c r="AB42" s="257"/>
    </row>
    <row r="43" spans="1:28" s="16" customFormat="1" ht="16.5" customHeight="1" thickBot="1">
      <c r="A43" s="44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3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1">
    <pageSetUpPr fitToPage="1"/>
  </sheetPr>
  <dimension ref="A1:AC155"/>
  <sheetViews>
    <sheetView zoomScale="75" zoomScaleNormal="75" workbookViewId="0" topLeftCell="E5">
      <selection activeCell="D52" sqref="D5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68" customFormat="1" ht="26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501"/>
    </row>
    <row r="2" spans="1:28" s="68" customFormat="1" ht="26.25">
      <c r="A2" s="112"/>
      <c r="B2" s="155" t="str">
        <f>+'tot-0309'!B2</f>
        <v>ANEXO I-2 a la Resolución ENRE N°            520/2006</v>
      </c>
      <c r="C2" s="155"/>
      <c r="D2" s="155"/>
      <c r="E2" s="69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16" customFormat="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s="75" customFormat="1" ht="11.25">
      <c r="A4" s="179" t="s">
        <v>68</v>
      </c>
      <c r="B4" s="180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</row>
    <row r="5" spans="1:28" s="75" customFormat="1" ht="11.25">
      <c r="A5" s="179" t="s">
        <v>17</v>
      </c>
      <c r="B5" s="180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</row>
    <row r="6" spans="1:28" s="16" customFormat="1" ht="13.5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16" customFormat="1" ht="13.5" thickTop="1">
      <c r="A7" s="44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16"/>
    </row>
    <row r="8" spans="1:28" s="10" customFormat="1" ht="20.25">
      <c r="A8" s="157"/>
      <c r="B8" s="158"/>
      <c r="C8" s="157"/>
      <c r="D8" s="160" t="s">
        <v>30</v>
      </c>
      <c r="E8" s="157"/>
      <c r="F8" s="157"/>
      <c r="G8" s="159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35"/>
      <c r="S8" s="35"/>
      <c r="T8" s="35"/>
      <c r="U8" s="35"/>
      <c r="V8" s="35"/>
      <c r="W8" s="35"/>
      <c r="X8" s="35"/>
      <c r="Y8" s="35"/>
      <c r="Z8" s="35"/>
      <c r="AA8" s="35"/>
      <c r="AB8" s="128"/>
    </row>
    <row r="9" spans="1:28" s="16" customFormat="1" ht="12.75">
      <c r="A9" s="44"/>
      <c r="B9" s="148"/>
      <c r="C9" s="44"/>
      <c r="D9" s="45"/>
      <c r="E9" s="154"/>
      <c r="F9" s="44"/>
      <c r="G9" s="45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45"/>
      <c r="T9" s="45"/>
      <c r="U9" s="45"/>
      <c r="V9" s="45"/>
      <c r="W9" s="45"/>
      <c r="X9" s="45"/>
      <c r="Y9" s="45"/>
      <c r="Z9" s="45"/>
      <c r="AA9" s="45"/>
      <c r="AB9" s="117"/>
    </row>
    <row r="10" spans="1:28" s="10" customFormat="1" ht="20.25">
      <c r="A10" s="157"/>
      <c r="B10" s="158"/>
      <c r="C10" s="157"/>
      <c r="D10" s="7" t="s">
        <v>93</v>
      </c>
      <c r="E10" s="157"/>
      <c r="F10" s="47"/>
      <c r="G10" s="35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128"/>
    </row>
    <row r="11" spans="1:28" s="16" customFormat="1" ht="12.75">
      <c r="A11" s="44"/>
      <c r="B11" s="148"/>
      <c r="C11" s="44"/>
      <c r="D11" s="45"/>
      <c r="E11" s="45"/>
      <c r="F11" s="45"/>
      <c r="G11" s="149"/>
      <c r="H11" s="45"/>
      <c r="I11" s="45"/>
      <c r="J11" s="45"/>
      <c r="K11" s="45"/>
      <c r="L11" s="45"/>
      <c r="M11" s="44"/>
      <c r="N11" s="44"/>
      <c r="O11" s="44"/>
      <c r="P11" s="44"/>
      <c r="Q11" s="44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117"/>
    </row>
    <row r="12" spans="1:28" s="15" customFormat="1" ht="19.5">
      <c r="A12" s="162"/>
      <c r="B12" s="163" t="str">
        <f>+'tot-0309'!B14</f>
        <v>Desde el 01 al 30 de septiembre de 2003</v>
      </c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4"/>
      <c r="N12" s="164"/>
      <c r="O12" s="164"/>
      <c r="P12" s="164"/>
      <c r="Q12" s="164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6"/>
    </row>
    <row r="13" spans="1:28" s="16" customFormat="1" ht="13.5" thickBot="1">
      <c r="A13" s="44"/>
      <c r="B13" s="148"/>
      <c r="C13" s="44"/>
      <c r="D13" s="45"/>
      <c r="E13" s="45"/>
      <c r="F13" s="45"/>
      <c r="G13" s="149"/>
      <c r="H13" s="45"/>
      <c r="I13" s="45"/>
      <c r="J13" s="45"/>
      <c r="K13" s="45"/>
      <c r="L13" s="45"/>
      <c r="M13" s="44"/>
      <c r="N13" s="44"/>
      <c r="O13" s="44"/>
      <c r="P13" s="44"/>
      <c r="Q13" s="44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117"/>
    </row>
    <row r="14" spans="1:28" s="16" customFormat="1" ht="16.5" customHeight="1" thickBot="1" thickTop="1">
      <c r="A14" s="44"/>
      <c r="B14" s="148"/>
      <c r="C14" s="44"/>
      <c r="D14" s="302" t="s">
        <v>69</v>
      </c>
      <c r="E14" s="303"/>
      <c r="F14" s="304">
        <v>0.059</v>
      </c>
      <c r="H14" s="44"/>
      <c r="I14" s="44"/>
      <c r="J14" s="44"/>
      <c r="K14" s="44"/>
      <c r="L14" s="44"/>
      <c r="M14" s="44"/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117"/>
    </row>
    <row r="15" spans="1:28" s="16" customFormat="1" ht="16.5" customHeight="1" thickBot="1" thickTop="1">
      <c r="A15" s="44"/>
      <c r="B15" s="148"/>
      <c r="C15" s="44"/>
      <c r="D15" s="167" t="s">
        <v>70</v>
      </c>
      <c r="E15" s="168"/>
      <c r="F15" s="169">
        <v>200</v>
      </c>
      <c r="G1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46"/>
      <c r="W15" s="46"/>
      <c r="X15" s="46"/>
      <c r="Y15" s="46"/>
      <c r="Z15" s="46"/>
      <c r="AA15" s="44"/>
      <c r="AB15" s="117"/>
    </row>
    <row r="16" spans="1:28" s="16" customFormat="1" ht="16.5" customHeight="1" thickBot="1" thickTop="1">
      <c r="A16" s="44"/>
      <c r="B16" s="148"/>
      <c r="C16" s="44"/>
      <c r="D16" s="45"/>
      <c r="E16" s="45"/>
      <c r="F16" s="45"/>
      <c r="G16" s="1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117"/>
    </row>
    <row r="17" spans="1:28" s="16" customFormat="1" ht="33.75" customHeight="1" thickBot="1" thickTop="1">
      <c r="A17" s="44"/>
      <c r="B17" s="148"/>
      <c r="C17" s="170" t="s">
        <v>35</v>
      </c>
      <c r="D17" s="173" t="s">
        <v>71</v>
      </c>
      <c r="E17" s="171" t="s">
        <v>12</v>
      </c>
      <c r="F17" s="174" t="s">
        <v>72</v>
      </c>
      <c r="G17" s="175" t="s">
        <v>36</v>
      </c>
      <c r="H17" s="299" t="s">
        <v>40</v>
      </c>
      <c r="I17" s="171" t="s">
        <v>41</v>
      </c>
      <c r="J17" s="171" t="s">
        <v>42</v>
      </c>
      <c r="K17" s="173" t="s">
        <v>73</v>
      </c>
      <c r="L17" s="173" t="s">
        <v>44</v>
      </c>
      <c r="M17" s="140" t="s">
        <v>45</v>
      </c>
      <c r="N17" s="140" t="s">
        <v>46</v>
      </c>
      <c r="O17" s="172" t="s">
        <v>48</v>
      </c>
      <c r="P17" s="171" t="s">
        <v>74</v>
      </c>
      <c r="Q17" s="365" t="s">
        <v>39</v>
      </c>
      <c r="R17" s="368" t="s">
        <v>49</v>
      </c>
      <c r="S17" s="372" t="s">
        <v>50</v>
      </c>
      <c r="T17" s="296" t="s">
        <v>75</v>
      </c>
      <c r="U17" s="298"/>
      <c r="V17" s="382" t="s">
        <v>76</v>
      </c>
      <c r="W17" s="383"/>
      <c r="X17" s="391" t="s">
        <v>53</v>
      </c>
      <c r="Y17" s="394" t="s">
        <v>54</v>
      </c>
      <c r="Z17" s="142" t="s">
        <v>55</v>
      </c>
      <c r="AA17" s="175" t="s">
        <v>56</v>
      </c>
      <c r="AB17" s="117"/>
    </row>
    <row r="18" spans="1:28" s="16" customFormat="1" ht="16.5" customHeight="1" thickTop="1">
      <c r="A18" s="44"/>
      <c r="B18" s="148"/>
      <c r="C18" s="362"/>
      <c r="D18" s="362"/>
      <c r="E18" s="362"/>
      <c r="F18" s="362"/>
      <c r="G18" s="363"/>
      <c r="H18" s="361"/>
      <c r="I18" s="362"/>
      <c r="J18" s="362"/>
      <c r="K18" s="362"/>
      <c r="L18" s="362"/>
      <c r="M18" s="362"/>
      <c r="N18" s="336"/>
      <c r="O18" s="364"/>
      <c r="P18" s="362"/>
      <c r="Q18" s="366"/>
      <c r="R18" s="369"/>
      <c r="S18" s="373"/>
      <c r="T18" s="376"/>
      <c r="U18" s="377"/>
      <c r="V18" s="384"/>
      <c r="W18" s="385"/>
      <c r="X18" s="392"/>
      <c r="Y18" s="395"/>
      <c r="Z18" s="364"/>
      <c r="AA18" s="498"/>
      <c r="AB18" s="117"/>
    </row>
    <row r="19" spans="1:28" s="16" customFormat="1" ht="16.5" customHeight="1">
      <c r="A19" s="44"/>
      <c r="B19" s="148"/>
      <c r="C19" s="37"/>
      <c r="D19" s="37"/>
      <c r="E19" s="37"/>
      <c r="F19" s="37"/>
      <c r="G19" s="38"/>
      <c r="H19" s="306"/>
      <c r="I19" s="37"/>
      <c r="J19" s="37"/>
      <c r="K19" s="37"/>
      <c r="L19" s="37"/>
      <c r="M19" s="37"/>
      <c r="N19" s="18"/>
      <c r="O19" s="39"/>
      <c r="P19" s="37"/>
      <c r="Q19" s="367"/>
      <c r="R19" s="370"/>
      <c r="S19" s="374"/>
      <c r="T19" s="378"/>
      <c r="U19" s="379"/>
      <c r="V19" s="386"/>
      <c r="W19" s="387"/>
      <c r="X19" s="393"/>
      <c r="Y19" s="396"/>
      <c r="Z19" s="39"/>
      <c r="AA19" s="176"/>
      <c r="AB19" s="117"/>
    </row>
    <row r="20" spans="1:28" s="16" customFormat="1" ht="16.5" customHeight="1">
      <c r="A20" s="44"/>
      <c r="B20" s="148"/>
      <c r="C20" s="525" t="s">
        <v>120</v>
      </c>
      <c r="D20" s="574" t="s">
        <v>115</v>
      </c>
      <c r="E20" s="575" t="s">
        <v>5</v>
      </c>
      <c r="F20" s="576">
        <v>300</v>
      </c>
      <c r="G20" s="641" t="s">
        <v>7</v>
      </c>
      <c r="H20" s="496">
        <f aca="true" t="shared" si="0" ref="H20:H39">F20*$F$14</f>
        <v>17.7</v>
      </c>
      <c r="I20" s="583">
        <v>37867.365277777775</v>
      </c>
      <c r="J20" s="583">
        <v>37867.65694444445</v>
      </c>
      <c r="K20" s="40">
        <f aca="true" t="shared" si="1" ref="K20:K39">IF(D20="","",(J20-I20)*24)</f>
        <v>7.000000000116415</v>
      </c>
      <c r="L20" s="41">
        <f aca="true" t="shared" si="2" ref="L20:L39">IF(D20="","",ROUND((J20-I20)*24*60,0))</f>
        <v>420</v>
      </c>
      <c r="M20" s="585" t="s">
        <v>102</v>
      </c>
      <c r="N20" s="573" t="str">
        <f aca="true" t="shared" si="3" ref="N20:N39">IF(D20="","","--")</f>
        <v>--</v>
      </c>
      <c r="O20" s="586" t="str">
        <f>IF(D20="","",IF(OR(M20="P",M20="RP"),"--","NO"))</f>
        <v>--</v>
      </c>
      <c r="P20" s="546" t="str">
        <f aca="true" t="shared" si="4" ref="P20:P39">IF(D20="","","NO")</f>
        <v>NO</v>
      </c>
      <c r="Q20" s="606">
        <f aca="true" t="shared" si="5" ref="Q20:Q39">$F$15*IF(OR(M20="P",M20="RP"),0.1,1)*IF(P20="SI",1,0.1)</f>
        <v>2</v>
      </c>
      <c r="R20" s="589">
        <f aca="true" t="shared" si="6" ref="R20:R39">IF(M20="P",H20*Q20*ROUND(L20/60,2),"--")</f>
        <v>247.79999999999998</v>
      </c>
      <c r="S20" s="590" t="str">
        <f aca="true" t="shared" si="7" ref="S20:S39">IF(M20="RP",H20*Q20*N20/100*ROUND(L20/60,2),"--")</f>
        <v>--</v>
      </c>
      <c r="T20" s="591" t="str">
        <f aca="true" t="shared" si="8" ref="T20:T39">IF(AND(M20="F",O20="NO"),H20*Q20,"--")</f>
        <v>--</v>
      </c>
      <c r="U20" s="592" t="str">
        <f aca="true" t="shared" si="9" ref="U20:U39">IF(M20="F",H20*Q20*ROUND(L20/60,2),"--")</f>
        <v>--</v>
      </c>
      <c r="V20" s="593" t="str">
        <f aca="true" t="shared" si="10" ref="V20:V39">IF(AND(M20="R",O20="NO"),H20*Q20*N20/100,"--")</f>
        <v>--</v>
      </c>
      <c r="W20" s="594" t="str">
        <f aca="true" t="shared" si="11" ref="W20:W39">IF(M20="R",H20*Q20*N20/100*ROUND(L20/60,2),"--")</f>
        <v>--</v>
      </c>
      <c r="X20" s="595" t="str">
        <f aca="true" t="shared" si="12" ref="X20:X39">IF(M20="RF",H20*Q20*ROUND(L20/60,2),"--")</f>
        <v>--</v>
      </c>
      <c r="Y20" s="596" t="str">
        <f aca="true" t="shared" si="13" ref="Y20:Y39">IF(M20="RR",H20*Q20*N20/100*ROUND(L20/60,2),"--")</f>
        <v>--</v>
      </c>
      <c r="Z20" s="607" t="str">
        <f aca="true" t="shared" si="14" ref="Z20:Z39">IF(D20="","","SI")</f>
        <v>SI</v>
      </c>
      <c r="AA20" s="177">
        <f aca="true" t="shared" si="15" ref="AA20:AA39">IF(D20="","",SUM(R20:Y20)*IF(Z20="SI",1,2))</f>
        <v>247.79999999999998</v>
      </c>
      <c r="AB20" s="117"/>
    </row>
    <row r="21" spans="1:28" s="16" customFormat="1" ht="16.5" customHeight="1">
      <c r="A21" s="44"/>
      <c r="B21" s="148"/>
      <c r="C21" s="525" t="s">
        <v>121</v>
      </c>
      <c r="D21" s="574" t="s">
        <v>115</v>
      </c>
      <c r="E21" s="575" t="s">
        <v>5</v>
      </c>
      <c r="F21" s="576">
        <v>300</v>
      </c>
      <c r="G21" s="641" t="s">
        <v>7</v>
      </c>
      <c r="H21" s="496">
        <f t="shared" si="0"/>
        <v>17.7</v>
      </c>
      <c r="I21" s="583">
        <v>37868.34027777778</v>
      </c>
      <c r="J21" s="583">
        <v>37868.67361111111</v>
      </c>
      <c r="K21" s="40">
        <f t="shared" si="1"/>
        <v>7.999999999883585</v>
      </c>
      <c r="L21" s="41">
        <f t="shared" si="2"/>
        <v>480</v>
      </c>
      <c r="M21" s="585" t="s">
        <v>102</v>
      </c>
      <c r="N21" s="573" t="str">
        <f t="shared" si="3"/>
        <v>--</v>
      </c>
      <c r="O21" s="586" t="str">
        <f aca="true" t="shared" si="16" ref="O21:O39">IF(D21="","",IF(M21="P","--","NO"))</f>
        <v>--</v>
      </c>
      <c r="P21" s="546" t="str">
        <f t="shared" si="4"/>
        <v>NO</v>
      </c>
      <c r="Q21" s="606">
        <f t="shared" si="5"/>
        <v>2</v>
      </c>
      <c r="R21" s="589">
        <f t="shared" si="6"/>
        <v>283.2</v>
      </c>
      <c r="S21" s="590" t="str">
        <f t="shared" si="7"/>
        <v>--</v>
      </c>
      <c r="T21" s="591" t="str">
        <f t="shared" si="8"/>
        <v>--</v>
      </c>
      <c r="U21" s="592" t="str">
        <f t="shared" si="9"/>
        <v>--</v>
      </c>
      <c r="V21" s="593" t="str">
        <f t="shared" si="10"/>
        <v>--</v>
      </c>
      <c r="W21" s="594" t="str">
        <f t="shared" si="11"/>
        <v>--</v>
      </c>
      <c r="X21" s="595" t="str">
        <f t="shared" si="12"/>
        <v>--</v>
      </c>
      <c r="Y21" s="596" t="str">
        <f t="shared" si="13"/>
        <v>--</v>
      </c>
      <c r="Z21" s="607" t="str">
        <f t="shared" si="14"/>
        <v>SI</v>
      </c>
      <c r="AA21" s="177">
        <f t="shared" si="15"/>
        <v>283.2</v>
      </c>
      <c r="AB21" s="117"/>
    </row>
    <row r="22" spans="1:28" s="16" customFormat="1" ht="16.5" customHeight="1">
      <c r="A22" s="44"/>
      <c r="B22" s="148"/>
      <c r="C22" s="525" t="s">
        <v>122</v>
      </c>
      <c r="D22" s="574" t="s">
        <v>115</v>
      </c>
      <c r="E22" s="575" t="s">
        <v>5</v>
      </c>
      <c r="F22" s="576">
        <v>300</v>
      </c>
      <c r="G22" s="641" t="s">
        <v>7</v>
      </c>
      <c r="H22" s="496">
        <f t="shared" si="0"/>
        <v>17.7</v>
      </c>
      <c r="I22" s="583">
        <v>37869.388194444444</v>
      </c>
      <c r="J22" s="583">
        <v>37869.67986111111</v>
      </c>
      <c r="K22" s="40">
        <f t="shared" si="1"/>
        <v>6.999999999941792</v>
      </c>
      <c r="L22" s="41">
        <f t="shared" si="2"/>
        <v>420</v>
      </c>
      <c r="M22" s="585" t="s">
        <v>102</v>
      </c>
      <c r="N22" s="573" t="str">
        <f t="shared" si="3"/>
        <v>--</v>
      </c>
      <c r="O22" s="586" t="str">
        <f t="shared" si="16"/>
        <v>--</v>
      </c>
      <c r="P22" s="546" t="str">
        <f t="shared" si="4"/>
        <v>NO</v>
      </c>
      <c r="Q22" s="606">
        <f t="shared" si="5"/>
        <v>2</v>
      </c>
      <c r="R22" s="589">
        <f t="shared" si="6"/>
        <v>247.79999999999998</v>
      </c>
      <c r="S22" s="590" t="str">
        <f t="shared" si="7"/>
        <v>--</v>
      </c>
      <c r="T22" s="591" t="str">
        <f t="shared" si="8"/>
        <v>--</v>
      </c>
      <c r="U22" s="592" t="str">
        <f t="shared" si="9"/>
        <v>--</v>
      </c>
      <c r="V22" s="593" t="str">
        <f t="shared" si="10"/>
        <v>--</v>
      </c>
      <c r="W22" s="594" t="str">
        <f t="shared" si="11"/>
        <v>--</v>
      </c>
      <c r="X22" s="595" t="str">
        <f t="shared" si="12"/>
        <v>--</v>
      </c>
      <c r="Y22" s="596" t="str">
        <f t="shared" si="13"/>
        <v>--</v>
      </c>
      <c r="Z22" s="607" t="str">
        <f t="shared" si="14"/>
        <v>SI</v>
      </c>
      <c r="AA22" s="177">
        <f t="shared" si="15"/>
        <v>247.79999999999998</v>
      </c>
      <c r="AB22" s="117"/>
    </row>
    <row r="23" spans="1:28" s="16" customFormat="1" ht="16.5" customHeight="1">
      <c r="A23" s="44"/>
      <c r="B23" s="148"/>
      <c r="C23" s="525" t="s">
        <v>123</v>
      </c>
      <c r="D23" s="574" t="s">
        <v>115</v>
      </c>
      <c r="E23" s="575" t="s">
        <v>5</v>
      </c>
      <c r="F23" s="576">
        <v>300</v>
      </c>
      <c r="G23" s="641" t="s">
        <v>7</v>
      </c>
      <c r="H23" s="496">
        <f t="shared" si="0"/>
        <v>17.7</v>
      </c>
      <c r="I23" s="583">
        <v>37894.36736111111</v>
      </c>
      <c r="J23" s="583">
        <v>37894.65902777778</v>
      </c>
      <c r="K23" s="40">
        <f t="shared" si="1"/>
        <v>7.000000000116415</v>
      </c>
      <c r="L23" s="41">
        <f t="shared" si="2"/>
        <v>420</v>
      </c>
      <c r="M23" s="585" t="s">
        <v>102</v>
      </c>
      <c r="N23" s="573" t="str">
        <f t="shared" si="3"/>
        <v>--</v>
      </c>
      <c r="O23" s="586" t="str">
        <f t="shared" si="16"/>
        <v>--</v>
      </c>
      <c r="P23" s="546" t="str">
        <f t="shared" si="4"/>
        <v>NO</v>
      </c>
      <c r="Q23" s="606">
        <f t="shared" si="5"/>
        <v>2</v>
      </c>
      <c r="R23" s="589">
        <f t="shared" si="6"/>
        <v>247.79999999999998</v>
      </c>
      <c r="S23" s="590" t="str">
        <f t="shared" si="7"/>
        <v>--</v>
      </c>
      <c r="T23" s="591" t="str">
        <f t="shared" si="8"/>
        <v>--</v>
      </c>
      <c r="U23" s="592" t="str">
        <f t="shared" si="9"/>
        <v>--</v>
      </c>
      <c r="V23" s="593" t="str">
        <f t="shared" si="10"/>
        <v>--</v>
      </c>
      <c r="W23" s="594" t="str">
        <f t="shared" si="11"/>
        <v>--</v>
      </c>
      <c r="X23" s="595" t="str">
        <f t="shared" si="12"/>
        <v>--</v>
      </c>
      <c r="Y23" s="596" t="str">
        <f t="shared" si="13"/>
        <v>--</v>
      </c>
      <c r="Z23" s="607" t="str">
        <f t="shared" si="14"/>
        <v>SI</v>
      </c>
      <c r="AA23" s="177">
        <f t="shared" si="15"/>
        <v>247.79999999999998</v>
      </c>
      <c r="AB23" s="117"/>
    </row>
    <row r="24" spans="1:28" s="16" customFormat="1" ht="16.5" customHeight="1">
      <c r="A24" s="44"/>
      <c r="B24" s="148"/>
      <c r="C24" s="525"/>
      <c r="D24" s="574"/>
      <c r="E24" s="575"/>
      <c r="F24" s="576"/>
      <c r="G24" s="577"/>
      <c r="H24" s="496">
        <f t="shared" si="0"/>
        <v>0</v>
      </c>
      <c r="I24" s="583"/>
      <c r="J24" s="583"/>
      <c r="K24" s="40">
        <f t="shared" si="1"/>
      </c>
      <c r="L24" s="41">
        <f t="shared" si="2"/>
      </c>
      <c r="M24" s="585"/>
      <c r="N24" s="573">
        <f t="shared" si="3"/>
      </c>
      <c r="O24" s="586">
        <f t="shared" si="16"/>
      </c>
      <c r="P24" s="546">
        <f t="shared" si="4"/>
      </c>
      <c r="Q24" s="606">
        <f t="shared" si="5"/>
        <v>20</v>
      </c>
      <c r="R24" s="589" t="str">
        <f t="shared" si="6"/>
        <v>--</v>
      </c>
      <c r="S24" s="590" t="str">
        <f t="shared" si="7"/>
        <v>--</v>
      </c>
      <c r="T24" s="591" t="str">
        <f t="shared" si="8"/>
        <v>--</v>
      </c>
      <c r="U24" s="592" t="str">
        <f t="shared" si="9"/>
        <v>--</v>
      </c>
      <c r="V24" s="593" t="str">
        <f t="shared" si="10"/>
        <v>--</v>
      </c>
      <c r="W24" s="594" t="str">
        <f t="shared" si="11"/>
        <v>--</v>
      </c>
      <c r="X24" s="595" t="str">
        <f t="shared" si="12"/>
        <v>--</v>
      </c>
      <c r="Y24" s="596" t="str">
        <f t="shared" si="13"/>
        <v>--</v>
      </c>
      <c r="Z24" s="607">
        <f t="shared" si="14"/>
      </c>
      <c r="AA24" s="177">
        <f t="shared" si="15"/>
      </c>
      <c r="AB24" s="117"/>
    </row>
    <row r="25" spans="1:28" s="16" customFormat="1" ht="16.5" customHeight="1">
      <c r="A25" s="44"/>
      <c r="B25" s="148"/>
      <c r="C25" s="525"/>
      <c r="D25" s="574"/>
      <c r="E25" s="575"/>
      <c r="F25" s="576"/>
      <c r="G25" s="577"/>
      <c r="H25" s="496">
        <f t="shared" si="0"/>
        <v>0</v>
      </c>
      <c r="I25" s="583"/>
      <c r="J25" s="583"/>
      <c r="K25" s="40">
        <f t="shared" si="1"/>
      </c>
      <c r="L25" s="41">
        <f t="shared" si="2"/>
      </c>
      <c r="M25" s="585"/>
      <c r="N25" s="573">
        <f t="shared" si="3"/>
      </c>
      <c r="O25" s="586">
        <f t="shared" si="16"/>
      </c>
      <c r="P25" s="546">
        <f t="shared" si="4"/>
      </c>
      <c r="Q25" s="606">
        <f t="shared" si="5"/>
        <v>20</v>
      </c>
      <c r="R25" s="589" t="str">
        <f t="shared" si="6"/>
        <v>--</v>
      </c>
      <c r="S25" s="590" t="str">
        <f t="shared" si="7"/>
        <v>--</v>
      </c>
      <c r="T25" s="591" t="str">
        <f t="shared" si="8"/>
        <v>--</v>
      </c>
      <c r="U25" s="592" t="str">
        <f t="shared" si="9"/>
        <v>--</v>
      </c>
      <c r="V25" s="593" t="str">
        <f t="shared" si="10"/>
        <v>--</v>
      </c>
      <c r="W25" s="594" t="str">
        <f t="shared" si="11"/>
        <v>--</v>
      </c>
      <c r="X25" s="595" t="str">
        <f t="shared" si="12"/>
        <v>--</v>
      </c>
      <c r="Y25" s="596" t="str">
        <f t="shared" si="13"/>
        <v>--</v>
      </c>
      <c r="Z25" s="607">
        <f t="shared" si="14"/>
      </c>
      <c r="AA25" s="177">
        <f t="shared" si="15"/>
      </c>
      <c r="AB25" s="117"/>
    </row>
    <row r="26" spans="1:29" s="16" customFormat="1" ht="16.5" customHeight="1">
      <c r="A26" s="44"/>
      <c r="B26" s="148"/>
      <c r="C26" s="525"/>
      <c r="D26" s="574"/>
      <c r="E26" s="575"/>
      <c r="F26" s="576"/>
      <c r="G26" s="577"/>
      <c r="H26" s="496">
        <f t="shared" si="0"/>
        <v>0</v>
      </c>
      <c r="I26" s="583"/>
      <c r="J26" s="583"/>
      <c r="K26" s="40">
        <f t="shared" si="1"/>
      </c>
      <c r="L26" s="41">
        <f t="shared" si="2"/>
      </c>
      <c r="M26" s="585"/>
      <c r="N26" s="573">
        <f t="shared" si="3"/>
      </c>
      <c r="O26" s="586">
        <f t="shared" si="16"/>
      </c>
      <c r="P26" s="546">
        <f t="shared" si="4"/>
      </c>
      <c r="Q26" s="606">
        <f t="shared" si="5"/>
        <v>20</v>
      </c>
      <c r="R26" s="589" t="str">
        <f t="shared" si="6"/>
        <v>--</v>
      </c>
      <c r="S26" s="590" t="str">
        <f t="shared" si="7"/>
        <v>--</v>
      </c>
      <c r="T26" s="591" t="str">
        <f t="shared" si="8"/>
        <v>--</v>
      </c>
      <c r="U26" s="592" t="str">
        <f t="shared" si="9"/>
        <v>--</v>
      </c>
      <c r="V26" s="593" t="str">
        <f t="shared" si="10"/>
        <v>--</v>
      </c>
      <c r="W26" s="594" t="str">
        <f t="shared" si="11"/>
        <v>--</v>
      </c>
      <c r="X26" s="595" t="str">
        <f t="shared" si="12"/>
        <v>--</v>
      </c>
      <c r="Y26" s="596" t="str">
        <f t="shared" si="13"/>
        <v>--</v>
      </c>
      <c r="Z26" s="607">
        <f t="shared" si="14"/>
      </c>
      <c r="AA26" s="177">
        <f t="shared" si="15"/>
      </c>
      <c r="AB26" s="117"/>
      <c r="AC26" s="45"/>
    </row>
    <row r="27" spans="1:28" s="16" customFormat="1" ht="16.5" customHeight="1">
      <c r="A27" s="44"/>
      <c r="B27" s="148"/>
      <c r="C27" s="525"/>
      <c r="D27" s="574"/>
      <c r="E27" s="575"/>
      <c r="F27" s="576"/>
      <c r="G27" s="577"/>
      <c r="H27" s="496">
        <f t="shared" si="0"/>
        <v>0</v>
      </c>
      <c r="I27" s="583"/>
      <c r="J27" s="583"/>
      <c r="K27" s="40">
        <f t="shared" si="1"/>
      </c>
      <c r="L27" s="41">
        <f t="shared" si="2"/>
      </c>
      <c r="M27" s="585"/>
      <c r="N27" s="573">
        <f t="shared" si="3"/>
      </c>
      <c r="O27" s="586">
        <f t="shared" si="16"/>
      </c>
      <c r="P27" s="546">
        <f t="shared" si="4"/>
      </c>
      <c r="Q27" s="606">
        <f t="shared" si="5"/>
        <v>20</v>
      </c>
      <c r="R27" s="589" t="str">
        <f t="shared" si="6"/>
        <v>--</v>
      </c>
      <c r="S27" s="590" t="str">
        <f t="shared" si="7"/>
        <v>--</v>
      </c>
      <c r="T27" s="591" t="str">
        <f t="shared" si="8"/>
        <v>--</v>
      </c>
      <c r="U27" s="592" t="str">
        <f t="shared" si="9"/>
        <v>--</v>
      </c>
      <c r="V27" s="593" t="str">
        <f t="shared" si="10"/>
        <v>--</v>
      </c>
      <c r="W27" s="594" t="str">
        <f t="shared" si="11"/>
        <v>--</v>
      </c>
      <c r="X27" s="595" t="str">
        <f t="shared" si="12"/>
        <v>--</v>
      </c>
      <c r="Y27" s="596" t="str">
        <f t="shared" si="13"/>
        <v>--</v>
      </c>
      <c r="Z27" s="607">
        <f t="shared" si="14"/>
      </c>
      <c r="AA27" s="177">
        <f t="shared" si="15"/>
      </c>
      <c r="AB27" s="117"/>
    </row>
    <row r="28" spans="1:28" s="16" customFormat="1" ht="16.5" customHeight="1">
      <c r="A28" s="44"/>
      <c r="B28" s="148"/>
      <c r="C28" s="525"/>
      <c r="D28" s="574"/>
      <c r="E28" s="575"/>
      <c r="F28" s="576"/>
      <c r="G28" s="577"/>
      <c r="H28" s="496">
        <f t="shared" si="0"/>
        <v>0</v>
      </c>
      <c r="I28" s="583"/>
      <c r="J28" s="583"/>
      <c r="K28" s="40">
        <f t="shared" si="1"/>
      </c>
      <c r="L28" s="41">
        <f t="shared" si="2"/>
      </c>
      <c r="M28" s="585"/>
      <c r="N28" s="573">
        <f t="shared" si="3"/>
      </c>
      <c r="O28" s="586">
        <f t="shared" si="16"/>
      </c>
      <c r="P28" s="546">
        <f t="shared" si="4"/>
      </c>
      <c r="Q28" s="606">
        <f t="shared" si="5"/>
        <v>20</v>
      </c>
      <c r="R28" s="589" t="str">
        <f t="shared" si="6"/>
        <v>--</v>
      </c>
      <c r="S28" s="590" t="str">
        <f t="shared" si="7"/>
        <v>--</v>
      </c>
      <c r="T28" s="591" t="str">
        <f t="shared" si="8"/>
        <v>--</v>
      </c>
      <c r="U28" s="592" t="str">
        <f t="shared" si="9"/>
        <v>--</v>
      </c>
      <c r="V28" s="593" t="str">
        <f t="shared" si="10"/>
        <v>--</v>
      </c>
      <c r="W28" s="594" t="str">
        <f t="shared" si="11"/>
        <v>--</v>
      </c>
      <c r="X28" s="595" t="str">
        <f t="shared" si="12"/>
        <v>--</v>
      </c>
      <c r="Y28" s="596" t="str">
        <f t="shared" si="13"/>
        <v>--</v>
      </c>
      <c r="Z28" s="607">
        <f t="shared" si="14"/>
      </c>
      <c r="AA28" s="177">
        <f t="shared" si="15"/>
      </c>
      <c r="AB28" s="117"/>
    </row>
    <row r="29" spans="1:28" s="16" customFormat="1" ht="16.5" customHeight="1">
      <c r="A29" s="44"/>
      <c r="B29" s="148"/>
      <c r="C29" s="525"/>
      <c r="D29" s="574"/>
      <c r="E29" s="575"/>
      <c r="F29" s="576"/>
      <c r="G29" s="577"/>
      <c r="H29" s="496">
        <f t="shared" si="0"/>
        <v>0</v>
      </c>
      <c r="I29" s="583"/>
      <c r="J29" s="583"/>
      <c r="K29" s="40">
        <f t="shared" si="1"/>
      </c>
      <c r="L29" s="41">
        <f t="shared" si="2"/>
      </c>
      <c r="M29" s="585"/>
      <c r="N29" s="573">
        <f t="shared" si="3"/>
      </c>
      <c r="O29" s="586">
        <f t="shared" si="16"/>
      </c>
      <c r="P29" s="546">
        <f t="shared" si="4"/>
      </c>
      <c r="Q29" s="606">
        <f t="shared" si="5"/>
        <v>20</v>
      </c>
      <c r="R29" s="589" t="str">
        <f t="shared" si="6"/>
        <v>--</v>
      </c>
      <c r="S29" s="590" t="str">
        <f t="shared" si="7"/>
        <v>--</v>
      </c>
      <c r="T29" s="591" t="str">
        <f t="shared" si="8"/>
        <v>--</v>
      </c>
      <c r="U29" s="592" t="str">
        <f t="shared" si="9"/>
        <v>--</v>
      </c>
      <c r="V29" s="593" t="str">
        <f t="shared" si="10"/>
        <v>--</v>
      </c>
      <c r="W29" s="594" t="str">
        <f t="shared" si="11"/>
        <v>--</v>
      </c>
      <c r="X29" s="595" t="str">
        <f t="shared" si="12"/>
        <v>--</v>
      </c>
      <c r="Y29" s="596" t="str">
        <f t="shared" si="13"/>
        <v>--</v>
      </c>
      <c r="Z29" s="607">
        <f t="shared" si="14"/>
      </c>
      <c r="AA29" s="177">
        <f t="shared" si="15"/>
      </c>
      <c r="AB29" s="117"/>
    </row>
    <row r="30" spans="1:28" s="16" customFormat="1" ht="16.5" customHeight="1">
      <c r="A30" s="44"/>
      <c r="B30" s="148"/>
      <c r="C30" s="525"/>
      <c r="D30" s="574"/>
      <c r="E30" s="578"/>
      <c r="F30" s="576"/>
      <c r="G30" s="577"/>
      <c r="H30" s="496">
        <f t="shared" si="0"/>
        <v>0</v>
      </c>
      <c r="I30" s="583"/>
      <c r="J30" s="583"/>
      <c r="K30" s="40">
        <f t="shared" si="1"/>
      </c>
      <c r="L30" s="41">
        <f t="shared" si="2"/>
      </c>
      <c r="M30" s="585"/>
      <c r="N30" s="573">
        <f t="shared" si="3"/>
      </c>
      <c r="O30" s="586">
        <f t="shared" si="16"/>
      </c>
      <c r="P30" s="546">
        <f t="shared" si="4"/>
      </c>
      <c r="Q30" s="606">
        <f t="shared" si="5"/>
        <v>20</v>
      </c>
      <c r="R30" s="589" t="str">
        <f t="shared" si="6"/>
        <v>--</v>
      </c>
      <c r="S30" s="590" t="str">
        <f t="shared" si="7"/>
        <v>--</v>
      </c>
      <c r="T30" s="591" t="str">
        <f t="shared" si="8"/>
        <v>--</v>
      </c>
      <c r="U30" s="592" t="str">
        <f t="shared" si="9"/>
        <v>--</v>
      </c>
      <c r="V30" s="593" t="str">
        <f t="shared" si="10"/>
        <v>--</v>
      </c>
      <c r="W30" s="594" t="str">
        <f t="shared" si="11"/>
        <v>--</v>
      </c>
      <c r="X30" s="595" t="str">
        <f t="shared" si="12"/>
        <v>--</v>
      </c>
      <c r="Y30" s="596" t="str">
        <f t="shared" si="13"/>
        <v>--</v>
      </c>
      <c r="Z30" s="607">
        <f t="shared" si="14"/>
      </c>
      <c r="AA30" s="177">
        <f t="shared" si="15"/>
      </c>
      <c r="AB30" s="117"/>
    </row>
    <row r="31" spans="1:28" s="16" customFormat="1" ht="16.5" customHeight="1">
      <c r="A31" s="44"/>
      <c r="B31" s="148"/>
      <c r="C31" s="525"/>
      <c r="D31" s="574"/>
      <c r="E31" s="578"/>
      <c r="F31" s="576"/>
      <c r="G31" s="577"/>
      <c r="H31" s="496">
        <f t="shared" si="0"/>
        <v>0</v>
      </c>
      <c r="I31" s="583"/>
      <c r="J31" s="583"/>
      <c r="K31" s="40">
        <f t="shared" si="1"/>
      </c>
      <c r="L31" s="41">
        <f t="shared" si="2"/>
      </c>
      <c r="M31" s="585"/>
      <c r="N31" s="573">
        <f t="shared" si="3"/>
      </c>
      <c r="O31" s="586">
        <f t="shared" si="16"/>
      </c>
      <c r="P31" s="546">
        <f t="shared" si="4"/>
      </c>
      <c r="Q31" s="606">
        <f t="shared" si="5"/>
        <v>20</v>
      </c>
      <c r="R31" s="589" t="str">
        <f t="shared" si="6"/>
        <v>--</v>
      </c>
      <c r="S31" s="590" t="str">
        <f t="shared" si="7"/>
        <v>--</v>
      </c>
      <c r="T31" s="591" t="str">
        <f t="shared" si="8"/>
        <v>--</v>
      </c>
      <c r="U31" s="592" t="str">
        <f t="shared" si="9"/>
        <v>--</v>
      </c>
      <c r="V31" s="593" t="str">
        <f t="shared" si="10"/>
        <v>--</v>
      </c>
      <c r="W31" s="594" t="str">
        <f t="shared" si="11"/>
        <v>--</v>
      </c>
      <c r="X31" s="595" t="str">
        <f t="shared" si="12"/>
        <v>--</v>
      </c>
      <c r="Y31" s="596" t="str">
        <f t="shared" si="13"/>
        <v>--</v>
      </c>
      <c r="Z31" s="607">
        <f t="shared" si="14"/>
      </c>
      <c r="AA31" s="177">
        <f t="shared" si="15"/>
      </c>
      <c r="AB31" s="117"/>
    </row>
    <row r="32" spans="1:28" s="16" customFormat="1" ht="16.5" customHeight="1">
      <c r="A32" s="44"/>
      <c r="B32" s="148"/>
      <c r="C32" s="525"/>
      <c r="D32" s="574"/>
      <c r="E32" s="578"/>
      <c r="F32" s="576"/>
      <c r="G32" s="577"/>
      <c r="H32" s="496">
        <f t="shared" si="0"/>
        <v>0</v>
      </c>
      <c r="I32" s="583"/>
      <c r="J32" s="583"/>
      <c r="K32" s="40">
        <f t="shared" si="1"/>
      </c>
      <c r="L32" s="41">
        <f t="shared" si="2"/>
      </c>
      <c r="M32" s="585"/>
      <c r="N32" s="573">
        <f t="shared" si="3"/>
      </c>
      <c r="O32" s="586">
        <f t="shared" si="16"/>
      </c>
      <c r="P32" s="546">
        <f t="shared" si="4"/>
      </c>
      <c r="Q32" s="606">
        <f t="shared" si="5"/>
        <v>20</v>
      </c>
      <c r="R32" s="589" t="str">
        <f t="shared" si="6"/>
        <v>--</v>
      </c>
      <c r="S32" s="590" t="str">
        <f t="shared" si="7"/>
        <v>--</v>
      </c>
      <c r="T32" s="591" t="str">
        <f t="shared" si="8"/>
        <v>--</v>
      </c>
      <c r="U32" s="592" t="str">
        <f t="shared" si="9"/>
        <v>--</v>
      </c>
      <c r="V32" s="593" t="str">
        <f t="shared" si="10"/>
        <v>--</v>
      </c>
      <c r="W32" s="594" t="str">
        <f t="shared" si="11"/>
        <v>--</v>
      </c>
      <c r="X32" s="595" t="str">
        <f t="shared" si="12"/>
        <v>--</v>
      </c>
      <c r="Y32" s="596" t="str">
        <f t="shared" si="13"/>
        <v>--</v>
      </c>
      <c r="Z32" s="607">
        <f t="shared" si="14"/>
      </c>
      <c r="AA32" s="177">
        <f t="shared" si="15"/>
      </c>
      <c r="AB32" s="117"/>
    </row>
    <row r="33" spans="1:28" s="16" customFormat="1" ht="16.5" customHeight="1">
      <c r="A33" s="44"/>
      <c r="B33" s="148"/>
      <c r="C33" s="525"/>
      <c r="D33" s="574"/>
      <c r="E33" s="578"/>
      <c r="F33" s="576"/>
      <c r="G33" s="577"/>
      <c r="H33" s="496">
        <f t="shared" si="0"/>
        <v>0</v>
      </c>
      <c r="I33" s="583"/>
      <c r="J33" s="583"/>
      <c r="K33" s="40">
        <f t="shared" si="1"/>
      </c>
      <c r="L33" s="41">
        <f t="shared" si="2"/>
      </c>
      <c r="M33" s="585"/>
      <c r="N33" s="573">
        <f t="shared" si="3"/>
      </c>
      <c r="O33" s="586">
        <f t="shared" si="16"/>
      </c>
      <c r="P33" s="546">
        <f t="shared" si="4"/>
      </c>
      <c r="Q33" s="606">
        <f t="shared" si="5"/>
        <v>20</v>
      </c>
      <c r="R33" s="589" t="str">
        <f t="shared" si="6"/>
        <v>--</v>
      </c>
      <c r="S33" s="590" t="str">
        <f t="shared" si="7"/>
        <v>--</v>
      </c>
      <c r="T33" s="591" t="str">
        <f t="shared" si="8"/>
        <v>--</v>
      </c>
      <c r="U33" s="592" t="str">
        <f t="shared" si="9"/>
        <v>--</v>
      </c>
      <c r="V33" s="593" t="str">
        <f t="shared" si="10"/>
        <v>--</v>
      </c>
      <c r="W33" s="594" t="str">
        <f t="shared" si="11"/>
        <v>--</v>
      </c>
      <c r="X33" s="595" t="str">
        <f t="shared" si="12"/>
        <v>--</v>
      </c>
      <c r="Y33" s="596" t="str">
        <f t="shared" si="13"/>
        <v>--</v>
      </c>
      <c r="Z33" s="607">
        <f t="shared" si="14"/>
      </c>
      <c r="AA33" s="177">
        <f t="shared" si="15"/>
      </c>
      <c r="AB33" s="117"/>
    </row>
    <row r="34" spans="1:28" s="16" customFormat="1" ht="16.5" customHeight="1">
      <c r="A34" s="44"/>
      <c r="B34" s="148"/>
      <c r="C34" s="525"/>
      <c r="D34" s="574"/>
      <c r="E34" s="578"/>
      <c r="F34" s="576"/>
      <c r="G34" s="577"/>
      <c r="H34" s="496">
        <f t="shared" si="0"/>
        <v>0</v>
      </c>
      <c r="I34" s="583"/>
      <c r="J34" s="583"/>
      <c r="K34" s="40">
        <f t="shared" si="1"/>
      </c>
      <c r="L34" s="41">
        <f t="shared" si="2"/>
      </c>
      <c r="M34" s="585"/>
      <c r="N34" s="573">
        <f t="shared" si="3"/>
      </c>
      <c r="O34" s="586">
        <f t="shared" si="16"/>
      </c>
      <c r="P34" s="546">
        <f t="shared" si="4"/>
      </c>
      <c r="Q34" s="606">
        <f t="shared" si="5"/>
        <v>20</v>
      </c>
      <c r="R34" s="589" t="str">
        <f t="shared" si="6"/>
        <v>--</v>
      </c>
      <c r="S34" s="590" t="str">
        <f t="shared" si="7"/>
        <v>--</v>
      </c>
      <c r="T34" s="591" t="str">
        <f t="shared" si="8"/>
        <v>--</v>
      </c>
      <c r="U34" s="592" t="str">
        <f t="shared" si="9"/>
        <v>--</v>
      </c>
      <c r="V34" s="593" t="str">
        <f t="shared" si="10"/>
        <v>--</v>
      </c>
      <c r="W34" s="594" t="str">
        <f t="shared" si="11"/>
        <v>--</v>
      </c>
      <c r="X34" s="595" t="str">
        <f t="shared" si="12"/>
        <v>--</v>
      </c>
      <c r="Y34" s="596" t="str">
        <f t="shared" si="13"/>
        <v>--</v>
      </c>
      <c r="Z34" s="607">
        <f t="shared" si="14"/>
      </c>
      <c r="AA34" s="177">
        <f t="shared" si="15"/>
      </c>
      <c r="AB34" s="117"/>
    </row>
    <row r="35" spans="1:28" s="16" customFormat="1" ht="16.5" customHeight="1">
      <c r="A35" s="44"/>
      <c r="B35" s="148"/>
      <c r="C35" s="525"/>
      <c r="D35" s="574"/>
      <c r="E35" s="578"/>
      <c r="F35" s="576"/>
      <c r="G35" s="577"/>
      <c r="H35" s="496">
        <f t="shared" si="0"/>
        <v>0</v>
      </c>
      <c r="I35" s="583"/>
      <c r="J35" s="583"/>
      <c r="K35" s="40">
        <f t="shared" si="1"/>
      </c>
      <c r="L35" s="41">
        <f t="shared" si="2"/>
      </c>
      <c r="M35" s="585"/>
      <c r="N35" s="573">
        <f t="shared" si="3"/>
      </c>
      <c r="O35" s="586">
        <f t="shared" si="16"/>
      </c>
      <c r="P35" s="546">
        <f t="shared" si="4"/>
      </c>
      <c r="Q35" s="606">
        <f t="shared" si="5"/>
        <v>20</v>
      </c>
      <c r="R35" s="589" t="str">
        <f t="shared" si="6"/>
        <v>--</v>
      </c>
      <c r="S35" s="590" t="str">
        <f t="shared" si="7"/>
        <v>--</v>
      </c>
      <c r="T35" s="591" t="str">
        <f t="shared" si="8"/>
        <v>--</v>
      </c>
      <c r="U35" s="592" t="str">
        <f t="shared" si="9"/>
        <v>--</v>
      </c>
      <c r="V35" s="593" t="str">
        <f t="shared" si="10"/>
        <v>--</v>
      </c>
      <c r="W35" s="594" t="str">
        <f t="shared" si="11"/>
        <v>--</v>
      </c>
      <c r="X35" s="595" t="str">
        <f t="shared" si="12"/>
        <v>--</v>
      </c>
      <c r="Y35" s="596" t="str">
        <f t="shared" si="13"/>
        <v>--</v>
      </c>
      <c r="Z35" s="607">
        <f t="shared" si="14"/>
      </c>
      <c r="AA35" s="177">
        <f t="shared" si="15"/>
      </c>
      <c r="AB35" s="117"/>
    </row>
    <row r="36" spans="1:28" s="16" customFormat="1" ht="16.5" customHeight="1">
      <c r="A36" s="44"/>
      <c r="B36" s="148"/>
      <c r="C36" s="525"/>
      <c r="D36" s="574"/>
      <c r="E36" s="578"/>
      <c r="F36" s="576"/>
      <c r="G36" s="577"/>
      <c r="H36" s="496">
        <f t="shared" si="0"/>
        <v>0</v>
      </c>
      <c r="I36" s="583"/>
      <c r="J36" s="583"/>
      <c r="K36" s="40">
        <f t="shared" si="1"/>
      </c>
      <c r="L36" s="41">
        <f t="shared" si="2"/>
      </c>
      <c r="M36" s="585"/>
      <c r="N36" s="573">
        <f t="shared" si="3"/>
      </c>
      <c r="O36" s="586">
        <f t="shared" si="16"/>
      </c>
      <c r="P36" s="546">
        <f t="shared" si="4"/>
      </c>
      <c r="Q36" s="606">
        <f t="shared" si="5"/>
        <v>20</v>
      </c>
      <c r="R36" s="589" t="str">
        <f t="shared" si="6"/>
        <v>--</v>
      </c>
      <c r="S36" s="590" t="str">
        <f t="shared" si="7"/>
        <v>--</v>
      </c>
      <c r="T36" s="591" t="str">
        <f t="shared" si="8"/>
        <v>--</v>
      </c>
      <c r="U36" s="592" t="str">
        <f t="shared" si="9"/>
        <v>--</v>
      </c>
      <c r="V36" s="593" t="str">
        <f t="shared" si="10"/>
        <v>--</v>
      </c>
      <c r="W36" s="594" t="str">
        <f t="shared" si="11"/>
        <v>--</v>
      </c>
      <c r="X36" s="595" t="str">
        <f t="shared" si="12"/>
        <v>--</v>
      </c>
      <c r="Y36" s="596" t="str">
        <f t="shared" si="13"/>
        <v>--</v>
      </c>
      <c r="Z36" s="607">
        <f t="shared" si="14"/>
      </c>
      <c r="AA36" s="177">
        <f t="shared" si="15"/>
      </c>
      <c r="AB36" s="117"/>
    </row>
    <row r="37" spans="1:28" s="16" customFormat="1" ht="16.5" customHeight="1">
      <c r="A37" s="44"/>
      <c r="B37" s="148"/>
      <c r="C37" s="525"/>
      <c r="D37" s="574"/>
      <c r="E37" s="578"/>
      <c r="F37" s="576"/>
      <c r="G37" s="577"/>
      <c r="H37" s="496">
        <f t="shared" si="0"/>
        <v>0</v>
      </c>
      <c r="I37" s="583"/>
      <c r="J37" s="583"/>
      <c r="K37" s="40">
        <f t="shared" si="1"/>
      </c>
      <c r="L37" s="41">
        <f t="shared" si="2"/>
      </c>
      <c r="M37" s="585"/>
      <c r="N37" s="573">
        <f t="shared" si="3"/>
      </c>
      <c r="O37" s="586">
        <f t="shared" si="16"/>
      </c>
      <c r="P37" s="546">
        <f t="shared" si="4"/>
      </c>
      <c r="Q37" s="606">
        <f t="shared" si="5"/>
        <v>20</v>
      </c>
      <c r="R37" s="589" t="str">
        <f t="shared" si="6"/>
        <v>--</v>
      </c>
      <c r="S37" s="590" t="str">
        <f t="shared" si="7"/>
        <v>--</v>
      </c>
      <c r="T37" s="591" t="str">
        <f t="shared" si="8"/>
        <v>--</v>
      </c>
      <c r="U37" s="592" t="str">
        <f t="shared" si="9"/>
        <v>--</v>
      </c>
      <c r="V37" s="593" t="str">
        <f t="shared" si="10"/>
        <v>--</v>
      </c>
      <c r="W37" s="594" t="str">
        <f t="shared" si="11"/>
        <v>--</v>
      </c>
      <c r="X37" s="595" t="str">
        <f t="shared" si="12"/>
        <v>--</v>
      </c>
      <c r="Y37" s="596" t="str">
        <f t="shared" si="13"/>
        <v>--</v>
      </c>
      <c r="Z37" s="607">
        <f t="shared" si="14"/>
      </c>
      <c r="AA37" s="177">
        <f t="shared" si="15"/>
      </c>
      <c r="AB37" s="117"/>
    </row>
    <row r="38" spans="1:28" s="16" customFormat="1" ht="16.5" customHeight="1">
      <c r="A38" s="44"/>
      <c r="B38" s="148"/>
      <c r="C38" s="525"/>
      <c r="D38" s="574"/>
      <c r="E38" s="578"/>
      <c r="F38" s="576"/>
      <c r="G38" s="577"/>
      <c r="H38" s="496">
        <f t="shared" si="0"/>
        <v>0</v>
      </c>
      <c r="I38" s="583"/>
      <c r="J38" s="583"/>
      <c r="K38" s="40">
        <f t="shared" si="1"/>
      </c>
      <c r="L38" s="41">
        <f t="shared" si="2"/>
      </c>
      <c r="M38" s="585"/>
      <c r="N38" s="573">
        <f t="shared" si="3"/>
      </c>
      <c r="O38" s="586">
        <f t="shared" si="16"/>
      </c>
      <c r="P38" s="546">
        <f t="shared" si="4"/>
      </c>
      <c r="Q38" s="606">
        <f t="shared" si="5"/>
        <v>20</v>
      </c>
      <c r="R38" s="589" t="str">
        <f t="shared" si="6"/>
        <v>--</v>
      </c>
      <c r="S38" s="590" t="str">
        <f t="shared" si="7"/>
        <v>--</v>
      </c>
      <c r="T38" s="591" t="str">
        <f t="shared" si="8"/>
        <v>--</v>
      </c>
      <c r="U38" s="592" t="str">
        <f t="shared" si="9"/>
        <v>--</v>
      </c>
      <c r="V38" s="593" t="str">
        <f t="shared" si="10"/>
        <v>--</v>
      </c>
      <c r="W38" s="594" t="str">
        <f t="shared" si="11"/>
        <v>--</v>
      </c>
      <c r="X38" s="595" t="str">
        <f t="shared" si="12"/>
        <v>--</v>
      </c>
      <c r="Y38" s="596" t="str">
        <f t="shared" si="13"/>
        <v>--</v>
      </c>
      <c r="Z38" s="607">
        <f t="shared" si="14"/>
      </c>
      <c r="AA38" s="177">
        <f t="shared" si="15"/>
      </c>
      <c r="AB38" s="117"/>
    </row>
    <row r="39" spans="1:28" s="16" customFormat="1" ht="16.5" customHeight="1">
      <c r="A39" s="44"/>
      <c r="B39" s="148"/>
      <c r="C39" s="525"/>
      <c r="D39" s="574"/>
      <c r="E39" s="578"/>
      <c r="F39" s="576"/>
      <c r="G39" s="577"/>
      <c r="H39" s="496">
        <f t="shared" si="0"/>
        <v>0</v>
      </c>
      <c r="I39" s="583"/>
      <c r="J39" s="583"/>
      <c r="K39" s="40">
        <f t="shared" si="1"/>
      </c>
      <c r="L39" s="41">
        <f t="shared" si="2"/>
      </c>
      <c r="M39" s="585"/>
      <c r="N39" s="573">
        <f t="shared" si="3"/>
      </c>
      <c r="O39" s="586">
        <f t="shared" si="16"/>
      </c>
      <c r="P39" s="546">
        <f t="shared" si="4"/>
      </c>
      <c r="Q39" s="606">
        <f t="shared" si="5"/>
        <v>20</v>
      </c>
      <c r="R39" s="589" t="str">
        <f t="shared" si="6"/>
        <v>--</v>
      </c>
      <c r="S39" s="590" t="str">
        <f t="shared" si="7"/>
        <v>--</v>
      </c>
      <c r="T39" s="591" t="str">
        <f t="shared" si="8"/>
        <v>--</v>
      </c>
      <c r="U39" s="592" t="str">
        <f t="shared" si="9"/>
        <v>--</v>
      </c>
      <c r="V39" s="593" t="str">
        <f t="shared" si="10"/>
        <v>--</v>
      </c>
      <c r="W39" s="594" t="str">
        <f t="shared" si="11"/>
        <v>--</v>
      </c>
      <c r="X39" s="595" t="str">
        <f t="shared" si="12"/>
        <v>--</v>
      </c>
      <c r="Y39" s="596" t="str">
        <f t="shared" si="13"/>
        <v>--</v>
      </c>
      <c r="Z39" s="607">
        <f t="shared" si="14"/>
      </c>
      <c r="AA39" s="177">
        <f t="shared" si="15"/>
      </c>
      <c r="AB39" s="117"/>
    </row>
    <row r="40" spans="1:28" s="16" customFormat="1" ht="16.5" customHeight="1" thickBot="1">
      <c r="A40" s="44"/>
      <c r="B40" s="148"/>
      <c r="C40" s="579"/>
      <c r="D40" s="580"/>
      <c r="E40" s="581"/>
      <c r="F40" s="580"/>
      <c r="G40" s="582"/>
      <c r="H40" s="301"/>
      <c r="I40" s="579"/>
      <c r="J40" s="584"/>
      <c r="K40" s="42"/>
      <c r="L40" s="43"/>
      <c r="M40" s="587"/>
      <c r="N40" s="558"/>
      <c r="O40" s="588"/>
      <c r="P40" s="587"/>
      <c r="Q40" s="608"/>
      <c r="R40" s="597"/>
      <c r="S40" s="598"/>
      <c r="T40" s="599"/>
      <c r="U40" s="600"/>
      <c r="V40" s="601"/>
      <c r="W40" s="602"/>
      <c r="X40" s="603"/>
      <c r="Y40" s="604"/>
      <c r="Z40" s="605"/>
      <c r="AA40" s="178"/>
      <c r="AB40" s="117"/>
    </row>
    <row r="41" spans="1:28" s="16" customFormat="1" ht="16.5" customHeight="1" thickBot="1" thickTop="1">
      <c r="A41" s="44"/>
      <c r="B41" s="148"/>
      <c r="C41" s="236" t="s">
        <v>57</v>
      </c>
      <c r="D41" s="237" t="s">
        <v>58</v>
      </c>
      <c r="E41" s="45"/>
      <c r="F41" s="45"/>
      <c r="G41" s="45"/>
      <c r="H41" s="45"/>
      <c r="I41" s="45"/>
      <c r="J41" s="46"/>
      <c r="K41" s="45"/>
      <c r="L41" s="45"/>
      <c r="M41" s="45"/>
      <c r="N41" s="45"/>
      <c r="O41" s="45"/>
      <c r="P41" s="45"/>
      <c r="Q41" s="45"/>
      <c r="R41" s="371">
        <f aca="true" t="shared" si="17" ref="R41:Y41">SUM(R18:R40)</f>
        <v>1026.6</v>
      </c>
      <c r="S41" s="375">
        <f t="shared" si="17"/>
        <v>0</v>
      </c>
      <c r="T41" s="380">
        <f t="shared" si="17"/>
        <v>0</v>
      </c>
      <c r="U41" s="381">
        <f t="shared" si="17"/>
        <v>0</v>
      </c>
      <c r="V41" s="388">
        <f t="shared" si="17"/>
        <v>0</v>
      </c>
      <c r="W41" s="389">
        <f t="shared" si="17"/>
        <v>0</v>
      </c>
      <c r="X41" s="440">
        <f t="shared" si="17"/>
        <v>0</v>
      </c>
      <c r="Y41" s="441">
        <f t="shared" si="17"/>
        <v>0</v>
      </c>
      <c r="Z41" s="44"/>
      <c r="AA41" s="307">
        <f>ROUND(SUM(AA18:AA40),2)</f>
        <v>1026.6</v>
      </c>
      <c r="AB41" s="117"/>
    </row>
    <row r="42" spans="1:28" s="241" customFormat="1" ht="9.75" thickTop="1">
      <c r="A42" s="251"/>
      <c r="B42" s="252"/>
      <c r="C42" s="238"/>
      <c r="D42" s="240" t="s">
        <v>59</v>
      </c>
      <c r="E42" s="253"/>
      <c r="F42" s="253"/>
      <c r="G42" s="253"/>
      <c r="H42" s="253"/>
      <c r="I42" s="253"/>
      <c r="J42" s="254"/>
      <c r="K42" s="253"/>
      <c r="L42" s="253"/>
      <c r="M42" s="253"/>
      <c r="N42" s="253"/>
      <c r="O42" s="253"/>
      <c r="P42" s="253"/>
      <c r="Q42" s="253"/>
      <c r="R42" s="256"/>
      <c r="S42" s="256"/>
      <c r="T42" s="256"/>
      <c r="U42" s="256"/>
      <c r="V42" s="256"/>
      <c r="W42" s="256"/>
      <c r="X42" s="256"/>
      <c r="Y42" s="256"/>
      <c r="Z42" s="251"/>
      <c r="AA42" s="255"/>
      <c r="AB42" s="257"/>
    </row>
    <row r="43" spans="1:28" s="16" customFormat="1" ht="16.5" customHeight="1" thickBot="1">
      <c r="A43" s="44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3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8"/>
  <sheetViews>
    <sheetView zoomScale="75" zoomScaleNormal="75" workbookViewId="0" topLeftCell="D2">
      <selection activeCell="D52" sqref="D5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6.574218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68" customFormat="1" ht="26.25">
      <c r="A1" s="112"/>
      <c r="U1" s="500"/>
    </row>
    <row r="2" spans="1:21" s="68" customFormat="1" ht="26.25">
      <c r="A2" s="112"/>
      <c r="B2" s="69" t="str">
        <f>+'tot-0309'!B2</f>
        <v>ANEXO I-2 a la Resolución ENRE N°            520/2006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="16" customFormat="1" ht="12.75">
      <c r="A3" s="44"/>
    </row>
    <row r="4" spans="1:2" s="75" customFormat="1" ht="11.25">
      <c r="A4" s="73" t="s">
        <v>16</v>
      </c>
      <c r="B4" s="144"/>
    </row>
    <row r="5" spans="1:2" s="75" customFormat="1" ht="11.25">
      <c r="A5" s="73" t="s">
        <v>17</v>
      </c>
      <c r="B5" s="144"/>
    </row>
    <row r="6" s="16" customFormat="1" ht="13.5" thickBot="1"/>
    <row r="7" spans="2:21" s="16" customFormat="1" ht="13.5" thickTop="1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81"/>
    </row>
    <row r="8" spans="2:21" s="10" customFormat="1" ht="20.25">
      <c r="B8" s="126"/>
      <c r="C8" s="11"/>
      <c r="D8" s="47" t="s">
        <v>30</v>
      </c>
      <c r="L8" s="157"/>
      <c r="M8" s="157"/>
      <c r="N8" s="35"/>
      <c r="O8" s="11"/>
      <c r="P8" s="11"/>
      <c r="Q8" s="11"/>
      <c r="R8" s="11"/>
      <c r="S8" s="11"/>
      <c r="T8" s="11"/>
      <c r="U8" s="190"/>
    </row>
    <row r="9" spans="2:21" s="16" customFormat="1" ht="12.75">
      <c r="B9" s="96"/>
      <c r="C9" s="1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4"/>
      <c r="Q9" s="14"/>
      <c r="R9" s="14"/>
      <c r="S9" s="14"/>
      <c r="T9" s="14"/>
      <c r="U9" s="100"/>
    </row>
    <row r="10" spans="2:21" s="10" customFormat="1" ht="20.25">
      <c r="B10" s="126"/>
      <c r="C10" s="11"/>
      <c r="D10" s="161" t="s">
        <v>83</v>
      </c>
      <c r="E10" s="36"/>
      <c r="F10" s="157"/>
      <c r="G10" s="191"/>
      <c r="I10" s="191"/>
      <c r="J10" s="191"/>
      <c r="K10" s="191"/>
      <c r="L10" s="191"/>
      <c r="M10" s="191"/>
      <c r="N10" s="191"/>
      <c r="O10" s="11"/>
      <c r="P10" s="11"/>
      <c r="Q10" s="11"/>
      <c r="R10" s="11"/>
      <c r="S10" s="11"/>
      <c r="T10" s="11"/>
      <c r="U10" s="190"/>
    </row>
    <row r="11" spans="2:21" s="16" customFormat="1" ht="13.5">
      <c r="B11" s="96"/>
      <c r="C11" s="14"/>
      <c r="D11" s="189"/>
      <c r="E11" s="189"/>
      <c r="F11" s="44"/>
      <c r="G11" s="182"/>
      <c r="H11" s="98"/>
      <c r="I11" s="182"/>
      <c r="J11" s="182"/>
      <c r="K11" s="182"/>
      <c r="L11" s="182"/>
      <c r="M11" s="182"/>
      <c r="N11" s="182"/>
      <c r="O11" s="14"/>
      <c r="P11" s="14"/>
      <c r="Q11" s="14"/>
      <c r="R11" s="14"/>
      <c r="S11" s="14"/>
      <c r="T11" s="14"/>
      <c r="U11" s="100"/>
    </row>
    <row r="12" spans="2:21" s="16" customFormat="1" ht="19.5">
      <c r="B12" s="88" t="str">
        <f>+'tot-0309'!B14</f>
        <v>Desde el 01 al 30 de septiembre de 2003</v>
      </c>
      <c r="C12" s="89"/>
      <c r="D12" s="89"/>
      <c r="E12" s="89"/>
      <c r="F12" s="89"/>
      <c r="G12" s="192"/>
      <c r="H12" s="192"/>
      <c r="I12" s="192"/>
      <c r="J12" s="192"/>
      <c r="K12" s="192"/>
      <c r="L12" s="192"/>
      <c r="M12" s="192"/>
      <c r="N12" s="192"/>
      <c r="O12" s="89"/>
      <c r="P12" s="89"/>
      <c r="Q12" s="89"/>
      <c r="R12" s="89"/>
      <c r="S12" s="89"/>
      <c r="T12" s="89"/>
      <c r="U12" s="193"/>
    </row>
    <row r="13" spans="2:21" s="16" customFormat="1" ht="14.25" thickBot="1">
      <c r="B13" s="194"/>
      <c r="C13" s="195"/>
      <c r="D13" s="195"/>
      <c r="E13" s="195"/>
      <c r="F13" s="195"/>
      <c r="G13" s="196"/>
      <c r="H13" s="196"/>
      <c r="I13" s="196"/>
      <c r="J13" s="196"/>
      <c r="K13" s="196"/>
      <c r="L13" s="196"/>
      <c r="M13" s="196"/>
      <c r="N13" s="196"/>
      <c r="O13" s="195"/>
      <c r="P13" s="195"/>
      <c r="Q13" s="195"/>
      <c r="R13" s="195"/>
      <c r="S13" s="195"/>
      <c r="T13" s="195"/>
      <c r="U13" s="197"/>
    </row>
    <row r="14" spans="2:21" s="16" customFormat="1" ht="15" thickBot="1" thickTop="1">
      <c r="B14" s="96"/>
      <c r="C14" s="14"/>
      <c r="D14" s="198"/>
      <c r="E14" s="198"/>
      <c r="F14" s="199" t="s">
        <v>78</v>
      </c>
      <c r="G14" s="14"/>
      <c r="H14" s="98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0"/>
    </row>
    <row r="15" spans="2:21" s="16" customFormat="1" ht="16.5" customHeight="1" thickBot="1" thickTop="1">
      <c r="B15" s="96"/>
      <c r="C15" s="14"/>
      <c r="D15" s="505" t="s">
        <v>79</v>
      </c>
      <c r="E15" s="506">
        <v>11.787</v>
      </c>
      <c r="F15" s="507">
        <v>200</v>
      </c>
      <c r="T15" s="119"/>
      <c r="U15" s="100"/>
    </row>
    <row r="16" spans="2:21" s="16" customFormat="1" ht="16.5" customHeight="1" thickBot="1" thickTop="1">
      <c r="B16" s="96"/>
      <c r="C16" s="14"/>
      <c r="D16" s="508" t="s">
        <v>80</v>
      </c>
      <c r="E16" s="509">
        <v>10.609</v>
      </c>
      <c r="F16" s="507">
        <v>100</v>
      </c>
      <c r="M16" s="14"/>
      <c r="N16" s="14"/>
      <c r="O16" s="14"/>
      <c r="P16" s="14"/>
      <c r="Q16" s="14"/>
      <c r="R16" s="14"/>
      <c r="S16" s="14"/>
      <c r="T16" s="14"/>
      <c r="U16" s="100"/>
    </row>
    <row r="17" spans="2:21" s="16" customFormat="1" ht="16.5" customHeight="1" thickBot="1" thickTop="1">
      <c r="B17" s="96"/>
      <c r="C17" s="14"/>
      <c r="D17" s="510" t="s">
        <v>81</v>
      </c>
      <c r="E17" s="625">
        <v>9.43</v>
      </c>
      <c r="F17" s="507">
        <v>40</v>
      </c>
      <c r="M17" s="14"/>
      <c r="O17" s="14"/>
      <c r="P17" s="14"/>
      <c r="Q17" s="14"/>
      <c r="R17" s="14"/>
      <c r="S17" s="14"/>
      <c r="T17" s="14"/>
      <c r="U17" s="100"/>
    </row>
    <row r="18" spans="2:21" s="16" customFormat="1" ht="16.5" customHeight="1" thickBot="1" thickTop="1">
      <c r="B18" s="96"/>
      <c r="C18" s="21"/>
      <c r="D18" s="59"/>
      <c r="E18" s="59"/>
      <c r="F18" s="183"/>
      <c r="G18" s="184"/>
      <c r="H18" s="184"/>
      <c r="I18" s="184"/>
      <c r="J18" s="184"/>
      <c r="K18" s="184"/>
      <c r="L18" s="184"/>
      <c r="M18" s="184"/>
      <c r="N18" s="52"/>
      <c r="O18" s="185"/>
      <c r="P18" s="186"/>
      <c r="Q18" s="186"/>
      <c r="R18" s="186"/>
      <c r="S18" s="187"/>
      <c r="T18" s="188"/>
      <c r="U18" s="100"/>
    </row>
    <row r="19" spans="2:21" s="16" customFormat="1" ht="33.75" customHeight="1" thickBot="1" thickTop="1">
      <c r="B19" s="96"/>
      <c r="C19" s="133" t="s">
        <v>35</v>
      </c>
      <c r="D19" s="141" t="s">
        <v>71</v>
      </c>
      <c r="E19" s="138" t="s">
        <v>12</v>
      </c>
      <c r="F19" s="201" t="s">
        <v>36</v>
      </c>
      <c r="G19" s="299" t="s">
        <v>40</v>
      </c>
      <c r="H19" s="136" t="s">
        <v>41</v>
      </c>
      <c r="I19" s="138" t="s">
        <v>42</v>
      </c>
      <c r="J19" s="202" t="s">
        <v>43</v>
      </c>
      <c r="K19" s="202" t="s">
        <v>44</v>
      </c>
      <c r="L19" s="140" t="s">
        <v>45</v>
      </c>
      <c r="M19" s="137" t="s">
        <v>48</v>
      </c>
      <c r="N19" s="398" t="s">
        <v>39</v>
      </c>
      <c r="O19" s="390" t="s">
        <v>63</v>
      </c>
      <c r="P19" s="403" t="s">
        <v>82</v>
      </c>
      <c r="Q19" s="404"/>
      <c r="R19" s="413" t="s">
        <v>53</v>
      </c>
      <c r="S19" s="142" t="s">
        <v>55</v>
      </c>
      <c r="T19" s="175" t="s">
        <v>56</v>
      </c>
      <c r="U19" s="100"/>
    </row>
    <row r="20" spans="2:21" s="16" customFormat="1" ht="16.5" customHeight="1" thickTop="1">
      <c r="B20" s="96"/>
      <c r="C20" s="20"/>
      <c r="D20" s="49"/>
      <c r="E20" s="49"/>
      <c r="F20" s="49"/>
      <c r="G20" s="308"/>
      <c r="H20" s="49"/>
      <c r="I20" s="49"/>
      <c r="J20" s="49"/>
      <c r="K20" s="49"/>
      <c r="L20" s="49"/>
      <c r="M20" s="49"/>
      <c r="N20" s="399"/>
      <c r="O20" s="401"/>
      <c r="P20" s="405"/>
      <c r="Q20" s="406"/>
      <c r="R20" s="414"/>
      <c r="S20" s="49"/>
      <c r="T20" s="499"/>
      <c r="U20" s="100"/>
    </row>
    <row r="21" spans="2:21" s="16" customFormat="1" ht="16.5" customHeight="1">
      <c r="B21" s="96"/>
      <c r="C21" s="20"/>
      <c r="D21" s="50"/>
      <c r="E21" s="50"/>
      <c r="F21" s="50"/>
      <c r="G21" s="309"/>
      <c r="H21" s="50"/>
      <c r="I21" s="50"/>
      <c r="J21" s="50"/>
      <c r="K21" s="50"/>
      <c r="L21" s="50"/>
      <c r="M21" s="50"/>
      <c r="N21" s="397"/>
      <c r="O21" s="400"/>
      <c r="P21" s="407"/>
      <c r="Q21" s="408"/>
      <c r="R21" s="411"/>
      <c r="S21" s="50"/>
      <c r="T21" s="203"/>
      <c r="U21" s="100"/>
    </row>
    <row r="22" spans="2:21" s="16" customFormat="1" ht="16.5" customHeight="1">
      <c r="B22" s="96"/>
      <c r="C22" s="524" t="s">
        <v>124</v>
      </c>
      <c r="D22" s="609" t="s">
        <v>13</v>
      </c>
      <c r="E22" s="609" t="s">
        <v>10</v>
      </c>
      <c r="F22" s="610">
        <v>500</v>
      </c>
      <c r="G22" s="300">
        <f aca="true" t="shared" si="0" ref="G22:G41">IF(F22=500,$E$15,IF(F22=220,$E$16,$E$17))</f>
        <v>11.787</v>
      </c>
      <c r="H22" s="612">
        <v>37866.33263888889</v>
      </c>
      <c r="I22" s="613">
        <v>37866.839583333334</v>
      </c>
      <c r="J22" s="51">
        <f aca="true" t="shared" si="1" ref="J22:J41">IF(D22="","",(I22-H22)*24)</f>
        <v>12.16666666668607</v>
      </c>
      <c r="K22" s="25">
        <f aca="true" t="shared" si="2" ref="K22:K41">IF(D22="","",ROUND((I22-H22)*24*60,0))</f>
        <v>730</v>
      </c>
      <c r="L22" s="544" t="s">
        <v>102</v>
      </c>
      <c r="M22" s="546" t="str">
        <f aca="true" t="shared" si="3" ref="M22:M41">IF(D22="","",IF(L22="P","--","NO"))</f>
        <v>--</v>
      </c>
      <c r="N22" s="615">
        <f aca="true" t="shared" si="4" ref="N22:N41">IF(F22=500,$F$15,IF(F22=220,$F$16,$F$17))</f>
        <v>200</v>
      </c>
      <c r="O22" s="616">
        <f aca="true" t="shared" si="5" ref="O22:O41">IF(L22="P",G22*N22*ROUND(K22/60,2)*0.1,"--")</f>
        <v>2868.9558</v>
      </c>
      <c r="P22" s="617" t="str">
        <f aca="true" t="shared" si="6" ref="P22:P41">IF(AND(L22="F",M22="NO"),G22*N22,"--")</f>
        <v>--</v>
      </c>
      <c r="Q22" s="618" t="str">
        <f aca="true" t="shared" si="7" ref="Q22:Q41">IF(L22="F",G22*N22*ROUND(K22/60,2),"--")</f>
        <v>--</v>
      </c>
      <c r="R22" s="619" t="str">
        <f aca="true" t="shared" si="8" ref="R22:R41">IF(L22="RF",G22*N22*ROUND(K22/60,2),"--")</f>
        <v>--</v>
      </c>
      <c r="S22" s="546" t="str">
        <f aca="true" t="shared" si="9" ref="S22:S41">IF(D22="","","SI")</f>
        <v>SI</v>
      </c>
      <c r="T22" s="53">
        <f aca="true" t="shared" si="10" ref="T22:T41">IF(D22="","",SUM(O22:R22)*IF(S22="SI",1,2))</f>
        <v>2868.9558</v>
      </c>
      <c r="U22" s="100"/>
    </row>
    <row r="23" spans="2:21" s="16" customFormat="1" ht="16.5" customHeight="1">
      <c r="B23" s="96"/>
      <c r="C23" s="524" t="s">
        <v>125</v>
      </c>
      <c r="D23" s="609" t="s">
        <v>13</v>
      </c>
      <c r="E23" s="609" t="s">
        <v>10</v>
      </c>
      <c r="F23" s="610">
        <v>500</v>
      </c>
      <c r="G23" s="300">
        <f t="shared" si="0"/>
        <v>11.787</v>
      </c>
      <c r="H23" s="612">
        <v>37867.30902777778</v>
      </c>
      <c r="I23" s="613">
        <v>37867.805555555555</v>
      </c>
      <c r="J23" s="51">
        <f t="shared" si="1"/>
        <v>11.916666666569654</v>
      </c>
      <c r="K23" s="25">
        <f t="shared" si="2"/>
        <v>715</v>
      </c>
      <c r="L23" s="544" t="s">
        <v>102</v>
      </c>
      <c r="M23" s="546" t="str">
        <f t="shared" si="3"/>
        <v>--</v>
      </c>
      <c r="N23" s="615">
        <f t="shared" si="4"/>
        <v>200</v>
      </c>
      <c r="O23" s="616">
        <f t="shared" si="5"/>
        <v>2810.0208000000002</v>
      </c>
      <c r="P23" s="617" t="str">
        <f t="shared" si="6"/>
        <v>--</v>
      </c>
      <c r="Q23" s="618" t="str">
        <f t="shared" si="7"/>
        <v>--</v>
      </c>
      <c r="R23" s="619" t="str">
        <f t="shared" si="8"/>
        <v>--</v>
      </c>
      <c r="S23" s="546" t="str">
        <f t="shared" si="9"/>
        <v>SI</v>
      </c>
      <c r="T23" s="53">
        <f t="shared" si="10"/>
        <v>2810.0208000000002</v>
      </c>
      <c r="U23" s="100"/>
    </row>
    <row r="24" spans="2:21" s="16" customFormat="1" ht="16.5" customHeight="1">
      <c r="B24" s="96"/>
      <c r="C24" s="524" t="s">
        <v>126</v>
      </c>
      <c r="D24" s="609" t="s">
        <v>13</v>
      </c>
      <c r="E24" s="609" t="s">
        <v>10</v>
      </c>
      <c r="F24" s="610">
        <v>500</v>
      </c>
      <c r="G24" s="300">
        <f t="shared" si="0"/>
        <v>11.787</v>
      </c>
      <c r="H24" s="612">
        <v>37868.34861111111</v>
      </c>
      <c r="I24" s="613">
        <v>37868.739583333336</v>
      </c>
      <c r="J24" s="51">
        <f t="shared" si="1"/>
        <v>9.383333333360497</v>
      </c>
      <c r="K24" s="25">
        <f t="shared" si="2"/>
        <v>563</v>
      </c>
      <c r="L24" s="544" t="s">
        <v>102</v>
      </c>
      <c r="M24" s="546" t="str">
        <f t="shared" si="3"/>
        <v>--</v>
      </c>
      <c r="N24" s="615">
        <f t="shared" si="4"/>
        <v>200</v>
      </c>
      <c r="O24" s="616">
        <f t="shared" si="5"/>
        <v>2211.2412000000004</v>
      </c>
      <c r="P24" s="617" t="str">
        <f t="shared" si="6"/>
        <v>--</v>
      </c>
      <c r="Q24" s="618" t="str">
        <f t="shared" si="7"/>
        <v>--</v>
      </c>
      <c r="R24" s="619" t="str">
        <f t="shared" si="8"/>
        <v>--</v>
      </c>
      <c r="S24" s="546" t="str">
        <f t="shared" si="9"/>
        <v>SI</v>
      </c>
      <c r="T24" s="53">
        <f t="shared" si="10"/>
        <v>2211.2412000000004</v>
      </c>
      <c r="U24" s="100"/>
    </row>
    <row r="25" spans="2:21" s="16" customFormat="1" ht="16.5" customHeight="1">
      <c r="B25" s="96"/>
      <c r="C25" s="524" t="s">
        <v>127</v>
      </c>
      <c r="D25" s="609" t="s">
        <v>13</v>
      </c>
      <c r="E25" s="609" t="s">
        <v>10</v>
      </c>
      <c r="F25" s="610">
        <v>500</v>
      </c>
      <c r="G25" s="300">
        <f t="shared" si="0"/>
        <v>11.787</v>
      </c>
      <c r="H25" s="612">
        <v>37869.32708333333</v>
      </c>
      <c r="I25" s="613">
        <v>37869.779861111114</v>
      </c>
      <c r="J25" s="51">
        <f t="shared" si="1"/>
        <v>10.866666666814126</v>
      </c>
      <c r="K25" s="25">
        <f t="shared" si="2"/>
        <v>652</v>
      </c>
      <c r="L25" s="544" t="s">
        <v>102</v>
      </c>
      <c r="M25" s="546" t="str">
        <f t="shared" si="3"/>
        <v>--</v>
      </c>
      <c r="N25" s="615">
        <f t="shared" si="4"/>
        <v>200</v>
      </c>
      <c r="O25" s="616">
        <f t="shared" si="5"/>
        <v>2562.4938</v>
      </c>
      <c r="P25" s="617" t="str">
        <f t="shared" si="6"/>
        <v>--</v>
      </c>
      <c r="Q25" s="618" t="str">
        <f t="shared" si="7"/>
        <v>--</v>
      </c>
      <c r="R25" s="619" t="str">
        <f t="shared" si="8"/>
        <v>--</v>
      </c>
      <c r="S25" s="546" t="str">
        <f t="shared" si="9"/>
        <v>SI</v>
      </c>
      <c r="T25" s="53">
        <f t="shared" si="10"/>
        <v>2562.4938</v>
      </c>
      <c r="U25" s="100"/>
    </row>
    <row r="26" spans="2:21" s="16" customFormat="1" ht="16.5" customHeight="1">
      <c r="B26" s="96"/>
      <c r="C26" s="524" t="s">
        <v>129</v>
      </c>
      <c r="D26" s="609" t="s">
        <v>9</v>
      </c>
      <c r="E26" s="609" t="s">
        <v>109</v>
      </c>
      <c r="F26" s="610">
        <v>132</v>
      </c>
      <c r="G26" s="300">
        <f t="shared" si="0"/>
        <v>9.43</v>
      </c>
      <c r="H26" s="612">
        <v>37869.59652777778</v>
      </c>
      <c r="I26" s="613">
        <v>37869.618055555555</v>
      </c>
      <c r="J26" s="51">
        <f t="shared" si="1"/>
        <v>0.5166666666045785</v>
      </c>
      <c r="K26" s="25">
        <f t="shared" si="2"/>
        <v>31</v>
      </c>
      <c r="L26" s="544" t="s">
        <v>102</v>
      </c>
      <c r="M26" s="546" t="str">
        <f t="shared" si="3"/>
        <v>--</v>
      </c>
      <c r="N26" s="615">
        <f t="shared" si="4"/>
        <v>40</v>
      </c>
      <c r="O26" s="616">
        <f t="shared" si="5"/>
        <v>19.614400000000003</v>
      </c>
      <c r="P26" s="617" t="str">
        <f t="shared" si="6"/>
        <v>--</v>
      </c>
      <c r="Q26" s="618" t="str">
        <f t="shared" si="7"/>
        <v>--</v>
      </c>
      <c r="R26" s="619" t="str">
        <f t="shared" si="8"/>
        <v>--</v>
      </c>
      <c r="S26" s="546" t="str">
        <f t="shared" si="9"/>
        <v>SI</v>
      </c>
      <c r="T26" s="53">
        <f t="shared" si="10"/>
        <v>19.614400000000003</v>
      </c>
      <c r="U26" s="100"/>
    </row>
    <row r="27" spans="2:21" s="16" customFormat="1" ht="16.5" customHeight="1">
      <c r="B27" s="96"/>
      <c r="C27" s="524" t="s">
        <v>128</v>
      </c>
      <c r="D27" s="609" t="s">
        <v>13</v>
      </c>
      <c r="E27" s="609" t="s">
        <v>10</v>
      </c>
      <c r="F27" s="610">
        <v>500</v>
      </c>
      <c r="G27" s="300">
        <f t="shared" si="0"/>
        <v>11.787</v>
      </c>
      <c r="H27" s="612">
        <v>37873.32152777778</v>
      </c>
      <c r="I27" s="613">
        <v>37873.73333333333</v>
      </c>
      <c r="J27" s="51">
        <f t="shared" si="1"/>
        <v>9.883333333244082</v>
      </c>
      <c r="K27" s="25">
        <f t="shared" si="2"/>
        <v>593</v>
      </c>
      <c r="L27" s="544" t="s">
        <v>102</v>
      </c>
      <c r="M27" s="546" t="str">
        <f t="shared" si="3"/>
        <v>--</v>
      </c>
      <c r="N27" s="615">
        <f t="shared" si="4"/>
        <v>200</v>
      </c>
      <c r="O27" s="616">
        <f t="shared" si="5"/>
        <v>2329.1112000000003</v>
      </c>
      <c r="P27" s="617" t="str">
        <f t="shared" si="6"/>
        <v>--</v>
      </c>
      <c r="Q27" s="618" t="str">
        <f t="shared" si="7"/>
        <v>--</v>
      </c>
      <c r="R27" s="619" t="str">
        <f t="shared" si="8"/>
        <v>--</v>
      </c>
      <c r="S27" s="546" t="str">
        <f t="shared" si="9"/>
        <v>SI</v>
      </c>
      <c r="T27" s="53">
        <f t="shared" si="10"/>
        <v>2329.1112000000003</v>
      </c>
      <c r="U27" s="100"/>
    </row>
    <row r="28" spans="2:21" s="16" customFormat="1" ht="16.5" customHeight="1">
      <c r="B28" s="96"/>
      <c r="C28" s="524" t="s">
        <v>130</v>
      </c>
      <c r="D28" s="609" t="s">
        <v>13</v>
      </c>
      <c r="E28" s="609" t="s">
        <v>10</v>
      </c>
      <c r="F28" s="610">
        <v>500</v>
      </c>
      <c r="G28" s="300">
        <f t="shared" si="0"/>
        <v>11.787</v>
      </c>
      <c r="H28" s="612">
        <v>37874.334027777775</v>
      </c>
      <c r="I28" s="613">
        <v>37874.72777777778</v>
      </c>
      <c r="J28" s="51">
        <f t="shared" si="1"/>
        <v>9.45000000006985</v>
      </c>
      <c r="K28" s="25">
        <f t="shared" si="2"/>
        <v>567</v>
      </c>
      <c r="L28" s="544" t="s">
        <v>102</v>
      </c>
      <c r="M28" s="546" t="str">
        <f t="shared" si="3"/>
        <v>--</v>
      </c>
      <c r="N28" s="615">
        <f t="shared" si="4"/>
        <v>200</v>
      </c>
      <c r="O28" s="616">
        <f t="shared" si="5"/>
        <v>2227.743</v>
      </c>
      <c r="P28" s="617" t="str">
        <f t="shared" si="6"/>
        <v>--</v>
      </c>
      <c r="Q28" s="618" t="str">
        <f t="shared" si="7"/>
        <v>--</v>
      </c>
      <c r="R28" s="619" t="str">
        <f t="shared" si="8"/>
        <v>--</v>
      </c>
      <c r="S28" s="546" t="str">
        <f t="shared" si="9"/>
        <v>SI</v>
      </c>
      <c r="T28" s="53">
        <f t="shared" si="10"/>
        <v>2227.743</v>
      </c>
      <c r="U28" s="100"/>
    </row>
    <row r="29" spans="2:21" s="16" customFormat="1" ht="16.5" customHeight="1">
      <c r="B29" s="96"/>
      <c r="C29" s="524" t="s">
        <v>131</v>
      </c>
      <c r="D29" s="609" t="s">
        <v>110</v>
      </c>
      <c r="E29" s="609" t="s">
        <v>111</v>
      </c>
      <c r="F29" s="610">
        <v>132</v>
      </c>
      <c r="G29" s="300">
        <f t="shared" si="0"/>
        <v>9.43</v>
      </c>
      <c r="H29" s="612">
        <v>37874.40347222222</v>
      </c>
      <c r="I29" s="613">
        <v>37874.65277777778</v>
      </c>
      <c r="J29" s="51">
        <f t="shared" si="1"/>
        <v>5.983333333453629</v>
      </c>
      <c r="K29" s="25">
        <f t="shared" si="2"/>
        <v>359</v>
      </c>
      <c r="L29" s="544" t="s">
        <v>102</v>
      </c>
      <c r="M29" s="546" t="str">
        <f t="shared" si="3"/>
        <v>--</v>
      </c>
      <c r="N29" s="615">
        <f t="shared" si="4"/>
        <v>40</v>
      </c>
      <c r="O29" s="616">
        <f t="shared" si="5"/>
        <v>225.56560000000002</v>
      </c>
      <c r="P29" s="617" t="str">
        <f t="shared" si="6"/>
        <v>--</v>
      </c>
      <c r="Q29" s="618" t="str">
        <f t="shared" si="7"/>
        <v>--</v>
      </c>
      <c r="R29" s="619" t="str">
        <f t="shared" si="8"/>
        <v>--</v>
      </c>
      <c r="S29" s="546" t="str">
        <f t="shared" si="9"/>
        <v>SI</v>
      </c>
      <c r="T29" s="53">
        <f t="shared" si="10"/>
        <v>225.56560000000002</v>
      </c>
      <c r="U29" s="100"/>
    </row>
    <row r="30" spans="2:21" s="16" customFormat="1" ht="16.5" customHeight="1">
      <c r="B30" s="96"/>
      <c r="C30" s="524" t="s">
        <v>132</v>
      </c>
      <c r="D30" s="609" t="s">
        <v>13</v>
      </c>
      <c r="E30" s="609" t="s">
        <v>10</v>
      </c>
      <c r="F30" s="610">
        <v>500</v>
      </c>
      <c r="G30" s="300">
        <f t="shared" si="0"/>
        <v>11.787</v>
      </c>
      <c r="H30" s="612">
        <v>37875.32083333333</v>
      </c>
      <c r="I30" s="613">
        <v>37875.75069444445</v>
      </c>
      <c r="J30" s="51">
        <f t="shared" si="1"/>
        <v>10.31666666676756</v>
      </c>
      <c r="K30" s="25">
        <f t="shared" si="2"/>
        <v>619</v>
      </c>
      <c r="L30" s="544" t="s">
        <v>102</v>
      </c>
      <c r="M30" s="546" t="str">
        <f t="shared" si="3"/>
        <v>--</v>
      </c>
      <c r="N30" s="615">
        <f t="shared" si="4"/>
        <v>200</v>
      </c>
      <c r="O30" s="616">
        <f t="shared" si="5"/>
        <v>2432.8368000000005</v>
      </c>
      <c r="P30" s="617" t="str">
        <f t="shared" si="6"/>
        <v>--</v>
      </c>
      <c r="Q30" s="618" t="str">
        <f t="shared" si="7"/>
        <v>--</v>
      </c>
      <c r="R30" s="619" t="str">
        <f t="shared" si="8"/>
        <v>--</v>
      </c>
      <c r="S30" s="546" t="str">
        <f t="shared" si="9"/>
        <v>SI</v>
      </c>
      <c r="T30" s="53">
        <f t="shared" si="10"/>
        <v>2432.8368000000005</v>
      </c>
      <c r="U30" s="100"/>
    </row>
    <row r="31" spans="2:21" s="16" customFormat="1" ht="16.5" customHeight="1">
      <c r="B31" s="96"/>
      <c r="C31" s="524" t="s">
        <v>133</v>
      </c>
      <c r="D31" s="609" t="s">
        <v>13</v>
      </c>
      <c r="E31" s="609" t="s">
        <v>10</v>
      </c>
      <c r="F31" s="610">
        <v>500</v>
      </c>
      <c r="G31" s="300">
        <f t="shared" si="0"/>
        <v>11.787</v>
      </c>
      <c r="H31" s="612">
        <v>37876.353472222225</v>
      </c>
      <c r="I31" s="613">
        <v>37876.73402777778</v>
      </c>
      <c r="J31" s="51">
        <f t="shared" si="1"/>
        <v>9.133333333244082</v>
      </c>
      <c r="K31" s="25">
        <f t="shared" si="2"/>
        <v>548</v>
      </c>
      <c r="L31" s="544" t="s">
        <v>102</v>
      </c>
      <c r="M31" s="546" t="str">
        <f t="shared" si="3"/>
        <v>--</v>
      </c>
      <c r="N31" s="615">
        <f t="shared" si="4"/>
        <v>200</v>
      </c>
      <c r="O31" s="616">
        <f t="shared" si="5"/>
        <v>2152.3062000000004</v>
      </c>
      <c r="P31" s="617" t="str">
        <f t="shared" si="6"/>
        <v>--</v>
      </c>
      <c r="Q31" s="618" t="str">
        <f t="shared" si="7"/>
        <v>--</v>
      </c>
      <c r="R31" s="619" t="str">
        <f t="shared" si="8"/>
        <v>--</v>
      </c>
      <c r="S31" s="546" t="str">
        <f t="shared" si="9"/>
        <v>SI</v>
      </c>
      <c r="T31" s="53">
        <f t="shared" si="10"/>
        <v>2152.3062000000004</v>
      </c>
      <c r="U31" s="100"/>
    </row>
    <row r="32" spans="2:21" s="16" customFormat="1" ht="16.5" customHeight="1">
      <c r="B32" s="96"/>
      <c r="C32" s="524" t="s">
        <v>134</v>
      </c>
      <c r="D32" s="609" t="s">
        <v>110</v>
      </c>
      <c r="E32" s="609" t="s">
        <v>111</v>
      </c>
      <c r="F32" s="610">
        <v>132</v>
      </c>
      <c r="G32" s="300">
        <f t="shared" si="0"/>
        <v>9.43</v>
      </c>
      <c r="H32" s="612">
        <v>37876.41875</v>
      </c>
      <c r="I32" s="613">
        <v>37876.59444444445</v>
      </c>
      <c r="J32" s="51">
        <f t="shared" si="1"/>
        <v>4.216666666790843</v>
      </c>
      <c r="K32" s="25">
        <f t="shared" si="2"/>
        <v>253</v>
      </c>
      <c r="L32" s="544" t="s">
        <v>102</v>
      </c>
      <c r="M32" s="546" t="str">
        <f t="shared" si="3"/>
        <v>--</v>
      </c>
      <c r="N32" s="615">
        <f t="shared" si="4"/>
        <v>40</v>
      </c>
      <c r="O32" s="616">
        <f t="shared" si="5"/>
        <v>159.1784</v>
      </c>
      <c r="P32" s="617" t="str">
        <f t="shared" si="6"/>
        <v>--</v>
      </c>
      <c r="Q32" s="618" t="str">
        <f t="shared" si="7"/>
        <v>--</v>
      </c>
      <c r="R32" s="619" t="str">
        <f t="shared" si="8"/>
        <v>--</v>
      </c>
      <c r="S32" s="546" t="str">
        <f t="shared" si="9"/>
        <v>SI</v>
      </c>
      <c r="T32" s="53">
        <f t="shared" si="10"/>
        <v>159.1784</v>
      </c>
      <c r="U32" s="100"/>
    </row>
    <row r="33" spans="2:21" s="16" customFormat="1" ht="16.5" customHeight="1">
      <c r="B33" s="96"/>
      <c r="C33" s="524" t="s">
        <v>135</v>
      </c>
      <c r="D33" s="609" t="s">
        <v>13</v>
      </c>
      <c r="E33" s="609" t="s">
        <v>11</v>
      </c>
      <c r="F33" s="610">
        <v>500</v>
      </c>
      <c r="G33" s="300">
        <f t="shared" si="0"/>
        <v>11.787</v>
      </c>
      <c r="H33" s="612">
        <v>37879.46041666667</v>
      </c>
      <c r="I33" s="613">
        <v>37879.8375</v>
      </c>
      <c r="J33" s="51">
        <f t="shared" si="1"/>
        <v>9.049999999988358</v>
      </c>
      <c r="K33" s="25">
        <f t="shared" si="2"/>
        <v>543</v>
      </c>
      <c r="L33" s="544" t="s">
        <v>102</v>
      </c>
      <c r="M33" s="546" t="str">
        <f t="shared" si="3"/>
        <v>--</v>
      </c>
      <c r="N33" s="615">
        <f t="shared" si="4"/>
        <v>200</v>
      </c>
      <c r="O33" s="616">
        <f t="shared" si="5"/>
        <v>2133.447</v>
      </c>
      <c r="P33" s="617" t="str">
        <f t="shared" si="6"/>
        <v>--</v>
      </c>
      <c r="Q33" s="618" t="str">
        <f t="shared" si="7"/>
        <v>--</v>
      </c>
      <c r="R33" s="619" t="str">
        <f t="shared" si="8"/>
        <v>--</v>
      </c>
      <c r="S33" s="546" t="str">
        <f t="shared" si="9"/>
        <v>SI</v>
      </c>
      <c r="T33" s="53">
        <f t="shared" si="10"/>
        <v>2133.447</v>
      </c>
      <c r="U33" s="100"/>
    </row>
    <row r="34" spans="2:21" s="16" customFormat="1" ht="16.5" customHeight="1">
      <c r="B34" s="96"/>
      <c r="C34" s="524" t="s">
        <v>136</v>
      </c>
      <c r="D34" s="609" t="s">
        <v>13</v>
      </c>
      <c r="E34" s="609" t="s">
        <v>112</v>
      </c>
      <c r="F34" s="610">
        <v>132</v>
      </c>
      <c r="G34" s="300">
        <f t="shared" si="0"/>
        <v>9.43</v>
      </c>
      <c r="H34" s="612">
        <v>37881.37291666667</v>
      </c>
      <c r="I34" s="613">
        <v>37881.4</v>
      </c>
      <c r="J34" s="51">
        <f t="shared" si="1"/>
        <v>0.6500000000232831</v>
      </c>
      <c r="K34" s="25">
        <f t="shared" si="2"/>
        <v>39</v>
      </c>
      <c r="L34" s="544" t="s">
        <v>100</v>
      </c>
      <c r="M34" s="546" t="str">
        <f t="shared" si="3"/>
        <v>NO</v>
      </c>
      <c r="N34" s="615">
        <f t="shared" si="4"/>
        <v>40</v>
      </c>
      <c r="O34" s="616" t="str">
        <f t="shared" si="5"/>
        <v>--</v>
      </c>
      <c r="P34" s="617">
        <f t="shared" si="6"/>
        <v>377.2</v>
      </c>
      <c r="Q34" s="618">
        <f t="shared" si="7"/>
        <v>245.18</v>
      </c>
      <c r="R34" s="619" t="str">
        <f t="shared" si="8"/>
        <v>--</v>
      </c>
      <c r="S34" s="546" t="str">
        <f t="shared" si="9"/>
        <v>SI</v>
      </c>
      <c r="T34" s="53">
        <f t="shared" si="10"/>
        <v>622.38</v>
      </c>
      <c r="U34" s="100"/>
    </row>
    <row r="35" spans="2:21" s="16" customFormat="1" ht="16.5" customHeight="1">
      <c r="B35" s="96"/>
      <c r="C35" s="524" t="s">
        <v>137</v>
      </c>
      <c r="D35" s="609" t="s">
        <v>9</v>
      </c>
      <c r="E35" s="609" t="s">
        <v>113</v>
      </c>
      <c r="F35" s="610">
        <v>132</v>
      </c>
      <c r="G35" s="300">
        <f t="shared" si="0"/>
        <v>9.43</v>
      </c>
      <c r="H35" s="612">
        <v>37881.37291666667</v>
      </c>
      <c r="I35" s="613">
        <v>37881.396527777775</v>
      </c>
      <c r="J35" s="51">
        <f t="shared" si="1"/>
        <v>0.566666666592937</v>
      </c>
      <c r="K35" s="25">
        <f t="shared" si="2"/>
        <v>34</v>
      </c>
      <c r="L35" s="544" t="s">
        <v>100</v>
      </c>
      <c r="M35" s="546" t="str">
        <f t="shared" si="3"/>
        <v>NO</v>
      </c>
      <c r="N35" s="615">
        <f t="shared" si="4"/>
        <v>40</v>
      </c>
      <c r="O35" s="616" t="str">
        <f t="shared" si="5"/>
        <v>--</v>
      </c>
      <c r="P35" s="617">
        <f t="shared" si="6"/>
        <v>377.2</v>
      </c>
      <c r="Q35" s="618">
        <f t="shared" si="7"/>
        <v>215.00399999999996</v>
      </c>
      <c r="R35" s="619" t="str">
        <f t="shared" si="8"/>
        <v>--</v>
      </c>
      <c r="S35" s="546" t="str">
        <f t="shared" si="9"/>
        <v>SI</v>
      </c>
      <c r="T35" s="53">
        <f t="shared" si="10"/>
        <v>592.204</v>
      </c>
      <c r="U35" s="100"/>
    </row>
    <row r="36" spans="2:21" s="16" customFormat="1" ht="16.5" customHeight="1">
      <c r="B36" s="96"/>
      <c r="C36" s="524" t="s">
        <v>138</v>
      </c>
      <c r="D36" s="609" t="s">
        <v>9</v>
      </c>
      <c r="E36" s="609" t="s">
        <v>114</v>
      </c>
      <c r="F36" s="610">
        <v>132</v>
      </c>
      <c r="G36" s="300">
        <f t="shared" si="0"/>
        <v>9.43</v>
      </c>
      <c r="H36" s="612">
        <v>37885.325</v>
      </c>
      <c r="I36" s="613">
        <v>37885.77222222222</v>
      </c>
      <c r="J36" s="51">
        <f t="shared" si="1"/>
        <v>10.733333333395422</v>
      </c>
      <c r="K36" s="25">
        <f t="shared" si="2"/>
        <v>644</v>
      </c>
      <c r="L36" s="544" t="s">
        <v>102</v>
      </c>
      <c r="M36" s="546" t="str">
        <f t="shared" si="3"/>
        <v>--</v>
      </c>
      <c r="N36" s="615">
        <f t="shared" si="4"/>
        <v>40</v>
      </c>
      <c r="O36" s="616">
        <f t="shared" si="5"/>
        <v>404.73560000000003</v>
      </c>
      <c r="P36" s="617" t="str">
        <f t="shared" si="6"/>
        <v>--</v>
      </c>
      <c r="Q36" s="618" t="str">
        <f t="shared" si="7"/>
        <v>--</v>
      </c>
      <c r="R36" s="619" t="str">
        <f t="shared" si="8"/>
        <v>--</v>
      </c>
      <c r="S36" s="546" t="str">
        <f t="shared" si="9"/>
        <v>SI</v>
      </c>
      <c r="T36" s="53">
        <f t="shared" si="10"/>
        <v>404.73560000000003</v>
      </c>
      <c r="U36" s="100"/>
    </row>
    <row r="37" spans="2:21" s="16" customFormat="1" ht="16.5" customHeight="1">
      <c r="B37" s="96"/>
      <c r="C37" s="524" t="s">
        <v>139</v>
      </c>
      <c r="D37" s="609" t="s">
        <v>13</v>
      </c>
      <c r="E37" s="609" t="s">
        <v>11</v>
      </c>
      <c r="F37" s="610">
        <v>500</v>
      </c>
      <c r="G37" s="300">
        <f t="shared" si="0"/>
        <v>11.787</v>
      </c>
      <c r="H37" s="612">
        <v>37886.31527777778</v>
      </c>
      <c r="I37" s="613">
        <v>37886.75069444445</v>
      </c>
      <c r="J37" s="51">
        <f t="shared" si="1"/>
        <v>10.450000000011642</v>
      </c>
      <c r="K37" s="25">
        <f t="shared" si="2"/>
        <v>627</v>
      </c>
      <c r="L37" s="544" t="s">
        <v>102</v>
      </c>
      <c r="M37" s="546" t="str">
        <f t="shared" si="3"/>
        <v>--</v>
      </c>
      <c r="N37" s="615">
        <f t="shared" si="4"/>
        <v>200</v>
      </c>
      <c r="O37" s="616">
        <f t="shared" si="5"/>
        <v>2463.483</v>
      </c>
      <c r="P37" s="617" t="str">
        <f t="shared" si="6"/>
        <v>--</v>
      </c>
      <c r="Q37" s="618" t="str">
        <f t="shared" si="7"/>
        <v>--</v>
      </c>
      <c r="R37" s="619" t="str">
        <f t="shared" si="8"/>
        <v>--</v>
      </c>
      <c r="S37" s="546" t="str">
        <f t="shared" si="9"/>
        <v>SI</v>
      </c>
      <c r="T37" s="53">
        <f t="shared" si="10"/>
        <v>2463.483</v>
      </c>
      <c r="U37" s="100"/>
    </row>
    <row r="38" spans="2:21" s="16" customFormat="1" ht="16.5" customHeight="1">
      <c r="B38" s="96"/>
      <c r="C38" s="524" t="s">
        <v>140</v>
      </c>
      <c r="D38" s="609" t="s">
        <v>13</v>
      </c>
      <c r="E38" s="609" t="s">
        <v>11</v>
      </c>
      <c r="F38" s="610">
        <v>500</v>
      </c>
      <c r="G38" s="300">
        <f t="shared" si="0"/>
        <v>11.787</v>
      </c>
      <c r="H38" s="612">
        <v>37887.30972222222</v>
      </c>
      <c r="I38" s="613">
        <v>37887.74375</v>
      </c>
      <c r="J38" s="51">
        <f t="shared" si="1"/>
        <v>10.416666666744277</v>
      </c>
      <c r="K38" s="25">
        <f t="shared" si="2"/>
        <v>625</v>
      </c>
      <c r="L38" s="544" t="s">
        <v>102</v>
      </c>
      <c r="M38" s="546" t="str">
        <f t="shared" si="3"/>
        <v>--</v>
      </c>
      <c r="N38" s="615">
        <f t="shared" si="4"/>
        <v>200</v>
      </c>
      <c r="O38" s="616">
        <f t="shared" si="5"/>
        <v>2456.4108</v>
      </c>
      <c r="P38" s="617" t="str">
        <f t="shared" si="6"/>
        <v>--</v>
      </c>
      <c r="Q38" s="618" t="str">
        <f t="shared" si="7"/>
        <v>--</v>
      </c>
      <c r="R38" s="619" t="str">
        <f t="shared" si="8"/>
        <v>--</v>
      </c>
      <c r="S38" s="546" t="str">
        <f t="shared" si="9"/>
        <v>SI</v>
      </c>
      <c r="T38" s="53">
        <f t="shared" si="10"/>
        <v>2456.4108</v>
      </c>
      <c r="U38" s="100"/>
    </row>
    <row r="39" spans="2:21" s="16" customFormat="1" ht="16.5" customHeight="1">
      <c r="B39" s="96"/>
      <c r="C39" s="524" t="s">
        <v>141</v>
      </c>
      <c r="D39" s="609" t="s">
        <v>13</v>
      </c>
      <c r="E39" s="609" t="s">
        <v>11</v>
      </c>
      <c r="F39" s="610">
        <v>500</v>
      </c>
      <c r="G39" s="300">
        <f t="shared" si="0"/>
        <v>11.787</v>
      </c>
      <c r="H39" s="612">
        <v>37888.31458333333</v>
      </c>
      <c r="I39" s="613">
        <v>37888.75902777778</v>
      </c>
      <c r="J39" s="51">
        <f t="shared" si="1"/>
        <v>10.66666666668607</v>
      </c>
      <c r="K39" s="25">
        <f t="shared" si="2"/>
        <v>640</v>
      </c>
      <c r="L39" s="544" t="s">
        <v>102</v>
      </c>
      <c r="M39" s="546" t="str">
        <f t="shared" si="3"/>
        <v>--</v>
      </c>
      <c r="N39" s="615">
        <f t="shared" si="4"/>
        <v>200</v>
      </c>
      <c r="O39" s="616">
        <f t="shared" si="5"/>
        <v>2515.3458000000005</v>
      </c>
      <c r="P39" s="617" t="str">
        <f t="shared" si="6"/>
        <v>--</v>
      </c>
      <c r="Q39" s="618" t="str">
        <f t="shared" si="7"/>
        <v>--</v>
      </c>
      <c r="R39" s="619" t="str">
        <f t="shared" si="8"/>
        <v>--</v>
      </c>
      <c r="S39" s="546" t="str">
        <f t="shared" si="9"/>
        <v>SI</v>
      </c>
      <c r="T39" s="53">
        <f t="shared" si="10"/>
        <v>2515.3458000000005</v>
      </c>
      <c r="U39" s="100"/>
    </row>
    <row r="40" spans="2:21" s="16" customFormat="1" ht="16.5" customHeight="1">
      <c r="B40" s="96"/>
      <c r="C40" s="524" t="s">
        <v>142</v>
      </c>
      <c r="D40" s="609" t="s">
        <v>13</v>
      </c>
      <c r="E40" s="609" t="s">
        <v>11</v>
      </c>
      <c r="F40" s="610">
        <v>500</v>
      </c>
      <c r="G40" s="300">
        <f t="shared" si="0"/>
        <v>11.787</v>
      </c>
      <c r="H40" s="612">
        <v>37889.31736111111</v>
      </c>
      <c r="I40" s="613">
        <v>37889.73125</v>
      </c>
      <c r="J40" s="51">
        <f t="shared" si="1"/>
        <v>9.93333333323244</v>
      </c>
      <c r="K40" s="25">
        <f t="shared" si="2"/>
        <v>596</v>
      </c>
      <c r="L40" s="544" t="s">
        <v>102</v>
      </c>
      <c r="M40" s="546" t="str">
        <f t="shared" si="3"/>
        <v>--</v>
      </c>
      <c r="N40" s="615">
        <f t="shared" si="4"/>
        <v>200</v>
      </c>
      <c r="O40" s="616">
        <f t="shared" si="5"/>
        <v>2340.8982</v>
      </c>
      <c r="P40" s="617" t="str">
        <f t="shared" si="6"/>
        <v>--</v>
      </c>
      <c r="Q40" s="618" t="str">
        <f t="shared" si="7"/>
        <v>--</v>
      </c>
      <c r="R40" s="619" t="str">
        <f t="shared" si="8"/>
        <v>--</v>
      </c>
      <c r="S40" s="546" t="str">
        <f t="shared" si="9"/>
        <v>SI</v>
      </c>
      <c r="T40" s="53">
        <f t="shared" si="10"/>
        <v>2340.8982</v>
      </c>
      <c r="U40" s="100"/>
    </row>
    <row r="41" spans="2:21" s="16" customFormat="1" ht="16.5" customHeight="1">
      <c r="B41" s="96"/>
      <c r="C41" s="524" t="s">
        <v>143</v>
      </c>
      <c r="D41" s="609" t="s">
        <v>13</v>
      </c>
      <c r="E41" s="609" t="s">
        <v>11</v>
      </c>
      <c r="F41" s="610">
        <v>500</v>
      </c>
      <c r="G41" s="300">
        <f t="shared" si="0"/>
        <v>11.787</v>
      </c>
      <c r="H41" s="612">
        <v>37890.32847222222</v>
      </c>
      <c r="I41" s="613">
        <v>37890.75277777778</v>
      </c>
      <c r="J41" s="51">
        <f t="shared" si="1"/>
        <v>10.183333333348855</v>
      </c>
      <c r="K41" s="25">
        <f t="shared" si="2"/>
        <v>611</v>
      </c>
      <c r="L41" s="544" t="s">
        <v>102</v>
      </c>
      <c r="M41" s="546" t="str">
        <f t="shared" si="3"/>
        <v>--</v>
      </c>
      <c r="N41" s="615">
        <f t="shared" si="4"/>
        <v>200</v>
      </c>
      <c r="O41" s="616">
        <f t="shared" si="5"/>
        <v>2399.8332</v>
      </c>
      <c r="P41" s="617" t="str">
        <f t="shared" si="6"/>
        <v>--</v>
      </c>
      <c r="Q41" s="618" t="str">
        <f t="shared" si="7"/>
        <v>--</v>
      </c>
      <c r="R41" s="619" t="str">
        <f t="shared" si="8"/>
        <v>--</v>
      </c>
      <c r="S41" s="546" t="str">
        <f t="shared" si="9"/>
        <v>SI</v>
      </c>
      <c r="T41" s="53">
        <f t="shared" si="10"/>
        <v>2399.8332</v>
      </c>
      <c r="U41" s="100"/>
    </row>
    <row r="42" spans="2:21" s="16" customFormat="1" ht="16.5" customHeight="1" thickBot="1">
      <c r="B42" s="96"/>
      <c r="C42" s="533"/>
      <c r="D42" s="611"/>
      <c r="E42" s="611"/>
      <c r="F42" s="534"/>
      <c r="G42" s="301"/>
      <c r="H42" s="614"/>
      <c r="I42" s="614"/>
      <c r="J42" s="54"/>
      <c r="K42" s="54"/>
      <c r="L42" s="614"/>
      <c r="M42" s="543"/>
      <c r="N42" s="620"/>
      <c r="O42" s="621"/>
      <c r="P42" s="622"/>
      <c r="Q42" s="623"/>
      <c r="R42" s="624"/>
      <c r="S42" s="543"/>
      <c r="T42" s="204"/>
      <c r="U42" s="100"/>
    </row>
    <row r="43" spans="2:21" s="16" customFormat="1" ht="16.5" customHeight="1" thickBot="1" thickTop="1">
      <c r="B43" s="96"/>
      <c r="C43" s="236" t="s">
        <v>57</v>
      </c>
      <c r="D43" s="237" t="s">
        <v>58</v>
      </c>
      <c r="E43"/>
      <c r="F43" s="14"/>
      <c r="G43" s="14"/>
      <c r="H43" s="14"/>
      <c r="I43" s="14"/>
      <c r="J43" s="14"/>
      <c r="K43" s="14"/>
      <c r="L43" s="14"/>
      <c r="M43" s="14"/>
      <c r="N43" s="14"/>
      <c r="O43" s="402">
        <f>SUM(O20:O42)</f>
        <v>34713.2208</v>
      </c>
      <c r="P43" s="409">
        <f>SUM(P20:P42)</f>
        <v>754.4</v>
      </c>
      <c r="Q43" s="410">
        <f>SUM(Q20:Q42)</f>
        <v>460.18399999999997</v>
      </c>
      <c r="R43" s="412">
        <f>SUM(R20:R42)</f>
        <v>0</v>
      </c>
      <c r="S43" s="55"/>
      <c r="T43" s="67">
        <f>ROUND(SUM(T20:T42),2)</f>
        <v>35927.8</v>
      </c>
      <c r="U43" s="100"/>
    </row>
    <row r="44" spans="2:21" s="241" customFormat="1" ht="13.5" thickTop="1">
      <c r="B44" s="242"/>
      <c r="C44" s="238"/>
      <c r="D44" s="240" t="s">
        <v>59</v>
      </c>
      <c r="E44"/>
      <c r="F44" s="258"/>
      <c r="G44" s="258"/>
      <c r="H44" s="258"/>
      <c r="I44" s="258"/>
      <c r="J44" s="258"/>
      <c r="K44" s="258"/>
      <c r="L44" s="258"/>
      <c r="M44" s="258"/>
      <c r="N44" s="258"/>
      <c r="O44" s="256"/>
      <c r="P44" s="256"/>
      <c r="Q44" s="256"/>
      <c r="R44" s="256"/>
      <c r="S44" s="256"/>
      <c r="T44" s="259"/>
      <c r="U44" s="260"/>
    </row>
    <row r="45" spans="2:21" s="16" customFormat="1" ht="16.5" customHeight="1" thickBot="1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158"/>
  <sheetViews>
    <sheetView zoomScale="75" zoomScaleNormal="75" workbookViewId="0" topLeftCell="D21">
      <selection activeCell="D52" sqref="D5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6.574218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68" customFormat="1" ht="26.25">
      <c r="A1" s="112"/>
      <c r="U1" s="500"/>
    </row>
    <row r="2" spans="1:21" s="68" customFormat="1" ht="26.25">
      <c r="A2" s="112"/>
      <c r="B2" s="69" t="str">
        <f>+'tot-0309'!B2</f>
        <v>ANEXO I-2 a la Resolución ENRE N°            520/2006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="16" customFormat="1" ht="12.75">
      <c r="A3" s="44"/>
    </row>
    <row r="4" spans="1:2" s="75" customFormat="1" ht="11.25">
      <c r="A4" s="73" t="s">
        <v>16</v>
      </c>
      <c r="B4" s="144"/>
    </row>
    <row r="5" spans="1:2" s="75" customFormat="1" ht="11.25">
      <c r="A5" s="73" t="s">
        <v>17</v>
      </c>
      <c r="B5" s="144"/>
    </row>
    <row r="6" s="16" customFormat="1" ht="13.5" thickBot="1"/>
    <row r="7" spans="2:21" s="16" customFormat="1" ht="13.5" thickTop="1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81"/>
    </row>
    <row r="8" spans="2:21" s="10" customFormat="1" ht="20.25">
      <c r="B8" s="126"/>
      <c r="C8" s="11"/>
      <c r="D8" s="47" t="s">
        <v>30</v>
      </c>
      <c r="L8" s="157"/>
      <c r="M8" s="157"/>
      <c r="N8" s="35"/>
      <c r="O8" s="11"/>
      <c r="P8" s="11"/>
      <c r="Q8" s="11"/>
      <c r="R8" s="11"/>
      <c r="S8" s="11"/>
      <c r="T8" s="11"/>
      <c r="U8" s="190"/>
    </row>
    <row r="9" spans="2:21" s="16" customFormat="1" ht="12.75">
      <c r="B9" s="96"/>
      <c r="C9" s="1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4"/>
      <c r="Q9" s="14"/>
      <c r="R9" s="14"/>
      <c r="S9" s="14"/>
      <c r="T9" s="14"/>
      <c r="U9" s="100"/>
    </row>
    <row r="10" spans="2:21" s="10" customFormat="1" ht="20.25">
      <c r="B10" s="126"/>
      <c r="C10" s="11"/>
      <c r="D10" s="161" t="s">
        <v>83</v>
      </c>
      <c r="E10" s="36"/>
      <c r="F10" s="157"/>
      <c r="G10" s="191"/>
      <c r="I10" s="191"/>
      <c r="J10" s="191"/>
      <c r="K10" s="191"/>
      <c r="L10" s="191"/>
      <c r="M10" s="191"/>
      <c r="N10" s="191"/>
      <c r="O10" s="11"/>
      <c r="P10" s="11"/>
      <c r="Q10" s="11"/>
      <c r="R10" s="11"/>
      <c r="S10" s="11"/>
      <c r="T10" s="11"/>
      <c r="U10" s="190"/>
    </row>
    <row r="11" spans="2:21" s="16" customFormat="1" ht="13.5">
      <c r="B11" s="96"/>
      <c r="C11" s="14"/>
      <c r="D11" s="189"/>
      <c r="E11" s="189"/>
      <c r="F11" s="44"/>
      <c r="G11" s="182"/>
      <c r="H11" s="98"/>
      <c r="I11" s="182"/>
      <c r="J11" s="182"/>
      <c r="K11" s="182"/>
      <c r="L11" s="182"/>
      <c r="M11" s="182"/>
      <c r="N11" s="182"/>
      <c r="O11" s="14"/>
      <c r="P11" s="14"/>
      <c r="Q11" s="14"/>
      <c r="R11" s="14"/>
      <c r="S11" s="14"/>
      <c r="T11" s="14"/>
      <c r="U11" s="100"/>
    </row>
    <row r="12" spans="2:21" s="16" customFormat="1" ht="19.5">
      <c r="B12" s="88" t="str">
        <f>+'tot-0309'!B14</f>
        <v>Desde el 01 al 30 de septiembre de 2003</v>
      </c>
      <c r="C12" s="89"/>
      <c r="D12" s="89"/>
      <c r="E12" s="89"/>
      <c r="F12" s="89"/>
      <c r="G12" s="192"/>
      <c r="H12" s="192"/>
      <c r="I12" s="192"/>
      <c r="J12" s="192"/>
      <c r="K12" s="192"/>
      <c r="L12" s="192"/>
      <c r="M12" s="192"/>
      <c r="N12" s="192"/>
      <c r="O12" s="89"/>
      <c r="P12" s="89"/>
      <c r="Q12" s="89"/>
      <c r="R12" s="89"/>
      <c r="S12" s="89"/>
      <c r="T12" s="89"/>
      <c r="U12" s="193"/>
    </row>
    <row r="13" spans="2:21" s="16" customFormat="1" ht="14.25" thickBot="1">
      <c r="B13" s="194"/>
      <c r="C13" s="195"/>
      <c r="D13" s="195"/>
      <c r="E13" s="195"/>
      <c r="F13" s="195"/>
      <c r="G13" s="196"/>
      <c r="H13" s="196"/>
      <c r="I13" s="196"/>
      <c r="J13" s="196"/>
      <c r="K13" s="196"/>
      <c r="L13" s="196"/>
      <c r="M13" s="196"/>
      <c r="N13" s="196"/>
      <c r="O13" s="195"/>
      <c r="P13" s="195"/>
      <c r="Q13" s="195"/>
      <c r="R13" s="195"/>
      <c r="S13" s="195"/>
      <c r="T13" s="195"/>
      <c r="U13" s="197"/>
    </row>
    <row r="14" spans="2:21" s="16" customFormat="1" ht="15" thickBot="1" thickTop="1">
      <c r="B14" s="96"/>
      <c r="C14" s="14"/>
      <c r="D14" s="198"/>
      <c r="E14" s="198"/>
      <c r="F14" s="199" t="s">
        <v>78</v>
      </c>
      <c r="G14" s="14"/>
      <c r="H14" s="98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0"/>
    </row>
    <row r="15" spans="2:21" s="16" customFormat="1" ht="16.5" customHeight="1" thickBot="1" thickTop="1">
      <c r="B15" s="96"/>
      <c r="C15" s="14"/>
      <c r="D15" s="505" t="s">
        <v>79</v>
      </c>
      <c r="E15" s="506">
        <v>11.787</v>
      </c>
      <c r="F15" s="507">
        <v>200</v>
      </c>
      <c r="T15" s="119"/>
      <c r="U15" s="100"/>
    </row>
    <row r="16" spans="2:21" s="16" customFormat="1" ht="16.5" customHeight="1" thickBot="1" thickTop="1">
      <c r="B16" s="96"/>
      <c r="C16" s="14"/>
      <c r="D16" s="508" t="s">
        <v>80</v>
      </c>
      <c r="E16" s="509">
        <v>10.609</v>
      </c>
      <c r="F16" s="507">
        <v>100</v>
      </c>
      <c r="M16" s="14"/>
      <c r="N16" s="14"/>
      <c r="O16" s="14"/>
      <c r="P16" s="14"/>
      <c r="Q16" s="14"/>
      <c r="R16" s="14"/>
      <c r="S16" s="14"/>
      <c r="T16" s="14"/>
      <c r="U16" s="100"/>
    </row>
    <row r="17" spans="2:21" s="16" customFormat="1" ht="16.5" customHeight="1" thickBot="1" thickTop="1">
      <c r="B17" s="96"/>
      <c r="C17" s="14"/>
      <c r="D17" s="510" t="s">
        <v>81</v>
      </c>
      <c r="E17" s="625">
        <v>9.43</v>
      </c>
      <c r="F17" s="507">
        <v>40</v>
      </c>
      <c r="M17" s="14"/>
      <c r="O17" s="14"/>
      <c r="P17" s="14"/>
      <c r="Q17" s="14"/>
      <c r="R17" s="14"/>
      <c r="S17" s="14"/>
      <c r="T17" s="14"/>
      <c r="U17" s="100"/>
    </row>
    <row r="18" spans="2:21" s="16" customFormat="1" ht="16.5" customHeight="1" thickBot="1" thickTop="1">
      <c r="B18" s="96"/>
      <c r="C18" s="21"/>
      <c r="D18" s="59"/>
      <c r="E18" s="59"/>
      <c r="F18" s="183"/>
      <c r="G18" s="184"/>
      <c r="H18" s="184"/>
      <c r="I18" s="184"/>
      <c r="J18" s="184"/>
      <c r="K18" s="184"/>
      <c r="L18" s="184"/>
      <c r="M18" s="184"/>
      <c r="N18" s="52"/>
      <c r="O18" s="185"/>
      <c r="P18" s="186"/>
      <c r="Q18" s="186"/>
      <c r="R18" s="186"/>
      <c r="S18" s="187"/>
      <c r="T18" s="188"/>
      <c r="U18" s="100"/>
    </row>
    <row r="19" spans="2:21" s="16" customFormat="1" ht="33.75" customHeight="1" thickBot="1" thickTop="1">
      <c r="B19" s="96"/>
      <c r="C19" s="133" t="s">
        <v>35</v>
      </c>
      <c r="D19" s="141" t="s">
        <v>71</v>
      </c>
      <c r="E19" s="138" t="s">
        <v>12</v>
      </c>
      <c r="F19" s="201" t="s">
        <v>36</v>
      </c>
      <c r="G19" s="299" t="s">
        <v>40</v>
      </c>
      <c r="H19" s="136" t="s">
        <v>41</v>
      </c>
      <c r="I19" s="138" t="s">
        <v>42</v>
      </c>
      <c r="J19" s="202" t="s">
        <v>43</v>
      </c>
      <c r="K19" s="202" t="s">
        <v>44</v>
      </c>
      <c r="L19" s="140" t="s">
        <v>45</v>
      </c>
      <c r="M19" s="137" t="s">
        <v>48</v>
      </c>
      <c r="N19" s="398" t="s">
        <v>39</v>
      </c>
      <c r="O19" s="390" t="s">
        <v>63</v>
      </c>
      <c r="P19" s="403" t="s">
        <v>82</v>
      </c>
      <c r="Q19" s="404"/>
      <c r="R19" s="413" t="s">
        <v>53</v>
      </c>
      <c r="S19" s="142" t="s">
        <v>55</v>
      </c>
      <c r="T19" s="175" t="s">
        <v>56</v>
      </c>
      <c r="U19" s="100"/>
    </row>
    <row r="20" spans="2:21" s="16" customFormat="1" ht="16.5" customHeight="1" thickTop="1">
      <c r="B20" s="96"/>
      <c r="C20" s="20"/>
      <c r="D20" s="49"/>
      <c r="E20" s="49"/>
      <c r="F20" s="49"/>
      <c r="G20" s="308"/>
      <c r="H20" s="49"/>
      <c r="I20" s="49"/>
      <c r="J20" s="49"/>
      <c r="K20" s="49"/>
      <c r="L20" s="49"/>
      <c r="M20" s="49"/>
      <c r="N20" s="399"/>
      <c r="O20" s="401"/>
      <c r="P20" s="405"/>
      <c r="Q20" s="406"/>
      <c r="R20" s="414"/>
      <c r="S20" s="49"/>
      <c r="T20" s="499">
        <f>'SALIDA-TIBA'!T43</f>
        <v>35927.8</v>
      </c>
      <c r="U20" s="100"/>
    </row>
    <row r="21" spans="2:21" s="16" customFormat="1" ht="16.5" customHeight="1">
      <c r="B21" s="96"/>
      <c r="C21" s="20"/>
      <c r="D21" s="50"/>
      <c r="E21" s="50"/>
      <c r="F21" s="50"/>
      <c r="G21" s="309"/>
      <c r="H21" s="50"/>
      <c r="I21" s="50"/>
      <c r="J21" s="50"/>
      <c r="K21" s="50"/>
      <c r="L21" s="50"/>
      <c r="M21" s="50"/>
      <c r="N21" s="397"/>
      <c r="O21" s="400"/>
      <c r="P21" s="407"/>
      <c r="Q21" s="408"/>
      <c r="R21" s="411"/>
      <c r="S21" s="50"/>
      <c r="T21" s="203"/>
      <c r="U21" s="100"/>
    </row>
    <row r="22" spans="2:21" s="16" customFormat="1" ht="16.5" customHeight="1">
      <c r="B22" s="96"/>
      <c r="C22" s="524" t="s">
        <v>144</v>
      </c>
      <c r="D22" s="609" t="s">
        <v>9</v>
      </c>
      <c r="E22" s="609" t="s">
        <v>113</v>
      </c>
      <c r="F22" s="610">
        <v>132</v>
      </c>
      <c r="G22" s="300">
        <f aca="true" t="shared" si="0" ref="G22:G41">IF(F22=500,$E$15,IF(F22=220,$E$16,$E$17))</f>
        <v>9.43</v>
      </c>
      <c r="H22" s="612">
        <v>37890.50069444445</v>
      </c>
      <c r="I22" s="613">
        <v>37890.71597222222</v>
      </c>
      <c r="J22" s="51">
        <f aca="true" t="shared" si="1" ref="J22:J41">IF(D22="","",(I22-H22)*24)</f>
        <v>5.166666666569654</v>
      </c>
      <c r="K22" s="25">
        <f aca="true" t="shared" si="2" ref="K22:K41">IF(D22="","",ROUND((I22-H22)*24*60,0))</f>
        <v>310</v>
      </c>
      <c r="L22" s="544" t="s">
        <v>102</v>
      </c>
      <c r="M22" s="546" t="str">
        <f aca="true" t="shared" si="3" ref="M22:M41">IF(D22="","",IF(L22="P","--","NO"))</f>
        <v>--</v>
      </c>
      <c r="N22" s="615">
        <f aca="true" t="shared" si="4" ref="N22:N41">IF(F22=500,$F$15,IF(F22=220,$F$16,$F$17))</f>
        <v>40</v>
      </c>
      <c r="O22" s="616">
        <f aca="true" t="shared" si="5" ref="O22:O41">IF(L22="P",G22*N22*ROUND(K22/60,2)*0.1,"--")</f>
        <v>195.0124</v>
      </c>
      <c r="P22" s="617" t="str">
        <f aca="true" t="shared" si="6" ref="P22:P41">IF(AND(L22="F",M22="NO"),G22*N22,"--")</f>
        <v>--</v>
      </c>
      <c r="Q22" s="618" t="str">
        <f aca="true" t="shared" si="7" ref="Q22:Q41">IF(L22="F",G22*N22*ROUND(K22/60,2),"--")</f>
        <v>--</v>
      </c>
      <c r="R22" s="619" t="str">
        <f aca="true" t="shared" si="8" ref="R22:R41">IF(L22="RF",G22*N22*ROUND(K22/60,2),"--")</f>
        <v>--</v>
      </c>
      <c r="S22" s="546" t="str">
        <f aca="true" t="shared" si="9" ref="S22:S41">IF(D22="","","SI")</f>
        <v>SI</v>
      </c>
      <c r="T22" s="53">
        <f aca="true" t="shared" si="10" ref="T22:T41">IF(D22="","",SUM(O22:R22)*IF(S22="SI",1,2))</f>
        <v>195.0124</v>
      </c>
      <c r="U22" s="100"/>
    </row>
    <row r="23" spans="2:21" s="16" customFormat="1" ht="16.5" customHeight="1">
      <c r="B23" s="96"/>
      <c r="C23" s="524" t="s">
        <v>145</v>
      </c>
      <c r="D23" s="609" t="s">
        <v>13</v>
      </c>
      <c r="E23" s="609" t="s">
        <v>11</v>
      </c>
      <c r="F23" s="610">
        <v>500</v>
      </c>
      <c r="G23" s="300">
        <f t="shared" si="0"/>
        <v>11.787</v>
      </c>
      <c r="H23" s="612">
        <v>37893.325694444444</v>
      </c>
      <c r="I23" s="613">
        <v>37893.74236111111</v>
      </c>
      <c r="J23" s="51">
        <f t="shared" si="1"/>
        <v>9.999999999941792</v>
      </c>
      <c r="K23" s="25">
        <f t="shared" si="2"/>
        <v>600</v>
      </c>
      <c r="L23" s="544" t="s">
        <v>102</v>
      </c>
      <c r="M23" s="546" t="str">
        <f t="shared" si="3"/>
        <v>--</v>
      </c>
      <c r="N23" s="615">
        <f t="shared" si="4"/>
        <v>200</v>
      </c>
      <c r="O23" s="616">
        <f t="shared" si="5"/>
        <v>2357.4</v>
      </c>
      <c r="P23" s="617" t="str">
        <f t="shared" si="6"/>
        <v>--</v>
      </c>
      <c r="Q23" s="618" t="str">
        <f t="shared" si="7"/>
        <v>--</v>
      </c>
      <c r="R23" s="619" t="str">
        <f t="shared" si="8"/>
        <v>--</v>
      </c>
      <c r="S23" s="546" t="str">
        <f t="shared" si="9"/>
        <v>SI</v>
      </c>
      <c r="T23" s="53">
        <f t="shared" si="10"/>
        <v>2357.4</v>
      </c>
      <c r="U23" s="100"/>
    </row>
    <row r="24" spans="2:21" s="16" customFormat="1" ht="16.5" customHeight="1">
      <c r="B24" s="96"/>
      <c r="C24" s="524" t="s">
        <v>146</v>
      </c>
      <c r="D24" s="609" t="s">
        <v>13</v>
      </c>
      <c r="E24" s="609" t="s">
        <v>11</v>
      </c>
      <c r="F24" s="610">
        <v>500</v>
      </c>
      <c r="G24" s="300">
        <f t="shared" si="0"/>
        <v>11.787</v>
      </c>
      <c r="H24" s="612">
        <v>37894.30347222222</v>
      </c>
      <c r="I24" s="613">
        <v>37894.73263888889</v>
      </c>
      <c r="J24" s="51">
        <f t="shared" si="1"/>
        <v>10.300000000046566</v>
      </c>
      <c r="K24" s="25">
        <f t="shared" si="2"/>
        <v>618</v>
      </c>
      <c r="L24" s="544" t="s">
        <v>102</v>
      </c>
      <c r="M24" s="546" t="str">
        <f t="shared" si="3"/>
        <v>--</v>
      </c>
      <c r="N24" s="615">
        <f t="shared" si="4"/>
        <v>200</v>
      </c>
      <c r="O24" s="616">
        <f t="shared" si="5"/>
        <v>2428.1220000000003</v>
      </c>
      <c r="P24" s="617" t="str">
        <f t="shared" si="6"/>
        <v>--</v>
      </c>
      <c r="Q24" s="618" t="str">
        <f t="shared" si="7"/>
        <v>--</v>
      </c>
      <c r="R24" s="619" t="str">
        <f t="shared" si="8"/>
        <v>--</v>
      </c>
      <c r="S24" s="546" t="str">
        <f t="shared" si="9"/>
        <v>SI</v>
      </c>
      <c r="T24" s="53">
        <f t="shared" si="10"/>
        <v>2428.1220000000003</v>
      </c>
      <c r="U24" s="100"/>
    </row>
    <row r="25" spans="2:21" s="16" customFormat="1" ht="16.5" customHeight="1">
      <c r="B25" s="96"/>
      <c r="C25" s="524"/>
      <c r="D25" s="609"/>
      <c r="E25" s="609"/>
      <c r="F25" s="610"/>
      <c r="G25" s="300">
        <f t="shared" si="0"/>
        <v>9.43</v>
      </c>
      <c r="H25" s="612"/>
      <c r="I25" s="613"/>
      <c r="J25" s="51">
        <f t="shared" si="1"/>
      </c>
      <c r="K25" s="25">
        <f t="shared" si="2"/>
      </c>
      <c r="L25" s="544"/>
      <c r="M25" s="546">
        <f t="shared" si="3"/>
      </c>
      <c r="N25" s="615">
        <f t="shared" si="4"/>
        <v>40</v>
      </c>
      <c r="O25" s="616" t="str">
        <f t="shared" si="5"/>
        <v>--</v>
      </c>
      <c r="P25" s="617" t="str">
        <f t="shared" si="6"/>
        <v>--</v>
      </c>
      <c r="Q25" s="618" t="str">
        <f t="shared" si="7"/>
        <v>--</v>
      </c>
      <c r="R25" s="619" t="str">
        <f t="shared" si="8"/>
        <v>--</v>
      </c>
      <c r="S25" s="546">
        <f t="shared" si="9"/>
      </c>
      <c r="T25" s="53">
        <f t="shared" si="10"/>
      </c>
      <c r="U25" s="100"/>
    </row>
    <row r="26" spans="2:21" s="16" customFormat="1" ht="16.5" customHeight="1">
      <c r="B26" s="96"/>
      <c r="C26" s="524"/>
      <c r="D26" s="609"/>
      <c r="E26" s="609"/>
      <c r="F26" s="610"/>
      <c r="G26" s="300">
        <f t="shared" si="0"/>
        <v>9.43</v>
      </c>
      <c r="H26" s="612"/>
      <c r="I26" s="613"/>
      <c r="J26" s="51">
        <f t="shared" si="1"/>
      </c>
      <c r="K26" s="25">
        <f t="shared" si="2"/>
      </c>
      <c r="L26" s="544"/>
      <c r="M26" s="546">
        <f t="shared" si="3"/>
      </c>
      <c r="N26" s="615">
        <f t="shared" si="4"/>
        <v>40</v>
      </c>
      <c r="O26" s="616" t="str">
        <f t="shared" si="5"/>
        <v>--</v>
      </c>
      <c r="P26" s="617" t="str">
        <f t="shared" si="6"/>
        <v>--</v>
      </c>
      <c r="Q26" s="618" t="str">
        <f t="shared" si="7"/>
        <v>--</v>
      </c>
      <c r="R26" s="619" t="str">
        <f t="shared" si="8"/>
        <v>--</v>
      </c>
      <c r="S26" s="546">
        <f t="shared" si="9"/>
      </c>
      <c r="T26" s="53">
        <f t="shared" si="10"/>
      </c>
      <c r="U26" s="100"/>
    </row>
    <row r="27" spans="2:21" s="16" customFormat="1" ht="16.5" customHeight="1">
      <c r="B27" s="96"/>
      <c r="C27" s="524"/>
      <c r="D27" s="609"/>
      <c r="E27" s="609"/>
      <c r="F27" s="610"/>
      <c r="G27" s="300">
        <f t="shared" si="0"/>
        <v>9.43</v>
      </c>
      <c r="H27" s="612"/>
      <c r="I27" s="613"/>
      <c r="J27" s="51">
        <f t="shared" si="1"/>
      </c>
      <c r="K27" s="25">
        <f t="shared" si="2"/>
      </c>
      <c r="L27" s="544"/>
      <c r="M27" s="546">
        <f t="shared" si="3"/>
      </c>
      <c r="N27" s="615">
        <f t="shared" si="4"/>
        <v>40</v>
      </c>
      <c r="O27" s="616" t="str">
        <f t="shared" si="5"/>
        <v>--</v>
      </c>
      <c r="P27" s="617" t="str">
        <f t="shared" si="6"/>
        <v>--</v>
      </c>
      <c r="Q27" s="618" t="str">
        <f t="shared" si="7"/>
        <v>--</v>
      </c>
      <c r="R27" s="619" t="str">
        <f t="shared" si="8"/>
        <v>--</v>
      </c>
      <c r="S27" s="546">
        <f t="shared" si="9"/>
      </c>
      <c r="T27" s="53">
        <f t="shared" si="10"/>
      </c>
      <c r="U27" s="100"/>
    </row>
    <row r="28" spans="2:21" s="16" customFormat="1" ht="16.5" customHeight="1">
      <c r="B28" s="96"/>
      <c r="C28" s="524"/>
      <c r="D28" s="609"/>
      <c r="E28" s="609"/>
      <c r="F28" s="610"/>
      <c r="G28" s="300">
        <f t="shared" si="0"/>
        <v>9.43</v>
      </c>
      <c r="H28" s="612"/>
      <c r="I28" s="613"/>
      <c r="J28" s="51">
        <f t="shared" si="1"/>
      </c>
      <c r="K28" s="25">
        <f t="shared" si="2"/>
      </c>
      <c r="L28" s="544"/>
      <c r="M28" s="546">
        <f t="shared" si="3"/>
      </c>
      <c r="N28" s="615">
        <f t="shared" si="4"/>
        <v>40</v>
      </c>
      <c r="O28" s="616" t="str">
        <f t="shared" si="5"/>
        <v>--</v>
      </c>
      <c r="P28" s="617" t="str">
        <f t="shared" si="6"/>
        <v>--</v>
      </c>
      <c r="Q28" s="618" t="str">
        <f t="shared" si="7"/>
        <v>--</v>
      </c>
      <c r="R28" s="619" t="str">
        <f t="shared" si="8"/>
        <v>--</v>
      </c>
      <c r="S28" s="546">
        <f t="shared" si="9"/>
      </c>
      <c r="T28" s="53">
        <f t="shared" si="10"/>
      </c>
      <c r="U28" s="100"/>
    </row>
    <row r="29" spans="2:21" s="16" customFormat="1" ht="16.5" customHeight="1">
      <c r="B29" s="96"/>
      <c r="C29" s="524"/>
      <c r="D29" s="609"/>
      <c r="E29" s="609"/>
      <c r="F29" s="610"/>
      <c r="G29" s="300">
        <f t="shared" si="0"/>
        <v>9.43</v>
      </c>
      <c r="H29" s="612"/>
      <c r="I29" s="613"/>
      <c r="J29" s="51">
        <f t="shared" si="1"/>
      </c>
      <c r="K29" s="25">
        <f t="shared" si="2"/>
      </c>
      <c r="L29" s="544"/>
      <c r="M29" s="546">
        <f t="shared" si="3"/>
      </c>
      <c r="N29" s="615">
        <f t="shared" si="4"/>
        <v>40</v>
      </c>
      <c r="O29" s="616" t="str">
        <f t="shared" si="5"/>
        <v>--</v>
      </c>
      <c r="P29" s="617" t="str">
        <f t="shared" si="6"/>
        <v>--</v>
      </c>
      <c r="Q29" s="618" t="str">
        <f t="shared" si="7"/>
        <v>--</v>
      </c>
      <c r="R29" s="619" t="str">
        <f t="shared" si="8"/>
        <v>--</v>
      </c>
      <c r="S29" s="546">
        <f t="shared" si="9"/>
      </c>
      <c r="T29" s="53">
        <f t="shared" si="10"/>
      </c>
      <c r="U29" s="100"/>
    </row>
    <row r="30" spans="2:21" s="16" customFormat="1" ht="16.5" customHeight="1">
      <c r="B30" s="96"/>
      <c r="C30" s="524"/>
      <c r="D30" s="609"/>
      <c r="E30" s="609"/>
      <c r="F30" s="610"/>
      <c r="G30" s="300">
        <f t="shared" si="0"/>
        <v>9.43</v>
      </c>
      <c r="H30" s="612"/>
      <c r="I30" s="613"/>
      <c r="J30" s="51">
        <f t="shared" si="1"/>
      </c>
      <c r="K30" s="25">
        <f t="shared" si="2"/>
      </c>
      <c r="L30" s="544"/>
      <c r="M30" s="546">
        <f t="shared" si="3"/>
      </c>
      <c r="N30" s="615">
        <f t="shared" si="4"/>
        <v>40</v>
      </c>
      <c r="O30" s="616" t="str">
        <f t="shared" si="5"/>
        <v>--</v>
      </c>
      <c r="P30" s="617" t="str">
        <f t="shared" si="6"/>
        <v>--</v>
      </c>
      <c r="Q30" s="618" t="str">
        <f t="shared" si="7"/>
        <v>--</v>
      </c>
      <c r="R30" s="619" t="str">
        <f t="shared" si="8"/>
        <v>--</v>
      </c>
      <c r="S30" s="546">
        <f t="shared" si="9"/>
      </c>
      <c r="T30" s="53">
        <f t="shared" si="10"/>
      </c>
      <c r="U30" s="100"/>
    </row>
    <row r="31" spans="2:21" s="16" customFormat="1" ht="16.5" customHeight="1">
      <c r="B31" s="96"/>
      <c r="C31" s="524"/>
      <c r="D31" s="609"/>
      <c r="E31" s="609"/>
      <c r="F31" s="610"/>
      <c r="G31" s="300">
        <f t="shared" si="0"/>
        <v>9.43</v>
      </c>
      <c r="H31" s="612"/>
      <c r="I31" s="613"/>
      <c r="J31" s="51">
        <f t="shared" si="1"/>
      </c>
      <c r="K31" s="25">
        <f t="shared" si="2"/>
      </c>
      <c r="L31" s="544"/>
      <c r="M31" s="546">
        <f t="shared" si="3"/>
      </c>
      <c r="N31" s="615">
        <f t="shared" si="4"/>
        <v>40</v>
      </c>
      <c r="O31" s="616" t="str">
        <f t="shared" si="5"/>
        <v>--</v>
      </c>
      <c r="P31" s="617" t="str">
        <f t="shared" si="6"/>
        <v>--</v>
      </c>
      <c r="Q31" s="618" t="str">
        <f t="shared" si="7"/>
        <v>--</v>
      </c>
      <c r="R31" s="619" t="str">
        <f t="shared" si="8"/>
        <v>--</v>
      </c>
      <c r="S31" s="546">
        <f t="shared" si="9"/>
      </c>
      <c r="T31" s="53">
        <f t="shared" si="10"/>
      </c>
      <c r="U31" s="100"/>
    </row>
    <row r="32" spans="2:21" s="16" customFormat="1" ht="16.5" customHeight="1">
      <c r="B32" s="96"/>
      <c r="C32" s="524"/>
      <c r="D32" s="609"/>
      <c r="E32" s="609"/>
      <c r="F32" s="610"/>
      <c r="G32" s="300">
        <f t="shared" si="0"/>
        <v>9.43</v>
      </c>
      <c r="H32" s="612"/>
      <c r="I32" s="613"/>
      <c r="J32" s="51">
        <f t="shared" si="1"/>
      </c>
      <c r="K32" s="25">
        <f t="shared" si="2"/>
      </c>
      <c r="L32" s="544"/>
      <c r="M32" s="546">
        <f t="shared" si="3"/>
      </c>
      <c r="N32" s="615">
        <f t="shared" si="4"/>
        <v>40</v>
      </c>
      <c r="O32" s="616" t="str">
        <f t="shared" si="5"/>
        <v>--</v>
      </c>
      <c r="P32" s="617" t="str">
        <f t="shared" si="6"/>
        <v>--</v>
      </c>
      <c r="Q32" s="618" t="str">
        <f t="shared" si="7"/>
        <v>--</v>
      </c>
      <c r="R32" s="619" t="str">
        <f t="shared" si="8"/>
        <v>--</v>
      </c>
      <c r="S32" s="546">
        <f t="shared" si="9"/>
      </c>
      <c r="T32" s="53">
        <f t="shared" si="10"/>
      </c>
      <c r="U32" s="100"/>
    </row>
    <row r="33" spans="2:21" s="16" customFormat="1" ht="16.5" customHeight="1">
      <c r="B33" s="96"/>
      <c r="C33" s="524"/>
      <c r="D33" s="609"/>
      <c r="E33" s="609"/>
      <c r="F33" s="610"/>
      <c r="G33" s="300">
        <f t="shared" si="0"/>
        <v>9.43</v>
      </c>
      <c r="H33" s="612"/>
      <c r="I33" s="613"/>
      <c r="J33" s="51">
        <f t="shared" si="1"/>
      </c>
      <c r="K33" s="25">
        <f t="shared" si="2"/>
      </c>
      <c r="L33" s="544"/>
      <c r="M33" s="546">
        <f t="shared" si="3"/>
      </c>
      <c r="N33" s="615">
        <f t="shared" si="4"/>
        <v>40</v>
      </c>
      <c r="O33" s="616" t="str">
        <f t="shared" si="5"/>
        <v>--</v>
      </c>
      <c r="P33" s="617" t="str">
        <f t="shared" si="6"/>
        <v>--</v>
      </c>
      <c r="Q33" s="618" t="str">
        <f t="shared" si="7"/>
        <v>--</v>
      </c>
      <c r="R33" s="619" t="str">
        <f t="shared" si="8"/>
        <v>--</v>
      </c>
      <c r="S33" s="546">
        <f t="shared" si="9"/>
      </c>
      <c r="T33" s="53">
        <f t="shared" si="10"/>
      </c>
      <c r="U33" s="100"/>
    </row>
    <row r="34" spans="2:21" s="16" customFormat="1" ht="16.5" customHeight="1">
      <c r="B34" s="96"/>
      <c r="C34" s="524"/>
      <c r="D34" s="609"/>
      <c r="E34" s="609"/>
      <c r="F34" s="610"/>
      <c r="G34" s="300">
        <f t="shared" si="0"/>
        <v>9.43</v>
      </c>
      <c r="H34" s="612"/>
      <c r="I34" s="613"/>
      <c r="J34" s="51">
        <f t="shared" si="1"/>
      </c>
      <c r="K34" s="25">
        <f t="shared" si="2"/>
      </c>
      <c r="L34" s="544"/>
      <c r="M34" s="546">
        <f t="shared" si="3"/>
      </c>
      <c r="N34" s="615">
        <f t="shared" si="4"/>
        <v>40</v>
      </c>
      <c r="O34" s="616" t="str">
        <f t="shared" si="5"/>
        <v>--</v>
      </c>
      <c r="P34" s="617" t="str">
        <f t="shared" si="6"/>
        <v>--</v>
      </c>
      <c r="Q34" s="618" t="str">
        <f t="shared" si="7"/>
        <v>--</v>
      </c>
      <c r="R34" s="619" t="str">
        <f t="shared" si="8"/>
        <v>--</v>
      </c>
      <c r="S34" s="546">
        <f t="shared" si="9"/>
      </c>
      <c r="T34" s="53">
        <f t="shared" si="10"/>
      </c>
      <c r="U34" s="100"/>
    </row>
    <row r="35" spans="2:21" s="16" customFormat="1" ht="16.5" customHeight="1">
      <c r="B35" s="96"/>
      <c r="C35" s="524"/>
      <c r="D35" s="609"/>
      <c r="E35" s="609"/>
      <c r="F35" s="610"/>
      <c r="G35" s="300">
        <f t="shared" si="0"/>
        <v>9.43</v>
      </c>
      <c r="H35" s="612"/>
      <c r="I35" s="613"/>
      <c r="J35" s="51">
        <f t="shared" si="1"/>
      </c>
      <c r="K35" s="25">
        <f t="shared" si="2"/>
      </c>
      <c r="L35" s="544"/>
      <c r="M35" s="546">
        <f t="shared" si="3"/>
      </c>
      <c r="N35" s="615">
        <f t="shared" si="4"/>
        <v>40</v>
      </c>
      <c r="O35" s="616" t="str">
        <f t="shared" si="5"/>
        <v>--</v>
      </c>
      <c r="P35" s="617" t="str">
        <f t="shared" si="6"/>
        <v>--</v>
      </c>
      <c r="Q35" s="618" t="str">
        <f t="shared" si="7"/>
        <v>--</v>
      </c>
      <c r="R35" s="619" t="str">
        <f t="shared" si="8"/>
        <v>--</v>
      </c>
      <c r="S35" s="546">
        <f t="shared" si="9"/>
      </c>
      <c r="T35" s="53">
        <f t="shared" si="10"/>
      </c>
      <c r="U35" s="100"/>
    </row>
    <row r="36" spans="2:21" s="16" customFormat="1" ht="16.5" customHeight="1">
      <c r="B36" s="96"/>
      <c r="C36" s="524"/>
      <c r="D36" s="609"/>
      <c r="E36" s="609"/>
      <c r="F36" s="610"/>
      <c r="G36" s="300">
        <f t="shared" si="0"/>
        <v>9.43</v>
      </c>
      <c r="H36" s="612"/>
      <c r="I36" s="613"/>
      <c r="J36" s="51">
        <f t="shared" si="1"/>
      </c>
      <c r="K36" s="25">
        <f t="shared" si="2"/>
      </c>
      <c r="L36" s="544"/>
      <c r="M36" s="546">
        <f t="shared" si="3"/>
      </c>
      <c r="N36" s="615">
        <f t="shared" si="4"/>
        <v>40</v>
      </c>
      <c r="O36" s="616" t="str">
        <f t="shared" si="5"/>
        <v>--</v>
      </c>
      <c r="P36" s="617" t="str">
        <f t="shared" si="6"/>
        <v>--</v>
      </c>
      <c r="Q36" s="618" t="str">
        <f t="shared" si="7"/>
        <v>--</v>
      </c>
      <c r="R36" s="619" t="str">
        <f t="shared" si="8"/>
        <v>--</v>
      </c>
      <c r="S36" s="546">
        <f t="shared" si="9"/>
      </c>
      <c r="T36" s="53">
        <f t="shared" si="10"/>
      </c>
      <c r="U36" s="100"/>
    </row>
    <row r="37" spans="2:21" s="16" customFormat="1" ht="16.5" customHeight="1">
      <c r="B37" s="96"/>
      <c r="C37" s="524"/>
      <c r="D37" s="609"/>
      <c r="E37" s="609"/>
      <c r="F37" s="610"/>
      <c r="G37" s="300">
        <f t="shared" si="0"/>
        <v>9.43</v>
      </c>
      <c r="H37" s="612"/>
      <c r="I37" s="613"/>
      <c r="J37" s="51">
        <f t="shared" si="1"/>
      </c>
      <c r="K37" s="25">
        <f t="shared" si="2"/>
      </c>
      <c r="L37" s="544"/>
      <c r="M37" s="546">
        <f t="shared" si="3"/>
      </c>
      <c r="N37" s="615">
        <f t="shared" si="4"/>
        <v>40</v>
      </c>
      <c r="O37" s="616" t="str">
        <f t="shared" si="5"/>
        <v>--</v>
      </c>
      <c r="P37" s="617" t="str">
        <f t="shared" si="6"/>
        <v>--</v>
      </c>
      <c r="Q37" s="618" t="str">
        <f t="shared" si="7"/>
        <v>--</v>
      </c>
      <c r="R37" s="619" t="str">
        <f t="shared" si="8"/>
        <v>--</v>
      </c>
      <c r="S37" s="546">
        <f t="shared" si="9"/>
      </c>
      <c r="T37" s="53">
        <f t="shared" si="10"/>
      </c>
      <c r="U37" s="100"/>
    </row>
    <row r="38" spans="2:21" s="16" customFormat="1" ht="16.5" customHeight="1">
      <c r="B38" s="96"/>
      <c r="C38" s="524"/>
      <c r="D38" s="609"/>
      <c r="E38" s="609"/>
      <c r="F38" s="610"/>
      <c r="G38" s="300">
        <f t="shared" si="0"/>
        <v>9.43</v>
      </c>
      <c r="H38" s="612"/>
      <c r="I38" s="613"/>
      <c r="J38" s="51">
        <f t="shared" si="1"/>
      </c>
      <c r="K38" s="25">
        <f t="shared" si="2"/>
      </c>
      <c r="L38" s="544"/>
      <c r="M38" s="546">
        <f t="shared" si="3"/>
      </c>
      <c r="N38" s="615">
        <f t="shared" si="4"/>
        <v>40</v>
      </c>
      <c r="O38" s="616" t="str">
        <f t="shared" si="5"/>
        <v>--</v>
      </c>
      <c r="P38" s="617" t="str">
        <f t="shared" si="6"/>
        <v>--</v>
      </c>
      <c r="Q38" s="618" t="str">
        <f t="shared" si="7"/>
        <v>--</v>
      </c>
      <c r="R38" s="619" t="str">
        <f t="shared" si="8"/>
        <v>--</v>
      </c>
      <c r="S38" s="546">
        <f t="shared" si="9"/>
      </c>
      <c r="T38" s="53">
        <f t="shared" si="10"/>
      </c>
      <c r="U38" s="100"/>
    </row>
    <row r="39" spans="2:21" s="16" customFormat="1" ht="16.5" customHeight="1">
      <c r="B39" s="96"/>
      <c r="C39" s="524"/>
      <c r="D39" s="609"/>
      <c r="E39" s="609"/>
      <c r="F39" s="610"/>
      <c r="G39" s="300">
        <f t="shared" si="0"/>
        <v>9.43</v>
      </c>
      <c r="H39" s="612"/>
      <c r="I39" s="613"/>
      <c r="J39" s="51">
        <f t="shared" si="1"/>
      </c>
      <c r="K39" s="25">
        <f t="shared" si="2"/>
      </c>
      <c r="L39" s="544"/>
      <c r="M39" s="546">
        <f t="shared" si="3"/>
      </c>
      <c r="N39" s="615">
        <f t="shared" si="4"/>
        <v>40</v>
      </c>
      <c r="O39" s="616" t="str">
        <f t="shared" si="5"/>
        <v>--</v>
      </c>
      <c r="P39" s="617" t="str">
        <f t="shared" si="6"/>
        <v>--</v>
      </c>
      <c r="Q39" s="618" t="str">
        <f t="shared" si="7"/>
        <v>--</v>
      </c>
      <c r="R39" s="619" t="str">
        <f t="shared" si="8"/>
        <v>--</v>
      </c>
      <c r="S39" s="546">
        <f t="shared" si="9"/>
      </c>
      <c r="T39" s="53">
        <f t="shared" si="10"/>
      </c>
      <c r="U39" s="100"/>
    </row>
    <row r="40" spans="2:21" s="16" customFormat="1" ht="16.5" customHeight="1">
      <c r="B40" s="96"/>
      <c r="C40" s="524"/>
      <c r="D40" s="609"/>
      <c r="E40" s="609"/>
      <c r="F40" s="610"/>
      <c r="G40" s="300">
        <f t="shared" si="0"/>
        <v>9.43</v>
      </c>
      <c r="H40" s="612"/>
      <c r="I40" s="613"/>
      <c r="J40" s="51">
        <f t="shared" si="1"/>
      </c>
      <c r="K40" s="25">
        <f t="shared" si="2"/>
      </c>
      <c r="L40" s="544"/>
      <c r="M40" s="546">
        <f t="shared" si="3"/>
      </c>
      <c r="N40" s="615">
        <f t="shared" si="4"/>
        <v>40</v>
      </c>
      <c r="O40" s="616" t="str">
        <f t="shared" si="5"/>
        <v>--</v>
      </c>
      <c r="P40" s="617" t="str">
        <f t="shared" si="6"/>
        <v>--</v>
      </c>
      <c r="Q40" s="618" t="str">
        <f t="shared" si="7"/>
        <v>--</v>
      </c>
      <c r="R40" s="619" t="str">
        <f t="shared" si="8"/>
        <v>--</v>
      </c>
      <c r="S40" s="546">
        <f t="shared" si="9"/>
      </c>
      <c r="T40" s="53">
        <f t="shared" si="10"/>
      </c>
      <c r="U40" s="100"/>
    </row>
    <row r="41" spans="2:21" s="16" customFormat="1" ht="16.5" customHeight="1">
      <c r="B41" s="96"/>
      <c r="C41" s="524"/>
      <c r="D41" s="609"/>
      <c r="E41" s="609"/>
      <c r="F41" s="610"/>
      <c r="G41" s="300">
        <f t="shared" si="0"/>
        <v>9.43</v>
      </c>
      <c r="H41" s="612"/>
      <c r="I41" s="613"/>
      <c r="J41" s="51">
        <f t="shared" si="1"/>
      </c>
      <c r="K41" s="25">
        <f t="shared" si="2"/>
      </c>
      <c r="L41" s="544"/>
      <c r="M41" s="546">
        <f t="shared" si="3"/>
      </c>
      <c r="N41" s="615">
        <f t="shared" si="4"/>
        <v>40</v>
      </c>
      <c r="O41" s="616" t="str">
        <f t="shared" si="5"/>
        <v>--</v>
      </c>
      <c r="P41" s="617" t="str">
        <f t="shared" si="6"/>
        <v>--</v>
      </c>
      <c r="Q41" s="618" t="str">
        <f t="shared" si="7"/>
        <v>--</v>
      </c>
      <c r="R41" s="619" t="str">
        <f t="shared" si="8"/>
        <v>--</v>
      </c>
      <c r="S41" s="546">
        <f t="shared" si="9"/>
      </c>
      <c r="T41" s="53">
        <f t="shared" si="10"/>
      </c>
      <c r="U41" s="100"/>
    </row>
    <row r="42" spans="2:21" s="16" customFormat="1" ht="16.5" customHeight="1" thickBot="1">
      <c r="B42" s="96"/>
      <c r="C42" s="533"/>
      <c r="D42" s="611"/>
      <c r="E42" s="611"/>
      <c r="F42" s="534"/>
      <c r="G42" s="301"/>
      <c r="H42" s="614"/>
      <c r="I42" s="614"/>
      <c r="J42" s="54"/>
      <c r="K42" s="54"/>
      <c r="L42" s="614"/>
      <c r="M42" s="543"/>
      <c r="N42" s="620"/>
      <c r="O42" s="621"/>
      <c r="P42" s="622"/>
      <c r="Q42" s="623"/>
      <c r="R42" s="624"/>
      <c r="S42" s="543"/>
      <c r="T42" s="204"/>
      <c r="U42" s="100"/>
    </row>
    <row r="43" spans="2:21" s="16" customFormat="1" ht="16.5" customHeight="1" thickBot="1" thickTop="1">
      <c r="B43" s="96"/>
      <c r="C43" s="236" t="s">
        <v>57</v>
      </c>
      <c r="D43" s="237" t="s">
        <v>58</v>
      </c>
      <c r="E43"/>
      <c r="F43" s="14"/>
      <c r="G43" s="14"/>
      <c r="H43" s="14"/>
      <c r="I43" s="14"/>
      <c r="J43" s="14"/>
      <c r="K43" s="14"/>
      <c r="L43" s="14"/>
      <c r="M43" s="14"/>
      <c r="N43" s="14"/>
      <c r="O43" s="402">
        <f>SUM(O20:O42)</f>
        <v>4980.5344000000005</v>
      </c>
      <c r="P43" s="409">
        <f>SUM(P20:P42)</f>
        <v>0</v>
      </c>
      <c r="Q43" s="410">
        <f>SUM(Q20:Q42)</f>
        <v>0</v>
      </c>
      <c r="R43" s="412">
        <f>SUM(R20:R42)</f>
        <v>0</v>
      </c>
      <c r="S43" s="55"/>
      <c r="T43" s="67">
        <f>ROUND(SUM(T20:T42),2)</f>
        <v>40908.33</v>
      </c>
      <c r="U43" s="100"/>
    </row>
    <row r="44" spans="2:21" s="241" customFormat="1" ht="13.5" thickTop="1">
      <c r="B44" s="242"/>
      <c r="C44" s="238"/>
      <c r="D44" s="240" t="s">
        <v>59</v>
      </c>
      <c r="E44"/>
      <c r="F44" s="258"/>
      <c r="G44" s="258"/>
      <c r="H44" s="258"/>
      <c r="I44" s="258"/>
      <c r="J44" s="258"/>
      <c r="K44" s="258"/>
      <c r="L44" s="258"/>
      <c r="M44" s="258"/>
      <c r="N44" s="258"/>
      <c r="O44" s="256"/>
      <c r="P44" s="256"/>
      <c r="Q44" s="256"/>
      <c r="R44" s="256"/>
      <c r="S44" s="256"/>
      <c r="T44" s="259"/>
      <c r="U44" s="260"/>
    </row>
    <row r="45" spans="2:21" s="16" customFormat="1" ht="16.5" customHeight="1" thickBot="1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1">
    <pageSetUpPr fitToPage="1"/>
  </sheetPr>
  <dimension ref="A1:W158"/>
  <sheetViews>
    <sheetView tabSelected="1" zoomScale="75" zoomScaleNormal="75" workbookViewId="0" topLeftCell="E1">
      <selection activeCell="D52" sqref="D52"/>
    </sheetView>
  </sheetViews>
  <sheetFormatPr defaultColWidth="11.421875" defaultRowHeight="16.5" customHeight="1"/>
  <cols>
    <col min="1" max="1" width="20.7109375" style="0" customWidth="1"/>
    <col min="2" max="2" width="14.140625" style="0" customWidth="1"/>
    <col min="3" max="3" width="6.851562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68" customFormat="1" ht="26.25">
      <c r="A1" s="112"/>
      <c r="U1" s="500"/>
    </row>
    <row r="2" spans="1:21" s="68" customFormat="1" ht="26.25">
      <c r="A2" s="112"/>
      <c r="B2" s="69" t="str">
        <f>+'tot-0309'!B2</f>
        <v>ANEXO I-2 a la Resolución ENRE N°            520/2006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="16" customFormat="1" ht="12.75">
      <c r="A3" s="44"/>
    </row>
    <row r="4" spans="1:2" s="75" customFormat="1" ht="11.25">
      <c r="A4" s="73" t="s">
        <v>16</v>
      </c>
      <c r="B4" s="144"/>
    </row>
    <row r="5" spans="1:2" s="75" customFormat="1" ht="11.25">
      <c r="A5" s="73" t="s">
        <v>17</v>
      </c>
      <c r="B5" s="144"/>
    </row>
    <row r="6" s="16" customFormat="1" ht="13.5" thickBot="1"/>
    <row r="7" spans="2:21" s="16" customFormat="1" ht="13.5" thickTop="1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81"/>
    </row>
    <row r="8" spans="2:21" s="10" customFormat="1" ht="20.25">
      <c r="B8" s="126"/>
      <c r="C8" s="11"/>
      <c r="D8" s="47" t="s">
        <v>30</v>
      </c>
      <c r="L8" s="157"/>
      <c r="M8" s="157"/>
      <c r="N8" s="35"/>
      <c r="O8" s="11"/>
      <c r="P8" s="11"/>
      <c r="Q8" s="11"/>
      <c r="R8" s="11"/>
      <c r="S8" s="11"/>
      <c r="T8" s="11"/>
      <c r="U8" s="190"/>
    </row>
    <row r="9" spans="2:21" s="16" customFormat="1" ht="12.75">
      <c r="B9" s="96"/>
      <c r="C9" s="1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4"/>
      <c r="Q9" s="14"/>
      <c r="R9" s="14"/>
      <c r="S9" s="14"/>
      <c r="T9" s="14"/>
      <c r="U9" s="100"/>
    </row>
    <row r="10" spans="2:21" s="10" customFormat="1" ht="20.25">
      <c r="B10" s="126"/>
      <c r="C10" s="11"/>
      <c r="D10" s="161" t="s">
        <v>94</v>
      </c>
      <c r="E10" s="36"/>
      <c r="F10" s="157"/>
      <c r="G10" s="191"/>
      <c r="I10" s="191"/>
      <c r="J10" s="191"/>
      <c r="K10" s="191"/>
      <c r="L10" s="191"/>
      <c r="M10" s="191"/>
      <c r="N10" s="191"/>
      <c r="O10" s="11"/>
      <c r="P10" s="11"/>
      <c r="Q10" s="11"/>
      <c r="R10" s="11"/>
      <c r="S10" s="11"/>
      <c r="T10" s="11"/>
      <c r="U10" s="190"/>
    </row>
    <row r="11" spans="2:21" s="16" customFormat="1" ht="13.5">
      <c r="B11" s="96"/>
      <c r="C11" s="14"/>
      <c r="D11" s="189"/>
      <c r="E11" s="189"/>
      <c r="F11" s="44"/>
      <c r="G11" s="182"/>
      <c r="H11" s="98"/>
      <c r="I11" s="182"/>
      <c r="J11" s="182"/>
      <c r="K11" s="182"/>
      <c r="L11" s="182"/>
      <c r="M11" s="182"/>
      <c r="N11" s="182"/>
      <c r="O11" s="14"/>
      <c r="P11" s="14"/>
      <c r="Q11" s="14"/>
      <c r="R11" s="14"/>
      <c r="S11" s="14"/>
      <c r="T11" s="14"/>
      <c r="U11" s="100"/>
    </row>
    <row r="12" spans="2:21" s="16" customFormat="1" ht="19.5">
      <c r="B12" s="88" t="str">
        <f>+'tot-0309'!B14</f>
        <v>Desde el 01 al 30 de septiembre de 2003</v>
      </c>
      <c r="C12" s="89"/>
      <c r="D12" s="89"/>
      <c r="E12" s="89"/>
      <c r="F12" s="89"/>
      <c r="G12" s="192"/>
      <c r="H12" s="192"/>
      <c r="I12" s="192"/>
      <c r="J12" s="192"/>
      <c r="K12" s="192"/>
      <c r="L12" s="192"/>
      <c r="M12" s="192"/>
      <c r="N12" s="192"/>
      <c r="O12" s="89"/>
      <c r="P12" s="89"/>
      <c r="Q12" s="89"/>
      <c r="R12" s="89"/>
      <c r="S12" s="89"/>
      <c r="T12" s="89"/>
      <c r="U12" s="193"/>
    </row>
    <row r="13" spans="2:21" s="16" customFormat="1" ht="14.25" thickBot="1">
      <c r="B13" s="194"/>
      <c r="C13" s="195"/>
      <c r="D13" s="195"/>
      <c r="E13" s="195"/>
      <c r="F13" s="195"/>
      <c r="G13" s="196"/>
      <c r="H13" s="196"/>
      <c r="I13" s="196"/>
      <c r="J13" s="196"/>
      <c r="K13" s="196"/>
      <c r="L13" s="196"/>
      <c r="M13" s="196"/>
      <c r="N13" s="196"/>
      <c r="O13" s="195"/>
      <c r="P13" s="195"/>
      <c r="Q13" s="195"/>
      <c r="R13" s="195"/>
      <c r="S13" s="195"/>
      <c r="T13" s="195"/>
      <c r="U13" s="197"/>
    </row>
    <row r="14" spans="2:21" s="16" customFormat="1" ht="15" thickBot="1" thickTop="1">
      <c r="B14" s="96"/>
      <c r="C14" s="14"/>
      <c r="D14" s="198"/>
      <c r="E14" s="198"/>
      <c r="F14" s="199" t="s">
        <v>78</v>
      </c>
      <c r="G14" s="14"/>
      <c r="H14" s="98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0"/>
    </row>
    <row r="15" spans="2:21" s="16" customFormat="1" ht="16.5" customHeight="1" thickBot="1" thickTop="1">
      <c r="B15" s="96"/>
      <c r="C15" s="14"/>
      <c r="D15" s="505" t="s">
        <v>79</v>
      </c>
      <c r="E15" s="506">
        <v>11.787</v>
      </c>
      <c r="F15" s="507">
        <v>200</v>
      </c>
      <c r="T15" s="119"/>
      <c r="U15" s="100"/>
    </row>
    <row r="16" spans="2:21" s="16" customFormat="1" ht="16.5" customHeight="1" thickBot="1" thickTop="1">
      <c r="B16" s="96"/>
      <c r="C16" s="14"/>
      <c r="D16" s="508" t="s">
        <v>80</v>
      </c>
      <c r="E16" s="509">
        <v>10.609</v>
      </c>
      <c r="F16" s="507">
        <v>100</v>
      </c>
      <c r="M16" s="14"/>
      <c r="N16" s="14"/>
      <c r="O16" s="14"/>
      <c r="P16" s="14"/>
      <c r="Q16" s="14"/>
      <c r="R16" s="14"/>
      <c r="S16" s="14"/>
      <c r="T16" s="14"/>
      <c r="U16" s="100"/>
    </row>
    <row r="17" spans="2:21" s="16" customFormat="1" ht="16.5" customHeight="1" thickBot="1" thickTop="1">
      <c r="B17" s="96"/>
      <c r="C17" s="14"/>
      <c r="D17" s="510" t="s">
        <v>81</v>
      </c>
      <c r="E17" s="509">
        <v>9.43</v>
      </c>
      <c r="F17" s="507">
        <v>40</v>
      </c>
      <c r="M17" s="14"/>
      <c r="O17" s="14"/>
      <c r="P17" s="14"/>
      <c r="Q17" s="14"/>
      <c r="R17" s="14"/>
      <c r="S17" s="14"/>
      <c r="T17" s="14"/>
      <c r="U17" s="100"/>
    </row>
    <row r="18" spans="2:21" s="16" customFormat="1" ht="16.5" customHeight="1" thickBot="1" thickTop="1">
      <c r="B18" s="96"/>
      <c r="C18" s="21"/>
      <c r="D18" s="59"/>
      <c r="E18" s="59"/>
      <c r="F18" s="183"/>
      <c r="G18" s="184"/>
      <c r="H18" s="184"/>
      <c r="I18" s="184"/>
      <c r="J18" s="184"/>
      <c r="K18" s="184"/>
      <c r="L18" s="184"/>
      <c r="M18" s="184"/>
      <c r="N18" s="52"/>
      <c r="O18" s="185"/>
      <c r="P18" s="186"/>
      <c r="Q18" s="186"/>
      <c r="R18" s="186"/>
      <c r="S18" s="187"/>
      <c r="T18" s="188"/>
      <c r="U18" s="100"/>
    </row>
    <row r="19" spans="2:21" s="16" customFormat="1" ht="33.75" customHeight="1" thickBot="1" thickTop="1">
      <c r="B19" s="96"/>
      <c r="C19" s="133" t="s">
        <v>35</v>
      </c>
      <c r="D19" s="141" t="s">
        <v>71</v>
      </c>
      <c r="E19" s="138" t="s">
        <v>12</v>
      </c>
      <c r="F19" s="201" t="s">
        <v>36</v>
      </c>
      <c r="G19" s="299" t="s">
        <v>40</v>
      </c>
      <c r="H19" s="136" t="s">
        <v>41</v>
      </c>
      <c r="I19" s="138" t="s">
        <v>42</v>
      </c>
      <c r="J19" s="202" t="s">
        <v>43</v>
      </c>
      <c r="K19" s="202" t="s">
        <v>44</v>
      </c>
      <c r="L19" s="140" t="s">
        <v>45</v>
      </c>
      <c r="M19" s="137" t="s">
        <v>48</v>
      </c>
      <c r="N19" s="398" t="s">
        <v>39</v>
      </c>
      <c r="O19" s="390" t="s">
        <v>63</v>
      </c>
      <c r="P19" s="403" t="s">
        <v>82</v>
      </c>
      <c r="Q19" s="404"/>
      <c r="R19" s="413" t="s">
        <v>53</v>
      </c>
      <c r="S19" s="142" t="s">
        <v>55</v>
      </c>
      <c r="T19" s="175" t="s">
        <v>56</v>
      </c>
      <c r="U19" s="100"/>
    </row>
    <row r="20" spans="2:21" s="16" customFormat="1" ht="16.5" customHeight="1" thickTop="1">
      <c r="B20" s="96"/>
      <c r="C20" s="20"/>
      <c r="D20" s="49"/>
      <c r="E20" s="49"/>
      <c r="F20" s="49"/>
      <c r="G20" s="308"/>
      <c r="H20" s="49"/>
      <c r="I20" s="49"/>
      <c r="J20" s="49"/>
      <c r="K20" s="49"/>
      <c r="L20" s="49"/>
      <c r="M20" s="49"/>
      <c r="N20" s="399"/>
      <c r="O20" s="401"/>
      <c r="P20" s="405"/>
      <c r="Q20" s="406"/>
      <c r="R20" s="414"/>
      <c r="S20" s="49"/>
      <c r="T20" s="499"/>
      <c r="U20" s="100"/>
    </row>
    <row r="21" spans="2:21" s="16" customFormat="1" ht="16.5" customHeight="1">
      <c r="B21" s="96"/>
      <c r="C21" s="20"/>
      <c r="D21" s="50"/>
      <c r="E21" s="50"/>
      <c r="F21" s="50"/>
      <c r="G21" s="309"/>
      <c r="H21" s="50"/>
      <c r="I21" s="50"/>
      <c r="J21" s="50"/>
      <c r="K21" s="50"/>
      <c r="L21" s="50"/>
      <c r="M21" s="50"/>
      <c r="N21" s="397"/>
      <c r="O21" s="400"/>
      <c r="P21" s="407"/>
      <c r="Q21" s="408"/>
      <c r="R21" s="411"/>
      <c r="S21" s="50"/>
      <c r="T21" s="203"/>
      <c r="U21" s="100"/>
    </row>
    <row r="22" spans="2:21" s="16" customFormat="1" ht="16.5" customHeight="1">
      <c r="B22" s="96"/>
      <c r="C22" s="524" t="s">
        <v>147</v>
      </c>
      <c r="D22" s="643" t="s">
        <v>89</v>
      </c>
      <c r="E22" s="643" t="s">
        <v>90</v>
      </c>
      <c r="F22" s="643">
        <v>132</v>
      </c>
      <c r="G22" s="300">
        <f aca="true" t="shared" si="0" ref="G22:G41">IF(F22=500,$E$15,IF(F22=220,$E$16,$E$17))</f>
        <v>9.43</v>
      </c>
      <c r="H22" s="612">
        <v>37867.368055555555</v>
      </c>
      <c r="I22" s="613">
        <v>37867.65972222222</v>
      </c>
      <c r="J22" s="51">
        <f aca="true" t="shared" si="1" ref="J22:J41">IF(D22="","",(I22-H22)*24)</f>
        <v>6.999999999941792</v>
      </c>
      <c r="K22" s="25">
        <f aca="true" t="shared" si="2" ref="K22:K41">IF(D22="","",ROUND((I22-H22)*24*60,0))</f>
        <v>420</v>
      </c>
      <c r="L22" s="544" t="s">
        <v>102</v>
      </c>
      <c r="M22" s="546" t="str">
        <f aca="true" t="shared" si="3" ref="M22:M41">IF(D22="","",IF(L22="P","--","NO"))</f>
        <v>--</v>
      </c>
      <c r="N22" s="615">
        <f aca="true" t="shared" si="4" ref="N22:N41">IF(F22=500,$F$15,IF(F22=220,$F$16,$F$17))</f>
        <v>40</v>
      </c>
      <c r="O22" s="616">
        <f aca="true" t="shared" si="5" ref="O22:O41">IF(L22="P",G22*N22*ROUND(K22/60,2)*0.1,"--")</f>
        <v>264.04</v>
      </c>
      <c r="P22" s="617" t="str">
        <f aca="true" t="shared" si="6" ref="P22:P41">IF(AND(L22="F",M22="NO"),G22*N22,"--")</f>
        <v>--</v>
      </c>
      <c r="Q22" s="618" t="str">
        <f aca="true" t="shared" si="7" ref="Q22:Q41">IF(L22="F",G22*N22*ROUND(K22/60,2),"--")</f>
        <v>--</v>
      </c>
      <c r="R22" s="619" t="str">
        <f aca="true" t="shared" si="8" ref="R22:R41">IF(L22="RF",G22*N22*ROUND(K22/60,2),"--")</f>
        <v>--</v>
      </c>
      <c r="S22" s="546" t="str">
        <f aca="true" t="shared" si="9" ref="S22:S41">IF(D22="","","SI")</f>
        <v>SI</v>
      </c>
      <c r="T22" s="53">
        <f aca="true" t="shared" si="10" ref="T22:T41">IF(D22="","",SUM(O22:R22)*IF(S22="SI",1,2))</f>
        <v>264.04</v>
      </c>
      <c r="U22" s="100"/>
    </row>
    <row r="23" spans="2:21" s="16" customFormat="1" ht="16.5" customHeight="1">
      <c r="B23" s="96"/>
      <c r="C23" s="524" t="s">
        <v>148</v>
      </c>
      <c r="D23" s="643" t="s">
        <v>89</v>
      </c>
      <c r="E23" s="643" t="s">
        <v>91</v>
      </c>
      <c r="F23" s="643">
        <v>132</v>
      </c>
      <c r="G23" s="300">
        <f t="shared" si="0"/>
        <v>9.43</v>
      </c>
      <c r="H23" s="612">
        <v>37867.36875</v>
      </c>
      <c r="I23" s="613">
        <v>37867.660416666666</v>
      </c>
      <c r="J23" s="51">
        <f t="shared" si="1"/>
        <v>6.999999999941792</v>
      </c>
      <c r="K23" s="25">
        <f t="shared" si="2"/>
        <v>420</v>
      </c>
      <c r="L23" s="544" t="s">
        <v>102</v>
      </c>
      <c r="M23" s="546" t="str">
        <f t="shared" si="3"/>
        <v>--</v>
      </c>
      <c r="N23" s="615">
        <f t="shared" si="4"/>
        <v>40</v>
      </c>
      <c r="O23" s="616">
        <f t="shared" si="5"/>
        <v>264.04</v>
      </c>
      <c r="P23" s="617" t="str">
        <f t="shared" si="6"/>
        <v>--</v>
      </c>
      <c r="Q23" s="618" t="str">
        <f t="shared" si="7"/>
        <v>--</v>
      </c>
      <c r="R23" s="619" t="str">
        <f t="shared" si="8"/>
        <v>--</v>
      </c>
      <c r="S23" s="546" t="str">
        <f t="shared" si="9"/>
        <v>SI</v>
      </c>
      <c r="T23" s="53">
        <f t="shared" si="10"/>
        <v>264.04</v>
      </c>
      <c r="U23" s="100"/>
    </row>
    <row r="24" spans="2:21" s="16" customFormat="1" ht="16.5" customHeight="1">
      <c r="B24" s="96"/>
      <c r="C24" s="524" t="s">
        <v>149</v>
      </c>
      <c r="D24" s="643" t="s">
        <v>89</v>
      </c>
      <c r="E24" s="643" t="s">
        <v>90</v>
      </c>
      <c r="F24" s="643">
        <v>132</v>
      </c>
      <c r="G24" s="300">
        <f t="shared" si="0"/>
        <v>9.43</v>
      </c>
      <c r="H24" s="612">
        <v>37868.34027777778</v>
      </c>
      <c r="I24" s="613">
        <v>37868.67361111111</v>
      </c>
      <c r="J24" s="51">
        <f t="shared" si="1"/>
        <v>7.999999999883585</v>
      </c>
      <c r="K24" s="25">
        <f t="shared" si="2"/>
        <v>480</v>
      </c>
      <c r="L24" s="544" t="s">
        <v>102</v>
      </c>
      <c r="M24" s="546" t="str">
        <f t="shared" si="3"/>
        <v>--</v>
      </c>
      <c r="N24" s="615">
        <f t="shared" si="4"/>
        <v>40</v>
      </c>
      <c r="O24" s="616">
        <f t="shared" si="5"/>
        <v>301.76</v>
      </c>
      <c r="P24" s="617" t="str">
        <f t="shared" si="6"/>
        <v>--</v>
      </c>
      <c r="Q24" s="618" t="str">
        <f t="shared" si="7"/>
        <v>--</v>
      </c>
      <c r="R24" s="619" t="str">
        <f t="shared" si="8"/>
        <v>--</v>
      </c>
      <c r="S24" s="546" t="str">
        <f t="shared" si="9"/>
        <v>SI</v>
      </c>
      <c r="T24" s="53">
        <f t="shared" si="10"/>
        <v>301.76</v>
      </c>
      <c r="U24" s="100"/>
    </row>
    <row r="25" spans="2:21" s="16" customFormat="1" ht="16.5" customHeight="1">
      <c r="B25" s="96"/>
      <c r="C25" s="524" t="s">
        <v>150</v>
      </c>
      <c r="D25" s="643" t="s">
        <v>89</v>
      </c>
      <c r="E25" s="643" t="s">
        <v>91</v>
      </c>
      <c r="F25" s="643">
        <v>132</v>
      </c>
      <c r="G25" s="300">
        <f t="shared" si="0"/>
        <v>9.43</v>
      </c>
      <c r="H25" s="612">
        <v>37868.34027777778</v>
      </c>
      <c r="I25" s="613">
        <v>37868.67361111111</v>
      </c>
      <c r="J25" s="51">
        <f t="shared" si="1"/>
        <v>7.999999999883585</v>
      </c>
      <c r="K25" s="25">
        <f t="shared" si="2"/>
        <v>480</v>
      </c>
      <c r="L25" s="544" t="s">
        <v>102</v>
      </c>
      <c r="M25" s="546" t="str">
        <f t="shared" si="3"/>
        <v>--</v>
      </c>
      <c r="N25" s="615">
        <f t="shared" si="4"/>
        <v>40</v>
      </c>
      <c r="O25" s="616">
        <f t="shared" si="5"/>
        <v>301.76</v>
      </c>
      <c r="P25" s="617" t="str">
        <f t="shared" si="6"/>
        <v>--</v>
      </c>
      <c r="Q25" s="618" t="str">
        <f t="shared" si="7"/>
        <v>--</v>
      </c>
      <c r="R25" s="619" t="str">
        <f t="shared" si="8"/>
        <v>--</v>
      </c>
      <c r="S25" s="546" t="str">
        <f t="shared" si="9"/>
        <v>SI</v>
      </c>
      <c r="T25" s="53">
        <f t="shared" si="10"/>
        <v>301.76</v>
      </c>
      <c r="U25" s="100"/>
    </row>
    <row r="26" spans="2:21" s="16" customFormat="1" ht="16.5" customHeight="1">
      <c r="B26" s="96"/>
      <c r="C26" s="524" t="s">
        <v>151</v>
      </c>
      <c r="D26" s="643" t="s">
        <v>89</v>
      </c>
      <c r="E26" s="643" t="s">
        <v>90</v>
      </c>
      <c r="F26" s="643">
        <v>132</v>
      </c>
      <c r="G26" s="300">
        <f t="shared" si="0"/>
        <v>9.43</v>
      </c>
      <c r="H26" s="612">
        <v>37869.39097222222</v>
      </c>
      <c r="I26" s="613">
        <v>37869.68263888889</v>
      </c>
      <c r="J26" s="51">
        <f t="shared" si="1"/>
        <v>6.999999999941792</v>
      </c>
      <c r="K26" s="25">
        <f t="shared" si="2"/>
        <v>420</v>
      </c>
      <c r="L26" s="544" t="s">
        <v>102</v>
      </c>
      <c r="M26" s="546" t="str">
        <f t="shared" si="3"/>
        <v>--</v>
      </c>
      <c r="N26" s="615">
        <f t="shared" si="4"/>
        <v>40</v>
      </c>
      <c r="O26" s="616">
        <f t="shared" si="5"/>
        <v>264.04</v>
      </c>
      <c r="P26" s="617" t="str">
        <f t="shared" si="6"/>
        <v>--</v>
      </c>
      <c r="Q26" s="618" t="str">
        <f t="shared" si="7"/>
        <v>--</v>
      </c>
      <c r="R26" s="619" t="str">
        <f t="shared" si="8"/>
        <v>--</v>
      </c>
      <c r="S26" s="546" t="str">
        <f t="shared" si="9"/>
        <v>SI</v>
      </c>
      <c r="T26" s="53">
        <f t="shared" si="10"/>
        <v>264.04</v>
      </c>
      <c r="U26" s="100"/>
    </row>
    <row r="27" spans="2:21" s="16" customFormat="1" ht="16.5" customHeight="1">
      <c r="B27" s="96"/>
      <c r="C27" s="524" t="s">
        <v>152</v>
      </c>
      <c r="D27" s="643" t="s">
        <v>89</v>
      </c>
      <c r="E27" s="643" t="s">
        <v>91</v>
      </c>
      <c r="F27" s="643">
        <v>132</v>
      </c>
      <c r="G27" s="300">
        <f t="shared" si="0"/>
        <v>9.43</v>
      </c>
      <c r="H27" s="612">
        <v>37869.39166666667</v>
      </c>
      <c r="I27" s="613">
        <v>37869.683333333334</v>
      </c>
      <c r="J27" s="51">
        <f t="shared" si="1"/>
        <v>6.999999999941792</v>
      </c>
      <c r="K27" s="25">
        <f t="shared" si="2"/>
        <v>420</v>
      </c>
      <c r="L27" s="544" t="s">
        <v>102</v>
      </c>
      <c r="M27" s="546" t="str">
        <f t="shared" si="3"/>
        <v>--</v>
      </c>
      <c r="N27" s="615">
        <f t="shared" si="4"/>
        <v>40</v>
      </c>
      <c r="O27" s="616">
        <f t="shared" si="5"/>
        <v>264.04</v>
      </c>
      <c r="P27" s="617" t="str">
        <f t="shared" si="6"/>
        <v>--</v>
      </c>
      <c r="Q27" s="618" t="str">
        <f t="shared" si="7"/>
        <v>--</v>
      </c>
      <c r="R27" s="619" t="str">
        <f t="shared" si="8"/>
        <v>--</v>
      </c>
      <c r="S27" s="546" t="str">
        <f t="shared" si="9"/>
        <v>SI</v>
      </c>
      <c r="T27" s="53">
        <f t="shared" si="10"/>
        <v>264.04</v>
      </c>
      <c r="U27" s="100"/>
    </row>
    <row r="28" spans="2:21" s="16" customFormat="1" ht="16.5" customHeight="1">
      <c r="B28" s="96"/>
      <c r="C28" s="524" t="s">
        <v>153</v>
      </c>
      <c r="D28" s="643" t="s">
        <v>89</v>
      </c>
      <c r="E28" s="643" t="s">
        <v>90</v>
      </c>
      <c r="F28" s="643">
        <v>132</v>
      </c>
      <c r="G28" s="300">
        <f t="shared" si="0"/>
        <v>9.43</v>
      </c>
      <c r="H28" s="613">
        <v>37875.36388888889</v>
      </c>
      <c r="I28" s="613">
        <v>37875.697222222225</v>
      </c>
      <c r="J28" s="51">
        <f t="shared" si="1"/>
        <v>8.000000000058208</v>
      </c>
      <c r="K28" s="25">
        <f t="shared" si="2"/>
        <v>480</v>
      </c>
      <c r="L28" s="544" t="s">
        <v>102</v>
      </c>
      <c r="M28" s="546" t="str">
        <f t="shared" si="3"/>
        <v>--</v>
      </c>
      <c r="N28" s="615">
        <f t="shared" si="4"/>
        <v>40</v>
      </c>
      <c r="O28" s="616">
        <f t="shared" si="5"/>
        <v>301.76</v>
      </c>
      <c r="P28" s="617" t="str">
        <f t="shared" si="6"/>
        <v>--</v>
      </c>
      <c r="Q28" s="618" t="str">
        <f t="shared" si="7"/>
        <v>--</v>
      </c>
      <c r="R28" s="619" t="str">
        <f t="shared" si="8"/>
        <v>--</v>
      </c>
      <c r="S28" s="546" t="str">
        <f t="shared" si="9"/>
        <v>SI</v>
      </c>
      <c r="T28" s="53">
        <f t="shared" si="10"/>
        <v>301.76</v>
      </c>
      <c r="U28" s="100"/>
    </row>
    <row r="29" spans="2:21" s="16" customFormat="1" ht="16.5" customHeight="1">
      <c r="B29" s="96"/>
      <c r="C29" s="524" t="s">
        <v>154</v>
      </c>
      <c r="D29" s="643" t="s">
        <v>89</v>
      </c>
      <c r="E29" s="643" t="s">
        <v>91</v>
      </c>
      <c r="F29" s="643">
        <v>132</v>
      </c>
      <c r="G29" s="300">
        <f t="shared" si="0"/>
        <v>9.43</v>
      </c>
      <c r="H29" s="612">
        <v>37876.35833333333</v>
      </c>
      <c r="I29" s="613">
        <v>37876.691666666666</v>
      </c>
      <c r="J29" s="51">
        <f t="shared" si="1"/>
        <v>8.000000000058208</v>
      </c>
      <c r="K29" s="25">
        <f t="shared" si="2"/>
        <v>480</v>
      </c>
      <c r="L29" s="544" t="s">
        <v>102</v>
      </c>
      <c r="M29" s="546" t="str">
        <f t="shared" si="3"/>
        <v>--</v>
      </c>
      <c r="N29" s="615">
        <f t="shared" si="4"/>
        <v>40</v>
      </c>
      <c r="O29" s="616">
        <f t="shared" si="5"/>
        <v>301.76</v>
      </c>
      <c r="P29" s="617" t="str">
        <f t="shared" si="6"/>
        <v>--</v>
      </c>
      <c r="Q29" s="618" t="str">
        <f t="shared" si="7"/>
        <v>--</v>
      </c>
      <c r="R29" s="619" t="str">
        <f t="shared" si="8"/>
        <v>--</v>
      </c>
      <c r="S29" s="546" t="str">
        <f t="shared" si="9"/>
        <v>SI</v>
      </c>
      <c r="T29" s="53">
        <f t="shared" si="10"/>
        <v>301.76</v>
      </c>
      <c r="U29" s="100"/>
    </row>
    <row r="30" spans="2:21" s="16" customFormat="1" ht="16.5" customHeight="1">
      <c r="B30" s="96"/>
      <c r="C30" s="524" t="s">
        <v>155</v>
      </c>
      <c r="D30" s="643" t="s">
        <v>89</v>
      </c>
      <c r="E30" s="643" t="s">
        <v>90</v>
      </c>
      <c r="F30" s="643">
        <v>132</v>
      </c>
      <c r="G30" s="300">
        <f t="shared" si="0"/>
        <v>9.43</v>
      </c>
      <c r="H30" s="612">
        <v>37894.368055555555</v>
      </c>
      <c r="I30" s="613">
        <v>37894.65972222222</v>
      </c>
      <c r="J30" s="51">
        <f t="shared" si="1"/>
        <v>6.999999999941792</v>
      </c>
      <c r="K30" s="25">
        <f t="shared" si="2"/>
        <v>420</v>
      </c>
      <c r="L30" s="544" t="s">
        <v>102</v>
      </c>
      <c r="M30" s="546" t="str">
        <f t="shared" si="3"/>
        <v>--</v>
      </c>
      <c r="N30" s="615">
        <f t="shared" si="4"/>
        <v>40</v>
      </c>
      <c r="O30" s="616">
        <f t="shared" si="5"/>
        <v>264.04</v>
      </c>
      <c r="P30" s="617" t="str">
        <f t="shared" si="6"/>
        <v>--</v>
      </c>
      <c r="Q30" s="618" t="str">
        <f t="shared" si="7"/>
        <v>--</v>
      </c>
      <c r="R30" s="619" t="str">
        <f t="shared" si="8"/>
        <v>--</v>
      </c>
      <c r="S30" s="546" t="str">
        <f t="shared" si="9"/>
        <v>SI</v>
      </c>
      <c r="T30" s="53">
        <f t="shared" si="10"/>
        <v>264.04</v>
      </c>
      <c r="U30" s="100"/>
    </row>
    <row r="31" spans="2:21" s="16" customFormat="1" ht="16.5" customHeight="1">
      <c r="B31" s="96"/>
      <c r="C31" s="524" t="s">
        <v>156</v>
      </c>
      <c r="D31" s="643" t="s">
        <v>89</v>
      </c>
      <c r="E31" s="643" t="s">
        <v>91</v>
      </c>
      <c r="F31" s="643">
        <v>132</v>
      </c>
      <c r="G31" s="300">
        <f t="shared" si="0"/>
        <v>9.43</v>
      </c>
      <c r="H31" s="612">
        <v>37894.36875</v>
      </c>
      <c r="I31" s="613">
        <v>37894.660416666666</v>
      </c>
      <c r="J31" s="51">
        <f t="shared" si="1"/>
        <v>6.999999999941792</v>
      </c>
      <c r="K31" s="25">
        <f t="shared" si="2"/>
        <v>420</v>
      </c>
      <c r="L31" s="544" t="s">
        <v>102</v>
      </c>
      <c r="M31" s="546" t="str">
        <f t="shared" si="3"/>
        <v>--</v>
      </c>
      <c r="N31" s="615">
        <f t="shared" si="4"/>
        <v>40</v>
      </c>
      <c r="O31" s="616">
        <f t="shared" si="5"/>
        <v>264.04</v>
      </c>
      <c r="P31" s="617" t="str">
        <f t="shared" si="6"/>
        <v>--</v>
      </c>
      <c r="Q31" s="618" t="str">
        <f t="shared" si="7"/>
        <v>--</v>
      </c>
      <c r="R31" s="619" t="str">
        <f t="shared" si="8"/>
        <v>--</v>
      </c>
      <c r="S31" s="546" t="str">
        <f t="shared" si="9"/>
        <v>SI</v>
      </c>
      <c r="T31" s="53">
        <f t="shared" si="10"/>
        <v>264.04</v>
      </c>
      <c r="U31" s="100"/>
    </row>
    <row r="32" spans="2:21" s="16" customFormat="1" ht="16.5" customHeight="1">
      <c r="B32" s="96"/>
      <c r="C32" s="524"/>
      <c r="D32" s="644"/>
      <c r="E32" s="644"/>
      <c r="F32" s="645"/>
      <c r="G32" s="300">
        <f t="shared" si="0"/>
        <v>9.43</v>
      </c>
      <c r="H32" s="612"/>
      <c r="I32" s="613"/>
      <c r="J32" s="51">
        <f t="shared" si="1"/>
      </c>
      <c r="K32" s="25">
        <f t="shared" si="2"/>
      </c>
      <c r="L32" s="544"/>
      <c r="M32" s="546">
        <f t="shared" si="3"/>
      </c>
      <c r="N32" s="615">
        <f t="shared" si="4"/>
        <v>40</v>
      </c>
      <c r="O32" s="616" t="str">
        <f t="shared" si="5"/>
        <v>--</v>
      </c>
      <c r="P32" s="617" t="str">
        <f t="shared" si="6"/>
        <v>--</v>
      </c>
      <c r="Q32" s="618" t="str">
        <f t="shared" si="7"/>
        <v>--</v>
      </c>
      <c r="R32" s="619" t="str">
        <f t="shared" si="8"/>
        <v>--</v>
      </c>
      <c r="S32" s="546">
        <f t="shared" si="9"/>
      </c>
      <c r="T32" s="53">
        <f t="shared" si="10"/>
      </c>
      <c r="U32" s="100"/>
    </row>
    <row r="33" spans="2:21" s="16" customFormat="1" ht="16.5" customHeight="1">
      <c r="B33" s="96"/>
      <c r="C33" s="524"/>
      <c r="D33" s="609"/>
      <c r="E33" s="609"/>
      <c r="F33" s="610"/>
      <c r="G33" s="300">
        <f t="shared" si="0"/>
        <v>9.43</v>
      </c>
      <c r="H33" s="612"/>
      <c r="I33" s="613"/>
      <c r="J33" s="51">
        <f t="shared" si="1"/>
      </c>
      <c r="K33" s="25">
        <f t="shared" si="2"/>
      </c>
      <c r="L33" s="544"/>
      <c r="M33" s="546">
        <f t="shared" si="3"/>
      </c>
      <c r="N33" s="615">
        <f t="shared" si="4"/>
        <v>40</v>
      </c>
      <c r="O33" s="616" t="str">
        <f t="shared" si="5"/>
        <v>--</v>
      </c>
      <c r="P33" s="617" t="str">
        <f t="shared" si="6"/>
        <v>--</v>
      </c>
      <c r="Q33" s="618" t="str">
        <f t="shared" si="7"/>
        <v>--</v>
      </c>
      <c r="R33" s="619" t="str">
        <f t="shared" si="8"/>
        <v>--</v>
      </c>
      <c r="S33" s="546">
        <f t="shared" si="9"/>
      </c>
      <c r="T33" s="53">
        <f t="shared" si="10"/>
      </c>
      <c r="U33" s="100"/>
    </row>
    <row r="34" spans="2:21" s="16" customFormat="1" ht="16.5" customHeight="1">
      <c r="B34" s="96"/>
      <c r="C34" s="524"/>
      <c r="D34" s="609"/>
      <c r="E34" s="609"/>
      <c r="F34" s="610"/>
      <c r="G34" s="300">
        <f t="shared" si="0"/>
        <v>9.43</v>
      </c>
      <c r="H34" s="612"/>
      <c r="I34" s="613"/>
      <c r="J34" s="51">
        <f t="shared" si="1"/>
      </c>
      <c r="K34" s="25">
        <f t="shared" si="2"/>
      </c>
      <c r="L34" s="544"/>
      <c r="M34" s="546">
        <f t="shared" si="3"/>
      </c>
      <c r="N34" s="615">
        <f t="shared" si="4"/>
        <v>40</v>
      </c>
      <c r="O34" s="616" t="str">
        <f t="shared" si="5"/>
        <v>--</v>
      </c>
      <c r="P34" s="617" t="str">
        <f t="shared" si="6"/>
        <v>--</v>
      </c>
      <c r="Q34" s="618" t="str">
        <f t="shared" si="7"/>
        <v>--</v>
      </c>
      <c r="R34" s="619" t="str">
        <f t="shared" si="8"/>
        <v>--</v>
      </c>
      <c r="S34" s="546">
        <f t="shared" si="9"/>
      </c>
      <c r="T34" s="53">
        <f t="shared" si="10"/>
      </c>
      <c r="U34" s="100"/>
    </row>
    <row r="35" spans="2:21" s="16" customFormat="1" ht="16.5" customHeight="1">
      <c r="B35" s="96"/>
      <c r="C35" s="524"/>
      <c r="D35" s="609"/>
      <c r="E35" s="609"/>
      <c r="F35" s="610"/>
      <c r="G35" s="300">
        <f t="shared" si="0"/>
        <v>9.43</v>
      </c>
      <c r="H35" s="612"/>
      <c r="I35" s="613"/>
      <c r="J35" s="51">
        <f t="shared" si="1"/>
      </c>
      <c r="K35" s="25">
        <f t="shared" si="2"/>
      </c>
      <c r="L35" s="544"/>
      <c r="M35" s="546">
        <f t="shared" si="3"/>
      </c>
      <c r="N35" s="615">
        <f t="shared" si="4"/>
        <v>40</v>
      </c>
      <c r="O35" s="616" t="str">
        <f t="shared" si="5"/>
        <v>--</v>
      </c>
      <c r="P35" s="617" t="str">
        <f t="shared" si="6"/>
        <v>--</v>
      </c>
      <c r="Q35" s="618" t="str">
        <f t="shared" si="7"/>
        <v>--</v>
      </c>
      <c r="R35" s="619" t="str">
        <f t="shared" si="8"/>
        <v>--</v>
      </c>
      <c r="S35" s="546">
        <f t="shared" si="9"/>
      </c>
      <c r="T35" s="53">
        <f t="shared" si="10"/>
      </c>
      <c r="U35" s="100"/>
    </row>
    <row r="36" spans="2:21" s="16" customFormat="1" ht="16.5" customHeight="1">
      <c r="B36" s="96"/>
      <c r="C36" s="524"/>
      <c r="D36" s="609"/>
      <c r="E36" s="609"/>
      <c r="F36" s="610"/>
      <c r="G36" s="300">
        <f t="shared" si="0"/>
        <v>9.43</v>
      </c>
      <c r="H36" s="612"/>
      <c r="I36" s="613"/>
      <c r="J36" s="51">
        <f t="shared" si="1"/>
      </c>
      <c r="K36" s="25">
        <f t="shared" si="2"/>
      </c>
      <c r="L36" s="544"/>
      <c r="M36" s="546">
        <f t="shared" si="3"/>
      </c>
      <c r="N36" s="615">
        <f t="shared" si="4"/>
        <v>40</v>
      </c>
      <c r="O36" s="616" t="str">
        <f t="shared" si="5"/>
        <v>--</v>
      </c>
      <c r="P36" s="617" t="str">
        <f t="shared" si="6"/>
        <v>--</v>
      </c>
      <c r="Q36" s="618" t="str">
        <f t="shared" si="7"/>
        <v>--</v>
      </c>
      <c r="R36" s="619" t="str">
        <f t="shared" si="8"/>
        <v>--</v>
      </c>
      <c r="S36" s="546">
        <f t="shared" si="9"/>
      </c>
      <c r="T36" s="53">
        <f t="shared" si="10"/>
      </c>
      <c r="U36" s="100"/>
    </row>
    <row r="37" spans="2:21" s="16" customFormat="1" ht="16.5" customHeight="1">
      <c r="B37" s="96"/>
      <c r="C37" s="524"/>
      <c r="D37" s="609"/>
      <c r="E37" s="609"/>
      <c r="F37" s="610"/>
      <c r="G37" s="300">
        <f t="shared" si="0"/>
        <v>9.43</v>
      </c>
      <c r="H37" s="612"/>
      <c r="I37" s="613"/>
      <c r="J37" s="51">
        <f t="shared" si="1"/>
      </c>
      <c r="K37" s="25">
        <f t="shared" si="2"/>
      </c>
      <c r="L37" s="544"/>
      <c r="M37" s="546">
        <f t="shared" si="3"/>
      </c>
      <c r="N37" s="615">
        <f t="shared" si="4"/>
        <v>40</v>
      </c>
      <c r="O37" s="616" t="str">
        <f t="shared" si="5"/>
        <v>--</v>
      </c>
      <c r="P37" s="617" t="str">
        <f t="shared" si="6"/>
        <v>--</v>
      </c>
      <c r="Q37" s="618" t="str">
        <f t="shared" si="7"/>
        <v>--</v>
      </c>
      <c r="R37" s="619" t="str">
        <f t="shared" si="8"/>
        <v>--</v>
      </c>
      <c r="S37" s="546">
        <f t="shared" si="9"/>
      </c>
      <c r="T37" s="53">
        <f t="shared" si="10"/>
      </c>
      <c r="U37" s="100"/>
    </row>
    <row r="38" spans="2:21" s="16" customFormat="1" ht="16.5" customHeight="1">
      <c r="B38" s="96"/>
      <c r="C38" s="524"/>
      <c r="D38" s="609"/>
      <c r="E38" s="609"/>
      <c r="F38" s="610"/>
      <c r="G38" s="300">
        <f t="shared" si="0"/>
        <v>9.43</v>
      </c>
      <c r="H38" s="612"/>
      <c r="I38" s="613"/>
      <c r="J38" s="51">
        <f t="shared" si="1"/>
      </c>
      <c r="K38" s="25">
        <f t="shared" si="2"/>
      </c>
      <c r="L38" s="544"/>
      <c r="M38" s="546">
        <f t="shared" si="3"/>
      </c>
      <c r="N38" s="615">
        <f t="shared" si="4"/>
        <v>40</v>
      </c>
      <c r="O38" s="616" t="str">
        <f t="shared" si="5"/>
        <v>--</v>
      </c>
      <c r="P38" s="617" t="str">
        <f t="shared" si="6"/>
        <v>--</v>
      </c>
      <c r="Q38" s="618" t="str">
        <f t="shared" si="7"/>
        <v>--</v>
      </c>
      <c r="R38" s="619" t="str">
        <f t="shared" si="8"/>
        <v>--</v>
      </c>
      <c r="S38" s="546">
        <f t="shared" si="9"/>
      </c>
      <c r="T38" s="53">
        <f t="shared" si="10"/>
      </c>
      <c r="U38" s="100"/>
    </row>
    <row r="39" spans="2:21" s="16" customFormat="1" ht="16.5" customHeight="1">
      <c r="B39" s="96"/>
      <c r="C39" s="524"/>
      <c r="D39" s="609"/>
      <c r="E39" s="609"/>
      <c r="F39" s="610"/>
      <c r="G39" s="300">
        <f t="shared" si="0"/>
        <v>9.43</v>
      </c>
      <c r="H39" s="612"/>
      <c r="I39" s="613"/>
      <c r="J39" s="51">
        <f t="shared" si="1"/>
      </c>
      <c r="K39" s="25">
        <f t="shared" si="2"/>
      </c>
      <c r="L39" s="544"/>
      <c r="M39" s="546">
        <f t="shared" si="3"/>
      </c>
      <c r="N39" s="615">
        <f t="shared" si="4"/>
        <v>40</v>
      </c>
      <c r="O39" s="616" t="str">
        <f t="shared" si="5"/>
        <v>--</v>
      </c>
      <c r="P39" s="617" t="str">
        <f t="shared" si="6"/>
        <v>--</v>
      </c>
      <c r="Q39" s="618" t="str">
        <f t="shared" si="7"/>
        <v>--</v>
      </c>
      <c r="R39" s="619" t="str">
        <f t="shared" si="8"/>
        <v>--</v>
      </c>
      <c r="S39" s="546">
        <f t="shared" si="9"/>
      </c>
      <c r="T39" s="53">
        <f t="shared" si="10"/>
      </c>
      <c r="U39" s="100"/>
    </row>
    <row r="40" spans="2:21" s="16" customFormat="1" ht="16.5" customHeight="1">
      <c r="B40" s="96"/>
      <c r="C40" s="524"/>
      <c r="D40" s="609"/>
      <c r="E40" s="609"/>
      <c r="F40" s="610"/>
      <c r="G40" s="300">
        <f t="shared" si="0"/>
        <v>9.43</v>
      </c>
      <c r="H40" s="612"/>
      <c r="I40" s="613"/>
      <c r="J40" s="51">
        <f t="shared" si="1"/>
      </c>
      <c r="K40" s="25">
        <f t="shared" si="2"/>
      </c>
      <c r="L40" s="544"/>
      <c r="M40" s="546">
        <f t="shared" si="3"/>
      </c>
      <c r="N40" s="615">
        <f t="shared" si="4"/>
        <v>40</v>
      </c>
      <c r="O40" s="616" t="str">
        <f t="shared" si="5"/>
        <v>--</v>
      </c>
      <c r="P40" s="617" t="str">
        <f t="shared" si="6"/>
        <v>--</v>
      </c>
      <c r="Q40" s="618" t="str">
        <f t="shared" si="7"/>
        <v>--</v>
      </c>
      <c r="R40" s="619" t="str">
        <f t="shared" si="8"/>
        <v>--</v>
      </c>
      <c r="S40" s="546">
        <f t="shared" si="9"/>
      </c>
      <c r="T40" s="53">
        <f t="shared" si="10"/>
      </c>
      <c r="U40" s="100"/>
    </row>
    <row r="41" spans="2:21" s="16" customFormat="1" ht="16.5" customHeight="1">
      <c r="B41" s="96"/>
      <c r="C41" s="524"/>
      <c r="D41" s="609"/>
      <c r="E41" s="609"/>
      <c r="F41" s="610"/>
      <c r="G41" s="300">
        <f t="shared" si="0"/>
        <v>9.43</v>
      </c>
      <c r="H41" s="612"/>
      <c r="I41" s="613"/>
      <c r="J41" s="51">
        <f t="shared" si="1"/>
      </c>
      <c r="K41" s="25">
        <f t="shared" si="2"/>
      </c>
      <c r="L41" s="544"/>
      <c r="M41" s="546">
        <f t="shared" si="3"/>
      </c>
      <c r="N41" s="615">
        <f t="shared" si="4"/>
        <v>40</v>
      </c>
      <c r="O41" s="616" t="str">
        <f t="shared" si="5"/>
        <v>--</v>
      </c>
      <c r="P41" s="617" t="str">
        <f t="shared" si="6"/>
        <v>--</v>
      </c>
      <c r="Q41" s="618" t="str">
        <f t="shared" si="7"/>
        <v>--</v>
      </c>
      <c r="R41" s="619" t="str">
        <f t="shared" si="8"/>
        <v>--</v>
      </c>
      <c r="S41" s="546">
        <f t="shared" si="9"/>
      </c>
      <c r="T41" s="53">
        <f t="shared" si="10"/>
      </c>
      <c r="U41" s="100"/>
    </row>
    <row r="42" spans="2:21" s="16" customFormat="1" ht="16.5" customHeight="1" thickBot="1">
      <c r="B42" s="96"/>
      <c r="C42" s="533"/>
      <c r="D42" s="611"/>
      <c r="E42" s="611"/>
      <c r="F42" s="534"/>
      <c r="G42" s="301"/>
      <c r="H42" s="614"/>
      <c r="I42" s="614"/>
      <c r="J42" s="54"/>
      <c r="K42" s="54"/>
      <c r="L42" s="614"/>
      <c r="M42" s="543"/>
      <c r="N42" s="620"/>
      <c r="O42" s="621"/>
      <c r="P42" s="622"/>
      <c r="Q42" s="623"/>
      <c r="R42" s="624"/>
      <c r="S42" s="543"/>
      <c r="T42" s="204"/>
      <c r="U42" s="100"/>
    </row>
    <row r="43" spans="2:21" s="16" customFormat="1" ht="16.5" customHeight="1" thickBot="1" thickTop="1">
      <c r="B43" s="96"/>
      <c r="C43" s="236" t="s">
        <v>57</v>
      </c>
      <c r="D43" s="237" t="s">
        <v>58</v>
      </c>
      <c r="E43"/>
      <c r="F43" s="14"/>
      <c r="G43" s="14"/>
      <c r="H43" s="14"/>
      <c r="I43" s="14"/>
      <c r="J43" s="14"/>
      <c r="K43" s="14"/>
      <c r="L43" s="14"/>
      <c r="M43" s="14"/>
      <c r="N43" s="14"/>
      <c r="O43" s="402">
        <f>SUM(O20:O42)</f>
        <v>2791.2799999999997</v>
      </c>
      <c r="P43" s="409">
        <f>SUM(P20:P42)</f>
        <v>0</v>
      </c>
      <c r="Q43" s="410">
        <f>SUM(Q20:Q42)</f>
        <v>0</v>
      </c>
      <c r="R43" s="412">
        <f>SUM(R20:R42)</f>
        <v>0</v>
      </c>
      <c r="S43" s="55"/>
      <c r="T43" s="67">
        <f>ROUND(SUM(T20:T42),2)</f>
        <v>2791.28</v>
      </c>
      <c r="U43" s="100"/>
    </row>
    <row r="44" spans="2:21" s="241" customFormat="1" ht="13.5" thickTop="1">
      <c r="B44" s="242"/>
      <c r="C44" s="238"/>
      <c r="D44" s="240" t="s">
        <v>59</v>
      </c>
      <c r="E44"/>
      <c r="F44" s="258"/>
      <c r="G44" s="258"/>
      <c r="H44" s="258"/>
      <c r="I44" s="258"/>
      <c r="J44" s="258"/>
      <c r="K44" s="258"/>
      <c r="L44" s="258"/>
      <c r="M44" s="258"/>
      <c r="N44" s="258"/>
      <c r="O44" s="256"/>
      <c r="P44" s="256"/>
      <c r="Q44" s="256"/>
      <c r="R44" s="256"/>
      <c r="S44" s="256"/>
      <c r="T44" s="259"/>
      <c r="U44" s="260"/>
    </row>
    <row r="45" spans="2:21" s="16" customFormat="1" ht="16.5" customHeight="1" thickBot="1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60"/>
  <sheetViews>
    <sheetView zoomScale="75" zoomScaleNormal="75" workbookViewId="0" topLeftCell="A17">
      <selection activeCell="D52" sqref="D5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12.00390625" style="0" customWidth="1"/>
    <col min="7" max="7" width="12.00390625" style="0" hidden="1" customWidth="1"/>
    <col min="8" max="9" width="16.7109375" style="0" customWidth="1"/>
    <col min="10" max="13" width="9.7109375" style="0" customWidth="1"/>
    <col min="14" max="14" width="6.00390625" style="0" customWidth="1"/>
    <col min="15" max="15" width="12.7109375" style="0" hidden="1" customWidth="1"/>
    <col min="16" max="16" width="15.57421875" style="0" hidden="1" customWidth="1"/>
    <col min="17" max="17" width="16.421875" style="0" hidden="1" customWidth="1"/>
    <col min="18" max="19" width="15.421875" style="0" hidden="1" customWidth="1"/>
    <col min="20" max="20" width="9.7109375" style="0" customWidth="1"/>
    <col min="21" max="21" width="16.00390625" style="0" hidden="1" customWidth="1"/>
    <col min="22" max="23" width="15.7109375" style="0" customWidth="1"/>
  </cols>
  <sheetData>
    <row r="1" spans="1:23" s="68" customFormat="1" ht="26.25">
      <c r="A1" s="112"/>
      <c r="W1" s="500"/>
    </row>
    <row r="2" spans="1:23" s="68" customFormat="1" ht="26.25">
      <c r="A2" s="112"/>
      <c r="B2" s="223" t="str">
        <f>+'tot-0309'!B2</f>
        <v>ANEXO I-2 a la Resolución ENRE N°            520/2006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="16" customFormat="1" ht="12.75">
      <c r="A3" s="44"/>
    </row>
    <row r="4" spans="1:2" s="75" customFormat="1" ht="11.25">
      <c r="A4" s="73" t="s">
        <v>16</v>
      </c>
      <c r="B4" s="144"/>
    </row>
    <row r="5" spans="1:2" s="75" customFormat="1" ht="11.25">
      <c r="A5" s="73" t="s">
        <v>17</v>
      </c>
      <c r="B5" s="144"/>
    </row>
    <row r="6" s="16" customFormat="1" ht="13.5" thickBot="1"/>
    <row r="7" spans="2:23" s="16" customFormat="1" ht="13.5" thickTop="1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81"/>
    </row>
    <row r="8" spans="2:23" s="10" customFormat="1" ht="20.25">
      <c r="B8" s="126"/>
      <c r="D8" s="7" t="s">
        <v>84</v>
      </c>
      <c r="E8" s="57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9"/>
      <c r="W8" s="218"/>
    </row>
    <row r="9" spans="2:23" s="16" customFormat="1" ht="12.75">
      <c r="B9" s="9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00"/>
    </row>
    <row r="10" spans="2:23" s="10" customFormat="1" ht="20.25">
      <c r="B10" s="126"/>
      <c r="D10" s="127" t="s">
        <v>85</v>
      </c>
      <c r="F10" s="219"/>
      <c r="G10" s="220"/>
      <c r="H10" s="220"/>
      <c r="I10" s="220"/>
      <c r="J10" s="220"/>
      <c r="K10" s="220"/>
      <c r="L10" s="220"/>
      <c r="M10" s="220"/>
      <c r="N10" s="220"/>
      <c r="O10" s="220"/>
      <c r="P10" s="11"/>
      <c r="Q10" s="11"/>
      <c r="R10" s="11"/>
      <c r="S10" s="11"/>
      <c r="T10" s="11"/>
      <c r="U10" s="11"/>
      <c r="V10"/>
      <c r="W10" s="190"/>
    </row>
    <row r="11" spans="2:23" s="16" customFormat="1" ht="16.5" customHeight="1">
      <c r="B11" s="96"/>
      <c r="C11" s="14"/>
      <c r="D11" s="207"/>
      <c r="F11" s="81"/>
      <c r="G11" s="118"/>
      <c r="H11" s="118"/>
      <c r="I11" s="118"/>
      <c r="J11" s="118"/>
      <c r="K11" s="118"/>
      <c r="L11" s="118"/>
      <c r="M11" s="118"/>
      <c r="N11" s="118"/>
      <c r="O11" s="118"/>
      <c r="P11" s="14"/>
      <c r="Q11" s="14"/>
      <c r="R11" s="14"/>
      <c r="S11" s="14"/>
      <c r="T11" s="14"/>
      <c r="U11" s="14"/>
      <c r="V11"/>
      <c r="W11" s="100"/>
    </row>
    <row r="12" spans="2:23" s="10" customFormat="1" ht="20.25">
      <c r="B12" s="126"/>
      <c r="D12" s="127" t="s">
        <v>87</v>
      </c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11"/>
      <c r="Q12" s="11"/>
      <c r="R12" s="11"/>
      <c r="S12" s="11"/>
      <c r="T12" s="11"/>
      <c r="U12" s="11"/>
      <c r="V12" s="11"/>
      <c r="W12" s="190"/>
    </row>
    <row r="13" spans="2:23" s="16" customFormat="1" ht="16.5" customHeight="1">
      <c r="B13" s="96"/>
      <c r="C13" s="14"/>
      <c r="D13" s="207"/>
      <c r="F13" s="81"/>
      <c r="G13" s="118"/>
      <c r="H13" s="118"/>
      <c r="I13" s="118"/>
      <c r="J13" s="118"/>
      <c r="K13" s="118"/>
      <c r="L13" s="118"/>
      <c r="M13" s="118"/>
      <c r="N13" s="118"/>
      <c r="O13" s="118"/>
      <c r="P13" s="14"/>
      <c r="Q13" s="14"/>
      <c r="R13" s="14"/>
      <c r="S13" s="14"/>
      <c r="T13" s="14"/>
      <c r="U13" s="14"/>
      <c r="V13" s="14"/>
      <c r="W13" s="100"/>
    </row>
    <row r="14" spans="2:23" s="15" customFormat="1" ht="16.5" customHeight="1">
      <c r="B14" s="145" t="str">
        <f>+'tot-0309'!B14</f>
        <v>Desde el 01 al 30 de septiembre de 2003</v>
      </c>
      <c r="C14" s="129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129"/>
      <c r="Q14" s="129"/>
      <c r="R14" s="129"/>
      <c r="S14" s="129"/>
      <c r="T14" s="129"/>
      <c r="U14" s="129"/>
      <c r="V14" s="129"/>
      <c r="W14" s="222"/>
    </row>
    <row r="15" spans="2:23" s="16" customFormat="1" ht="16.5" customHeight="1" thickBot="1">
      <c r="B15" s="96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4"/>
      <c r="W15" s="100"/>
    </row>
    <row r="16" spans="2:23" s="16" customFormat="1" ht="16.5" customHeight="1" thickBot="1" thickTop="1">
      <c r="B16" s="96"/>
      <c r="C16" s="14"/>
      <c r="D16" s="14"/>
      <c r="E16" s="14"/>
      <c r="F16" s="14"/>
      <c r="G16" s="14"/>
      <c r="H16" s="14"/>
      <c r="I16" s="14"/>
      <c r="J16" s="656" t="s">
        <v>96</v>
      </c>
      <c r="K16" s="657"/>
      <c r="L16" s="657"/>
      <c r="M16" s="657"/>
      <c r="N16" s="658"/>
      <c r="O16" s="511" t="b">
        <f>AND(N17&lt;=0.82,N18&lt;=1.17)</f>
        <v>1</v>
      </c>
      <c r="P16" s="511" t="b">
        <f>AND(N17&gt;=1.17,N18&gt;=1.7)</f>
        <v>0</v>
      </c>
      <c r="Q16" s="512">
        <f>((N18/1.17)+(N17/0.82))*0.852446393-1.454892785</f>
        <v>-0.43113967470752534</v>
      </c>
      <c r="R16" s="14"/>
      <c r="S16" s="14"/>
      <c r="T16" s="14"/>
      <c r="U16" s="14"/>
      <c r="V16" s="14"/>
      <c r="W16" s="100"/>
    </row>
    <row r="17" spans="2:23" s="16" customFormat="1" ht="16.5" customHeight="1" thickBot="1" thickTop="1">
      <c r="B17" s="96"/>
      <c r="C17" s="14"/>
      <c r="D17" s="200" t="s">
        <v>69</v>
      </c>
      <c r="E17" s="224"/>
      <c r="F17" s="232">
        <v>0.059</v>
      </c>
      <c r="G17" s="198"/>
      <c r="H17"/>
      <c r="I17" s="14"/>
      <c r="J17" s="513" t="s">
        <v>97</v>
      </c>
      <c r="K17" s="514"/>
      <c r="L17" s="514"/>
      <c r="M17" s="514"/>
      <c r="N17" s="515">
        <v>0.34</v>
      </c>
      <c r="O17" s="516"/>
      <c r="P17" s="511"/>
      <c r="Q17" s="512"/>
      <c r="R17" s="14"/>
      <c r="S17" s="14"/>
      <c r="T17" s="14"/>
      <c r="U17" s="14"/>
      <c r="V17" s="14"/>
      <c r="W17" s="100"/>
    </row>
    <row r="18" spans="2:23" s="16" customFormat="1" ht="16.5" customHeight="1" thickBot="1" thickTop="1">
      <c r="B18" s="96"/>
      <c r="C18" s="14"/>
      <c r="D18" s="225" t="s">
        <v>70</v>
      </c>
      <c r="E18" s="226"/>
      <c r="F18" s="227">
        <v>20</v>
      </c>
      <c r="G18" s="198"/>
      <c r="H18" s="261" t="s">
        <v>67</v>
      </c>
      <c r="I18" s="312">
        <f>4*N19</f>
        <v>1</v>
      </c>
      <c r="J18" s="513" t="s">
        <v>98</v>
      </c>
      <c r="K18" s="514"/>
      <c r="L18" s="514"/>
      <c r="M18" s="514"/>
      <c r="N18" s="515">
        <v>0.92</v>
      </c>
      <c r="O18" s="516"/>
      <c r="P18" s="511"/>
      <c r="Q18" s="512"/>
      <c r="R18" s="119"/>
      <c r="S18" s="119"/>
      <c r="T18" s="119"/>
      <c r="U18" s="119"/>
      <c r="V18" s="119"/>
      <c r="W18" s="100"/>
    </row>
    <row r="19" spans="2:23" s="16" customFormat="1" ht="16.5" customHeight="1" thickBot="1" thickTop="1">
      <c r="B19" s="96"/>
      <c r="C19" s="14"/>
      <c r="D19" s="518"/>
      <c r="E19" s="502"/>
      <c r="F19" s="519"/>
      <c r="G19" s="198"/>
      <c r="H19" s="261"/>
      <c r="I19" s="312"/>
      <c r="J19" s="513" t="s">
        <v>99</v>
      </c>
      <c r="K19" s="514"/>
      <c r="L19" s="514"/>
      <c r="M19" s="514"/>
      <c r="N19" s="515">
        <f>IF(O16=TRUE,0.25,IF(P16=TRUE,1,Q16))</f>
        <v>0.25</v>
      </c>
      <c r="O19" s="517"/>
      <c r="P19" s="517"/>
      <c r="Q19" s="517"/>
      <c r="R19" s="119"/>
      <c r="S19" s="119"/>
      <c r="T19" s="119"/>
      <c r="U19" s="119"/>
      <c r="V19" s="119"/>
      <c r="W19" s="100"/>
    </row>
    <row r="20" spans="2:23" s="16" customFormat="1" ht="16.5" customHeight="1" thickBot="1" thickTop="1">
      <c r="B20" s="96"/>
      <c r="C20" s="2"/>
      <c r="D20" s="208"/>
      <c r="E20" s="209"/>
      <c r="F20" s="209"/>
      <c r="G20" s="32"/>
      <c r="H20" s="32"/>
      <c r="I20" s="32"/>
      <c r="J20" s="32"/>
      <c r="K20" s="32"/>
      <c r="L20" s="32"/>
      <c r="M20" s="32"/>
      <c r="N20" s="32"/>
      <c r="O20" s="210"/>
      <c r="P20" s="211"/>
      <c r="Q20" s="212"/>
      <c r="R20" s="212"/>
      <c r="S20" s="212"/>
      <c r="T20" s="213"/>
      <c r="U20" s="213"/>
      <c r="V20" s="214"/>
      <c r="W20" s="100"/>
    </row>
    <row r="21" spans="2:23" s="16" customFormat="1" ht="33.75" customHeight="1" thickBot="1" thickTop="1">
      <c r="B21" s="96"/>
      <c r="C21" s="133" t="s">
        <v>35</v>
      </c>
      <c r="D21" s="141" t="s">
        <v>71</v>
      </c>
      <c r="E21" s="136" t="s">
        <v>12</v>
      </c>
      <c r="F21" s="228" t="s">
        <v>72</v>
      </c>
      <c r="G21" s="299" t="s">
        <v>40</v>
      </c>
      <c r="H21" s="136" t="s">
        <v>41</v>
      </c>
      <c r="I21" s="136" t="s">
        <v>42</v>
      </c>
      <c r="J21" s="141" t="s">
        <v>43</v>
      </c>
      <c r="K21" s="141" t="s">
        <v>44</v>
      </c>
      <c r="L21" s="140" t="s">
        <v>45</v>
      </c>
      <c r="M21" s="140" t="s">
        <v>46</v>
      </c>
      <c r="N21" s="136" t="s">
        <v>48</v>
      </c>
      <c r="O21" s="299" t="s">
        <v>88</v>
      </c>
      <c r="P21" s="418" t="s">
        <v>63</v>
      </c>
      <c r="Q21" s="422" t="s">
        <v>86</v>
      </c>
      <c r="R21" s="423"/>
      <c r="S21" s="430" t="s">
        <v>53</v>
      </c>
      <c r="T21" s="142" t="s">
        <v>55</v>
      </c>
      <c r="U21" s="314" t="s">
        <v>56</v>
      </c>
      <c r="V21" s="229" t="s">
        <v>56</v>
      </c>
      <c r="W21" s="100"/>
    </row>
    <row r="22" spans="2:23" s="16" customFormat="1" ht="16.5" customHeight="1" thickTop="1">
      <c r="B22" s="96"/>
      <c r="C22" s="215"/>
      <c r="D22" s="215"/>
      <c r="E22" s="215"/>
      <c r="F22" s="215"/>
      <c r="G22" s="305"/>
      <c r="H22" s="217"/>
      <c r="I22" s="217"/>
      <c r="J22" s="215"/>
      <c r="K22" s="215"/>
      <c r="L22" s="216"/>
      <c r="M22" s="17"/>
      <c r="N22" s="215"/>
      <c r="O22" s="361"/>
      <c r="P22" s="419"/>
      <c r="Q22" s="424"/>
      <c r="R22" s="425"/>
      <c r="S22" s="431"/>
      <c r="T22" s="415"/>
      <c r="U22" s="484"/>
      <c r="V22" s="485"/>
      <c r="W22" s="100"/>
    </row>
    <row r="23" spans="2:23" s="16" customFormat="1" ht="16.5" customHeight="1">
      <c r="B23" s="96"/>
      <c r="C23" s="26"/>
      <c r="D23" s="60"/>
      <c r="E23" s="60"/>
      <c r="F23" s="60"/>
      <c r="G23" s="310"/>
      <c r="H23" s="62"/>
      <c r="I23" s="63"/>
      <c r="J23" s="64"/>
      <c r="K23" s="65"/>
      <c r="L23" s="66"/>
      <c r="M23" s="18"/>
      <c r="N23" s="61"/>
      <c r="O23" s="417"/>
      <c r="P23" s="420"/>
      <c r="Q23" s="426"/>
      <c r="R23" s="427"/>
      <c r="S23" s="432"/>
      <c r="T23" s="311"/>
      <c r="U23" s="434"/>
      <c r="V23" s="230"/>
      <c r="W23" s="100"/>
    </row>
    <row r="24" spans="2:23" s="16" customFormat="1" ht="16.5" customHeight="1">
      <c r="B24" s="96"/>
      <c r="C24" s="524" t="s">
        <v>157</v>
      </c>
      <c r="D24" s="626" t="s">
        <v>14</v>
      </c>
      <c r="E24" s="626" t="s">
        <v>15</v>
      </c>
      <c r="F24" s="626">
        <v>80</v>
      </c>
      <c r="G24" s="496">
        <f>F24*$F$17</f>
        <v>4.72</v>
      </c>
      <c r="H24" s="612">
        <v>37881.32708333333</v>
      </c>
      <c r="I24" s="542">
        <v>37881.67222222222</v>
      </c>
      <c r="J24" s="51">
        <f>IF(D24="","",(I24-H24)*24)</f>
        <v>8.283333333441988</v>
      </c>
      <c r="K24" s="25">
        <f>IF(D24="","",ROUND((I24-H24)*24*60,0))</f>
        <v>497</v>
      </c>
      <c r="L24" s="544" t="s">
        <v>102</v>
      </c>
      <c r="M24" s="573" t="str">
        <f>IF(D24="","","--")</f>
        <v>--</v>
      </c>
      <c r="N24" s="546" t="str">
        <f>IF(D24="","",IF(OR(L24="P",L24="RP"),"--","NO"))</f>
        <v>--</v>
      </c>
      <c r="O24" s="628">
        <f>IF(L24="P",$F$18*0.1,$F$18)</f>
        <v>2</v>
      </c>
      <c r="P24" s="629">
        <f>IF(L24="P",G24*O24*ROUND(K24/60,2),"--")</f>
        <v>78.16319999999999</v>
      </c>
      <c r="Q24" s="630" t="str">
        <f>IF(AND(L24="F",N24="NO"),G24*O24,"--")</f>
        <v>--</v>
      </c>
      <c r="R24" s="631" t="str">
        <f>IF(L24="F",G24*O24*ROUND(K24/60,2),"--")</f>
        <v>--</v>
      </c>
      <c r="S24" s="632" t="str">
        <f>IF(L24="RF",G24*O24*ROUND(K24/60,2),"--")</f>
        <v>--</v>
      </c>
      <c r="T24" s="633" t="str">
        <f>IF(D24="","","SI")</f>
        <v>SI</v>
      </c>
      <c r="U24" s="435">
        <f>SUM(P24:S24)*IF(T24="SI",1,2)</f>
        <v>78.16319999999999</v>
      </c>
      <c r="V24" s="53">
        <f>IF(D24="","",U24*$I$18)</f>
        <v>78.16319999999999</v>
      </c>
      <c r="W24" s="100"/>
    </row>
    <row r="25" spans="2:23" s="16" customFormat="1" ht="16.5" customHeight="1">
      <c r="B25" s="96"/>
      <c r="C25" s="524"/>
      <c r="D25" s="626"/>
      <c r="E25" s="626"/>
      <c r="F25" s="626"/>
      <c r="G25" s="496">
        <f aca="true" t="shared" si="0" ref="G25:G40">F25*$F$17</f>
        <v>0</v>
      </c>
      <c r="H25" s="612"/>
      <c r="I25" s="542"/>
      <c r="J25" s="51">
        <f aca="true" t="shared" si="1" ref="J25:J40">IF(D25="","",(I25-H25)*24)</f>
      </c>
      <c r="K25" s="25">
        <f aca="true" t="shared" si="2" ref="K25:K40">IF(D25="","",ROUND((I25-H25)*24*60,0))</f>
      </c>
      <c r="L25" s="544"/>
      <c r="M25" s="573">
        <f aca="true" t="shared" si="3" ref="M25:M40">IF(D25="","","--")</f>
      </c>
      <c r="N25" s="546">
        <f aca="true" t="shared" si="4" ref="N25:N40">IF(D25="","",IF(L25="P","--","NO"))</f>
      </c>
      <c r="O25" s="628">
        <f aca="true" t="shared" si="5" ref="O25:O40">IF(L25="P",$F$18*0.1,$F$18)</f>
        <v>20</v>
      </c>
      <c r="P25" s="629" t="str">
        <f aca="true" t="shared" si="6" ref="P25:P40">IF(L25="P",G25*O25*ROUND(K25/60,2),"--")</f>
        <v>--</v>
      </c>
      <c r="Q25" s="630" t="str">
        <f aca="true" t="shared" si="7" ref="Q25:Q40">IF(AND(L25="F",N25="NO"),G25*O25,"--")</f>
        <v>--</v>
      </c>
      <c r="R25" s="631" t="str">
        <f aca="true" t="shared" si="8" ref="R25:R40">IF(L25="F",G25*O25*ROUND(K25/60,2),"--")</f>
        <v>--</v>
      </c>
      <c r="S25" s="632" t="str">
        <f aca="true" t="shared" si="9" ref="S25:S40">IF(L25="RF",G25*O25*ROUND(K25/60,2),"--")</f>
        <v>--</v>
      </c>
      <c r="T25" s="633">
        <f aca="true" t="shared" si="10" ref="T25:T40">IF(D25="","","SI")</f>
      </c>
      <c r="U25" s="435">
        <f aca="true" t="shared" si="11" ref="U25:U40">SUM(P25:S25)*IF(T25="SI",1,2)</f>
        <v>0</v>
      </c>
      <c r="V25" s="53">
        <f aca="true" t="shared" si="12" ref="V25:V40">IF(D25="","",U25*$I$18)</f>
      </c>
      <c r="W25" s="100"/>
    </row>
    <row r="26" spans="2:23" s="16" customFormat="1" ht="16.5" customHeight="1">
      <c r="B26" s="96"/>
      <c r="C26" s="524"/>
      <c r="D26" s="626"/>
      <c r="E26" s="626"/>
      <c r="F26" s="626"/>
      <c r="G26" s="496">
        <f t="shared" si="0"/>
        <v>0</v>
      </c>
      <c r="H26" s="612"/>
      <c r="I26" s="542"/>
      <c r="J26" s="51">
        <f t="shared" si="1"/>
      </c>
      <c r="K26" s="25">
        <f t="shared" si="2"/>
      </c>
      <c r="L26" s="544"/>
      <c r="M26" s="573">
        <f t="shared" si="3"/>
      </c>
      <c r="N26" s="546">
        <f t="shared" si="4"/>
      </c>
      <c r="O26" s="628">
        <f t="shared" si="5"/>
        <v>20</v>
      </c>
      <c r="P26" s="629" t="str">
        <f t="shared" si="6"/>
        <v>--</v>
      </c>
      <c r="Q26" s="630" t="str">
        <f t="shared" si="7"/>
        <v>--</v>
      </c>
      <c r="R26" s="631" t="str">
        <f t="shared" si="8"/>
        <v>--</v>
      </c>
      <c r="S26" s="632" t="str">
        <f t="shared" si="9"/>
        <v>--</v>
      </c>
      <c r="T26" s="633">
        <f t="shared" si="10"/>
      </c>
      <c r="U26" s="435">
        <f t="shared" si="11"/>
        <v>0</v>
      </c>
      <c r="V26" s="53">
        <f t="shared" si="12"/>
      </c>
      <c r="W26" s="100"/>
    </row>
    <row r="27" spans="2:23" s="16" customFormat="1" ht="16.5" customHeight="1">
      <c r="B27" s="96"/>
      <c r="C27" s="524"/>
      <c r="D27" s="626"/>
      <c r="E27" s="626"/>
      <c r="F27" s="626"/>
      <c r="G27" s="496">
        <f t="shared" si="0"/>
        <v>0</v>
      </c>
      <c r="H27" s="612"/>
      <c r="I27" s="542"/>
      <c r="J27" s="51">
        <f t="shared" si="1"/>
      </c>
      <c r="K27" s="25">
        <f t="shared" si="2"/>
      </c>
      <c r="L27" s="544"/>
      <c r="M27" s="573">
        <f t="shared" si="3"/>
      </c>
      <c r="N27" s="546">
        <f t="shared" si="4"/>
      </c>
      <c r="O27" s="628">
        <f t="shared" si="5"/>
        <v>20</v>
      </c>
      <c r="P27" s="629" t="str">
        <f t="shared" si="6"/>
        <v>--</v>
      </c>
      <c r="Q27" s="630" t="str">
        <f t="shared" si="7"/>
        <v>--</v>
      </c>
      <c r="R27" s="631" t="str">
        <f t="shared" si="8"/>
        <v>--</v>
      </c>
      <c r="S27" s="632" t="str">
        <f t="shared" si="9"/>
        <v>--</v>
      </c>
      <c r="T27" s="633">
        <f t="shared" si="10"/>
      </c>
      <c r="U27" s="435">
        <f t="shared" si="11"/>
        <v>0</v>
      </c>
      <c r="V27" s="53">
        <f t="shared" si="12"/>
      </c>
      <c r="W27" s="205"/>
    </row>
    <row r="28" spans="2:23" s="16" customFormat="1" ht="16.5" customHeight="1">
      <c r="B28" s="96"/>
      <c r="C28" s="524"/>
      <c r="D28" s="626"/>
      <c r="E28" s="626"/>
      <c r="F28" s="626"/>
      <c r="G28" s="496">
        <f t="shared" si="0"/>
        <v>0</v>
      </c>
      <c r="H28" s="612"/>
      <c r="I28" s="542"/>
      <c r="J28" s="51">
        <f t="shared" si="1"/>
      </c>
      <c r="K28" s="25">
        <f t="shared" si="2"/>
      </c>
      <c r="L28" s="544"/>
      <c r="M28" s="573">
        <f t="shared" si="3"/>
      </c>
      <c r="N28" s="546">
        <f t="shared" si="4"/>
      </c>
      <c r="O28" s="628">
        <f t="shared" si="5"/>
        <v>20</v>
      </c>
      <c r="P28" s="629" t="str">
        <f t="shared" si="6"/>
        <v>--</v>
      </c>
      <c r="Q28" s="630" t="str">
        <f t="shared" si="7"/>
        <v>--</v>
      </c>
      <c r="R28" s="631" t="str">
        <f t="shared" si="8"/>
        <v>--</v>
      </c>
      <c r="S28" s="632" t="str">
        <f t="shared" si="9"/>
        <v>--</v>
      </c>
      <c r="T28" s="633">
        <f t="shared" si="10"/>
      </c>
      <c r="U28" s="435">
        <f t="shared" si="11"/>
        <v>0</v>
      </c>
      <c r="V28" s="53">
        <f t="shared" si="12"/>
      </c>
      <c r="W28" s="205"/>
    </row>
    <row r="29" spans="2:23" s="16" customFormat="1" ht="16.5" customHeight="1">
      <c r="B29" s="96"/>
      <c r="C29" s="524"/>
      <c r="D29" s="626"/>
      <c r="E29" s="626"/>
      <c r="F29" s="626"/>
      <c r="G29" s="496">
        <f t="shared" si="0"/>
        <v>0</v>
      </c>
      <c r="H29" s="612"/>
      <c r="I29" s="542"/>
      <c r="J29" s="51">
        <f t="shared" si="1"/>
      </c>
      <c r="K29" s="25">
        <f t="shared" si="2"/>
      </c>
      <c r="L29" s="544"/>
      <c r="M29" s="573">
        <f t="shared" si="3"/>
      </c>
      <c r="N29" s="546">
        <f t="shared" si="4"/>
      </c>
      <c r="O29" s="628">
        <f t="shared" si="5"/>
        <v>20</v>
      </c>
      <c r="P29" s="629" t="str">
        <f t="shared" si="6"/>
        <v>--</v>
      </c>
      <c r="Q29" s="630" t="str">
        <f t="shared" si="7"/>
        <v>--</v>
      </c>
      <c r="R29" s="631" t="str">
        <f t="shared" si="8"/>
        <v>--</v>
      </c>
      <c r="S29" s="632" t="str">
        <f t="shared" si="9"/>
        <v>--</v>
      </c>
      <c r="T29" s="633">
        <f t="shared" si="10"/>
      </c>
      <c r="U29" s="435">
        <f t="shared" si="11"/>
        <v>0</v>
      </c>
      <c r="V29" s="53">
        <f t="shared" si="12"/>
      </c>
      <c r="W29" s="205"/>
    </row>
    <row r="30" spans="2:23" s="16" customFormat="1" ht="16.5" customHeight="1">
      <c r="B30" s="96"/>
      <c r="C30" s="524"/>
      <c r="D30" s="626"/>
      <c r="E30" s="626"/>
      <c r="F30" s="626"/>
      <c r="G30" s="496">
        <f t="shared" si="0"/>
        <v>0</v>
      </c>
      <c r="H30" s="612"/>
      <c r="I30" s="542"/>
      <c r="J30" s="51">
        <f t="shared" si="1"/>
      </c>
      <c r="K30" s="25">
        <f t="shared" si="2"/>
      </c>
      <c r="L30" s="544"/>
      <c r="M30" s="573">
        <f t="shared" si="3"/>
      </c>
      <c r="N30" s="546">
        <f t="shared" si="4"/>
      </c>
      <c r="O30" s="628">
        <f t="shared" si="5"/>
        <v>20</v>
      </c>
      <c r="P30" s="629" t="str">
        <f t="shared" si="6"/>
        <v>--</v>
      </c>
      <c r="Q30" s="630" t="str">
        <f t="shared" si="7"/>
        <v>--</v>
      </c>
      <c r="R30" s="631" t="str">
        <f t="shared" si="8"/>
        <v>--</v>
      </c>
      <c r="S30" s="632" t="str">
        <f t="shared" si="9"/>
        <v>--</v>
      </c>
      <c r="T30" s="633">
        <f t="shared" si="10"/>
      </c>
      <c r="U30" s="435">
        <f t="shared" si="11"/>
        <v>0</v>
      </c>
      <c r="V30" s="53">
        <f t="shared" si="12"/>
      </c>
      <c r="W30" s="205"/>
    </row>
    <row r="31" spans="2:23" s="16" customFormat="1" ht="16.5" customHeight="1">
      <c r="B31" s="96"/>
      <c r="C31" s="524"/>
      <c r="D31" s="626"/>
      <c r="E31" s="626"/>
      <c r="F31" s="626"/>
      <c r="G31" s="496">
        <f t="shared" si="0"/>
        <v>0</v>
      </c>
      <c r="H31" s="612"/>
      <c r="I31" s="542"/>
      <c r="J31" s="51">
        <f t="shared" si="1"/>
      </c>
      <c r="K31" s="25">
        <f t="shared" si="2"/>
      </c>
      <c r="L31" s="544"/>
      <c r="M31" s="573">
        <f t="shared" si="3"/>
      </c>
      <c r="N31" s="546">
        <f t="shared" si="4"/>
      </c>
      <c r="O31" s="628">
        <f t="shared" si="5"/>
        <v>20</v>
      </c>
      <c r="P31" s="629" t="str">
        <f t="shared" si="6"/>
        <v>--</v>
      </c>
      <c r="Q31" s="630" t="str">
        <f t="shared" si="7"/>
        <v>--</v>
      </c>
      <c r="R31" s="631" t="str">
        <f t="shared" si="8"/>
        <v>--</v>
      </c>
      <c r="S31" s="632" t="str">
        <f t="shared" si="9"/>
        <v>--</v>
      </c>
      <c r="T31" s="633">
        <f t="shared" si="10"/>
      </c>
      <c r="U31" s="435">
        <f t="shared" si="11"/>
        <v>0</v>
      </c>
      <c r="V31" s="53">
        <f t="shared" si="12"/>
      </c>
      <c r="W31" s="205"/>
    </row>
    <row r="32" spans="2:23" s="16" customFormat="1" ht="16.5" customHeight="1">
      <c r="B32" s="96"/>
      <c r="C32" s="524"/>
      <c r="D32" s="626"/>
      <c r="E32" s="626"/>
      <c r="F32" s="626"/>
      <c r="G32" s="496">
        <f t="shared" si="0"/>
        <v>0</v>
      </c>
      <c r="H32" s="612"/>
      <c r="I32" s="542"/>
      <c r="J32" s="51">
        <f t="shared" si="1"/>
      </c>
      <c r="K32" s="25">
        <f t="shared" si="2"/>
      </c>
      <c r="L32" s="544"/>
      <c r="M32" s="573">
        <f t="shared" si="3"/>
      </c>
      <c r="N32" s="546">
        <f t="shared" si="4"/>
      </c>
      <c r="O32" s="628">
        <f t="shared" si="5"/>
        <v>20</v>
      </c>
      <c r="P32" s="629" t="str">
        <f t="shared" si="6"/>
        <v>--</v>
      </c>
      <c r="Q32" s="630" t="str">
        <f t="shared" si="7"/>
        <v>--</v>
      </c>
      <c r="R32" s="631" t="str">
        <f t="shared" si="8"/>
        <v>--</v>
      </c>
      <c r="S32" s="632" t="str">
        <f t="shared" si="9"/>
        <v>--</v>
      </c>
      <c r="T32" s="633">
        <f t="shared" si="10"/>
      </c>
      <c r="U32" s="435">
        <f t="shared" si="11"/>
        <v>0</v>
      </c>
      <c r="V32" s="53">
        <f t="shared" si="12"/>
      </c>
      <c r="W32" s="205"/>
    </row>
    <row r="33" spans="2:23" s="16" customFormat="1" ht="16.5" customHeight="1">
      <c r="B33" s="96"/>
      <c r="C33" s="524"/>
      <c r="D33" s="626"/>
      <c r="E33" s="626"/>
      <c r="F33" s="626"/>
      <c r="G33" s="496">
        <f t="shared" si="0"/>
        <v>0</v>
      </c>
      <c r="H33" s="612"/>
      <c r="I33" s="542"/>
      <c r="J33" s="51">
        <f t="shared" si="1"/>
      </c>
      <c r="K33" s="25">
        <f t="shared" si="2"/>
      </c>
      <c r="L33" s="544"/>
      <c r="M33" s="573">
        <f t="shared" si="3"/>
      </c>
      <c r="N33" s="546">
        <f t="shared" si="4"/>
      </c>
      <c r="O33" s="628">
        <f t="shared" si="5"/>
        <v>20</v>
      </c>
      <c r="P33" s="629" t="str">
        <f t="shared" si="6"/>
        <v>--</v>
      </c>
      <c r="Q33" s="630" t="str">
        <f t="shared" si="7"/>
        <v>--</v>
      </c>
      <c r="R33" s="631" t="str">
        <f t="shared" si="8"/>
        <v>--</v>
      </c>
      <c r="S33" s="632" t="str">
        <f t="shared" si="9"/>
        <v>--</v>
      </c>
      <c r="T33" s="633">
        <f t="shared" si="10"/>
      </c>
      <c r="U33" s="435">
        <f t="shared" si="11"/>
        <v>0</v>
      </c>
      <c r="V33" s="53">
        <f t="shared" si="12"/>
      </c>
      <c r="W33" s="100"/>
    </row>
    <row r="34" spans="2:23" s="16" customFormat="1" ht="16.5" customHeight="1">
      <c r="B34" s="96"/>
      <c r="C34" s="524"/>
      <c r="D34" s="626"/>
      <c r="E34" s="626"/>
      <c r="F34" s="626"/>
      <c r="G34" s="496">
        <f t="shared" si="0"/>
        <v>0</v>
      </c>
      <c r="H34" s="612"/>
      <c r="I34" s="542"/>
      <c r="J34" s="51">
        <f t="shared" si="1"/>
      </c>
      <c r="K34" s="25">
        <f t="shared" si="2"/>
      </c>
      <c r="L34" s="544"/>
      <c r="M34" s="573">
        <f t="shared" si="3"/>
      </c>
      <c r="N34" s="546">
        <f t="shared" si="4"/>
      </c>
      <c r="O34" s="628">
        <f t="shared" si="5"/>
        <v>20</v>
      </c>
      <c r="P34" s="629" t="str">
        <f t="shared" si="6"/>
        <v>--</v>
      </c>
      <c r="Q34" s="630" t="str">
        <f t="shared" si="7"/>
        <v>--</v>
      </c>
      <c r="R34" s="631" t="str">
        <f t="shared" si="8"/>
        <v>--</v>
      </c>
      <c r="S34" s="632" t="str">
        <f t="shared" si="9"/>
        <v>--</v>
      </c>
      <c r="T34" s="633">
        <f t="shared" si="10"/>
      </c>
      <c r="U34" s="435">
        <f t="shared" si="11"/>
        <v>0</v>
      </c>
      <c r="V34" s="53">
        <f t="shared" si="12"/>
      </c>
      <c r="W34" s="100"/>
    </row>
    <row r="35" spans="2:23" s="16" customFormat="1" ht="16.5" customHeight="1">
      <c r="B35" s="96"/>
      <c r="C35" s="524"/>
      <c r="D35" s="626"/>
      <c r="E35" s="626"/>
      <c r="F35" s="626"/>
      <c r="G35" s="496">
        <f t="shared" si="0"/>
        <v>0</v>
      </c>
      <c r="H35" s="612"/>
      <c r="I35" s="542"/>
      <c r="J35" s="51">
        <f t="shared" si="1"/>
      </c>
      <c r="K35" s="25">
        <f t="shared" si="2"/>
      </c>
      <c r="L35" s="544"/>
      <c r="M35" s="573">
        <f t="shared" si="3"/>
      </c>
      <c r="N35" s="546">
        <f t="shared" si="4"/>
      </c>
      <c r="O35" s="628">
        <f t="shared" si="5"/>
        <v>20</v>
      </c>
      <c r="P35" s="629" t="str">
        <f t="shared" si="6"/>
        <v>--</v>
      </c>
      <c r="Q35" s="630" t="str">
        <f t="shared" si="7"/>
        <v>--</v>
      </c>
      <c r="R35" s="631" t="str">
        <f t="shared" si="8"/>
        <v>--</v>
      </c>
      <c r="S35" s="632" t="str">
        <f t="shared" si="9"/>
        <v>--</v>
      </c>
      <c r="T35" s="633">
        <f t="shared" si="10"/>
      </c>
      <c r="U35" s="435">
        <f t="shared" si="11"/>
        <v>0</v>
      </c>
      <c r="V35" s="53">
        <f t="shared" si="12"/>
      </c>
      <c r="W35" s="100"/>
    </row>
    <row r="36" spans="2:23" s="16" customFormat="1" ht="16.5" customHeight="1">
      <c r="B36" s="96"/>
      <c r="C36" s="524"/>
      <c r="D36" s="626"/>
      <c r="E36" s="626"/>
      <c r="F36" s="626"/>
      <c r="G36" s="496">
        <f t="shared" si="0"/>
        <v>0</v>
      </c>
      <c r="H36" s="612"/>
      <c r="I36" s="542"/>
      <c r="J36" s="51">
        <f t="shared" si="1"/>
      </c>
      <c r="K36" s="25">
        <f t="shared" si="2"/>
      </c>
      <c r="L36" s="544"/>
      <c r="M36" s="573">
        <f t="shared" si="3"/>
      </c>
      <c r="N36" s="546">
        <f t="shared" si="4"/>
      </c>
      <c r="O36" s="628">
        <f t="shared" si="5"/>
        <v>20</v>
      </c>
      <c r="P36" s="629" t="str">
        <f t="shared" si="6"/>
        <v>--</v>
      </c>
      <c r="Q36" s="630" t="str">
        <f t="shared" si="7"/>
        <v>--</v>
      </c>
      <c r="R36" s="631" t="str">
        <f t="shared" si="8"/>
        <v>--</v>
      </c>
      <c r="S36" s="632" t="str">
        <f t="shared" si="9"/>
        <v>--</v>
      </c>
      <c r="T36" s="633">
        <f t="shared" si="10"/>
      </c>
      <c r="U36" s="435">
        <f t="shared" si="11"/>
        <v>0</v>
      </c>
      <c r="V36" s="53">
        <f t="shared" si="12"/>
      </c>
      <c r="W36" s="100"/>
    </row>
    <row r="37" spans="2:23" s="16" customFormat="1" ht="16.5" customHeight="1">
      <c r="B37" s="96"/>
      <c r="C37" s="524"/>
      <c r="D37" s="626"/>
      <c r="E37" s="626"/>
      <c r="F37" s="626"/>
      <c r="G37" s="496">
        <f t="shared" si="0"/>
        <v>0</v>
      </c>
      <c r="H37" s="612"/>
      <c r="I37" s="542"/>
      <c r="J37" s="51">
        <f t="shared" si="1"/>
      </c>
      <c r="K37" s="25">
        <f t="shared" si="2"/>
      </c>
      <c r="L37" s="544"/>
      <c r="M37" s="573">
        <f t="shared" si="3"/>
      </c>
      <c r="N37" s="546">
        <f t="shared" si="4"/>
      </c>
      <c r="O37" s="628">
        <f t="shared" si="5"/>
        <v>20</v>
      </c>
      <c r="P37" s="629" t="str">
        <f t="shared" si="6"/>
        <v>--</v>
      </c>
      <c r="Q37" s="630" t="str">
        <f t="shared" si="7"/>
        <v>--</v>
      </c>
      <c r="R37" s="631" t="str">
        <f t="shared" si="8"/>
        <v>--</v>
      </c>
      <c r="S37" s="632" t="str">
        <f t="shared" si="9"/>
        <v>--</v>
      </c>
      <c r="T37" s="633">
        <f t="shared" si="10"/>
      </c>
      <c r="U37" s="435">
        <f t="shared" si="11"/>
        <v>0</v>
      </c>
      <c r="V37" s="53">
        <f t="shared" si="12"/>
      </c>
      <c r="W37" s="100"/>
    </row>
    <row r="38" spans="2:23" s="16" customFormat="1" ht="16.5" customHeight="1">
      <c r="B38" s="96"/>
      <c r="C38" s="524"/>
      <c r="D38" s="626"/>
      <c r="E38" s="626"/>
      <c r="F38" s="626"/>
      <c r="G38" s="496">
        <f t="shared" si="0"/>
        <v>0</v>
      </c>
      <c r="H38" s="612"/>
      <c r="I38" s="542"/>
      <c r="J38" s="51">
        <f t="shared" si="1"/>
      </c>
      <c r="K38" s="25">
        <f t="shared" si="2"/>
      </c>
      <c r="L38" s="544"/>
      <c r="M38" s="573">
        <f t="shared" si="3"/>
      </c>
      <c r="N38" s="546">
        <f t="shared" si="4"/>
      </c>
      <c r="O38" s="628">
        <f t="shared" si="5"/>
        <v>20</v>
      </c>
      <c r="P38" s="629" t="str">
        <f t="shared" si="6"/>
        <v>--</v>
      </c>
      <c r="Q38" s="630" t="str">
        <f t="shared" si="7"/>
        <v>--</v>
      </c>
      <c r="R38" s="631" t="str">
        <f t="shared" si="8"/>
        <v>--</v>
      </c>
      <c r="S38" s="632" t="str">
        <f t="shared" si="9"/>
        <v>--</v>
      </c>
      <c r="T38" s="633">
        <f t="shared" si="10"/>
      </c>
      <c r="U38" s="435">
        <f t="shared" si="11"/>
        <v>0</v>
      </c>
      <c r="V38" s="53">
        <f t="shared" si="12"/>
      </c>
      <c r="W38" s="100"/>
    </row>
    <row r="39" spans="2:23" s="16" customFormat="1" ht="16.5" customHeight="1">
      <c r="B39" s="96"/>
      <c r="C39" s="524"/>
      <c r="D39" s="626"/>
      <c r="E39" s="626"/>
      <c r="F39" s="626"/>
      <c r="G39" s="496">
        <f t="shared" si="0"/>
        <v>0</v>
      </c>
      <c r="H39" s="612"/>
      <c r="I39" s="542"/>
      <c r="J39" s="51">
        <f t="shared" si="1"/>
      </c>
      <c r="K39" s="25">
        <f t="shared" si="2"/>
      </c>
      <c r="L39" s="544"/>
      <c r="M39" s="573">
        <f t="shared" si="3"/>
      </c>
      <c r="N39" s="546">
        <f t="shared" si="4"/>
      </c>
      <c r="O39" s="628">
        <f t="shared" si="5"/>
        <v>20</v>
      </c>
      <c r="P39" s="629" t="str">
        <f t="shared" si="6"/>
        <v>--</v>
      </c>
      <c r="Q39" s="630" t="str">
        <f t="shared" si="7"/>
        <v>--</v>
      </c>
      <c r="R39" s="631" t="str">
        <f t="shared" si="8"/>
        <v>--</v>
      </c>
      <c r="S39" s="632" t="str">
        <f t="shared" si="9"/>
        <v>--</v>
      </c>
      <c r="T39" s="633">
        <f t="shared" si="10"/>
      </c>
      <c r="U39" s="435">
        <f t="shared" si="11"/>
        <v>0</v>
      </c>
      <c r="V39" s="53">
        <f t="shared" si="12"/>
      </c>
      <c r="W39" s="100"/>
    </row>
    <row r="40" spans="2:23" s="16" customFormat="1" ht="16.5" customHeight="1">
      <c r="B40" s="96"/>
      <c r="C40" s="524"/>
      <c r="D40" s="626"/>
      <c r="E40" s="626"/>
      <c r="F40" s="626"/>
      <c r="G40" s="496">
        <f t="shared" si="0"/>
        <v>0</v>
      </c>
      <c r="H40" s="612"/>
      <c r="I40" s="542"/>
      <c r="J40" s="51">
        <f t="shared" si="1"/>
      </c>
      <c r="K40" s="25">
        <f t="shared" si="2"/>
      </c>
      <c r="L40" s="544"/>
      <c r="M40" s="573">
        <f t="shared" si="3"/>
      </c>
      <c r="N40" s="546">
        <f t="shared" si="4"/>
      </c>
      <c r="O40" s="628">
        <f t="shared" si="5"/>
        <v>20</v>
      </c>
      <c r="P40" s="629" t="str">
        <f t="shared" si="6"/>
        <v>--</v>
      </c>
      <c r="Q40" s="630" t="str">
        <f t="shared" si="7"/>
        <v>--</v>
      </c>
      <c r="R40" s="631" t="str">
        <f t="shared" si="8"/>
        <v>--</v>
      </c>
      <c r="S40" s="632" t="str">
        <f t="shared" si="9"/>
        <v>--</v>
      </c>
      <c r="T40" s="633">
        <f t="shared" si="10"/>
      </c>
      <c r="U40" s="435">
        <f t="shared" si="11"/>
        <v>0</v>
      </c>
      <c r="V40" s="53">
        <f t="shared" si="12"/>
      </c>
      <c r="W40" s="100"/>
    </row>
    <row r="41" spans="2:23" s="16" customFormat="1" ht="16.5" customHeight="1">
      <c r="B41" s="96"/>
      <c r="C41" s="524"/>
      <c r="D41" s="626"/>
      <c r="E41" s="626"/>
      <c r="F41" s="626"/>
      <c r="G41" s="496">
        <f>F41*$F$17</f>
        <v>0</v>
      </c>
      <c r="H41" s="612"/>
      <c r="I41" s="542"/>
      <c r="J41" s="51">
        <f>IF(D41="","",(I41-H41)*24)</f>
      </c>
      <c r="K41" s="25">
        <f>IF(D41="","",ROUND((I41-H41)*24*60,0))</f>
      </c>
      <c r="L41" s="544"/>
      <c r="M41" s="573">
        <f>IF(D41="","","--")</f>
      </c>
      <c r="N41" s="546">
        <f>IF(D41="","",IF(L41="P","--","NO"))</f>
      </c>
      <c r="O41" s="628">
        <f>IF(L41="P",$F$18*0.1,$F$18)</f>
        <v>20</v>
      </c>
      <c r="P41" s="629" t="str">
        <f>IF(L41="P",G41*O41*ROUND(K41/60,2),"--")</f>
        <v>--</v>
      </c>
      <c r="Q41" s="630" t="str">
        <f>IF(AND(L41="F",N41="NO"),G41*O41,"--")</f>
        <v>--</v>
      </c>
      <c r="R41" s="631" t="str">
        <f>IF(L41="F",G41*O41*ROUND(K41/60,2),"--")</f>
        <v>--</v>
      </c>
      <c r="S41" s="632" t="str">
        <f>IF(L41="RF",G41*O41*ROUND(K41/60,2),"--")</f>
        <v>--</v>
      </c>
      <c r="T41" s="633">
        <f>IF(D41="","","SI")</f>
      </c>
      <c r="U41" s="435">
        <f>SUM(P41:S41)*IF(T41="SI",1,2)</f>
        <v>0</v>
      </c>
      <c r="V41" s="53">
        <f>IF(D41="","",U41*$I$18)</f>
      </c>
      <c r="W41" s="100"/>
    </row>
    <row r="42" spans="2:23" s="16" customFormat="1" ht="16.5" customHeight="1">
      <c r="B42" s="96"/>
      <c r="C42" s="524"/>
      <c r="D42" s="626"/>
      <c r="E42" s="626"/>
      <c r="F42" s="626"/>
      <c r="G42" s="496">
        <f>F42*$F$17</f>
        <v>0</v>
      </c>
      <c r="H42" s="612"/>
      <c r="I42" s="542"/>
      <c r="J42" s="51">
        <f>IF(D42="","",(I42-H42)*24)</f>
      </c>
      <c r="K42" s="25">
        <f>IF(D42="","",ROUND((I42-H42)*24*60,0))</f>
      </c>
      <c r="L42" s="544"/>
      <c r="M42" s="573">
        <f>IF(D42="","","--")</f>
      </c>
      <c r="N42" s="546">
        <f>IF(D42="","",IF(L42="P","--","NO"))</f>
      </c>
      <c r="O42" s="628">
        <f>IF(L42="P",$F$18*0.1,$F$18)</f>
        <v>20</v>
      </c>
      <c r="P42" s="629" t="str">
        <f>IF(L42="P",G42*O42*ROUND(K42/60,2),"--")</f>
        <v>--</v>
      </c>
      <c r="Q42" s="630" t="str">
        <f>IF(AND(L42="F",N42="NO"),G42*O42,"--")</f>
        <v>--</v>
      </c>
      <c r="R42" s="631" t="str">
        <f>IF(L42="F",G42*O42*ROUND(K42/60,2),"--")</f>
        <v>--</v>
      </c>
      <c r="S42" s="632" t="str">
        <f>IF(L42="RF",G42*O42*ROUND(K42/60,2),"--")</f>
        <v>--</v>
      </c>
      <c r="T42" s="633">
        <f>IF(D42="","","SI")</f>
      </c>
      <c r="U42" s="435">
        <f>SUM(P42:S42)*IF(T42="SI",1,2)</f>
        <v>0</v>
      </c>
      <c r="V42" s="53">
        <f>IF(D42="","",U42*$I$18)</f>
      </c>
      <c r="W42" s="100"/>
    </row>
    <row r="43" spans="2:23" s="16" customFormat="1" ht="16.5" customHeight="1">
      <c r="B43" s="96"/>
      <c r="C43" s="524"/>
      <c r="D43" s="626"/>
      <c r="E43" s="626"/>
      <c r="F43" s="626"/>
      <c r="G43" s="496">
        <f>F43*$F$17</f>
        <v>0</v>
      </c>
      <c r="H43" s="612"/>
      <c r="I43" s="542"/>
      <c r="J43" s="51">
        <f>IF(D43="","",(I43-H43)*24)</f>
      </c>
      <c r="K43" s="25">
        <f>IF(D43="","",ROUND((I43-H43)*24*60,0))</f>
      </c>
      <c r="L43" s="544"/>
      <c r="M43" s="573">
        <f>IF(D43="","","--")</f>
      </c>
      <c r="N43" s="546">
        <f>IF(D43="","",IF(L43="P","--","NO"))</f>
      </c>
      <c r="O43" s="628">
        <f>IF(L43="P",$F$18*0.1,$F$18)</f>
        <v>20</v>
      </c>
      <c r="P43" s="629" t="str">
        <f>IF(L43="P",G43*O43*ROUND(K43/60,2),"--")</f>
        <v>--</v>
      </c>
      <c r="Q43" s="630" t="str">
        <f>IF(AND(L43="F",N43="NO"),G43*O43,"--")</f>
        <v>--</v>
      </c>
      <c r="R43" s="631" t="str">
        <f>IF(L43="F",G43*O43*ROUND(K43/60,2),"--")</f>
        <v>--</v>
      </c>
      <c r="S43" s="632" t="str">
        <f>IF(L43="RF",G43*O43*ROUND(K43/60,2),"--")</f>
        <v>--</v>
      </c>
      <c r="T43" s="633">
        <f>IF(D43="","","SI")</f>
      </c>
      <c r="U43" s="435">
        <f>SUM(P43:S43)*IF(T43="SI",1,2)</f>
        <v>0</v>
      </c>
      <c r="V43" s="53">
        <f>IF(D43="","",U43*$I$18)</f>
      </c>
      <c r="W43" s="100"/>
    </row>
    <row r="44" spans="2:23" s="16" customFormat="1" ht="16.5" customHeight="1" thickBot="1">
      <c r="B44" s="96"/>
      <c r="C44" s="533"/>
      <c r="D44" s="627"/>
      <c r="E44" s="627"/>
      <c r="F44" s="627"/>
      <c r="G44" s="301"/>
      <c r="H44" s="614"/>
      <c r="I44" s="614"/>
      <c r="J44" s="54"/>
      <c r="K44" s="54"/>
      <c r="L44" s="614"/>
      <c r="M44" s="558"/>
      <c r="N44" s="543"/>
      <c r="O44" s="634"/>
      <c r="P44" s="635"/>
      <c r="Q44" s="636"/>
      <c r="R44" s="637"/>
      <c r="S44" s="638"/>
      <c r="T44" s="639"/>
      <c r="U44" s="416"/>
      <c r="V44" s="231"/>
      <c r="W44" s="100"/>
    </row>
    <row r="45" spans="2:23" s="16" customFormat="1" ht="16.5" customHeight="1" thickBot="1" thickTop="1">
      <c r="B45" s="96"/>
      <c r="C45" s="236" t="s">
        <v>57</v>
      </c>
      <c r="D45" s="237" t="s">
        <v>58</v>
      </c>
      <c r="G45" s="14"/>
      <c r="H45" s="14"/>
      <c r="I45" s="14"/>
      <c r="J45" s="14"/>
      <c r="K45" s="14"/>
      <c r="L45" s="14"/>
      <c r="M45" s="14"/>
      <c r="N45" s="14"/>
      <c r="O45" s="14"/>
      <c r="P45" s="421">
        <f>SUM(P22:P44)</f>
        <v>78.16319999999999</v>
      </c>
      <c r="Q45" s="428">
        <f>SUM(Q22:Q44)</f>
        <v>0</v>
      </c>
      <c r="R45" s="429">
        <f>SUM(R22:R44)</f>
        <v>0</v>
      </c>
      <c r="S45" s="433">
        <f>SUM(S22:S44)</f>
        <v>0</v>
      </c>
      <c r="U45" s="436">
        <f>ROUND(SUM(U22:U44),2)</f>
        <v>78.16</v>
      </c>
      <c r="V45" s="67">
        <f>ROUND(SUM(V22:V44),2)</f>
        <v>78.16</v>
      </c>
      <c r="W45" s="206"/>
    </row>
    <row r="46" spans="2:23" s="241" customFormat="1" ht="9.75" thickTop="1">
      <c r="B46" s="242"/>
      <c r="C46" s="238"/>
      <c r="D46" s="240" t="s">
        <v>59</v>
      </c>
      <c r="G46" s="258"/>
      <c r="H46" s="258"/>
      <c r="I46" s="258"/>
      <c r="J46" s="258"/>
      <c r="K46" s="258"/>
      <c r="L46" s="258"/>
      <c r="M46" s="258"/>
      <c r="N46" s="258"/>
      <c r="O46" s="258"/>
      <c r="P46" s="256"/>
      <c r="Q46" s="256"/>
      <c r="R46" s="256"/>
      <c r="S46" s="256"/>
      <c r="V46" s="259"/>
      <c r="W46" s="260"/>
    </row>
    <row r="47" spans="2:23" s="16" customFormat="1" ht="16.5" customHeight="1" thickBot="1"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4"/>
    </row>
    <row r="48" spans="4:25" ht="16.5" customHeight="1" thickTop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4:25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4:25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4:25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4:25" ht="16.5" customHeight="1">
      <c r="D52" s="6"/>
      <c r="E52" s="6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4:25" ht="16.5" customHeight="1">
      <c r="D53" s="6"/>
      <c r="E53" s="6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4:25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4:25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4:25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4:25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4:25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4:25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4:25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4:25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4:25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4:25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4:25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4:25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4:25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4:25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4:25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4:25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4:25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4:25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4:25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4:25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4:25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4:25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4:25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4:25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4:25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4:25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4:25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4:25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4:25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4:25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4:25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4:25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4:25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4:25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4:25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4:25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4:25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4:25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4:25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4:25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4:25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4:25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4:25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4:25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4:25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4:25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4:25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4:25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4:25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4:25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4:25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4:25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4:25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4:25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4:25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4:25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4:25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4:25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4:25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4:25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4:25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4:25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4:25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4:25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4:25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4:25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4:25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4:25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4:25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4:25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4:25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4:25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4:25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4:25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4:25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4:25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4:25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4:25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4:25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4:25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4:25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4:25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4:25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4:25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4:25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4:25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4:25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4:25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4:25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4:25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4:25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4:25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4:25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4:25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4:25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4:25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4:25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4:25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4:25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4:25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4:25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4:25" ht="16.5" customHeight="1">
      <c r="D155" s="5"/>
      <c r="E155" s="5"/>
      <c r="F155" s="5"/>
      <c r="X155" s="5"/>
      <c r="Y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spans="4:6" ht="16.5" customHeight="1">
      <c r="D159" s="5"/>
      <c r="E159" s="5"/>
      <c r="F159" s="5"/>
    </row>
    <row r="160" spans="4:6" ht="16.5" customHeight="1">
      <c r="D160" s="5"/>
      <c r="E160" s="5"/>
      <c r="F160" s="5"/>
    </row>
    <row r="161" ht="16.5" customHeight="1"/>
    <row r="162" ht="16.5" customHeight="1"/>
    <row r="163" ht="16.5" customHeight="1"/>
    <row r="164" ht="16.5" customHeight="1"/>
  </sheetData>
  <mergeCells count="1">
    <mergeCell ref="J16:N1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2006-04-12T15:18:28Z</cp:lastPrinted>
  <dcterms:created xsi:type="dcterms:W3CDTF">1998-04-21T14:28:46Z</dcterms:created>
  <dcterms:modified xsi:type="dcterms:W3CDTF">2006-06-23T18:24:25Z</dcterms:modified>
  <cp:category/>
  <cp:version/>
  <cp:contentType/>
  <cp:contentStatus/>
</cp:coreProperties>
</file>