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82" activeTab="0"/>
  </bookViews>
  <sheets>
    <sheet name="tot-0202" sheetId="1" r:id="rId1"/>
    <sheet name="LI-0202" sheetId="2" r:id="rId2"/>
    <sheet name="Incendios Campo" sheetId="3" r:id="rId3"/>
    <sheet name="SA-0202" sheetId="4" r:id="rId4"/>
    <sheet name="SALIDA-TIBA" sheetId="5" r:id="rId5"/>
    <sheet name="SALIDA-CTM" sheetId="6" r:id="rId6"/>
    <sheet name="RE-0202" sheetId="7" r:id="rId7"/>
    <sheet name="SU (TIBA)" sheetId="8" r:id="rId8"/>
    <sheet name="SU (CTM)" sheetId="9" r:id="rId9"/>
    <sheet name="TRANSENER" sheetId="10" r:id="rId10"/>
  </sheets>
  <externalReferences>
    <externalReference r:id="rId13"/>
  </externalReferences>
  <definedNames>
    <definedName name="_xlnm.Print_Area" localSheetId="2">'Incendios Campo'!$A$1:$AD$44</definedName>
    <definedName name="_xlnm.Print_Area" localSheetId="1">'LI-0202'!$A$1:$AD$44</definedName>
    <definedName name="_xlnm.Print_Area" localSheetId="6">'RE-0202'!$A$1:$V$45</definedName>
    <definedName name="_xlnm.Print_Area" localSheetId="3">'SA-0202'!$A$1:$U$46</definedName>
    <definedName name="_xlnm.Print_Area" localSheetId="5">'SALIDA-CTM'!$A$1:$U$46</definedName>
    <definedName name="_xlnm.Print_Area" localSheetId="4">'SALIDA-TIBA'!$A$1:$U$45</definedName>
    <definedName name="_xlnm.Print_Area" localSheetId="8">'SU (CTM)'!$A$1:$W$53</definedName>
    <definedName name="_xlnm.Print_Area" localSheetId="7">'SU (TIBA)'!$A$1:$W$71</definedName>
    <definedName name="_xlnm.Print_Area" localSheetId="0">'tot-0202'!$A$1:$K$38</definedName>
    <definedName name="_xlnm.Print_Area" localSheetId="9">'TRANSENER'!$A$1:$U$99</definedName>
    <definedName name="INICIO" localSheetId="2">'Incendios Campo'!INICIO</definedName>
    <definedName name="INICIO" localSheetId="1">'LI-0202'!INICIO</definedName>
    <definedName name="INICIO" localSheetId="6">'RE-0202'!INICIO</definedName>
    <definedName name="INICIO" localSheetId="3">'SA-0202'!INICIO</definedName>
    <definedName name="INICIO" localSheetId="5">'SALIDA-CTM'!INICIO</definedName>
    <definedName name="INICIO" localSheetId="8">'SU (CTM)'!INICIO</definedName>
    <definedName name="INICIO" localSheetId="9">'TRANSENER'!INICIO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<sst xmlns="http://schemas.openxmlformats.org/spreadsheetml/2006/main" count="525" uniqueCount="192">
  <si>
    <t>SISTEMA DE TRANSPORTE DE ENERGÍA ELÉCTRICA EN ALTA TENSIÓN</t>
  </si>
  <si>
    <t>TRANSENER S.A.</t>
  </si>
  <si>
    <t>C</t>
  </si>
  <si>
    <t>CHOCON - C.H. CHOCON 3</t>
  </si>
  <si>
    <t>A</t>
  </si>
  <si>
    <t>EZEIZA - ABASTO 1</t>
  </si>
  <si>
    <t>RAMALLO - SAN NICOLAS 1</t>
  </si>
  <si>
    <t>ROSARIO OESTE - RAMALLO  1</t>
  </si>
  <si>
    <t>SALTO GRANDE - SANTO TOME</t>
  </si>
  <si>
    <t>ALICURA</t>
  </si>
  <si>
    <t>ALMAFUERTE</t>
  </si>
  <si>
    <t>CHOELE CHOEL</t>
  </si>
  <si>
    <t>GRAN MENDOZA</t>
  </si>
  <si>
    <t>RECREO</t>
  </si>
  <si>
    <t>RESISTENCIA</t>
  </si>
  <si>
    <t>ROSARIO OESTE</t>
  </si>
  <si>
    <t>SANTO TOME</t>
  </si>
  <si>
    <t>RINCÓN</t>
  </si>
  <si>
    <t>SALIDA LINEA A SAN M. DE LOS ANDES</t>
  </si>
  <si>
    <t>SALIDA TRAFO MAQ. 2</t>
  </si>
  <si>
    <t>SALIDA LINEA REOLIN 2</t>
  </si>
  <si>
    <t xml:space="preserve"> SALIDA LINEA TANCACHA</t>
  </si>
  <si>
    <t>GRAL. RODRIGUEZ</t>
  </si>
  <si>
    <t>SALIDA TRAFO 2 500/220</t>
  </si>
  <si>
    <t>SALIDA TRAFO 3 500/220</t>
  </si>
  <si>
    <t>SALIDA LINEA LOS REYUNOS</t>
  </si>
  <si>
    <t>OLAVARRIA</t>
  </si>
  <si>
    <t>SALIDA LINEA CORRIENTES 1</t>
  </si>
  <si>
    <t>SALIDA LINEA CASILDA</t>
  </si>
  <si>
    <t>EQUIPO</t>
  </si>
  <si>
    <t>BAHIA BLANCA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</si>
  <si>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</si>
  <si>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</si>
  <si>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</si>
  <si>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</si>
  <si>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</si>
  <si>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</si>
  <si>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</si>
  <si>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</si>
  <si>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Transportista Independiente TIBA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</si>
  <si>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</si>
  <si>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</si>
  <si>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</si>
  <si>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</si>
  <si>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</si>
  <si>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</si>
  <si>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</si>
  <si>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</si>
  <si>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</si>
  <si>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</si>
  <si>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</si>
  <si>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</si>
  <si>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</si>
  <si>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</si>
  <si>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</si>
  <si>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</si>
  <si>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</si>
  <si>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</si>
  <si>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</si>
  <si>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</si>
  <si>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</si>
  <si>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</si>
  <si>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</si>
  <si>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</si>
  <si>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</si>
  <si>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</si>
  <si>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</si>
  <si>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</si>
  <si>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</si>
  <si>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</si>
  <si>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</si>
  <si>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</si>
  <si>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</si>
  <si>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</si>
  <si>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</si>
  <si>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</si>
  <si>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</si>
  <si>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PENALIZAC.
PROGRAM.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</si>
  <si>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</si>
  <si>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</si>
  <si>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</si>
  <si>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</si>
  <si>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</si>
  <si>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</si>
  <si>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</si>
  <si>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</si>
  <si>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</si>
  <si>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</si>
  <si>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</si>
  <si>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</si>
  <si>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</si>
  <si>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</si>
  <si>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</si>
  <si>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</si>
  <si>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</si>
  <si>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</si>
  <si>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</si>
  <si>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</si>
  <si>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</si>
  <si>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</si>
  <si>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</si>
  <si>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</si>
  <si>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</si>
  <si>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</si>
  <si>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</si>
  <si>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</si>
  <si>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</si>
  <si>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</si>
  <si>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</si>
  <si>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</si>
  <si>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</si>
  <si>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</si>
  <si>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</si>
  <si>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</si>
  <si>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</si>
  <si>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U [kV]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</si>
  <si>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</si>
  <si>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</si>
  <si>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</si>
  <si>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</si>
  <si>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e)</t>
  </si>
  <si>
    <t>SANCIÓN</t>
  </si>
  <si>
    <t>Sanción calculada</t>
  </si>
  <si>
    <t>SANCIÓN =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</si>
  <si>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</si>
  <si>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</si>
  <si>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</si>
  <si>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</si>
  <si>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</si>
  <si>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</si>
  <si>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</si>
  <si>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</si>
  <si>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</si>
  <si>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</si>
  <si>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</si>
  <si>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</si>
  <si>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SALIDA LINEA ESPERANZA</t>
  </si>
  <si>
    <t>R2L5CL</t>
  </si>
  <si>
    <t>R1L5RM</t>
  </si>
  <si>
    <t xml:space="preserve">Salida en 500 kV en $/h </t>
  </si>
  <si>
    <t>Salida en 132 kV en $/h</t>
  </si>
  <si>
    <t>TOTAL A PENALIZAR A TRANSENER S.A POR SUPERVISIÓN A T.I.B.A.</t>
  </si>
  <si>
    <t>BAHIA BLANCA - CHOELE CHOEL 1</t>
  </si>
  <si>
    <t>SALIDA A CONVERSORA GARABÍ</t>
  </si>
  <si>
    <t>ALIMENTADOR A FRIAS</t>
  </si>
  <si>
    <t>ALIMENTADOR A CATAMARCA</t>
  </si>
  <si>
    <t>F</t>
  </si>
  <si>
    <t>Valores remuneratorios según Res. ENRE N° 618/01 - 544/01 - 533/01</t>
  </si>
  <si>
    <t>SALIDA LOMA NEGRA</t>
  </si>
  <si>
    <t>I</t>
  </si>
  <si>
    <t>II</t>
  </si>
  <si>
    <t>IV</t>
  </si>
  <si>
    <t>VI</t>
  </si>
  <si>
    <t>SALIDA a OLAVARRIA</t>
  </si>
  <si>
    <t>VII</t>
  </si>
  <si>
    <t>SALIDA a PRINGLES</t>
  </si>
  <si>
    <t>IX</t>
  </si>
  <si>
    <t>III</t>
  </si>
  <si>
    <t>V</t>
  </si>
  <si>
    <t>VIII</t>
  </si>
  <si>
    <t>X</t>
  </si>
  <si>
    <t>XI</t>
  </si>
  <si>
    <t>XII</t>
  </si>
  <si>
    <t>P</t>
  </si>
  <si>
    <t>SI</t>
  </si>
  <si>
    <t>Desde el 01 al 28 de febrero de 2002</t>
  </si>
  <si>
    <t>RF</t>
  </si>
  <si>
    <t>4.1.- Transportista Independiente  T.I.B.A.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</si>
  <si>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</si>
  <si>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</si>
  <si>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</si>
  <si>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</si>
  <si>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</si>
  <si>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</si>
  <si>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</si>
  <si>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</si>
  <si>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</si>
  <si>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TOTAL DE PENALIZACIONES A APLICAR</t>
  </si>
  <si>
    <t>Transportista Independiente CTM S.A.</t>
  </si>
  <si>
    <t>Rincon</t>
  </si>
  <si>
    <t>TOTAL A PENALIZAR A TRANSENER S.A POR SUPERVISIÓN A C.T.M.</t>
  </si>
  <si>
    <t>4.2.- Transportista Independiente CTM S.A.</t>
  </si>
  <si>
    <t>SANCIÓN al T.I.</t>
  </si>
  <si>
    <t>SALIDAS</t>
  </si>
  <si>
    <t>Transportista Independiente CTM</t>
  </si>
  <si>
    <t>SEGÚN 2.2.3.</t>
  </si>
  <si>
    <t>Correspondiente al mes de febrero de 2002</t>
  </si>
  <si>
    <t>1.1.1 - Indisponibilidades de LAT causadas por incendios de campo. Resolución ENRE 683/01</t>
  </si>
  <si>
    <t>*</t>
  </si>
  <si>
    <t>Fuerza mayor por incendios de campo (quema de monte)</t>
  </si>
  <si>
    <t>Incendio de Campos</t>
  </si>
  <si>
    <t>ANEXO I a la Resolución ENRE N° 090/2003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</si>
</sst>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10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0"/>
    </font>
    <font>
      <b/>
      <u val="single"/>
      <sz val="1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0"/>
    </font>
    <font>
      <b/>
      <sz val="12"/>
      <color indexed="34"/>
      <name val="Times New Roman"/>
      <family val="0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lightGray"/>
    </fill>
  </fills>
  <borders count="69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172" fontId="4" fillId="0" borderId="4" xfId="0" applyNumberFormat="1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2" fontId="4" fillId="0" borderId="11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5" xfId="0" applyNumberFormat="1" applyFont="1" applyBorder="1" applyAlignment="1">
      <alignment horizontal="center"/>
    </xf>
    <xf numFmtId="22" fontId="4" fillId="0" borderId="14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16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4" fillId="0" borderId="0" xfId="0" applyFont="1" applyFill="1" applyBorder="1" applyAlignment="1" applyProtection="1">
      <alignment horizontal="centerContinuous"/>
      <protection/>
    </xf>
    <xf numFmtId="0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1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3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7" fontId="30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7" fontId="13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/>
    </xf>
    <xf numFmtId="0" fontId="28" fillId="0" borderId="25" xfId="0" applyNumberFormat="1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7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0" fillId="0" borderId="22" xfId="0" applyFont="1" applyBorder="1" applyAlignment="1" applyProtection="1">
      <alignment horizontal="center"/>
      <protection/>
    </xf>
    <xf numFmtId="0" fontId="32" fillId="0" borderId="28" xfId="0" applyFont="1" applyBorder="1" applyAlignment="1">
      <alignment horizontal="center" vertical="center"/>
    </xf>
    <xf numFmtId="176" fontId="32" fillId="0" borderId="28" xfId="0" applyNumberFormat="1" applyFont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5" fillId="0" borderId="0" xfId="0" applyFont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  <protection/>
    </xf>
    <xf numFmtId="0" fontId="32" fillId="0" borderId="28" xfId="0" applyFont="1" applyFill="1" applyBorder="1" applyAlignment="1" applyProtection="1">
      <alignment horizontal="center" vertical="center" wrapText="1"/>
      <protection/>
    </xf>
    <xf numFmtId="0" fontId="32" fillId="0" borderId="28" xfId="0" applyFont="1" applyFill="1" applyBorder="1" applyAlignment="1" applyProtection="1" quotePrefix="1">
      <alignment horizontal="center" vertical="center" wrapText="1"/>
      <protection/>
    </xf>
    <xf numFmtId="0" fontId="32" fillId="0" borderId="28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31" fillId="0" borderId="20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1" fillId="0" borderId="0" xfId="0" applyFont="1" applyBorder="1" applyAlignment="1" applyProtection="1">
      <alignment horizontal="centerContinuous"/>
      <protection/>
    </xf>
    <xf numFmtId="0" fontId="31" fillId="0" borderId="2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/>
      <protection/>
    </xf>
    <xf numFmtId="0" fontId="32" fillId="0" borderId="29" xfId="0" applyFont="1" applyBorder="1" applyAlignment="1">
      <alignment horizontal="center" vertical="center" wrapText="1"/>
    </xf>
    <xf numFmtId="0" fontId="32" fillId="0" borderId="23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3" fillId="0" borderId="6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 applyProtection="1" quotePrefix="1">
      <alignment horizontal="center"/>
      <protection/>
    </xf>
    <xf numFmtId="0" fontId="4" fillId="0" borderId="31" xfId="0" applyFont="1" applyBorder="1" applyAlignment="1">
      <alignment/>
    </xf>
    <xf numFmtId="0" fontId="30" fillId="0" borderId="0" xfId="0" applyFont="1" applyBorder="1" applyAlignment="1">
      <alignment/>
    </xf>
    <xf numFmtId="0" fontId="3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21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 quotePrefix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0" fontId="32" fillId="0" borderId="28" xfId="0" applyFont="1" applyBorder="1" applyAlignment="1" applyProtection="1" quotePrefix="1">
      <alignment horizontal="center" vertical="center" wrapText="1"/>
      <protection/>
    </xf>
    <xf numFmtId="0" fontId="36" fillId="0" borderId="28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39" fillId="0" borderId="35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39" fillId="0" borderId="0" xfId="0" applyFont="1" applyAlignment="1">
      <alignment/>
    </xf>
    <xf numFmtId="0" fontId="39" fillId="0" borderId="20" xfId="0" applyFont="1" applyBorder="1" applyAlignment="1">
      <alignment/>
    </xf>
    <xf numFmtId="172" fontId="42" fillId="0" borderId="0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173" fontId="39" fillId="0" borderId="0" xfId="0" applyNumberFormat="1" applyFont="1" applyBorder="1" applyAlignment="1" applyProtection="1">
      <alignment horizontal="center"/>
      <protection/>
    </xf>
    <xf numFmtId="176" fontId="39" fillId="0" borderId="0" xfId="0" applyNumberFormat="1" applyFont="1" applyBorder="1" applyAlignment="1" applyProtection="1">
      <alignment horizontal="center"/>
      <protection/>
    </xf>
    <xf numFmtId="179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4" fontId="39" fillId="0" borderId="21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0" fontId="39" fillId="0" borderId="0" xfId="0" applyFont="1" applyBorder="1" applyAlignment="1">
      <alignment/>
    </xf>
    <xf numFmtId="7" fontId="44" fillId="0" borderId="0" xfId="0" applyNumberFormat="1" applyFont="1" applyFill="1" applyBorder="1" applyAlignment="1">
      <alignment horizontal="right"/>
    </xf>
    <xf numFmtId="0" fontId="39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46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47" fillId="0" borderId="0" xfId="0" applyFont="1" applyAlignment="1">
      <alignment/>
    </xf>
    <xf numFmtId="173" fontId="28" fillId="0" borderId="0" xfId="0" applyNumberFormat="1" applyFont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 horizontal="left"/>
      <protection/>
    </xf>
    <xf numFmtId="0" fontId="28" fillId="0" borderId="0" xfId="0" applyFont="1" applyBorder="1" applyAlignment="1">
      <alignment horizontal="center"/>
    </xf>
    <xf numFmtId="172" fontId="4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 horizontal="center"/>
      <protection/>
    </xf>
    <xf numFmtId="179" fontId="28" fillId="0" borderId="0" xfId="0" applyNumberFormat="1" applyFont="1" applyBorder="1" applyAlignment="1" applyProtection="1" quotePrefix="1">
      <alignment horizontal="center"/>
      <protection/>
    </xf>
    <xf numFmtId="0" fontId="28" fillId="0" borderId="20" xfId="0" applyFont="1" applyBorder="1" applyAlignment="1">
      <alignment/>
    </xf>
    <xf numFmtId="2" fontId="50" fillId="0" borderId="0" xfId="0" applyNumberFormat="1" applyFont="1" applyBorder="1" applyAlignment="1" applyProtection="1">
      <alignment horizontal="left"/>
      <protection/>
    </xf>
    <xf numFmtId="176" fontId="50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173" fontId="50" fillId="0" borderId="0" xfId="0" applyNumberFormat="1" applyFont="1" applyBorder="1" applyAlignment="1" applyProtection="1">
      <alignment horizontal="center"/>
      <protection/>
    </xf>
    <xf numFmtId="179" fontId="50" fillId="0" borderId="0" xfId="0" applyNumberFormat="1" applyFont="1" applyBorder="1" applyAlignment="1" applyProtection="1" quotePrefix="1">
      <alignment horizontal="center"/>
      <protection/>
    </xf>
    <xf numFmtId="0" fontId="50" fillId="0" borderId="0" xfId="0" applyFont="1" applyAlignment="1">
      <alignment/>
    </xf>
    <xf numFmtId="2" fontId="50" fillId="0" borderId="0" xfId="0" applyNumberFormat="1" applyFont="1" applyBorder="1" applyAlignment="1" applyProtection="1">
      <alignment horizontal="center"/>
      <protection/>
    </xf>
    <xf numFmtId="176" fontId="50" fillId="0" borderId="0" xfId="0" applyNumberFormat="1" applyFont="1" applyBorder="1" applyAlignment="1" applyProtection="1" quotePrefix="1">
      <alignment horizontal="center"/>
      <protection/>
    </xf>
    <xf numFmtId="4" fontId="50" fillId="0" borderId="0" xfId="0" applyNumberFormat="1" applyFont="1" applyBorder="1" applyAlignment="1" applyProtection="1">
      <alignment horizontal="center"/>
      <protection/>
    </xf>
    <xf numFmtId="4" fontId="28" fillId="0" borderId="2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1" fillId="0" borderId="0" xfId="0" applyNumberFormat="1" applyFont="1" applyBorder="1" applyAlignment="1" applyProtection="1">
      <alignment horizontal="left"/>
      <protection/>
    </xf>
    <xf numFmtId="2" fontId="48" fillId="0" borderId="0" xfId="0" applyNumberFormat="1" applyFont="1" applyBorder="1" applyAlignment="1" applyProtection="1">
      <alignment horizontal="center"/>
      <protection/>
    </xf>
    <xf numFmtId="176" fontId="49" fillId="0" borderId="0" xfId="0" applyNumberFormat="1" applyFont="1" applyBorder="1" applyAlignment="1" applyProtection="1" quotePrefix="1">
      <alignment horizontal="center"/>
      <protection/>
    </xf>
    <xf numFmtId="4" fontId="4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>
      <alignment horizontal="centerContinuous"/>
    </xf>
    <xf numFmtId="7" fontId="28" fillId="0" borderId="0" xfId="0" applyNumberFormat="1" applyFont="1" applyBorder="1" applyAlignment="1">
      <alignment horizontal="right"/>
    </xf>
    <xf numFmtId="176" fontId="29" fillId="0" borderId="0" xfId="0" applyNumberFormat="1" applyFont="1" applyBorder="1" applyAlignment="1" applyProtection="1">
      <alignment horizontal="left"/>
      <protection/>
    </xf>
    <xf numFmtId="1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7" fontId="28" fillId="0" borderId="0" xfId="0" applyNumberFormat="1" applyFont="1" applyAlignment="1">
      <alignment horizontal="right"/>
    </xf>
    <xf numFmtId="0" fontId="47" fillId="0" borderId="0" xfId="0" applyFont="1" applyAlignment="1" quotePrefix="1">
      <alignment/>
    </xf>
    <xf numFmtId="7" fontId="28" fillId="0" borderId="0" xfId="0" applyNumberFormat="1" applyFont="1" applyBorder="1" applyAlignment="1" applyProtection="1">
      <alignment horizontal="center"/>
      <protection/>
    </xf>
    <xf numFmtId="7" fontId="28" fillId="0" borderId="0" xfId="0" applyNumberFormat="1" applyFont="1" applyBorder="1" applyAlignment="1" applyProtection="1">
      <alignment horizontal="left"/>
      <protection/>
    </xf>
    <xf numFmtId="0" fontId="28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56" fillId="3" borderId="22" xfId="0" applyFont="1" applyFill="1" applyBorder="1" applyAlignment="1" applyProtection="1">
      <alignment horizontal="centerContinuous" vertical="center" wrapText="1"/>
      <protection/>
    </xf>
    <xf numFmtId="0" fontId="57" fillId="3" borderId="29" xfId="0" applyFont="1" applyFill="1" applyBorder="1" applyAlignment="1">
      <alignment horizontal="centerContinuous"/>
    </xf>
    <xf numFmtId="0" fontId="56" fillId="3" borderId="23" xfId="0" applyFont="1" applyFill="1" applyBorder="1" applyAlignment="1">
      <alignment horizontal="centerContinuous" vertical="center"/>
    </xf>
    <xf numFmtId="0" fontId="58" fillId="3" borderId="28" xfId="0" applyFont="1" applyFill="1" applyBorder="1" applyAlignment="1" applyProtection="1">
      <alignment horizontal="center" vertical="center"/>
      <protection/>
    </xf>
    <xf numFmtId="176" fontId="59" fillId="3" borderId="1" xfId="0" applyNumberFormat="1" applyFont="1" applyFill="1" applyBorder="1" applyAlignment="1" applyProtection="1">
      <alignment horizontal="center"/>
      <protection/>
    </xf>
    <xf numFmtId="176" fontId="59" fillId="3" borderId="5" xfId="0" applyNumberFormat="1" applyFont="1" applyFill="1" applyBorder="1" applyAlignment="1" applyProtection="1">
      <alignment horizontal="center"/>
      <protection/>
    </xf>
    <xf numFmtId="0" fontId="59" fillId="3" borderId="32" xfId="0" applyFont="1" applyFill="1" applyBorder="1" applyAlignment="1">
      <alignment horizontal="center"/>
    </xf>
    <xf numFmtId="0" fontId="59" fillId="3" borderId="1" xfId="0" applyFont="1" applyFill="1" applyBorder="1" applyAlignment="1" applyProtection="1">
      <alignment horizontal="center"/>
      <protection/>
    </xf>
    <xf numFmtId="0" fontId="59" fillId="3" borderId="10" xfId="0" applyFont="1" applyFill="1" applyBorder="1" applyAlignment="1" applyProtection="1">
      <alignment horizontal="center"/>
      <protection/>
    </xf>
    <xf numFmtId="176" fontId="59" fillId="3" borderId="4" xfId="0" applyNumberFormat="1" applyFont="1" applyFill="1" applyBorder="1" applyAlignment="1" applyProtection="1">
      <alignment horizontal="center"/>
      <protection/>
    </xf>
    <xf numFmtId="0" fontId="59" fillId="3" borderId="0" xfId="0" applyFont="1" applyFill="1" applyBorder="1" applyAlignment="1">
      <alignment horizontal="center"/>
    </xf>
    <xf numFmtId="172" fontId="59" fillId="3" borderId="8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172" fontId="4" fillId="0" borderId="36" xfId="0" applyNumberFormat="1" applyFont="1" applyBorder="1" applyAlignment="1" applyProtection="1">
      <alignment horizontal="center"/>
      <protection/>
    </xf>
    <xf numFmtId="1" fontId="4" fillId="0" borderId="38" xfId="0" applyNumberFormat="1" applyFont="1" applyBorder="1" applyAlignment="1" applyProtection="1" quotePrefix="1">
      <alignment horizontal="center"/>
      <protection/>
    </xf>
    <xf numFmtId="22" fontId="4" fillId="0" borderId="5" xfId="0" applyNumberFormat="1" applyFont="1" applyFill="1" applyBorder="1" applyAlignment="1">
      <alignment horizontal="center"/>
    </xf>
    <xf numFmtId="22" fontId="4" fillId="0" borderId="5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28" xfId="0" applyNumberFormat="1" applyFont="1" applyFill="1" applyBorder="1" applyAlignment="1">
      <alignment horizontal="right"/>
    </xf>
    <xf numFmtId="1" fontId="28" fillId="0" borderId="0" xfId="0" applyNumberFormat="1" applyFont="1" applyBorder="1" applyAlignment="1" applyProtection="1">
      <alignment horizontal="center"/>
      <protection/>
    </xf>
    <xf numFmtId="0" fontId="61" fillId="0" borderId="0" xfId="0" applyFont="1" applyAlignment="1">
      <alignment horizontal="centerContinuous"/>
    </xf>
    <xf numFmtId="0" fontId="32" fillId="0" borderId="0" xfId="0" applyFont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65" fillId="4" borderId="1" xfId="0" applyFont="1" applyFill="1" applyBorder="1" applyAlignment="1">
      <alignment/>
    </xf>
    <xf numFmtId="0" fontId="64" fillId="4" borderId="28" xfId="0" applyFont="1" applyFill="1" applyBorder="1" applyAlignment="1">
      <alignment horizontal="center" vertical="center" wrapText="1"/>
    </xf>
    <xf numFmtId="0" fontId="65" fillId="4" borderId="39" xfId="0" applyFont="1" applyFill="1" applyBorder="1" applyAlignment="1">
      <alignment/>
    </xf>
    <xf numFmtId="0" fontId="52" fillId="5" borderId="2" xfId="0" applyFont="1" applyFill="1" applyBorder="1" applyAlignment="1">
      <alignment/>
    </xf>
    <xf numFmtId="0" fontId="55" fillId="5" borderId="28" xfId="0" applyFont="1" applyFill="1" applyBorder="1" applyAlignment="1">
      <alignment horizontal="center" vertical="center" wrapText="1"/>
    </xf>
    <xf numFmtId="0" fontId="52" fillId="5" borderId="39" xfId="0" applyFont="1" applyFill="1" applyBorder="1" applyAlignment="1">
      <alignment/>
    </xf>
    <xf numFmtId="176" fontId="5" fillId="3" borderId="40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7" fillId="6" borderId="22" xfId="0" applyFont="1" applyFill="1" applyBorder="1" applyAlignment="1">
      <alignment horizontal="centerContinuous" vertical="center" wrapText="1"/>
    </xf>
    <xf numFmtId="0" fontId="68" fillId="6" borderId="29" xfId="0" applyFont="1" applyFill="1" applyBorder="1" applyAlignment="1">
      <alignment horizontal="centerContinuous"/>
    </xf>
    <xf numFmtId="0" fontId="67" fillId="6" borderId="23" xfId="0" applyFont="1" applyFill="1" applyBorder="1" applyAlignment="1">
      <alignment horizontal="centerContinuous" vertical="center"/>
    </xf>
    <xf numFmtId="176" fontId="69" fillId="6" borderId="40" xfId="0" applyNumberFormat="1" applyFont="1" applyFill="1" applyBorder="1" applyAlignment="1" applyProtection="1" quotePrefix="1">
      <alignment horizontal="center"/>
      <protection/>
    </xf>
    <xf numFmtId="4" fontId="69" fillId="6" borderId="2" xfId="0" applyNumberFormat="1" applyFont="1" applyFill="1" applyBorder="1" applyAlignment="1" applyProtection="1">
      <alignment horizontal="center"/>
      <protection/>
    </xf>
    <xf numFmtId="0" fontId="4" fillId="3" borderId="41" xfId="0" applyFont="1" applyFill="1" applyBorder="1" applyAlignment="1">
      <alignment/>
    </xf>
    <xf numFmtId="0" fontId="4" fillId="3" borderId="42" xfId="0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69" fillId="6" borderId="41" xfId="0" applyFont="1" applyFill="1" applyBorder="1" applyAlignment="1">
      <alignment/>
    </xf>
    <xf numFmtId="0" fontId="69" fillId="6" borderId="42" xfId="0" applyFont="1" applyFill="1" applyBorder="1" applyAlignment="1">
      <alignment/>
    </xf>
    <xf numFmtId="0" fontId="69" fillId="6" borderId="43" xfId="0" applyFont="1" applyFill="1" applyBorder="1" applyAlignment="1">
      <alignment/>
    </xf>
    <xf numFmtId="176" fontId="69" fillId="6" borderId="11" xfId="0" applyNumberFormat="1" applyFont="1" applyFill="1" applyBorder="1" applyAlignment="1" applyProtection="1" quotePrefix="1">
      <alignment horizontal="center"/>
      <protection/>
    </xf>
    <xf numFmtId="176" fontId="5" fillId="3" borderId="11" xfId="0" applyNumberFormat="1" applyFont="1" applyFill="1" applyBorder="1" applyAlignment="1" applyProtection="1" quotePrefix="1">
      <alignment horizontal="center"/>
      <protection/>
    </xf>
    <xf numFmtId="0" fontId="4" fillId="0" borderId="39" xfId="0" applyFont="1" applyBorder="1" applyAlignment="1">
      <alignment/>
    </xf>
    <xf numFmtId="0" fontId="72" fillId="7" borderId="39" xfId="0" applyFont="1" applyFill="1" applyBorder="1" applyAlignment="1">
      <alignment/>
    </xf>
    <xf numFmtId="4" fontId="72" fillId="7" borderId="1" xfId="0" applyNumberFormat="1" applyFont="1" applyFill="1" applyBorder="1" applyAlignment="1" applyProtection="1">
      <alignment horizontal="center"/>
      <protection/>
    </xf>
    <xf numFmtId="0" fontId="71" fillId="7" borderId="28" xfId="0" applyFont="1" applyFill="1" applyBorder="1" applyAlignment="1">
      <alignment horizontal="center" vertical="center" wrapText="1"/>
    </xf>
    <xf numFmtId="0" fontId="74" fillId="8" borderId="28" xfId="0" applyFont="1" applyFill="1" applyBorder="1" applyAlignment="1">
      <alignment horizontal="center" vertical="center" wrapText="1"/>
    </xf>
    <xf numFmtId="0" fontId="75" fillId="8" borderId="39" xfId="0" applyFont="1" applyFill="1" applyBorder="1" applyAlignment="1">
      <alignment/>
    </xf>
    <xf numFmtId="4" fontId="75" fillId="8" borderId="1" xfId="0" applyNumberFormat="1" applyFont="1" applyFill="1" applyBorder="1" applyAlignment="1" applyProtection="1">
      <alignment horizontal="center"/>
      <protection/>
    </xf>
    <xf numFmtId="2" fontId="66" fillId="4" borderId="28" xfId="0" applyNumberFormat="1" applyFont="1" applyFill="1" applyBorder="1" applyAlignment="1" applyProtection="1">
      <alignment horizontal="center"/>
      <protection/>
    </xf>
    <xf numFmtId="2" fontId="53" fillId="5" borderId="28" xfId="0" applyNumberFormat="1" applyFont="1" applyFill="1" applyBorder="1" applyAlignment="1" applyProtection="1">
      <alignment horizontal="center"/>
      <protection/>
    </xf>
    <xf numFmtId="2" fontId="54" fillId="3" borderId="28" xfId="0" applyNumberFormat="1" applyFont="1" applyFill="1" applyBorder="1" applyAlignment="1" applyProtection="1">
      <alignment horizontal="center"/>
      <protection/>
    </xf>
    <xf numFmtId="2" fontId="70" fillId="6" borderId="28" xfId="0" applyNumberFormat="1" applyFont="1" applyFill="1" applyBorder="1" applyAlignment="1" applyProtection="1">
      <alignment horizontal="center"/>
      <protection/>
    </xf>
    <xf numFmtId="2" fontId="73" fillId="7" borderId="28" xfId="0" applyNumberFormat="1" applyFont="1" applyFill="1" applyBorder="1" applyAlignment="1" applyProtection="1">
      <alignment horizontal="center"/>
      <protection/>
    </xf>
    <xf numFmtId="2" fontId="76" fillId="8" borderId="28" xfId="0" applyNumberFormat="1" applyFont="1" applyFill="1" applyBorder="1" applyAlignment="1" applyProtection="1">
      <alignment horizontal="center"/>
      <protection/>
    </xf>
    <xf numFmtId="0" fontId="78" fillId="9" borderId="1" xfId="0" applyFont="1" applyFill="1" applyBorder="1" applyAlignment="1">
      <alignment/>
    </xf>
    <xf numFmtId="0" fontId="78" fillId="9" borderId="5" xfId="0" applyFont="1" applyFill="1" applyBorder="1" applyAlignment="1" applyProtection="1">
      <alignment horizontal="center"/>
      <protection/>
    </xf>
    <xf numFmtId="0" fontId="79" fillId="10" borderId="28" xfId="0" applyFont="1" applyFill="1" applyBorder="1" applyAlignment="1" applyProtection="1">
      <alignment horizontal="center" vertical="center"/>
      <protection/>
    </xf>
    <xf numFmtId="0" fontId="80" fillId="10" borderId="1" xfId="0" applyFont="1" applyFill="1" applyBorder="1" applyAlignment="1">
      <alignment/>
    </xf>
    <xf numFmtId="172" fontId="32" fillId="0" borderId="28" xfId="0" applyNumberFormat="1" applyFont="1" applyBorder="1" applyAlignment="1" applyProtection="1">
      <alignment horizontal="center" vertical="center" wrapText="1"/>
      <protection/>
    </xf>
    <xf numFmtId="176" fontId="77" fillId="9" borderId="28" xfId="0" applyNumberFormat="1" applyFont="1" applyFill="1" applyBorder="1" applyAlignment="1" applyProtection="1">
      <alignment horizontal="center" vertical="center"/>
      <protection/>
    </xf>
    <xf numFmtId="0" fontId="78" fillId="9" borderId="1" xfId="0" applyFont="1" applyFill="1" applyBorder="1" applyAlignment="1" applyProtection="1">
      <alignment horizontal="center"/>
      <protection/>
    </xf>
    <xf numFmtId="0" fontId="78" fillId="9" borderId="39" xfId="0" applyFont="1" applyFill="1" applyBorder="1" applyAlignment="1">
      <alignment/>
    </xf>
    <xf numFmtId="0" fontId="80" fillId="10" borderId="39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84" fillId="11" borderId="28" xfId="0" applyFont="1" applyFill="1" applyBorder="1" applyAlignment="1">
      <alignment horizontal="center" vertical="center" wrapText="1"/>
    </xf>
    <xf numFmtId="0" fontId="83" fillId="10" borderId="1" xfId="0" applyFont="1" applyFill="1" applyBorder="1" applyAlignment="1" applyProtection="1">
      <alignment horizontal="center"/>
      <protection/>
    </xf>
    <xf numFmtId="0" fontId="81" fillId="10" borderId="28" xfId="0" applyFont="1" applyFill="1" applyBorder="1" applyAlignment="1" applyProtection="1">
      <alignment horizontal="center" vertical="center"/>
      <protection/>
    </xf>
    <xf numFmtId="172" fontId="83" fillId="10" borderId="1" xfId="0" applyNumberFormat="1" applyFont="1" applyFill="1" applyBorder="1" applyAlignment="1" applyProtection="1">
      <alignment horizontal="center"/>
      <protection/>
    </xf>
    <xf numFmtId="0" fontId="83" fillId="10" borderId="39" xfId="0" applyFont="1" applyFill="1" applyBorder="1" applyAlignment="1" applyProtection="1">
      <alignment horizontal="center"/>
      <protection/>
    </xf>
    <xf numFmtId="0" fontId="85" fillId="11" borderId="1" xfId="0" applyFont="1" applyFill="1" applyBorder="1" applyAlignment="1" applyProtection="1">
      <alignment horizontal="center"/>
      <protection/>
    </xf>
    <xf numFmtId="2" fontId="85" fillId="11" borderId="1" xfId="0" applyNumberFormat="1" applyFont="1" applyFill="1" applyBorder="1" applyAlignment="1">
      <alignment horizontal="center"/>
    </xf>
    <xf numFmtId="0" fontId="85" fillId="11" borderId="39" xfId="0" applyFont="1" applyFill="1" applyBorder="1" applyAlignment="1" applyProtection="1">
      <alignment horizontal="center"/>
      <protection/>
    </xf>
    <xf numFmtId="4" fontId="85" fillId="11" borderId="28" xfId="0" applyNumberFormat="1" applyFont="1" applyFill="1" applyBorder="1" applyAlignment="1">
      <alignment horizontal="center"/>
    </xf>
    <xf numFmtId="0" fontId="55" fillId="5" borderId="22" xfId="0" applyFont="1" applyFill="1" applyBorder="1" applyAlignment="1" applyProtection="1">
      <alignment horizontal="centerContinuous" vertical="center" wrapText="1"/>
      <protection/>
    </xf>
    <xf numFmtId="0" fontId="55" fillId="5" borderId="23" xfId="0" applyFont="1" applyFill="1" applyBorder="1" applyAlignment="1">
      <alignment horizontal="centerContinuous" vertical="center"/>
    </xf>
    <xf numFmtId="176" fontId="53" fillId="5" borderId="41" xfId="0" applyNumberFormat="1" applyFont="1" applyFill="1" applyBorder="1" applyAlignment="1" applyProtection="1" quotePrefix="1">
      <alignment horizontal="center"/>
      <protection/>
    </xf>
    <xf numFmtId="176" fontId="53" fillId="5" borderId="43" xfId="0" applyNumberFormat="1" applyFont="1" applyFill="1" applyBorder="1" applyAlignment="1" applyProtection="1" quotePrefix="1">
      <alignment horizontal="center"/>
      <protection/>
    </xf>
    <xf numFmtId="176" fontId="53" fillId="5" borderId="11" xfId="0" applyNumberFormat="1" applyFont="1" applyFill="1" applyBorder="1" applyAlignment="1" applyProtection="1" quotePrefix="1">
      <alignment horizontal="center"/>
      <protection/>
    </xf>
    <xf numFmtId="176" fontId="53" fillId="5" borderId="44" xfId="0" applyNumberFormat="1" applyFont="1" applyFill="1" applyBorder="1" applyAlignment="1" applyProtection="1" quotePrefix="1">
      <alignment horizontal="center"/>
      <protection/>
    </xf>
    <xf numFmtId="4" fontId="53" fillId="5" borderId="45" xfId="0" applyNumberFormat="1" applyFont="1" applyFill="1" applyBorder="1" applyAlignment="1">
      <alignment horizontal="center"/>
    </xf>
    <xf numFmtId="4" fontId="53" fillId="5" borderId="46" xfId="0" applyNumberFormat="1" applyFont="1" applyFill="1" applyBorder="1" applyAlignment="1">
      <alignment horizontal="center"/>
    </xf>
    <xf numFmtId="176" fontId="82" fillId="4" borderId="1" xfId="0" applyNumberFormat="1" applyFont="1" applyFill="1" applyBorder="1" applyAlignment="1" applyProtection="1" quotePrefix="1">
      <alignment horizontal="center"/>
      <protection/>
    </xf>
    <xf numFmtId="4" fontId="82" fillId="4" borderId="28" xfId="0" applyNumberFormat="1" applyFont="1" applyFill="1" applyBorder="1" applyAlignment="1">
      <alignment horizontal="center"/>
    </xf>
    <xf numFmtId="0" fontId="81" fillId="4" borderId="28" xfId="0" applyFont="1" applyFill="1" applyBorder="1" applyAlignment="1">
      <alignment horizontal="center" vertical="center" wrapText="1"/>
    </xf>
    <xf numFmtId="176" fontId="82" fillId="4" borderId="39" xfId="0" applyNumberFormat="1" applyFont="1" applyFill="1" applyBorder="1" applyAlignment="1" applyProtection="1" quotePrefix="1">
      <alignment horizontal="center"/>
      <protection/>
    </xf>
    <xf numFmtId="0" fontId="36" fillId="7" borderId="28" xfId="0" applyFont="1" applyFill="1" applyBorder="1" applyAlignment="1">
      <alignment horizontal="center" vertical="center" wrapText="1"/>
    </xf>
    <xf numFmtId="0" fontId="86" fillId="7" borderId="47" xfId="0" applyFont="1" applyFill="1" applyBorder="1" applyAlignment="1">
      <alignment horizontal="center"/>
    </xf>
    <xf numFmtId="2" fontId="86" fillId="7" borderId="4" xfId="0" applyNumberFormat="1" applyFont="1" applyFill="1" applyBorder="1" applyAlignment="1">
      <alignment horizontal="center"/>
    </xf>
    <xf numFmtId="4" fontId="86" fillId="7" borderId="28" xfId="0" applyNumberFormat="1" applyFont="1" applyFill="1" applyBorder="1" applyAlignment="1">
      <alignment horizontal="center"/>
    </xf>
    <xf numFmtId="0" fontId="64" fillId="12" borderId="22" xfId="0" applyFont="1" applyFill="1" applyBorder="1" applyAlignment="1" applyProtection="1">
      <alignment horizontal="centerContinuous" vertical="center" wrapText="1"/>
      <protection/>
    </xf>
    <xf numFmtId="0" fontId="64" fillId="12" borderId="23" xfId="0" applyFont="1" applyFill="1" applyBorder="1" applyAlignment="1">
      <alignment horizontal="centerContinuous" vertical="center"/>
    </xf>
    <xf numFmtId="0" fontId="66" fillId="12" borderId="41" xfId="0" applyFont="1" applyFill="1" applyBorder="1" applyAlignment="1">
      <alignment horizontal="center"/>
    </xf>
    <xf numFmtId="0" fontId="66" fillId="12" borderId="43" xfId="0" applyFont="1" applyFill="1" applyBorder="1" applyAlignment="1">
      <alignment horizontal="center"/>
    </xf>
    <xf numFmtId="176" fontId="66" fillId="12" borderId="15" xfId="0" applyNumberFormat="1" applyFont="1" applyFill="1" applyBorder="1" applyAlignment="1" applyProtection="1" quotePrefix="1">
      <alignment horizontal="center"/>
      <protection/>
    </xf>
    <xf numFmtId="176" fontId="66" fillId="12" borderId="9" xfId="0" applyNumberFormat="1" applyFont="1" applyFill="1" applyBorder="1" applyAlignment="1" applyProtection="1" quotePrefix="1">
      <alignment horizontal="center"/>
      <protection/>
    </xf>
    <xf numFmtId="4" fontId="66" fillId="12" borderId="45" xfId="0" applyNumberFormat="1" applyFont="1" applyFill="1" applyBorder="1" applyAlignment="1">
      <alignment horizontal="center"/>
    </xf>
    <xf numFmtId="4" fontId="66" fillId="12" borderId="23" xfId="0" applyNumberFormat="1" applyFont="1" applyFill="1" applyBorder="1" applyAlignment="1">
      <alignment horizontal="center"/>
    </xf>
    <xf numFmtId="0" fontId="67" fillId="5" borderId="28" xfId="0" applyFont="1" applyFill="1" applyBorder="1" applyAlignment="1">
      <alignment horizontal="center" vertical="center" wrapText="1"/>
    </xf>
    <xf numFmtId="0" fontId="70" fillId="5" borderId="47" xfId="0" applyFont="1" applyFill="1" applyBorder="1" applyAlignment="1">
      <alignment horizontal="center"/>
    </xf>
    <xf numFmtId="176" fontId="70" fillId="5" borderId="4" xfId="0" applyNumberFormat="1" applyFont="1" applyFill="1" applyBorder="1" applyAlignment="1" applyProtection="1" quotePrefix="1">
      <alignment horizontal="center"/>
      <protection/>
    </xf>
    <xf numFmtId="4" fontId="70" fillId="5" borderId="28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2" fontId="59" fillId="3" borderId="1" xfId="0" applyNumberFormat="1" applyFont="1" applyFill="1" applyBorder="1" applyAlignment="1" applyProtection="1">
      <alignment horizontal="center"/>
      <protection/>
    </xf>
    <xf numFmtId="172" fontId="59" fillId="3" borderId="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/>
    </xf>
    <xf numFmtId="176" fontId="83" fillId="4" borderId="5" xfId="0" applyNumberFormat="1" applyFont="1" applyFill="1" applyBorder="1" applyAlignment="1" applyProtection="1" quotePrefix="1">
      <alignment horizontal="center"/>
      <protection/>
    </xf>
    <xf numFmtId="176" fontId="28" fillId="0" borderId="0" xfId="0" applyNumberFormat="1" applyFont="1" applyBorder="1" applyAlignment="1" applyProtection="1">
      <alignment horizontal="centerContinuous"/>
      <protection/>
    </xf>
    <xf numFmtId="0" fontId="63" fillId="3" borderId="1" xfId="0" applyFont="1" applyFill="1" applyBorder="1" applyAlignment="1">
      <alignment horizontal="center"/>
    </xf>
    <xf numFmtId="176" fontId="63" fillId="3" borderId="1" xfId="0" applyNumberFormat="1" applyFont="1" applyFill="1" applyBorder="1" applyAlignment="1" applyProtection="1">
      <alignment horizontal="center"/>
      <protection/>
    </xf>
    <xf numFmtId="176" fontId="63" fillId="3" borderId="5" xfId="0" applyNumberFormat="1" applyFont="1" applyFill="1" applyBorder="1" applyAlignment="1" applyProtection="1">
      <alignment horizontal="center"/>
      <protection/>
    </xf>
    <xf numFmtId="7" fontId="16" fillId="0" borderId="39" xfId="0" applyNumberFormat="1" applyFont="1" applyBorder="1" applyAlignment="1">
      <alignment/>
    </xf>
    <xf numFmtId="7" fontId="18" fillId="0" borderId="4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8" fillId="0" borderId="18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7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 applyProtection="1">
      <alignment horizontal="right"/>
      <protection/>
    </xf>
    <xf numFmtId="0" fontId="81" fillId="13" borderId="22" xfId="0" applyFont="1" applyFill="1" applyBorder="1" applyAlignment="1" applyProtection="1">
      <alignment horizontal="centerContinuous" vertical="center" wrapText="1"/>
      <protection/>
    </xf>
    <xf numFmtId="0" fontId="81" fillId="13" borderId="23" xfId="0" applyFont="1" applyFill="1" applyBorder="1" applyAlignment="1">
      <alignment horizontal="centerContinuous" vertical="center"/>
    </xf>
    <xf numFmtId="0" fontId="83" fillId="13" borderId="41" xfId="0" applyFont="1" applyFill="1" applyBorder="1" applyAlignment="1">
      <alignment horizontal="center"/>
    </xf>
    <xf numFmtId="0" fontId="83" fillId="13" borderId="43" xfId="0" applyFont="1" applyFill="1" applyBorder="1" applyAlignment="1">
      <alignment horizontal="left"/>
    </xf>
    <xf numFmtId="176" fontId="82" fillId="13" borderId="15" xfId="0" applyNumberFormat="1" applyFont="1" applyFill="1" applyBorder="1" applyAlignment="1" applyProtection="1" quotePrefix="1">
      <alignment horizontal="center"/>
      <protection/>
    </xf>
    <xf numFmtId="176" fontId="82" fillId="13" borderId="9" xfId="0" applyNumberFormat="1" applyFont="1" applyFill="1" applyBorder="1" applyAlignment="1" applyProtection="1" quotePrefix="1">
      <alignment horizontal="center"/>
      <protection/>
    </xf>
    <xf numFmtId="176" fontId="83" fillId="13" borderId="48" xfId="0" applyNumberFormat="1" applyFont="1" applyFill="1" applyBorder="1" applyAlignment="1" applyProtection="1" quotePrefix="1">
      <alignment horizontal="center"/>
      <protection/>
    </xf>
    <xf numFmtId="176" fontId="83" fillId="13" borderId="38" xfId="0" applyNumberFormat="1" applyFont="1" applyFill="1" applyBorder="1" applyAlignment="1" applyProtection="1" quotePrefix="1">
      <alignment horizontal="center"/>
      <protection/>
    </xf>
    <xf numFmtId="0" fontId="81" fillId="14" borderId="28" xfId="0" applyFont="1" applyFill="1" applyBorder="1" applyAlignment="1">
      <alignment horizontal="center" vertical="center" wrapText="1"/>
    </xf>
    <xf numFmtId="2" fontId="82" fillId="14" borderId="1" xfId="0" applyNumberFormat="1" applyFont="1" applyFill="1" applyBorder="1" applyAlignment="1">
      <alignment horizontal="center"/>
    </xf>
    <xf numFmtId="2" fontId="83" fillId="14" borderId="5" xfId="0" applyNumberFormat="1" applyFont="1" applyFill="1" applyBorder="1" applyAlignment="1">
      <alignment horizontal="center"/>
    </xf>
    <xf numFmtId="0" fontId="81" fillId="4" borderId="28" xfId="0" applyFont="1" applyFill="1" applyBorder="1" applyAlignment="1">
      <alignment horizontal="centerContinuous" vertical="center" wrapText="1"/>
    </xf>
    <xf numFmtId="0" fontId="59" fillId="3" borderId="39" xfId="0" applyFont="1" applyFill="1" applyBorder="1" applyAlignment="1">
      <alignment horizontal="center"/>
    </xf>
    <xf numFmtId="0" fontId="83" fillId="14" borderId="39" xfId="0" applyFont="1" applyFill="1" applyBorder="1" applyAlignment="1">
      <alignment horizontal="center"/>
    </xf>
    <xf numFmtId="0" fontId="83" fillId="4" borderId="39" xfId="0" applyFont="1" applyFill="1" applyBorder="1" applyAlignment="1">
      <alignment horizontal="left"/>
    </xf>
    <xf numFmtId="0" fontId="89" fillId="0" borderId="0" xfId="0" applyFont="1" applyBorder="1" applyAlignment="1" quotePrefix="1">
      <alignment horizontal="left"/>
    </xf>
    <xf numFmtId="0" fontId="28" fillId="0" borderId="21" xfId="0" applyFont="1" applyFill="1" applyBorder="1" applyAlignment="1">
      <alignment/>
    </xf>
    <xf numFmtId="181" fontId="28" fillId="0" borderId="0" xfId="0" applyNumberFormat="1" applyFont="1" applyBorder="1" applyAlignment="1">
      <alignment/>
    </xf>
    <xf numFmtId="2" fontId="28" fillId="0" borderId="0" xfId="0" applyNumberFormat="1" applyFont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quotePrefix="1">
      <alignment/>
    </xf>
    <xf numFmtId="181" fontId="50" fillId="0" borderId="0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"/>
    </xf>
    <xf numFmtId="176" fontId="50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2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2" fillId="0" borderId="0" xfId="0" applyFont="1" applyAlignment="1">
      <alignment vertical="center"/>
    </xf>
    <xf numFmtId="4" fontId="13" fillId="0" borderId="22" xfId="0" applyNumberFormat="1" applyFont="1" applyBorder="1" applyAlignment="1" applyProtection="1">
      <alignment horizontal="center" vertical="center"/>
      <protection/>
    </xf>
    <xf numFmtId="7" fontId="90" fillId="0" borderId="2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91" fillId="0" borderId="0" xfId="0" applyNumberFormat="1" applyFont="1" applyBorder="1" applyAlignment="1" applyProtection="1">
      <alignment horizontal="center" vertical="center"/>
      <protection/>
    </xf>
    <xf numFmtId="176" fontId="92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1" xfId="0" applyNumberFormat="1" applyFont="1" applyFill="1" applyBorder="1" applyAlignment="1">
      <alignment horizontal="center" vertical="center"/>
    </xf>
    <xf numFmtId="180" fontId="80" fillId="10" borderId="1" xfId="0" applyNumberFormat="1" applyFont="1" applyFill="1" applyBorder="1" applyAlignment="1" applyProtection="1">
      <alignment horizontal="center"/>
      <protection/>
    </xf>
    <xf numFmtId="180" fontId="80" fillId="10" borderId="5" xfId="0" applyNumberFormat="1" applyFont="1" applyFill="1" applyBorder="1" applyAlignment="1" applyProtection="1">
      <alignment horizontal="center"/>
      <protection/>
    </xf>
    <xf numFmtId="180" fontId="59" fillId="3" borderId="1" xfId="0" applyNumberFormat="1" applyFont="1" applyFill="1" applyBorder="1" applyAlignment="1" applyProtection="1">
      <alignment horizontal="center"/>
      <protection/>
    </xf>
    <xf numFmtId="180" fontId="16" fillId="0" borderId="22" xfId="0" applyNumberFormat="1" applyFont="1" applyBorder="1" applyAlignment="1">
      <alignment horizontal="centerContinuous"/>
    </xf>
    <xf numFmtId="180" fontId="28" fillId="0" borderId="0" xfId="0" applyNumberFormat="1" applyFont="1" applyBorder="1" applyAlignment="1">
      <alignment horizontal="center"/>
    </xf>
    <xf numFmtId="7" fontId="34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93" fillId="0" borderId="0" xfId="0" applyFont="1" applyAlignment="1">
      <alignment horizontal="right" vertical="top"/>
    </xf>
    <xf numFmtId="0" fontId="94" fillId="0" borderId="0" xfId="0" applyFont="1" applyFill="1" applyAlignment="1">
      <alignment/>
    </xf>
    <xf numFmtId="0" fontId="95" fillId="0" borderId="0" xfId="0" applyFont="1" applyAlignment="1">
      <alignment horizontal="centerContinuous"/>
    </xf>
    <xf numFmtId="0" fontId="94" fillId="0" borderId="0" xfId="0" applyFont="1" applyAlignment="1">
      <alignment horizontal="centerContinuous"/>
    </xf>
    <xf numFmtId="0" fontId="94" fillId="0" borderId="0" xfId="0" applyFont="1" applyAlignment="1">
      <alignment/>
    </xf>
    <xf numFmtId="176" fontId="12" fillId="0" borderId="22" xfId="0" applyNumberFormat="1" applyFont="1" applyBorder="1" applyAlignment="1" applyProtection="1">
      <alignment horizontal="center"/>
      <protection/>
    </xf>
    <xf numFmtId="0" fontId="32" fillId="0" borderId="22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left"/>
    </xf>
    <xf numFmtId="0" fontId="24" fillId="0" borderId="0" xfId="0" applyFont="1" applyFill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0" fontId="16" fillId="0" borderId="50" xfId="0" applyFont="1" applyBorder="1" applyAlignment="1">
      <alignment horizontal="centerContinuous"/>
    </xf>
    <xf numFmtId="180" fontId="16" fillId="0" borderId="51" xfId="0" applyNumberFormat="1" applyFont="1" applyBorder="1" applyAlignment="1">
      <alignment horizontal="center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180" fontId="16" fillId="0" borderId="54" xfId="0" applyNumberFormat="1" applyFont="1" applyFill="1" applyBorder="1" applyAlignment="1">
      <alignment horizontal="center"/>
    </xf>
    <xf numFmtId="0" fontId="16" fillId="0" borderId="55" xfId="0" applyFont="1" applyBorder="1" applyAlignment="1">
      <alignment horizontal="centerContinuous"/>
    </xf>
    <xf numFmtId="0" fontId="16" fillId="0" borderId="56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8" fillId="0" borderId="0" xfId="0" applyNumberFormat="1" applyFont="1" applyBorder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 horizontal="left"/>
      <protection/>
    </xf>
    <xf numFmtId="1" fontId="0" fillId="0" borderId="57" xfId="0" applyNumberFormat="1" applyBorder="1" applyAlignment="1">
      <alignment horizontal="center"/>
    </xf>
    <xf numFmtId="1" fontId="16" fillId="0" borderId="51" xfId="0" applyNumberFormat="1" applyFont="1" applyBorder="1" applyAlignment="1">
      <alignment horizontal="center"/>
    </xf>
    <xf numFmtId="1" fontId="16" fillId="0" borderId="54" xfId="0" applyNumberFormat="1" applyFont="1" applyFill="1" applyBorder="1" applyAlignment="1">
      <alignment horizontal="center"/>
    </xf>
    <xf numFmtId="181" fontId="12" fillId="0" borderId="23" xfId="0" applyNumberFormat="1" applyFont="1" applyBorder="1" applyAlignment="1" applyProtection="1">
      <alignment horizontal="centerContinuous"/>
      <protection/>
    </xf>
    <xf numFmtId="2" fontId="87" fillId="0" borderId="27" xfId="0" applyNumberFormat="1" applyFont="1" applyFill="1" applyBorder="1" applyAlignment="1" applyProtection="1">
      <alignment horizontal="center"/>
      <protection/>
    </xf>
    <xf numFmtId="2" fontId="60" fillId="0" borderId="27" xfId="0" applyNumberFormat="1" applyFont="1" applyFill="1" applyBorder="1" applyAlignment="1" applyProtection="1">
      <alignment horizontal="center"/>
      <protection/>
    </xf>
    <xf numFmtId="2" fontId="88" fillId="0" borderId="27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5" xfId="0" applyNumberFormat="1" applyFont="1" applyBorder="1" applyAlignment="1" applyProtection="1">
      <alignment horizontal="centerContinuous"/>
      <protection/>
    </xf>
    <xf numFmtId="0" fontId="6" fillId="0" borderId="58" xfId="0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/>
    </xf>
    <xf numFmtId="0" fontId="6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172" fontId="5" fillId="0" borderId="36" xfId="0" applyNumberFormat="1" applyFont="1" applyBorder="1" applyAlignment="1" applyProtection="1" quotePrefix="1">
      <alignment horizontal="center"/>
      <protection/>
    </xf>
    <xf numFmtId="176" fontId="59" fillId="3" borderId="36" xfId="0" applyNumberFormat="1" applyFont="1" applyFill="1" applyBorder="1" applyAlignment="1" applyProtection="1">
      <alignment horizontal="center"/>
      <protection/>
    </xf>
    <xf numFmtId="22" fontId="4" fillId="0" borderId="48" xfId="0" applyNumberFormat="1" applyFont="1" applyBorder="1" applyAlignment="1">
      <alignment horizontal="center"/>
    </xf>
    <xf numFmtId="22" fontId="4" fillId="0" borderId="36" xfId="0" applyNumberFormat="1" applyFont="1" applyBorder="1" applyAlignment="1" applyProtection="1">
      <alignment horizontal="center"/>
      <protection/>
    </xf>
    <xf numFmtId="2" fontId="4" fillId="0" borderId="36" xfId="0" applyNumberFormat="1" applyFont="1" applyFill="1" applyBorder="1" applyAlignment="1" applyProtection="1" quotePrefix="1">
      <alignment horizontal="center"/>
      <protection/>
    </xf>
    <xf numFmtId="172" fontId="4" fillId="0" borderId="36" xfId="0" applyNumberFormat="1" applyFont="1" applyFill="1" applyBorder="1" applyAlignment="1" applyProtection="1" quotePrefix="1">
      <alignment horizontal="center"/>
      <protection/>
    </xf>
    <xf numFmtId="176" fontId="4" fillId="0" borderId="60" xfId="0" applyNumberFormat="1" applyFont="1" applyBorder="1" applyAlignment="1" applyProtection="1">
      <alignment horizontal="center"/>
      <protection/>
    </xf>
    <xf numFmtId="176" fontId="4" fillId="0" borderId="59" xfId="0" applyNumberFormat="1" applyFont="1" applyBorder="1" applyAlignment="1" applyProtection="1">
      <alignment horizontal="center"/>
      <protection/>
    </xf>
    <xf numFmtId="172" fontId="83" fillId="10" borderId="36" xfId="0" applyNumberFormat="1" applyFont="1" applyFill="1" applyBorder="1" applyAlignment="1" applyProtection="1">
      <alignment horizontal="center"/>
      <protection/>
    </xf>
    <xf numFmtId="2" fontId="85" fillId="11" borderId="36" xfId="0" applyNumberFormat="1" applyFont="1" applyFill="1" applyBorder="1" applyAlignment="1">
      <alignment horizontal="center"/>
    </xf>
    <xf numFmtId="176" fontId="53" fillId="5" borderId="48" xfId="0" applyNumberFormat="1" applyFont="1" applyFill="1" applyBorder="1" applyAlignment="1" applyProtection="1" quotePrefix="1">
      <alignment horizontal="center"/>
      <protection/>
    </xf>
    <xf numFmtId="176" fontId="53" fillId="5" borderId="38" xfId="0" applyNumberFormat="1" applyFont="1" applyFill="1" applyBorder="1" applyAlignment="1" applyProtection="1" quotePrefix="1">
      <alignment horizontal="center"/>
      <protection/>
    </xf>
    <xf numFmtId="176" fontId="82" fillId="4" borderId="36" xfId="0" applyNumberFormat="1" applyFont="1" applyFill="1" applyBorder="1" applyAlignment="1" applyProtection="1" quotePrefix="1">
      <alignment horizontal="center"/>
      <protection/>
    </xf>
    <xf numFmtId="176" fontId="4" fillId="0" borderId="36" xfId="0" applyNumberFormat="1" applyFont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0" fontId="93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3" xfId="0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/>
      <protection/>
    </xf>
    <xf numFmtId="18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0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80" fontId="16" fillId="0" borderId="61" xfId="0" applyNumberFormat="1" applyFont="1" applyBorder="1" applyAlignment="1">
      <alignment horizontal="center"/>
    </xf>
    <xf numFmtId="1" fontId="16" fillId="0" borderId="61" xfId="0" applyNumberFormat="1" applyFont="1" applyBorder="1" applyAlignment="1">
      <alignment horizontal="center"/>
    </xf>
    <xf numFmtId="0" fontId="98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72" fontId="4" fillId="0" borderId="1" xfId="22" applyNumberFormat="1" applyFont="1" applyFill="1" applyBorder="1" applyAlignment="1" applyProtection="1">
      <alignment horizontal="center"/>
      <protection locked="0"/>
    </xf>
    <xf numFmtId="173" fontId="4" fillId="0" borderId="1" xfId="22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8" xfId="0" applyNumberFormat="1" applyFont="1" applyFill="1" applyBorder="1" applyAlignment="1" applyProtection="1">
      <alignment horizontal="center"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10" xfId="22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8" xfId="0" applyNumberFormat="1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6" fillId="4" borderId="1" xfId="0" applyNumberFormat="1" applyFont="1" applyFill="1" applyBorder="1" applyAlignment="1" applyProtection="1">
      <alignment horizontal="center"/>
      <protection locked="0"/>
    </xf>
    <xf numFmtId="2" fontId="53" fillId="5" borderId="2" xfId="0" applyNumberFormat="1" applyFont="1" applyFill="1" applyBorder="1" applyAlignment="1" applyProtection="1">
      <alignment horizontal="center"/>
      <protection locked="0"/>
    </xf>
    <xf numFmtId="176" fontId="54" fillId="3" borderId="11" xfId="0" applyNumberFormat="1" applyFont="1" applyFill="1" applyBorder="1" applyAlignment="1" applyProtection="1" quotePrefix="1">
      <alignment horizontal="center"/>
      <protection locked="0"/>
    </xf>
    <xf numFmtId="176" fontId="54" fillId="3" borderId="40" xfId="0" applyNumberFormat="1" applyFont="1" applyFill="1" applyBorder="1" applyAlignment="1" applyProtection="1" quotePrefix="1">
      <alignment horizontal="center"/>
      <protection locked="0"/>
    </xf>
    <xf numFmtId="4" fontId="54" fillId="3" borderId="2" xfId="0" applyNumberFormat="1" applyFont="1" applyFill="1" applyBorder="1" applyAlignment="1" applyProtection="1">
      <alignment horizontal="center"/>
      <protection locked="0"/>
    </xf>
    <xf numFmtId="176" fontId="70" fillId="6" borderId="11" xfId="0" applyNumberFormat="1" applyFont="1" applyFill="1" applyBorder="1" applyAlignment="1" applyProtection="1" quotePrefix="1">
      <alignment horizontal="center"/>
      <protection locked="0"/>
    </xf>
    <xf numFmtId="176" fontId="70" fillId="6" borderId="40" xfId="0" applyNumberFormat="1" applyFont="1" applyFill="1" applyBorder="1" applyAlignment="1" applyProtection="1" quotePrefix="1">
      <alignment horizontal="center"/>
      <protection locked="0"/>
    </xf>
    <xf numFmtId="4" fontId="70" fillId="6" borderId="2" xfId="0" applyNumberFormat="1" applyFont="1" applyFill="1" applyBorder="1" applyAlignment="1" applyProtection="1">
      <alignment horizontal="center"/>
      <protection locked="0"/>
    </xf>
    <xf numFmtId="4" fontId="73" fillId="7" borderId="1" xfId="0" applyNumberFormat="1" applyFont="1" applyFill="1" applyBorder="1" applyAlignment="1" applyProtection="1">
      <alignment horizontal="center"/>
      <protection locked="0"/>
    </xf>
    <xf numFmtId="4" fontId="76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65" fillId="4" borderId="5" xfId="0" applyNumberFormat="1" applyFont="1" applyFill="1" applyBorder="1" applyAlignment="1" applyProtection="1">
      <alignment horizontal="center"/>
      <protection locked="0"/>
    </xf>
    <xf numFmtId="2" fontId="53" fillId="5" borderId="5" xfId="0" applyNumberFormat="1" applyFont="1" applyFill="1" applyBorder="1" applyAlignment="1" applyProtection="1">
      <alignment horizontal="center"/>
      <protection locked="0"/>
    </xf>
    <xf numFmtId="176" fontId="54" fillId="3" borderId="62" xfId="0" applyNumberFormat="1" applyFont="1" applyFill="1" applyBorder="1" applyAlignment="1" applyProtection="1" quotePrefix="1">
      <alignment horizontal="center"/>
      <protection locked="0"/>
    </xf>
    <xf numFmtId="176" fontId="54" fillId="3" borderId="63" xfId="0" applyNumberFormat="1" applyFont="1" applyFill="1" applyBorder="1" applyAlignment="1" applyProtection="1" quotePrefix="1">
      <alignment horizontal="center"/>
      <protection locked="0"/>
    </xf>
    <xf numFmtId="4" fontId="54" fillId="3" borderId="64" xfId="0" applyNumberFormat="1" applyFont="1" applyFill="1" applyBorder="1" applyAlignment="1" applyProtection="1">
      <alignment horizontal="center"/>
      <protection locked="0"/>
    </xf>
    <xf numFmtId="176" fontId="70" fillId="6" borderId="62" xfId="0" applyNumberFormat="1" applyFont="1" applyFill="1" applyBorder="1" applyAlignment="1" applyProtection="1" quotePrefix="1">
      <alignment horizontal="center"/>
      <protection locked="0"/>
    </xf>
    <xf numFmtId="176" fontId="70" fillId="6" borderId="63" xfId="0" applyNumberFormat="1" applyFont="1" applyFill="1" applyBorder="1" applyAlignment="1" applyProtection="1" quotePrefix="1">
      <alignment horizontal="center"/>
      <protection locked="0"/>
    </xf>
    <xf numFmtId="4" fontId="70" fillId="6" borderId="64" xfId="0" applyNumberFormat="1" applyFont="1" applyFill="1" applyBorder="1" applyAlignment="1" applyProtection="1">
      <alignment horizontal="center"/>
      <protection locked="0"/>
    </xf>
    <xf numFmtId="4" fontId="73" fillId="7" borderId="5" xfId="0" applyNumberFormat="1" applyFont="1" applyFill="1" applyBorder="1" applyAlignment="1" applyProtection="1">
      <alignment horizontal="center"/>
      <protection locked="0"/>
    </xf>
    <xf numFmtId="4" fontId="76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22" fontId="4" fillId="0" borderId="11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2" xfId="0" applyNumberFormat="1" applyFont="1" applyBorder="1" applyAlignment="1" applyProtection="1">
      <alignment horizontal="center"/>
      <protection locked="0"/>
    </xf>
    <xf numFmtId="172" fontId="83" fillId="10" borderId="1" xfId="0" applyNumberFormat="1" applyFont="1" applyFill="1" applyBorder="1" applyAlignment="1" applyProtection="1">
      <alignment horizontal="center"/>
      <protection locked="0"/>
    </xf>
    <xf numFmtId="2" fontId="85" fillId="11" borderId="1" xfId="0" applyNumberFormat="1" applyFont="1" applyFill="1" applyBorder="1" applyAlignment="1" applyProtection="1">
      <alignment horizontal="center"/>
      <protection locked="0"/>
    </xf>
    <xf numFmtId="176" fontId="53" fillId="5" borderId="11" xfId="0" applyNumberFormat="1" applyFont="1" applyFill="1" applyBorder="1" applyAlignment="1" applyProtection="1" quotePrefix="1">
      <alignment horizontal="center"/>
      <protection locked="0"/>
    </xf>
    <xf numFmtId="176" fontId="53" fillId="5" borderId="44" xfId="0" applyNumberFormat="1" applyFont="1" applyFill="1" applyBorder="1" applyAlignment="1" applyProtection="1" quotePrefix="1">
      <alignment horizontal="center"/>
      <protection locked="0"/>
    </xf>
    <xf numFmtId="176" fontId="82" fillId="4" borderId="1" xfId="0" applyNumberFormat="1" applyFont="1" applyFill="1" applyBorder="1" applyAlignment="1" applyProtection="1" quotePrefix="1">
      <alignment horizontal="center"/>
      <protection locked="0"/>
    </xf>
    <xf numFmtId="172" fontId="83" fillId="10" borderId="5" xfId="0" applyNumberFormat="1" applyFont="1" applyFill="1" applyBorder="1" applyAlignment="1" applyProtection="1">
      <alignment horizontal="center"/>
      <protection locked="0"/>
    </xf>
    <xf numFmtId="2" fontId="85" fillId="11" borderId="5" xfId="0" applyNumberFormat="1" applyFont="1" applyFill="1" applyBorder="1" applyAlignment="1" applyProtection="1">
      <alignment horizontal="center"/>
      <protection locked="0"/>
    </xf>
    <xf numFmtId="176" fontId="53" fillId="5" borderId="62" xfId="0" applyNumberFormat="1" applyFont="1" applyFill="1" applyBorder="1" applyAlignment="1" applyProtection="1" quotePrefix="1">
      <alignment horizontal="center"/>
      <protection locked="0"/>
    </xf>
    <xf numFmtId="176" fontId="53" fillId="5" borderId="64" xfId="0" applyNumberFormat="1" applyFont="1" applyFill="1" applyBorder="1" applyAlignment="1" applyProtection="1" quotePrefix="1">
      <alignment horizontal="center"/>
      <protection locked="0"/>
    </xf>
    <xf numFmtId="176" fontId="82" fillId="4" borderId="5" xfId="0" applyNumberFormat="1" applyFont="1" applyFill="1" applyBorder="1" applyAlignment="1" applyProtection="1" quotePrefix="1">
      <alignment horizontal="center"/>
      <protection locked="0"/>
    </xf>
    <xf numFmtId="180" fontId="0" fillId="0" borderId="2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9" fillId="3" borderId="3" xfId="0" applyNumberFormat="1" applyFont="1" applyFill="1" applyBorder="1" applyAlignment="1" applyProtection="1">
      <alignment horizontal="center"/>
      <protection locked="0"/>
    </xf>
    <xf numFmtId="2" fontId="86" fillId="7" borderId="1" xfId="0" applyNumberFormat="1" applyFont="1" applyFill="1" applyBorder="1" applyAlignment="1" applyProtection="1">
      <alignment horizontal="center"/>
      <protection locked="0"/>
    </xf>
    <xf numFmtId="176" fontId="66" fillId="12" borderId="15" xfId="0" applyNumberFormat="1" applyFont="1" applyFill="1" applyBorder="1" applyAlignment="1" applyProtection="1" quotePrefix="1">
      <alignment horizontal="center"/>
      <protection locked="0"/>
    </xf>
    <xf numFmtId="176" fontId="66" fillId="12" borderId="9" xfId="0" applyNumberFormat="1" applyFont="1" applyFill="1" applyBorder="1" applyAlignment="1" applyProtection="1" quotePrefix="1">
      <alignment horizontal="center"/>
      <protection locked="0"/>
    </xf>
    <xf numFmtId="176" fontId="70" fillId="5" borderId="4" xfId="0" applyNumberFormat="1" applyFont="1" applyFill="1" applyBorder="1" applyAlignment="1" applyProtection="1" quotePrefix="1">
      <alignment horizontal="center"/>
      <protection locked="0"/>
    </xf>
    <xf numFmtId="172" fontId="59" fillId="3" borderId="27" xfId="0" applyNumberFormat="1" applyFont="1" applyFill="1" applyBorder="1" applyAlignment="1" applyProtection="1">
      <alignment horizontal="center"/>
      <protection locked="0"/>
    </xf>
    <xf numFmtId="2" fontId="86" fillId="7" borderId="5" xfId="0" applyNumberFormat="1" applyFont="1" applyFill="1" applyBorder="1" applyAlignment="1" applyProtection="1">
      <alignment horizontal="center"/>
      <protection locked="0"/>
    </xf>
    <xf numFmtId="176" fontId="66" fillId="12" borderId="48" xfId="0" applyNumberFormat="1" applyFont="1" applyFill="1" applyBorder="1" applyAlignment="1" applyProtection="1" quotePrefix="1">
      <alignment horizontal="center"/>
      <protection locked="0"/>
    </xf>
    <xf numFmtId="176" fontId="66" fillId="12" borderId="38" xfId="0" applyNumberFormat="1" applyFont="1" applyFill="1" applyBorder="1" applyAlignment="1" applyProtection="1" quotePrefix="1">
      <alignment horizontal="center"/>
      <protection locked="0"/>
    </xf>
    <xf numFmtId="176" fontId="70" fillId="5" borderId="5" xfId="0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99" fillId="0" borderId="0" xfId="0" applyFont="1" applyAlignment="1">
      <alignment horizontal="right" vertical="top"/>
    </xf>
    <xf numFmtId="0" fontId="25" fillId="0" borderId="0" xfId="0" applyFont="1" applyAlignment="1">
      <alignment/>
    </xf>
    <xf numFmtId="0" fontId="61" fillId="0" borderId="0" xfId="0" applyFont="1" applyAlignment="1">
      <alignment/>
    </xf>
    <xf numFmtId="0" fontId="100" fillId="0" borderId="0" xfId="0" applyFont="1" applyAlignment="1">
      <alignment horizontal="centerContinuous"/>
    </xf>
    <xf numFmtId="0" fontId="61" fillId="0" borderId="0" xfId="0" applyFont="1" applyAlignment="1">
      <alignment/>
    </xf>
    <xf numFmtId="0" fontId="28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/>
    </xf>
    <xf numFmtId="0" fontId="28" fillId="0" borderId="17" xfId="0" applyFont="1" applyBorder="1" applyAlignment="1">
      <alignment horizontal="centerContinuous"/>
    </xf>
    <xf numFmtId="0" fontId="28" fillId="0" borderId="18" xfId="0" applyFont="1" applyBorder="1" applyAlignment="1">
      <alignment horizontal="centerContinuous"/>
    </xf>
    <xf numFmtId="0" fontId="28" fillId="0" borderId="19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28" fillId="0" borderId="21" xfId="0" applyFont="1" applyBorder="1" applyAlignment="1">
      <alignment horizontal="centerContinuous"/>
    </xf>
    <xf numFmtId="0" fontId="28" fillId="0" borderId="21" xfId="0" applyFont="1" applyBorder="1" applyAlignment="1">
      <alignment/>
    </xf>
    <xf numFmtId="17" fontId="32" fillId="0" borderId="28" xfId="0" applyNumberFormat="1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01" fillId="0" borderId="2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01" fillId="0" borderId="1" xfId="0" applyFont="1" applyBorder="1" applyAlignment="1">
      <alignment vertical="center"/>
    </xf>
    <xf numFmtId="0" fontId="101" fillId="0" borderId="47" xfId="0" applyFont="1" applyBorder="1" applyAlignment="1">
      <alignment vertical="center"/>
    </xf>
    <xf numFmtId="0" fontId="101" fillId="0" borderId="21" xfId="0" applyFont="1" applyBorder="1" applyAlignment="1">
      <alignment vertical="center"/>
    </xf>
    <xf numFmtId="0" fontId="101" fillId="1" borderId="11" xfId="0" applyFont="1" applyFill="1" applyBorder="1" applyAlignment="1">
      <alignment horizontal="center" vertical="center"/>
    </xf>
    <xf numFmtId="0" fontId="101" fillId="1" borderId="1" xfId="0" applyFont="1" applyFill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4" xfId="0" applyFont="1" applyBorder="1" applyAlignment="1">
      <alignment horizontal="center" vertical="center"/>
    </xf>
    <xf numFmtId="0" fontId="101" fillId="1" borderId="15" xfId="0" applyFont="1" applyFill="1" applyBorder="1" applyAlignment="1">
      <alignment horizontal="center" vertical="center"/>
    </xf>
    <xf numFmtId="0" fontId="101" fillId="1" borderId="4" xfId="0" applyFont="1" applyFill="1" applyBorder="1" applyAlignment="1">
      <alignment horizontal="center" vertical="center"/>
    </xf>
    <xf numFmtId="0" fontId="101" fillId="0" borderId="4" xfId="0" applyFont="1" applyFill="1" applyBorder="1" applyAlignment="1">
      <alignment horizontal="center" vertical="center"/>
    </xf>
    <xf numFmtId="0" fontId="101" fillId="0" borderId="48" xfId="0" applyFont="1" applyBorder="1" applyAlignment="1">
      <alignment horizontal="center" vertical="center"/>
    </xf>
    <xf numFmtId="0" fontId="101" fillId="0" borderId="36" xfId="0" applyFont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/>
    </xf>
    <xf numFmtId="178" fontId="102" fillId="0" borderId="28" xfId="0" applyNumberFormat="1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1" fillId="0" borderId="0" xfId="0" applyFont="1" applyBorder="1" applyAlignment="1">
      <alignment horizontal="right" vertical="center"/>
    </xf>
    <xf numFmtId="0" fontId="102" fillId="0" borderId="0" xfId="0" applyFont="1" applyBorder="1" applyAlignment="1">
      <alignment horizontal="right" vertical="center"/>
    </xf>
    <xf numFmtId="0" fontId="101" fillId="0" borderId="28" xfId="0" applyFont="1" applyBorder="1" applyAlignment="1">
      <alignment horizontal="center" vertical="center"/>
    </xf>
    <xf numFmtId="0" fontId="101" fillId="0" borderId="5" xfId="0" applyFont="1" applyBorder="1" applyAlignment="1">
      <alignment horizontal="center" vertical="center"/>
    </xf>
    <xf numFmtId="2" fontId="102" fillId="0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03" fillId="15" borderId="57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17" fillId="0" borderId="29" xfId="0" applyFont="1" applyBorder="1" applyAlignment="1">
      <alignment horizontal="right"/>
    </xf>
    <xf numFmtId="2" fontId="17" fillId="0" borderId="29" xfId="0" applyNumberFormat="1" applyFont="1" applyBorder="1" applyAlignment="1">
      <alignment horizontal="center"/>
    </xf>
    <xf numFmtId="0" fontId="104" fillId="0" borderId="29" xfId="0" applyFont="1" applyBorder="1" applyAlignment="1">
      <alignment/>
    </xf>
    <xf numFmtId="0" fontId="0" fillId="0" borderId="23" xfId="0" applyBorder="1" applyAlignment="1">
      <alignment/>
    </xf>
    <xf numFmtId="0" fontId="28" fillId="0" borderId="2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6" fillId="0" borderId="66" xfId="0" applyFont="1" applyBorder="1" applyAlignment="1">
      <alignment horizontal="centerContinuous"/>
    </xf>
    <xf numFmtId="0" fontId="16" fillId="0" borderId="67" xfId="0" applyFont="1" applyBorder="1" applyAlignment="1">
      <alignment horizontal="centerContinuous"/>
    </xf>
    <xf numFmtId="180" fontId="16" fillId="0" borderId="68" xfId="0" applyNumberFormat="1" applyFont="1" applyBorder="1" applyAlignment="1">
      <alignment horizontal="center"/>
    </xf>
    <xf numFmtId="1" fontId="16" fillId="0" borderId="68" xfId="0" applyNumberFormat="1" applyFont="1" applyBorder="1" applyAlignment="1">
      <alignment horizontal="center"/>
    </xf>
    <xf numFmtId="176" fontId="4" fillId="0" borderId="2" xfId="0" applyNumberFormat="1" applyFont="1" applyBorder="1" applyAlignment="1" applyProtection="1">
      <alignment horizontal="center"/>
      <protection/>
    </xf>
    <xf numFmtId="0" fontId="16" fillId="0" borderId="2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75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7" fontId="16" fillId="0" borderId="0" xfId="0" applyNumberFormat="1" applyFont="1" applyBorder="1" applyAlignment="1">
      <alignment horizontal="center"/>
    </xf>
    <xf numFmtId="0" fontId="105" fillId="0" borderId="0" xfId="0" applyFont="1" applyBorder="1" applyAlignment="1" applyProtection="1">
      <alignment horizontal="left"/>
      <protection/>
    </xf>
    <xf numFmtId="0" fontId="16" fillId="0" borderId="21" xfId="0" applyFont="1" applyBorder="1" applyAlignment="1">
      <alignment/>
    </xf>
    <xf numFmtId="0" fontId="9" fillId="0" borderId="0" xfId="22" applyFont="1" applyBorder="1" applyProtection="1">
      <alignment/>
      <protection locked="0"/>
    </xf>
    <xf numFmtId="0" fontId="4" fillId="0" borderId="4" xfId="0" applyFont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4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69" fillId="6" borderId="11" xfId="0" applyFont="1" applyFill="1" applyBorder="1" applyAlignment="1">
      <alignment/>
    </xf>
    <xf numFmtId="0" fontId="69" fillId="6" borderId="40" xfId="0" applyFont="1" applyFill="1" applyBorder="1" applyAlignment="1">
      <alignment/>
    </xf>
    <xf numFmtId="0" fontId="69" fillId="6" borderId="2" xfId="0" applyFont="1" applyFill="1" applyBorder="1" applyAlignment="1">
      <alignment/>
    </xf>
    <xf numFmtId="0" fontId="72" fillId="7" borderId="1" xfId="0" applyFont="1" applyFill="1" applyBorder="1" applyAlignment="1">
      <alignment/>
    </xf>
    <xf numFmtId="0" fontId="75" fillId="8" borderId="1" xfId="0" applyFont="1" applyFill="1" applyBorder="1" applyAlignment="1">
      <alignment/>
    </xf>
    <xf numFmtId="7" fontId="16" fillId="0" borderId="2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172" fontId="4" fillId="0" borderId="1" xfId="0" applyNumberFormat="1" applyFont="1" applyBorder="1" applyAlignment="1" applyProtection="1">
      <alignment horizontal="center"/>
      <protection/>
    </xf>
    <xf numFmtId="173" fontId="4" fillId="0" borderId="1" xfId="0" applyNumberFormat="1" applyFont="1" applyBorder="1" applyAlignment="1" applyProtection="1">
      <alignment horizontal="center"/>
      <protection/>
    </xf>
    <xf numFmtId="22" fontId="4" fillId="0" borderId="8" xfId="0" applyNumberFormat="1" applyFont="1" applyBorder="1" applyAlignment="1">
      <alignment horizontal="center"/>
    </xf>
    <xf numFmtId="179" fontId="4" fillId="0" borderId="1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Border="1" applyAlignment="1" applyProtection="1">
      <alignment horizontal="center"/>
      <protection/>
    </xf>
    <xf numFmtId="2" fontId="66" fillId="4" borderId="1" xfId="0" applyNumberFormat="1" applyFont="1" applyFill="1" applyBorder="1" applyAlignment="1" applyProtection="1">
      <alignment horizontal="center"/>
      <protection/>
    </xf>
    <xf numFmtId="2" fontId="53" fillId="5" borderId="2" xfId="0" applyNumberFormat="1" applyFont="1" applyFill="1" applyBorder="1" applyAlignment="1" applyProtection="1">
      <alignment horizontal="center"/>
      <protection/>
    </xf>
    <xf numFmtId="176" fontId="54" fillId="3" borderId="11" xfId="0" applyNumberFormat="1" applyFont="1" applyFill="1" applyBorder="1" applyAlignment="1" applyProtection="1" quotePrefix="1">
      <alignment horizontal="center"/>
      <protection/>
    </xf>
    <xf numFmtId="176" fontId="54" fillId="3" borderId="40" xfId="0" applyNumberFormat="1" applyFont="1" applyFill="1" applyBorder="1" applyAlignment="1" applyProtection="1" quotePrefix="1">
      <alignment horizontal="center"/>
      <protection/>
    </xf>
    <xf numFmtId="4" fontId="54" fillId="3" borderId="2" xfId="0" applyNumberFormat="1" applyFont="1" applyFill="1" applyBorder="1" applyAlignment="1" applyProtection="1">
      <alignment horizontal="center"/>
      <protection/>
    </xf>
    <xf numFmtId="176" fontId="70" fillId="6" borderId="11" xfId="0" applyNumberFormat="1" applyFont="1" applyFill="1" applyBorder="1" applyAlignment="1" applyProtection="1" quotePrefix="1">
      <alignment horizontal="center"/>
      <protection/>
    </xf>
    <xf numFmtId="176" fontId="70" fillId="6" borderId="40" xfId="0" applyNumberFormat="1" applyFont="1" applyFill="1" applyBorder="1" applyAlignment="1" applyProtection="1" quotePrefix="1">
      <alignment horizontal="center"/>
      <protection/>
    </xf>
    <xf numFmtId="4" fontId="70" fillId="6" borderId="2" xfId="0" applyNumberFormat="1" applyFont="1" applyFill="1" applyBorder="1" applyAlignment="1" applyProtection="1">
      <alignment horizontal="center"/>
      <protection/>
    </xf>
    <xf numFmtId="4" fontId="73" fillId="7" borderId="1" xfId="0" applyNumberFormat="1" applyFont="1" applyFill="1" applyBorder="1" applyAlignment="1" applyProtection="1">
      <alignment horizontal="center"/>
      <protection/>
    </xf>
    <xf numFmtId="4" fontId="76" fillId="8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Border="1" applyAlignment="1" applyProtection="1">
      <alignment horizontal="center"/>
      <protection/>
    </xf>
    <xf numFmtId="22" fontId="4" fillId="0" borderId="10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172" fontId="5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73" fontId="4" fillId="0" borderId="5" xfId="0" applyNumberFormat="1" applyFont="1" applyBorder="1" applyAlignment="1" applyProtection="1">
      <alignment horizontal="center"/>
      <protection/>
    </xf>
    <xf numFmtId="179" fontId="4" fillId="0" borderId="5" xfId="0" applyNumberFormat="1" applyFont="1" applyBorder="1" applyAlignment="1" applyProtection="1" quotePrefix="1">
      <alignment horizontal="center"/>
      <protection/>
    </xf>
    <xf numFmtId="2" fontId="65" fillId="4" borderId="5" xfId="0" applyNumberFormat="1" applyFont="1" applyFill="1" applyBorder="1" applyAlignment="1" applyProtection="1">
      <alignment horizontal="center"/>
      <protection/>
    </xf>
    <xf numFmtId="2" fontId="53" fillId="5" borderId="5" xfId="0" applyNumberFormat="1" applyFont="1" applyFill="1" applyBorder="1" applyAlignment="1" applyProtection="1">
      <alignment horizontal="center"/>
      <protection/>
    </xf>
    <xf numFmtId="176" fontId="54" fillId="3" borderId="62" xfId="0" applyNumberFormat="1" applyFont="1" applyFill="1" applyBorder="1" applyAlignment="1" applyProtection="1" quotePrefix="1">
      <alignment horizontal="center"/>
      <protection/>
    </xf>
    <xf numFmtId="176" fontId="54" fillId="3" borderId="63" xfId="0" applyNumberFormat="1" applyFont="1" applyFill="1" applyBorder="1" applyAlignment="1" applyProtection="1" quotePrefix="1">
      <alignment horizontal="center"/>
      <protection/>
    </xf>
    <xf numFmtId="4" fontId="54" fillId="3" borderId="64" xfId="0" applyNumberFormat="1" applyFont="1" applyFill="1" applyBorder="1" applyAlignment="1" applyProtection="1">
      <alignment horizontal="center"/>
      <protection/>
    </xf>
    <xf numFmtId="176" fontId="70" fillId="6" borderId="62" xfId="0" applyNumberFormat="1" applyFont="1" applyFill="1" applyBorder="1" applyAlignment="1" applyProtection="1" quotePrefix="1">
      <alignment horizontal="center"/>
      <protection/>
    </xf>
    <xf numFmtId="176" fontId="70" fillId="6" borderId="63" xfId="0" applyNumberFormat="1" applyFont="1" applyFill="1" applyBorder="1" applyAlignment="1" applyProtection="1" quotePrefix="1">
      <alignment horizontal="center"/>
      <protection/>
    </xf>
    <xf numFmtId="4" fontId="70" fillId="6" borderId="64" xfId="0" applyNumberFormat="1" applyFont="1" applyFill="1" applyBorder="1" applyAlignment="1" applyProtection="1">
      <alignment horizontal="center"/>
      <protection/>
    </xf>
    <xf numFmtId="4" fontId="73" fillId="7" borderId="5" xfId="0" applyNumberFormat="1" applyFont="1" applyFill="1" applyBorder="1" applyAlignment="1" applyProtection="1">
      <alignment horizontal="center"/>
      <protection/>
    </xf>
    <xf numFmtId="4" fontId="76" fillId="8" borderId="5" xfId="0" applyNumberFormat="1" applyFont="1" applyFill="1" applyBorder="1" applyAlignment="1" applyProtection="1">
      <alignment horizontal="center"/>
      <protection/>
    </xf>
    <xf numFmtId="4" fontId="5" fillId="0" borderId="5" xfId="0" applyNumberFormat="1" applyFont="1" applyBorder="1" applyAlignment="1" applyProtection="1">
      <alignment horizontal="center"/>
      <protection/>
    </xf>
    <xf numFmtId="2" fontId="16" fillId="0" borderId="32" xfId="0" applyNumberFormat="1" applyFont="1" applyFill="1" applyBorder="1" applyAlignment="1">
      <alignment horizontal="right"/>
    </xf>
    <xf numFmtId="2" fontId="15" fillId="0" borderId="35" xfId="0" applyNumberFormat="1" applyFont="1" applyBorder="1" applyAlignment="1" applyProtection="1">
      <alignment horizontal="center"/>
      <protection/>
    </xf>
    <xf numFmtId="7" fontId="33" fillId="0" borderId="32" xfId="0" applyNumberFormat="1" applyFont="1" applyFill="1" applyBorder="1" applyAlignment="1">
      <alignment horizontal="right"/>
    </xf>
    <xf numFmtId="7" fontId="105" fillId="0" borderId="3" xfId="0" applyNumberFormat="1" applyFont="1" applyBorder="1" applyAlignment="1">
      <alignment horizontal="center"/>
    </xf>
    <xf numFmtId="0" fontId="32" fillId="0" borderId="22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6" xfId="0" applyNumberFormat="1" applyFont="1" applyBorder="1" applyAlignment="1" applyProtection="1">
      <alignment horizontal="center"/>
      <protection/>
    </xf>
    <xf numFmtId="0" fontId="32" fillId="0" borderId="2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7" fontId="16" fillId="0" borderId="0" xfId="0" applyNumberFormat="1" applyFont="1" applyFill="1" applyBorder="1" applyAlignment="1">
      <alignment horizontal="center"/>
    </xf>
    <xf numFmtId="7" fontId="16" fillId="0" borderId="3" xfId="0" applyNumberFormat="1" applyFont="1" applyFill="1" applyBorder="1" applyAlignment="1">
      <alignment horizontal="center"/>
    </xf>
    <xf numFmtId="188" fontId="16" fillId="0" borderId="0" xfId="0" applyNumberFormat="1" applyFont="1" applyBorder="1" applyAlignment="1">
      <alignment horizontal="center"/>
    </xf>
    <xf numFmtId="179" fontId="12" fillId="0" borderId="0" xfId="0" applyNumberFormat="1" applyFont="1" applyBorder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CP15">
            <v>36923</v>
          </cell>
          <cell r="CQ15">
            <v>36951</v>
          </cell>
          <cell r="CR15">
            <v>36982</v>
          </cell>
          <cell r="CS15">
            <v>37012</v>
          </cell>
          <cell r="CT15">
            <v>37043</v>
          </cell>
          <cell r="CU15">
            <v>37073</v>
          </cell>
          <cell r="CV15">
            <v>37104</v>
          </cell>
          <cell r="CW15" t="str">
            <v>Set-01</v>
          </cell>
          <cell r="CX15">
            <v>37165</v>
          </cell>
          <cell r="CY15">
            <v>37196</v>
          </cell>
          <cell r="CZ15">
            <v>37226</v>
          </cell>
          <cell r="DA15">
            <v>37257</v>
          </cell>
          <cell r="DB15">
            <v>37288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CU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CT18">
            <v>1</v>
          </cell>
          <cell r="CV18">
            <v>1</v>
          </cell>
          <cell r="CW18">
            <v>1</v>
          </cell>
          <cell r="DA18">
            <v>2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77.2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77.1</v>
          </cell>
          <cell r="G21" t="str">
            <v>C</v>
          </cell>
          <cell r="CZ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A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348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CY25">
            <v>1</v>
          </cell>
          <cell r="CZ25">
            <v>1</v>
          </cell>
          <cell r="DA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CR26">
            <v>2</v>
          </cell>
          <cell r="CU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166</v>
          </cell>
          <cell r="G27" t="str">
            <v>A</v>
          </cell>
          <cell r="CY27">
            <v>1</v>
          </cell>
          <cell r="DA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  <cell r="CS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5.4</v>
          </cell>
          <cell r="G36" t="str">
            <v>C</v>
          </cell>
          <cell r="CY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5.3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CU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  <cell r="CY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  <cell r="CS40">
            <v>1</v>
          </cell>
          <cell r="CT40">
            <v>2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  <cell r="CP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  <cell r="CP42">
            <v>1</v>
          </cell>
          <cell r="CY42">
            <v>1</v>
          </cell>
          <cell r="CZ42">
            <v>1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CZ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70</v>
          </cell>
          <cell r="G45" t="str">
            <v>A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CP46" t="str">
            <v>XXXX</v>
          </cell>
          <cell r="CQ46" t="str">
            <v>XXXX</v>
          </cell>
          <cell r="CR46" t="str">
            <v>XXXX</v>
          </cell>
          <cell r="CS46" t="str">
            <v>XXXX</v>
          </cell>
          <cell r="CT46" t="str">
            <v>XXXX</v>
          </cell>
          <cell r="CU46" t="str">
            <v>XXXX</v>
          </cell>
          <cell r="CV46" t="str">
            <v>XXXX</v>
          </cell>
          <cell r="CW46" t="str">
            <v>XXXX</v>
          </cell>
          <cell r="CX46" t="str">
            <v>XXXX</v>
          </cell>
          <cell r="CY46" t="str">
            <v>XXXX</v>
          </cell>
          <cell r="CZ46" t="str">
            <v>XXXX</v>
          </cell>
          <cell r="DA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CT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CZ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163.9</v>
          </cell>
          <cell r="G51" t="str">
            <v>A</v>
          </cell>
          <cell r="CU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164.1</v>
          </cell>
          <cell r="G52" t="str">
            <v>A</v>
          </cell>
          <cell r="CZ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CU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CU54">
            <v>1</v>
          </cell>
          <cell r="CW54" t="str">
            <v>XXXX</v>
          </cell>
          <cell r="CX54" t="str">
            <v>XXXX</v>
          </cell>
          <cell r="CY54" t="str">
            <v>XXXX</v>
          </cell>
          <cell r="CZ54" t="str">
            <v>XXXX</v>
          </cell>
          <cell r="DA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CP57" t="str">
            <v>XXXX</v>
          </cell>
          <cell r="CQ57" t="str">
            <v>XXXX</v>
          </cell>
          <cell r="CR57" t="str">
            <v>XXXX</v>
          </cell>
          <cell r="CS57" t="str">
            <v>XXXX</v>
          </cell>
          <cell r="CT57" t="str">
            <v>XXXX</v>
          </cell>
          <cell r="CU57" t="str">
            <v>XXXX</v>
          </cell>
          <cell r="CV57" t="str">
            <v>XXXX</v>
          </cell>
          <cell r="CW57" t="str">
            <v>XXXX</v>
          </cell>
          <cell r="CX57" t="str">
            <v>XXXX</v>
          </cell>
          <cell r="CY57" t="str">
            <v>XXXX</v>
          </cell>
          <cell r="CZ57" t="str">
            <v>XXXX</v>
          </cell>
          <cell r="DA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149</v>
          </cell>
          <cell r="G58" t="str">
            <v>A</v>
          </cell>
          <cell r="CR58">
            <v>1</v>
          </cell>
          <cell r="CX58">
            <v>2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258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CY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CS65">
            <v>1</v>
          </cell>
          <cell r="CT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CR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CV69">
            <v>1</v>
          </cell>
          <cell r="DA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CY76">
            <v>1</v>
          </cell>
          <cell r="DA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CP77">
            <v>1</v>
          </cell>
          <cell r="CY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CP78" t="str">
            <v>XXXX</v>
          </cell>
          <cell r="CQ78" t="str">
            <v>XXXX</v>
          </cell>
          <cell r="CR78" t="str">
            <v>XXXX</v>
          </cell>
          <cell r="CS78" t="str">
            <v>XXXX</v>
          </cell>
          <cell r="CT78" t="str">
            <v>XXXX</v>
          </cell>
          <cell r="CU78" t="str">
            <v>XXXX</v>
          </cell>
          <cell r="CV78" t="str">
            <v>XXXX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CP79" t="str">
            <v>XXXX</v>
          </cell>
          <cell r="CQ79" t="str">
            <v>XXXX</v>
          </cell>
          <cell r="CR79" t="str">
            <v>XXXX</v>
          </cell>
          <cell r="CS79" t="str">
            <v>XXXX</v>
          </cell>
          <cell r="CT79" t="str">
            <v>XXXX</v>
          </cell>
          <cell r="CU79" t="str">
            <v>XXXX</v>
          </cell>
          <cell r="CV79" t="str">
            <v>XXXX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CP87" t="str">
            <v>XXXX</v>
          </cell>
          <cell r="CQ87" t="str">
            <v>XXXX</v>
          </cell>
          <cell r="CR87" t="str">
            <v>XXXX</v>
          </cell>
          <cell r="CS87" t="str">
            <v>XXXX</v>
          </cell>
          <cell r="CT87" t="str">
            <v>XXXX</v>
          </cell>
          <cell r="CU87" t="str">
            <v>XXXX</v>
          </cell>
          <cell r="CV87" t="str">
            <v>XXXX</v>
          </cell>
          <cell r="CW87" t="str">
            <v>XXXX</v>
          </cell>
          <cell r="CX87" t="str">
            <v>XXXX</v>
          </cell>
          <cell r="CY87" t="str">
            <v>XXXX</v>
          </cell>
          <cell r="CZ87" t="str">
            <v>XXXX</v>
          </cell>
          <cell r="DA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  <cell r="CV89">
            <v>1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CP100">
            <v>1.05</v>
          </cell>
          <cell r="CQ100">
            <v>1.02</v>
          </cell>
          <cell r="CR100">
            <v>0.96</v>
          </cell>
          <cell r="CS100">
            <v>0.98</v>
          </cell>
          <cell r="CT100">
            <v>0.94</v>
          </cell>
          <cell r="CU100">
            <v>0.96</v>
          </cell>
          <cell r="CV100">
            <v>0.96</v>
          </cell>
          <cell r="CW100">
            <v>0.96</v>
          </cell>
          <cell r="CX100">
            <v>0.89</v>
          </cell>
          <cell r="CY100">
            <v>0.81</v>
          </cell>
          <cell r="CZ100">
            <v>0.73</v>
          </cell>
          <cell r="DA100">
            <v>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9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5" customWidth="1"/>
    <col min="2" max="2" width="7.7109375" style="15" customWidth="1"/>
    <col min="3" max="3" width="9.140625" style="15" customWidth="1"/>
    <col min="4" max="4" width="17.140625" style="15" customWidth="1"/>
    <col min="5" max="5" width="9.57421875" style="15" customWidth="1"/>
    <col min="6" max="6" width="17.00390625" style="15" customWidth="1"/>
    <col min="7" max="7" width="19.8515625" style="15" customWidth="1"/>
    <col min="8" max="8" width="6.8515625" style="15" customWidth="1"/>
    <col min="9" max="9" width="24.8515625" style="15" customWidth="1"/>
    <col min="10" max="10" width="23.7109375" style="15" customWidth="1"/>
    <col min="11" max="11" width="15.7109375" style="15" customWidth="1"/>
    <col min="12" max="13" width="11.421875" style="15" customWidth="1"/>
    <col min="14" max="14" width="14.140625" style="15" customWidth="1"/>
    <col min="15" max="15" width="11.421875" style="15" customWidth="1"/>
    <col min="16" max="16" width="14.7109375" style="15" customWidth="1"/>
    <col min="17" max="17" width="11.421875" style="15" customWidth="1"/>
    <col min="18" max="18" width="12.00390625" style="15" customWidth="1"/>
    <col min="19" max="16384" width="11.421875" style="15" customWidth="1"/>
  </cols>
  <sheetData>
    <row r="1" spans="2:11" s="76" customFormat="1" ht="26.25">
      <c r="B1" s="77"/>
      <c r="E1" s="12"/>
      <c r="K1" s="531"/>
    </row>
    <row r="2" spans="2:10" s="76" customFormat="1" ht="26.25">
      <c r="B2" s="77" t="s">
        <v>191</v>
      </c>
      <c r="C2" s="78"/>
      <c r="D2" s="79"/>
      <c r="E2" s="79"/>
      <c r="F2" s="79"/>
      <c r="G2" s="79"/>
      <c r="H2" s="79"/>
      <c r="I2" s="79"/>
      <c r="J2" s="79"/>
    </row>
    <row r="3" spans="3:19" ht="12.75">
      <c r="C3"/>
      <c r="D3" s="80"/>
      <c r="E3" s="80"/>
      <c r="F3" s="80"/>
      <c r="G3" s="80"/>
      <c r="H3" s="80"/>
      <c r="I3" s="80"/>
      <c r="J3" s="80"/>
      <c r="P3" s="13"/>
      <c r="Q3" s="13"/>
      <c r="R3" s="13"/>
      <c r="S3" s="13"/>
    </row>
    <row r="4" spans="1:19" s="83" customFormat="1" ht="11.25">
      <c r="A4" s="81" t="s">
        <v>31</v>
      </c>
      <c r="B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s="83" customFormat="1" ht="11.25">
      <c r="A5" s="81" t="s">
        <v>32</v>
      </c>
      <c r="B5" s="8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2:19" s="76" customFormat="1" ht="11.25" customHeight="1">
      <c r="B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2:19" s="9" customFormat="1" ht="21">
      <c r="B7" s="222" t="s">
        <v>0</v>
      </c>
      <c r="C7" s="87"/>
      <c r="D7" s="7"/>
      <c r="E7" s="7"/>
      <c r="F7" s="8"/>
      <c r="G7" s="8"/>
      <c r="H7" s="8"/>
      <c r="I7" s="8"/>
      <c r="J7" s="8"/>
      <c r="K7" s="10"/>
      <c r="L7" s="10"/>
      <c r="M7" s="10"/>
      <c r="N7" s="10"/>
      <c r="O7" s="10"/>
      <c r="P7" s="10"/>
      <c r="Q7" s="10"/>
      <c r="R7" s="10"/>
      <c r="S7" s="10"/>
    </row>
    <row r="8" spans="9:19" ht="12.75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s="9" customFormat="1" ht="21">
      <c r="B9" s="222" t="s">
        <v>1</v>
      </c>
      <c r="C9" s="87"/>
      <c r="D9" s="7"/>
      <c r="E9" s="7"/>
      <c r="F9" s="7"/>
      <c r="G9" s="7"/>
      <c r="H9" s="7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</row>
    <row r="10" spans="4:19" ht="12.75">
      <c r="D10" s="89"/>
      <c r="E10" s="8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s="9" customFormat="1" ht="20.25">
      <c r="B11" s="222" t="s">
        <v>177</v>
      </c>
      <c r="C11" s="3"/>
      <c r="D11" s="88"/>
      <c r="E11" s="88"/>
      <c r="F11" s="7"/>
      <c r="G11" s="7"/>
      <c r="H11" s="7"/>
      <c r="I11" s="8"/>
      <c r="J11" s="8"/>
      <c r="K11" s="10"/>
      <c r="L11" s="10"/>
      <c r="M11" s="10"/>
      <c r="N11" s="10"/>
      <c r="O11" s="10"/>
      <c r="P11" s="10"/>
      <c r="Q11" s="10"/>
      <c r="R11" s="10"/>
      <c r="S11" s="10"/>
    </row>
    <row r="12" spans="4:19" s="90" customFormat="1" ht="16.5" thickBot="1">
      <c r="D12" s="91"/>
      <c r="E12" s="91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2:19" s="90" customFormat="1" ht="16.5" thickTop="1">
      <c r="B13" s="93"/>
      <c r="C13" s="94"/>
      <c r="D13" s="94"/>
      <c r="E13" s="418"/>
      <c r="F13" s="94"/>
      <c r="G13" s="94"/>
      <c r="H13" s="94"/>
      <c r="I13" s="94"/>
      <c r="J13" s="95"/>
      <c r="K13" s="92"/>
      <c r="L13" s="92"/>
      <c r="M13" s="92"/>
      <c r="N13" s="92"/>
      <c r="O13" s="92"/>
      <c r="P13" s="92"/>
      <c r="Q13" s="92"/>
      <c r="R13" s="92"/>
      <c r="S13" s="92"/>
    </row>
    <row r="14" spans="2:19" s="14" customFormat="1" ht="19.5">
      <c r="B14" s="96" t="s">
        <v>165</v>
      </c>
      <c r="C14" s="97"/>
      <c r="D14" s="98"/>
      <c r="E14" s="419"/>
      <c r="F14" s="99"/>
      <c r="G14" s="99"/>
      <c r="H14" s="99"/>
      <c r="I14" s="100"/>
      <c r="J14" s="101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19" s="14" customFormat="1" ht="13.5" customHeight="1">
      <c r="B15" s="103"/>
      <c r="C15" s="104"/>
      <c r="D15" s="417"/>
      <c r="E15" s="420"/>
      <c r="F15" s="51"/>
      <c r="G15" s="51"/>
      <c r="H15" s="51"/>
      <c r="I15" s="102"/>
      <c r="J15" s="105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19" s="14" customFormat="1" ht="19.5">
      <c r="B16" s="103"/>
      <c r="C16" s="106" t="s">
        <v>33</v>
      </c>
      <c r="D16" s="424" t="s">
        <v>34</v>
      </c>
      <c r="E16" s="420"/>
      <c r="F16" s="51"/>
      <c r="G16" s="51"/>
      <c r="H16" s="51"/>
      <c r="I16" s="107"/>
      <c r="J16" s="105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 s="14" customFormat="1" ht="19.5">
      <c r="B17" s="103"/>
      <c r="C17" s="106"/>
      <c r="D17" s="417">
        <v>11</v>
      </c>
      <c r="E17" s="421" t="s">
        <v>35</v>
      </c>
      <c r="F17" s="51"/>
      <c r="G17" s="51"/>
      <c r="H17" s="51"/>
      <c r="I17" s="107">
        <f>ROUND('LI-0202'!AC42,2)</f>
        <v>1077.13</v>
      </c>
      <c r="J17" s="105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 s="14" customFormat="1" ht="19.5">
      <c r="B18" s="103"/>
      <c r="C18" s="106"/>
      <c r="D18" s="417"/>
      <c r="E18" s="423">
        <v>111</v>
      </c>
      <c r="F18" s="12" t="s">
        <v>190</v>
      </c>
      <c r="G18" s="51"/>
      <c r="H18" s="51"/>
      <c r="I18" s="107">
        <f>'Incendios Campo'!AC41</f>
        <v>39221.69</v>
      </c>
      <c r="J18" s="105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 ht="12.75" customHeight="1">
      <c r="B19" s="108"/>
      <c r="C19" s="109"/>
      <c r="D19" s="417"/>
      <c r="E19" s="422"/>
      <c r="F19" s="110"/>
      <c r="G19" s="110"/>
      <c r="H19" s="110"/>
      <c r="I19" s="111"/>
      <c r="J19" s="112"/>
      <c r="K19" s="13"/>
      <c r="L19" s="13"/>
      <c r="M19" s="13"/>
      <c r="N19" s="13"/>
      <c r="O19" s="13"/>
      <c r="P19" s="13"/>
      <c r="Q19" s="13"/>
      <c r="R19" s="13"/>
      <c r="S19" s="13"/>
    </row>
    <row r="20" spans="2:19" s="14" customFormat="1" ht="19.5">
      <c r="B20" s="103"/>
      <c r="C20" s="106" t="s">
        <v>36</v>
      </c>
      <c r="D20" s="424" t="s">
        <v>37</v>
      </c>
      <c r="E20" s="420"/>
      <c r="F20" s="51"/>
      <c r="G20" s="51"/>
      <c r="H20" s="51"/>
      <c r="I20" s="107"/>
      <c r="J20" s="105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 s="14" customFormat="1" ht="19.5">
      <c r="B21" s="103"/>
      <c r="C21" s="106"/>
      <c r="D21" s="417">
        <v>21</v>
      </c>
      <c r="E21" s="421" t="s">
        <v>38</v>
      </c>
      <c r="F21" s="51"/>
      <c r="G21" s="51"/>
      <c r="H21" s="51"/>
      <c r="I21" s="107"/>
      <c r="J21" s="105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 s="14" customFormat="1" ht="19.5">
      <c r="B22" s="103"/>
      <c r="C22" s="106"/>
      <c r="D22" s="417"/>
      <c r="E22" s="423">
        <v>211</v>
      </c>
      <c r="F22" s="12" t="s">
        <v>35</v>
      </c>
      <c r="G22" s="51"/>
      <c r="H22" s="51"/>
      <c r="I22" s="107">
        <v>0</v>
      </c>
      <c r="J22" s="105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 s="14" customFormat="1" ht="19.5">
      <c r="B23" s="103"/>
      <c r="C23" s="106"/>
      <c r="D23" s="417">
        <v>22</v>
      </c>
      <c r="E23" s="421" t="s">
        <v>40</v>
      </c>
      <c r="F23" s="51"/>
      <c r="G23" s="51"/>
      <c r="H23" s="51"/>
      <c r="I23" s="107"/>
      <c r="J23" s="105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 s="14" customFormat="1" ht="19.5">
      <c r="B24" s="103"/>
      <c r="C24" s="106"/>
      <c r="D24" s="417"/>
      <c r="E24" s="423">
        <v>221</v>
      </c>
      <c r="F24" s="12" t="s">
        <v>35</v>
      </c>
      <c r="G24" s="51"/>
      <c r="H24" s="51"/>
      <c r="I24" s="107">
        <f>'SA-0202'!T44</f>
        <v>24919.69</v>
      </c>
      <c r="J24" s="105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 s="14" customFormat="1" ht="19.5">
      <c r="B25" s="103"/>
      <c r="C25" s="106"/>
      <c r="D25" s="417"/>
      <c r="E25" s="423">
        <v>222</v>
      </c>
      <c r="F25" s="12" t="s">
        <v>39</v>
      </c>
      <c r="G25" s="51"/>
      <c r="H25" s="51"/>
      <c r="I25" s="107">
        <f>'SALIDA-TIBA'!T43</f>
        <v>2953.48</v>
      </c>
      <c r="J25" s="105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 s="14" customFormat="1" ht="19.5">
      <c r="B26" s="103"/>
      <c r="C26" s="106"/>
      <c r="D26" s="417"/>
      <c r="E26" s="423">
        <v>223</v>
      </c>
      <c r="F26" s="12" t="s">
        <v>184</v>
      </c>
      <c r="G26" s="51"/>
      <c r="H26" s="51"/>
      <c r="I26" s="107">
        <f>'SALIDA-CTM'!T44</f>
        <v>1917.74</v>
      </c>
      <c r="J26" s="105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 ht="12.75" customHeight="1">
      <c r="B27" s="108"/>
      <c r="C27" s="109"/>
      <c r="D27" s="417"/>
      <c r="E27" s="422"/>
      <c r="F27" s="110"/>
      <c r="G27" s="110"/>
      <c r="H27" s="110"/>
      <c r="I27" s="111"/>
      <c r="J27" s="112"/>
      <c r="K27" s="13"/>
      <c r="L27" s="13"/>
      <c r="M27" s="13"/>
      <c r="N27" s="13"/>
      <c r="O27" s="13"/>
      <c r="P27" s="13"/>
      <c r="Q27" s="13"/>
      <c r="R27" s="13"/>
      <c r="S27" s="13"/>
    </row>
    <row r="28" spans="2:19" s="14" customFormat="1" ht="19.5">
      <c r="B28" s="103"/>
      <c r="C28" s="106" t="s">
        <v>41</v>
      </c>
      <c r="D28" s="424" t="s">
        <v>42</v>
      </c>
      <c r="E28" s="420"/>
      <c r="F28" s="51"/>
      <c r="G28" s="51"/>
      <c r="H28" s="51"/>
      <c r="I28" s="107"/>
      <c r="J28" s="105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 s="14" customFormat="1" ht="19.5">
      <c r="B29" s="103"/>
      <c r="C29" s="106"/>
      <c r="D29" s="417">
        <v>31</v>
      </c>
      <c r="E29" s="421" t="s">
        <v>35</v>
      </c>
      <c r="F29" s="51"/>
      <c r="G29" s="51"/>
      <c r="H29" s="51"/>
      <c r="I29" s="107">
        <f>'RE-0202'!U43</f>
        <v>126537.36</v>
      </c>
      <c r="J29" s="105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 s="14" customFormat="1" ht="12.75" customHeight="1">
      <c r="B30" s="103"/>
      <c r="C30" s="106"/>
      <c r="D30" s="417"/>
      <c r="E30" s="421"/>
      <c r="F30" s="51"/>
      <c r="G30" s="51"/>
      <c r="H30" s="51"/>
      <c r="I30" s="107"/>
      <c r="J30" s="105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 s="14" customFormat="1" ht="19.5">
      <c r="B31" s="103"/>
      <c r="C31" s="106" t="s">
        <v>43</v>
      </c>
      <c r="D31" s="424" t="s">
        <v>44</v>
      </c>
      <c r="E31" s="420"/>
      <c r="F31" s="51"/>
      <c r="G31" s="51"/>
      <c r="H31" s="51"/>
      <c r="I31" s="107"/>
      <c r="J31" s="105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 s="14" customFormat="1" ht="19.5">
      <c r="B32" s="103"/>
      <c r="C32" s="106"/>
      <c r="D32" s="417">
        <v>41</v>
      </c>
      <c r="E32" s="421" t="s">
        <v>45</v>
      </c>
      <c r="F32" s="51"/>
      <c r="G32" s="51"/>
      <c r="H32" s="51"/>
      <c r="I32" s="107">
        <f>'SU (TIBA)'!J70</f>
        <v>1925.1621</v>
      </c>
      <c r="J32" s="105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 s="14" customFormat="1" ht="19.5">
      <c r="B33" s="103"/>
      <c r="C33" s="106"/>
      <c r="D33" s="417">
        <v>42</v>
      </c>
      <c r="E33" s="421" t="s">
        <v>178</v>
      </c>
      <c r="F33" s="51"/>
      <c r="G33" s="51"/>
      <c r="H33" s="51"/>
      <c r="I33" s="107">
        <f>'SU (CTM)'!J52</f>
        <v>479.4350000000001</v>
      </c>
      <c r="J33" s="105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 s="14" customFormat="1" ht="20.25" thickBot="1">
      <c r="B34" s="103"/>
      <c r="C34" s="104"/>
      <c r="D34" s="417"/>
      <c r="E34" s="420"/>
      <c r="F34" s="51"/>
      <c r="G34" s="51"/>
      <c r="H34" s="51"/>
      <c r="I34" s="102"/>
      <c r="J34" s="105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 s="14" customFormat="1" ht="20.25" thickBot="1" thickTop="1">
      <c r="B35" s="103"/>
      <c r="C35" s="106"/>
      <c r="D35" s="106"/>
      <c r="F35" s="113" t="s">
        <v>46</v>
      </c>
      <c r="G35" s="114">
        <f>SUM(I16:I33)</f>
        <v>199031.68709999998</v>
      </c>
      <c r="H35" s="221"/>
      <c r="J35" s="105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 s="14" customFormat="1" ht="9.75" customHeight="1" thickTop="1">
      <c r="B36" s="103"/>
      <c r="C36" s="106"/>
      <c r="D36" s="106"/>
      <c r="F36" s="451"/>
      <c r="G36" s="221"/>
      <c r="H36" s="221"/>
      <c r="J36" s="105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 s="14" customFormat="1" ht="18.75">
      <c r="B37" s="103"/>
      <c r="C37" s="543" t="s">
        <v>147</v>
      </c>
      <c r="D37" s="106"/>
      <c r="F37" s="451"/>
      <c r="G37" s="221"/>
      <c r="H37" s="221"/>
      <c r="J37" s="105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 s="90" customFormat="1" ht="10.5" customHeight="1" thickBot="1">
      <c r="B38" s="115"/>
      <c r="C38" s="116"/>
      <c r="D38" s="116"/>
      <c r="E38" s="117"/>
      <c r="F38" s="117"/>
      <c r="G38" s="117"/>
      <c r="H38" s="117"/>
      <c r="I38" s="117"/>
      <c r="J38" s="118"/>
      <c r="K38" s="92"/>
      <c r="L38" s="92"/>
      <c r="M38" s="119"/>
      <c r="N38" s="120"/>
      <c r="O38" s="120"/>
      <c r="P38" s="121"/>
      <c r="Q38" s="122"/>
      <c r="R38" s="92"/>
      <c r="S38" s="92"/>
    </row>
    <row r="39" spans="4:19" ht="13.5" thickTop="1">
      <c r="D39" s="13"/>
      <c r="F39" s="13"/>
      <c r="G39" s="13"/>
      <c r="H39" s="13"/>
      <c r="I39" s="13"/>
      <c r="J39" s="13"/>
      <c r="K39" s="13"/>
      <c r="L39" s="13"/>
      <c r="M39" s="49"/>
      <c r="N39" s="123"/>
      <c r="O39" s="123"/>
      <c r="P39" s="13"/>
      <c r="Q39" s="2"/>
      <c r="R39" s="13"/>
      <c r="S39" s="13"/>
    </row>
    <row r="40" spans="4:19" ht="12.75">
      <c r="D40" s="13"/>
      <c r="F40" s="13"/>
      <c r="G40" s="13"/>
      <c r="H40" s="13"/>
      <c r="I40" s="13"/>
      <c r="J40" s="13"/>
      <c r="K40" s="13"/>
      <c r="L40" s="13"/>
      <c r="M40" s="13"/>
      <c r="N40" s="124"/>
      <c r="O40" s="124"/>
      <c r="P40" s="125"/>
      <c r="Q40" s="2"/>
      <c r="R40" s="13"/>
      <c r="S40" s="13"/>
    </row>
    <row r="41" spans="4:19" ht="12.7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4"/>
      <c r="O41" s="124"/>
      <c r="P41" s="125"/>
      <c r="Q41" s="2"/>
      <c r="R41" s="13"/>
      <c r="S41" s="13"/>
    </row>
    <row r="42" spans="4:19" ht="12.75">
      <c r="D42" s="13"/>
      <c r="E42" s="13"/>
      <c r="L42" s="13"/>
      <c r="M42" s="13"/>
      <c r="N42" s="13"/>
      <c r="O42" s="13"/>
      <c r="P42" s="13"/>
      <c r="Q42" s="13"/>
      <c r="R42" s="13"/>
      <c r="S42" s="13"/>
    </row>
    <row r="43" spans="4:19" ht="12.75">
      <c r="D43" s="13"/>
      <c r="E43" s="13"/>
      <c r="P43" s="13"/>
      <c r="Q43" s="13"/>
      <c r="R43" s="13"/>
      <c r="S43" s="13"/>
    </row>
    <row r="44" spans="4:19" ht="12.75">
      <c r="D44" s="13"/>
      <c r="E44" s="13"/>
      <c r="P44" s="13"/>
      <c r="Q44" s="13"/>
      <c r="R44" s="13"/>
      <c r="S44" s="13"/>
    </row>
    <row r="45" spans="4:19" ht="12.75">
      <c r="D45" s="13"/>
      <c r="E45" s="13"/>
      <c r="P45" s="13"/>
      <c r="Q45" s="13"/>
      <c r="R45" s="13"/>
      <c r="S45" s="13"/>
    </row>
    <row r="46" spans="4:19" ht="12.75">
      <c r="D46" s="13"/>
      <c r="E46" s="13"/>
      <c r="P46" s="13"/>
      <c r="Q46" s="13"/>
      <c r="R46" s="13"/>
      <c r="S46" s="13"/>
    </row>
    <row r="47" spans="4:19" ht="12.75">
      <c r="D47" s="13"/>
      <c r="E47" s="13"/>
      <c r="P47" s="13"/>
      <c r="Q47" s="13"/>
      <c r="R47" s="13"/>
      <c r="S47" s="13"/>
    </row>
    <row r="48" spans="16:19" ht="12.75">
      <c r="P48" s="13"/>
      <c r="Q48" s="13"/>
      <c r="R48" s="13"/>
      <c r="S48" s="13"/>
    </row>
    <row r="49" spans="16:19" ht="12.75">
      <c r="P49" s="13"/>
      <c r="Q49" s="13"/>
      <c r="R49" s="13"/>
      <c r="S49" s="1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zoomScale="75" zoomScaleNormal="75" workbookViewId="0" topLeftCell="A4">
      <selection activeCell="B14" sqref="B14"/>
    </sheetView>
  </sheetViews>
  <sheetFormatPr defaultColWidth="11.421875" defaultRowHeight="12.75"/>
  <cols>
    <col min="1" max="1" width="15.7109375" style="15" customWidth="1"/>
    <col min="2" max="2" width="10.7109375" style="15" customWidth="1"/>
    <col min="3" max="3" width="4.7109375" style="15" customWidth="1"/>
    <col min="4" max="4" width="40.7109375" style="15" customWidth="1"/>
    <col min="5" max="5" width="7.7109375" style="15" customWidth="1"/>
    <col min="6" max="6" width="8.7109375" style="15" customWidth="1"/>
    <col min="7" max="7" width="7.7109375" style="15" hidden="1" customWidth="1"/>
    <col min="8" max="12" width="8.7109375" style="15" customWidth="1"/>
    <col min="13" max="13" width="9.00390625" style="15" customWidth="1"/>
    <col min="14" max="20" width="8.7109375" style="15" customWidth="1"/>
    <col min="21" max="21" width="10.7109375" style="15" customWidth="1"/>
    <col min="22" max="16384" width="11.421875" style="15" customWidth="1"/>
  </cols>
  <sheetData>
    <row r="1" spans="21:22" ht="45" customHeight="1">
      <c r="U1" s="624"/>
      <c r="V1" s="622"/>
    </row>
    <row r="2" spans="2:22" s="76" customFormat="1" ht="26.25">
      <c r="B2" s="211" t="str">
        <f>'tot-0202'!B2</f>
        <v>ANEXO I a la Resolución ENRE N° 090/2003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623"/>
    </row>
    <row r="3" spans="1:22" s="83" customFormat="1" ht="11.25">
      <c r="A3" s="81" t="s">
        <v>31</v>
      </c>
      <c r="B3" s="157"/>
      <c r="U3" s="625"/>
      <c r="V3" s="625"/>
    </row>
    <row r="4" spans="1:22" s="83" customFormat="1" ht="11.25">
      <c r="A4" s="81" t="s">
        <v>32</v>
      </c>
      <c r="B4" s="157"/>
      <c r="U4" s="157"/>
      <c r="V4" s="625"/>
    </row>
    <row r="5" spans="21:22" ht="24" customHeight="1">
      <c r="U5" s="80"/>
      <c r="V5" s="622"/>
    </row>
    <row r="6" spans="2:178" s="626" customFormat="1" ht="23.25">
      <c r="B6" s="321" t="s">
        <v>168</v>
      </c>
      <c r="C6" s="321"/>
      <c r="D6" s="627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628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  <c r="FL6" s="321"/>
      <c r="FM6" s="321"/>
      <c r="FN6" s="321"/>
      <c r="FO6" s="321"/>
      <c r="FP6" s="321"/>
      <c r="FQ6" s="321"/>
      <c r="FR6" s="321"/>
      <c r="FS6" s="321"/>
      <c r="FT6" s="321"/>
      <c r="FU6" s="321"/>
      <c r="FV6" s="321"/>
    </row>
    <row r="7" spans="2:178" s="90" customFormat="1" ht="14.25" customHeight="1"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629"/>
      <c r="V7" s="62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  <c r="FH7" s="269"/>
      <c r="FI7" s="269"/>
      <c r="FJ7" s="269"/>
      <c r="FK7" s="269"/>
      <c r="FL7" s="269"/>
      <c r="FM7" s="269"/>
      <c r="FN7" s="269"/>
      <c r="FO7" s="269"/>
      <c r="FP7" s="269"/>
      <c r="FQ7" s="269"/>
      <c r="FR7" s="269"/>
      <c r="FS7" s="269"/>
      <c r="FT7" s="269"/>
      <c r="FU7" s="269"/>
      <c r="FV7" s="269"/>
    </row>
    <row r="8" spans="2:178" s="630" customFormat="1" ht="23.25">
      <c r="B8" s="321" t="s">
        <v>1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31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7"/>
      <c r="CW8" s="627"/>
      <c r="CX8" s="627"/>
      <c r="CY8" s="627"/>
      <c r="CZ8" s="627"/>
      <c r="DA8" s="627"/>
      <c r="DB8" s="627"/>
      <c r="DC8" s="627"/>
      <c r="DD8" s="627"/>
      <c r="DE8" s="627"/>
      <c r="DF8" s="627"/>
      <c r="DG8" s="627"/>
      <c r="DH8" s="627"/>
      <c r="DI8" s="627"/>
      <c r="DJ8" s="627"/>
      <c r="DK8" s="627"/>
      <c r="DL8" s="627"/>
      <c r="DM8" s="627"/>
      <c r="DN8" s="627"/>
      <c r="DO8" s="627"/>
      <c r="DP8" s="627"/>
      <c r="DQ8" s="627"/>
      <c r="DR8" s="627"/>
      <c r="DS8" s="627"/>
      <c r="DT8" s="627"/>
      <c r="DU8" s="627"/>
      <c r="DV8" s="627"/>
      <c r="DW8" s="627"/>
      <c r="DX8" s="627"/>
      <c r="DY8" s="627"/>
      <c r="DZ8" s="627"/>
      <c r="EA8" s="627"/>
      <c r="EB8" s="627"/>
      <c r="EC8" s="627"/>
      <c r="ED8" s="627"/>
      <c r="EE8" s="627"/>
      <c r="EF8" s="627"/>
      <c r="EG8" s="627"/>
      <c r="EH8" s="627"/>
      <c r="EI8" s="627"/>
      <c r="EJ8" s="627"/>
      <c r="EK8" s="627"/>
      <c r="EL8" s="627"/>
      <c r="EM8" s="627"/>
      <c r="EN8" s="627"/>
      <c r="EO8" s="627"/>
      <c r="EP8" s="627"/>
      <c r="EQ8" s="627"/>
      <c r="ER8" s="627"/>
      <c r="ES8" s="627"/>
      <c r="ET8" s="627"/>
      <c r="EU8" s="627"/>
      <c r="EV8" s="627"/>
      <c r="EW8" s="627"/>
      <c r="EX8" s="627"/>
      <c r="EY8" s="627"/>
      <c r="EZ8" s="627"/>
      <c r="FA8" s="627"/>
      <c r="FB8" s="627"/>
      <c r="FC8" s="627"/>
      <c r="FD8" s="627"/>
      <c r="FE8" s="627"/>
      <c r="FF8" s="627"/>
      <c r="FG8" s="627"/>
      <c r="FH8" s="627"/>
      <c r="FI8" s="627"/>
      <c r="FJ8" s="627"/>
      <c r="FK8" s="627"/>
      <c r="FL8" s="627"/>
      <c r="FM8" s="627"/>
      <c r="FN8" s="627"/>
      <c r="FO8" s="627"/>
      <c r="FP8" s="627"/>
      <c r="FQ8" s="627"/>
      <c r="FR8" s="627"/>
      <c r="FS8" s="627"/>
      <c r="FT8" s="627"/>
      <c r="FU8" s="627"/>
      <c r="FV8" s="627"/>
    </row>
    <row r="9" spans="2:178" s="90" customFormat="1" ht="15.75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629"/>
      <c r="V9" s="62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  <c r="EZ9" s="269"/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69"/>
      <c r="FL9" s="269"/>
      <c r="FM9" s="269"/>
      <c r="FN9" s="269"/>
      <c r="FO9" s="269"/>
      <c r="FP9" s="269"/>
      <c r="FQ9" s="269"/>
      <c r="FR9" s="269"/>
      <c r="FS9" s="269"/>
      <c r="FT9" s="269"/>
      <c r="FU9" s="269"/>
      <c r="FV9" s="269"/>
    </row>
    <row r="10" spans="2:178" s="630" customFormat="1" ht="23.25">
      <c r="B10" s="321" t="s">
        <v>169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31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7"/>
      <c r="AV10" s="627"/>
      <c r="AW10" s="627"/>
      <c r="AX10" s="627"/>
      <c r="AY10" s="627"/>
      <c r="AZ10" s="627"/>
      <c r="BA10" s="627"/>
      <c r="BB10" s="627"/>
      <c r="BC10" s="627"/>
      <c r="BD10" s="627"/>
      <c r="BE10" s="627"/>
      <c r="BF10" s="627"/>
      <c r="BG10" s="627"/>
      <c r="BH10" s="627"/>
      <c r="BI10" s="627"/>
      <c r="BJ10" s="627"/>
      <c r="BK10" s="627"/>
      <c r="BL10" s="627"/>
      <c r="BM10" s="627"/>
      <c r="BN10" s="627"/>
      <c r="BO10" s="627"/>
      <c r="BP10" s="627"/>
      <c r="BQ10" s="627"/>
      <c r="BR10" s="627"/>
      <c r="BS10" s="627"/>
      <c r="BT10" s="627"/>
      <c r="BU10" s="627"/>
      <c r="BV10" s="627"/>
      <c r="BW10" s="627"/>
      <c r="BX10" s="627"/>
      <c r="BY10" s="627"/>
      <c r="BZ10" s="627"/>
      <c r="CA10" s="627"/>
      <c r="CB10" s="627"/>
      <c r="CC10" s="627"/>
      <c r="CD10" s="627"/>
      <c r="CE10" s="627"/>
      <c r="CF10" s="627"/>
      <c r="CG10" s="627"/>
      <c r="CH10" s="627"/>
      <c r="CI10" s="627"/>
      <c r="CJ10" s="627"/>
      <c r="CK10" s="627"/>
      <c r="CL10" s="627"/>
      <c r="CM10" s="627"/>
      <c r="CN10" s="627"/>
      <c r="CO10" s="627"/>
      <c r="CP10" s="627"/>
      <c r="CQ10" s="627"/>
      <c r="CR10" s="627"/>
      <c r="CS10" s="627"/>
      <c r="CT10" s="627"/>
      <c r="CU10" s="627"/>
      <c r="CV10" s="627"/>
      <c r="CW10" s="627"/>
      <c r="CX10" s="627"/>
      <c r="CY10" s="627"/>
      <c r="CZ10" s="627"/>
      <c r="DA10" s="627"/>
      <c r="DB10" s="627"/>
      <c r="DC10" s="627"/>
      <c r="DD10" s="627"/>
      <c r="DE10" s="627"/>
      <c r="DF10" s="627"/>
      <c r="DG10" s="627"/>
      <c r="DH10" s="627"/>
      <c r="DI10" s="627"/>
      <c r="DJ10" s="627"/>
      <c r="DK10" s="627"/>
      <c r="DL10" s="627"/>
      <c r="DM10" s="627"/>
      <c r="DN10" s="627"/>
      <c r="DO10" s="627"/>
      <c r="DP10" s="627"/>
      <c r="DQ10" s="627"/>
      <c r="DR10" s="627"/>
      <c r="DS10" s="627"/>
      <c r="DT10" s="627"/>
      <c r="DU10" s="627"/>
      <c r="DV10" s="627"/>
      <c r="DW10" s="627"/>
      <c r="DX10" s="627"/>
      <c r="DY10" s="627"/>
      <c r="DZ10" s="627"/>
      <c r="EA10" s="627"/>
      <c r="EB10" s="627"/>
      <c r="EC10" s="627"/>
      <c r="ED10" s="627"/>
      <c r="EE10" s="627"/>
      <c r="EF10" s="627"/>
      <c r="EG10" s="627"/>
      <c r="EH10" s="627"/>
      <c r="EI10" s="627"/>
      <c r="EJ10" s="627"/>
      <c r="EK10" s="627"/>
      <c r="EL10" s="627"/>
      <c r="EM10" s="627"/>
      <c r="EN10" s="627"/>
      <c r="EO10" s="627"/>
      <c r="EP10" s="627"/>
      <c r="EQ10" s="627"/>
      <c r="ER10" s="627"/>
      <c r="ES10" s="627"/>
      <c r="ET10" s="627"/>
      <c r="EU10" s="627"/>
      <c r="EV10" s="627"/>
      <c r="EW10" s="627"/>
      <c r="EX10" s="627"/>
      <c r="EY10" s="627"/>
      <c r="EZ10" s="627"/>
      <c r="FA10" s="627"/>
      <c r="FB10" s="627"/>
      <c r="FC10" s="627"/>
      <c r="FD10" s="627"/>
      <c r="FE10" s="627"/>
      <c r="FF10" s="627"/>
      <c r="FG10" s="627"/>
      <c r="FH10" s="627"/>
      <c r="FI10" s="627"/>
      <c r="FJ10" s="627"/>
      <c r="FK10" s="627"/>
      <c r="FL10" s="627"/>
      <c r="FM10" s="627"/>
      <c r="FN10" s="627"/>
      <c r="FO10" s="627"/>
      <c r="FP10" s="627"/>
      <c r="FQ10" s="627"/>
      <c r="FR10" s="627"/>
      <c r="FS10" s="627"/>
      <c r="FT10" s="627"/>
      <c r="FU10" s="627"/>
      <c r="FV10" s="627"/>
    </row>
    <row r="11" spans="2:178" s="90" customFormat="1" ht="16.5" thickBot="1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629"/>
      <c r="V11" s="62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69"/>
    </row>
    <row r="12" spans="2:178" s="90" customFormat="1" ht="16.5" thickTop="1">
      <c r="B12" s="632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4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  <c r="FR12" s="269"/>
      <c r="FS12" s="269"/>
      <c r="FT12" s="269"/>
      <c r="FU12" s="269"/>
      <c r="FV12" s="269"/>
    </row>
    <row r="13" spans="2:178" s="90" customFormat="1" ht="19.5">
      <c r="B13" s="96" t="s">
        <v>186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6"/>
      <c r="V13" s="62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69"/>
      <c r="FL13" s="269"/>
      <c r="FM13" s="269"/>
      <c r="FN13" s="269"/>
      <c r="FO13" s="269"/>
      <c r="FP13" s="269"/>
      <c r="FQ13" s="269"/>
      <c r="FR13" s="269"/>
      <c r="FS13" s="269"/>
      <c r="FT13" s="269"/>
      <c r="FU13" s="269"/>
      <c r="FV13" s="269"/>
    </row>
    <row r="14" spans="2:21" s="90" customFormat="1" ht="16.5" thickBot="1">
      <c r="B14" s="25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637"/>
    </row>
    <row r="15" spans="2:21" s="322" customFormat="1" ht="33.75" customHeight="1" thickBot="1" thickTop="1">
      <c r="B15" s="323"/>
      <c r="C15" s="148"/>
      <c r="D15" s="148" t="s">
        <v>34</v>
      </c>
      <c r="E15" s="155" t="s">
        <v>53</v>
      </c>
      <c r="F15" s="155" t="s">
        <v>54</v>
      </c>
      <c r="G15" s="638" t="s">
        <v>170</v>
      </c>
      <c r="H15" s="638">
        <f>IF('[1]BASE'!CP15=0,"",'[1]BASE'!CP15)</f>
        <v>36923</v>
      </c>
      <c r="I15" s="638">
        <f>IF('[1]BASE'!CQ15=0,"",'[1]BASE'!CQ15)</f>
        <v>36951</v>
      </c>
      <c r="J15" s="638">
        <f>IF('[1]BASE'!CR15=0,"",'[1]BASE'!CR15)</f>
        <v>36982</v>
      </c>
      <c r="K15" s="638">
        <f>IF('[1]BASE'!CS15=0,"",'[1]BASE'!CS15)</f>
        <v>37012</v>
      </c>
      <c r="L15" s="638">
        <f>IF('[1]BASE'!CT15=0,"",'[1]BASE'!CT15)</f>
        <v>37043</v>
      </c>
      <c r="M15" s="638">
        <f>IF('[1]BASE'!CU15=0,"",'[1]BASE'!CU15)</f>
        <v>37073</v>
      </c>
      <c r="N15" s="638">
        <f>IF('[1]BASE'!CV15=0,"",'[1]BASE'!CV15)</f>
        <v>37104</v>
      </c>
      <c r="O15" s="638" t="str">
        <f>IF('[1]BASE'!CW15=0,"",'[1]BASE'!CW15)</f>
        <v>Set-01</v>
      </c>
      <c r="P15" s="638">
        <f>IF('[1]BASE'!CX15=0,"",'[1]BASE'!CX15)</f>
        <v>37165</v>
      </c>
      <c r="Q15" s="638">
        <f>IF('[1]BASE'!CY15=0,"",'[1]BASE'!CY15)</f>
        <v>37196</v>
      </c>
      <c r="R15" s="638">
        <f>IF('[1]BASE'!CZ15=0,"",'[1]BASE'!CZ15)</f>
        <v>37226</v>
      </c>
      <c r="S15" s="638">
        <f>IF('[1]BASE'!DA15=0,"",'[1]BASE'!DA15)</f>
        <v>37257</v>
      </c>
      <c r="T15" s="638">
        <f>IF('[1]BASE'!DB15=0,"",'[1]BASE'!DB15)</f>
        <v>37288</v>
      </c>
      <c r="U15" s="324"/>
    </row>
    <row r="16" spans="2:21" s="639" customFormat="1" ht="19.5" customHeight="1" thickTop="1">
      <c r="B16" s="640"/>
      <c r="C16" s="641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3"/>
      <c r="U16" s="644"/>
    </row>
    <row r="17" spans="2:21" s="639" customFormat="1" ht="19.5" customHeight="1">
      <c r="B17" s="640"/>
      <c r="C17" s="645">
        <f>IF('[1]BASE'!C17=0,"",'[1]BASE'!C17)</f>
        <v>1</v>
      </c>
      <c r="D17" s="645" t="str">
        <f>IF('[1]BASE'!D17=0,"",'[1]BASE'!D17)</f>
        <v>ABASTO - OLAVARRIA 1</v>
      </c>
      <c r="E17" s="645">
        <f>IF('[1]BASE'!E17=0,"",'[1]BASE'!E17)</f>
        <v>500</v>
      </c>
      <c r="F17" s="645">
        <f>IF('[1]BASE'!F17=0,"",'[1]BASE'!F17)</f>
        <v>291</v>
      </c>
      <c r="G17" s="646" t="str">
        <f>IF('[1]BASE'!G17=0,"",'[1]BASE'!G17)</f>
        <v>B</v>
      </c>
      <c r="H17" s="646">
        <f>IF('[1]BASE'!CP17=0,"",'[1]BASE'!CP17)</f>
      </c>
      <c r="I17" s="646">
        <f>IF('[1]BASE'!CQ17=0,"",'[1]BASE'!CQ17)</f>
      </c>
      <c r="J17" s="646">
        <f>IF('[1]BASE'!CR17=0,"",'[1]BASE'!CR17)</f>
      </c>
      <c r="K17" s="646">
        <f>IF('[1]BASE'!CS17=0,"",'[1]BASE'!CS17)</f>
      </c>
      <c r="L17" s="646">
        <f>IF('[1]BASE'!CT17=0,"",'[1]BASE'!CT17)</f>
      </c>
      <c r="M17" s="646">
        <f>IF('[1]BASE'!CU17=0,"",'[1]BASE'!CU17)</f>
        <v>1</v>
      </c>
      <c r="N17" s="646">
        <f>IF('[1]BASE'!CV17=0,"",'[1]BASE'!CV17)</f>
      </c>
      <c r="O17" s="646">
        <f>IF('[1]BASE'!CW17=0,"",'[1]BASE'!CW17)</f>
      </c>
      <c r="P17" s="646">
        <f>IF('[1]BASE'!CX17=0,"",'[1]BASE'!CX17)</f>
      </c>
      <c r="Q17" s="646">
        <f>IF('[1]BASE'!CY17=0,"",'[1]BASE'!CY17)</f>
      </c>
      <c r="R17" s="646">
        <f>IF('[1]BASE'!CZ17=0,"",'[1]BASE'!CZ17)</f>
      </c>
      <c r="S17" s="646">
        <f>IF('[1]BASE'!DA17=0,"",'[1]BASE'!DA17)</f>
      </c>
      <c r="T17" s="647"/>
      <c r="U17" s="644"/>
    </row>
    <row r="18" spans="2:21" s="639" customFormat="1" ht="19.5" customHeight="1">
      <c r="B18" s="640"/>
      <c r="C18" s="648">
        <f>IF('[1]BASE'!C18=0,"",'[1]BASE'!C18)</f>
        <v>2</v>
      </c>
      <c r="D18" s="648" t="str">
        <f>IF('[1]BASE'!D18=0,"",'[1]BASE'!D18)</f>
        <v>ABASTO - OLAVARRIA 2</v>
      </c>
      <c r="E18" s="648">
        <f>IF('[1]BASE'!E18=0,"",'[1]BASE'!E18)</f>
        <v>500</v>
      </c>
      <c r="F18" s="648">
        <f>IF('[1]BASE'!F18=0,"",'[1]BASE'!F18)</f>
        <v>301.9</v>
      </c>
      <c r="G18" s="649">
        <f>IF('[1]BASE'!G18=0,"",'[1]BASE'!G18)</f>
      </c>
      <c r="H18" s="649">
        <f>IF('[1]BASE'!CP18=0,"",'[1]BASE'!CP18)</f>
      </c>
      <c r="I18" s="649">
        <f>IF('[1]BASE'!CQ18=0,"",'[1]BASE'!CQ18)</f>
      </c>
      <c r="J18" s="649">
        <f>IF('[1]BASE'!CR18=0,"",'[1]BASE'!CR18)</f>
      </c>
      <c r="K18" s="649">
        <f>IF('[1]BASE'!CS18=0,"",'[1]BASE'!CS18)</f>
      </c>
      <c r="L18" s="649">
        <f>IF('[1]BASE'!CT18=0,"",'[1]BASE'!CT18)</f>
        <v>1</v>
      </c>
      <c r="M18" s="649">
        <f>IF('[1]BASE'!CU18=0,"",'[1]BASE'!CU18)</f>
      </c>
      <c r="N18" s="649">
        <f>IF('[1]BASE'!CV18=0,"",'[1]BASE'!CV18)</f>
        <v>1</v>
      </c>
      <c r="O18" s="649">
        <f>IF('[1]BASE'!CW18=0,"",'[1]BASE'!CW18)</f>
        <v>1</v>
      </c>
      <c r="P18" s="649">
        <f>IF('[1]BASE'!CX18=0,"",'[1]BASE'!CX18)</f>
      </c>
      <c r="Q18" s="649">
        <f>IF('[1]BASE'!CY18=0,"",'[1]BASE'!CY18)</f>
      </c>
      <c r="R18" s="649">
        <f>IF('[1]BASE'!CZ18=0,"",'[1]BASE'!CZ18)</f>
      </c>
      <c r="S18" s="649">
        <f>IF('[1]BASE'!DA18=0,"",'[1]BASE'!DA18)</f>
        <v>2</v>
      </c>
      <c r="T18" s="647"/>
      <c r="U18" s="644"/>
    </row>
    <row r="19" spans="2:21" s="639" customFormat="1" ht="19.5" customHeight="1">
      <c r="B19" s="640"/>
      <c r="C19" s="650">
        <f>IF('[1]BASE'!C19=0,"",'[1]BASE'!C19)</f>
        <v>3</v>
      </c>
      <c r="D19" s="650" t="str">
        <f>IF('[1]BASE'!D19=0,"",'[1]BASE'!D19)</f>
        <v>AGUA DEL CAJON - CHOCON OESTE</v>
      </c>
      <c r="E19" s="650">
        <f>IF('[1]BASE'!E19=0,"",'[1]BASE'!E19)</f>
        <v>500</v>
      </c>
      <c r="F19" s="650">
        <f>IF('[1]BASE'!F19=0,"",'[1]BASE'!F19)</f>
        <v>52</v>
      </c>
      <c r="G19" s="651">
        <f>IF('[1]BASE'!G19=0,"",'[1]BASE'!G19)</f>
      </c>
      <c r="H19" s="646">
        <f>IF('[1]BASE'!CP19=0,"",'[1]BASE'!CP19)</f>
      </c>
      <c r="I19" s="646">
        <f>IF('[1]BASE'!CQ19=0,"",'[1]BASE'!CQ19)</f>
      </c>
      <c r="J19" s="646">
        <f>IF('[1]BASE'!CR19=0,"",'[1]BASE'!CR19)</f>
      </c>
      <c r="K19" s="646">
        <f>IF('[1]BASE'!CS19=0,"",'[1]BASE'!CS19)</f>
      </c>
      <c r="L19" s="646">
        <f>IF('[1]BASE'!CT19=0,"",'[1]BASE'!CT19)</f>
      </c>
      <c r="M19" s="646">
        <f>IF('[1]BASE'!CU19=0,"",'[1]BASE'!CU19)</f>
      </c>
      <c r="N19" s="646">
        <f>IF('[1]BASE'!CV19=0,"",'[1]BASE'!CV19)</f>
      </c>
      <c r="O19" s="646">
        <f>IF('[1]BASE'!CW19=0,"",'[1]BASE'!CW19)</f>
      </c>
      <c r="P19" s="646">
        <f>IF('[1]BASE'!CX19=0,"",'[1]BASE'!CX19)</f>
      </c>
      <c r="Q19" s="646">
        <f>IF('[1]BASE'!CY19=0,"",'[1]BASE'!CY19)</f>
      </c>
      <c r="R19" s="646">
        <f>IF('[1]BASE'!CZ19=0,"",'[1]BASE'!CZ19)</f>
      </c>
      <c r="S19" s="646">
        <f>IF('[1]BASE'!DA19=0,"",'[1]BASE'!DA19)</f>
      </c>
      <c r="T19" s="647"/>
      <c r="U19" s="644"/>
    </row>
    <row r="20" spans="2:21" s="639" customFormat="1" ht="19.5" customHeight="1">
      <c r="B20" s="640"/>
      <c r="C20" s="648">
        <f>IF('[1]BASE'!C20=0,"",'[1]BASE'!C20)</f>
        <v>4</v>
      </c>
      <c r="D20" s="648" t="str">
        <f>IF('[1]BASE'!D20=0,"",'[1]BASE'!D20)</f>
        <v>ALICURA - E.T. P.del A. 1 (5LG1)</v>
      </c>
      <c r="E20" s="648">
        <f>IF('[1]BASE'!E20=0,"",'[1]BASE'!E20)</f>
        <v>500</v>
      </c>
      <c r="F20" s="648">
        <f>IF('[1]BASE'!F20=0,"",'[1]BASE'!F20)</f>
        <v>77.2</v>
      </c>
      <c r="G20" s="649" t="str">
        <f>IF('[1]BASE'!G20=0,"",'[1]BASE'!G20)</f>
        <v>C</v>
      </c>
      <c r="H20" s="649">
        <f>IF('[1]BASE'!CP20=0,"",'[1]BASE'!CP20)</f>
      </c>
      <c r="I20" s="649">
        <f>IF('[1]BASE'!CQ20=0,"",'[1]BASE'!CQ20)</f>
      </c>
      <c r="J20" s="649">
        <f>IF('[1]BASE'!CR20=0,"",'[1]BASE'!CR20)</f>
      </c>
      <c r="K20" s="649">
        <f>IF('[1]BASE'!CS20=0,"",'[1]BASE'!CS20)</f>
      </c>
      <c r="L20" s="649">
        <f>IF('[1]BASE'!CT20=0,"",'[1]BASE'!CT20)</f>
      </c>
      <c r="M20" s="649">
        <f>IF('[1]BASE'!CU20=0,"",'[1]BASE'!CU20)</f>
      </c>
      <c r="N20" s="649">
        <f>IF('[1]BASE'!CV20=0,"",'[1]BASE'!CV20)</f>
      </c>
      <c r="O20" s="649">
        <f>IF('[1]BASE'!CW20=0,"",'[1]BASE'!CW20)</f>
      </c>
      <c r="P20" s="649">
        <f>IF('[1]BASE'!CX20=0,"",'[1]BASE'!CX20)</f>
      </c>
      <c r="Q20" s="649">
        <f>IF('[1]BASE'!CY20=0,"",'[1]BASE'!CY20)</f>
      </c>
      <c r="R20" s="649">
        <f>IF('[1]BASE'!CZ20=0,"",'[1]BASE'!CZ20)</f>
      </c>
      <c r="S20" s="649">
        <f>IF('[1]BASE'!DA20=0,"",'[1]BASE'!DA20)</f>
      </c>
      <c r="T20" s="647"/>
      <c r="U20" s="644"/>
    </row>
    <row r="21" spans="2:21" s="639" customFormat="1" ht="19.5" customHeight="1">
      <c r="B21" s="640"/>
      <c r="C21" s="650">
        <f>IF('[1]BASE'!C21=0,"",'[1]BASE'!C21)</f>
        <v>5</v>
      </c>
      <c r="D21" s="650" t="str">
        <f>IF('[1]BASE'!D21=0,"",'[1]BASE'!D21)</f>
        <v>ALICURA - E.T. P.del A. 2 (5LG2)</v>
      </c>
      <c r="E21" s="650">
        <f>IF('[1]BASE'!E21=0,"",'[1]BASE'!E21)</f>
        <v>500</v>
      </c>
      <c r="F21" s="650">
        <f>IF('[1]BASE'!F21=0,"",'[1]BASE'!F21)</f>
        <v>77.1</v>
      </c>
      <c r="G21" s="651" t="str">
        <f>IF('[1]BASE'!G21=0,"",'[1]BASE'!G21)</f>
        <v>C</v>
      </c>
      <c r="H21" s="651">
        <f>IF('[1]BASE'!CP21=0,"",'[1]BASE'!CP21)</f>
      </c>
      <c r="I21" s="651">
        <f>IF('[1]BASE'!CQ21=0,"",'[1]BASE'!CQ21)</f>
      </c>
      <c r="J21" s="651">
        <f>IF('[1]BASE'!CR21=0,"",'[1]BASE'!CR21)</f>
      </c>
      <c r="K21" s="651">
        <f>IF('[1]BASE'!CS21=0,"",'[1]BASE'!CS21)</f>
      </c>
      <c r="L21" s="651">
        <f>IF('[1]BASE'!CT21=0,"",'[1]BASE'!CT21)</f>
      </c>
      <c r="M21" s="651">
        <f>IF('[1]BASE'!CU21=0,"",'[1]BASE'!CU21)</f>
      </c>
      <c r="N21" s="651">
        <f>IF('[1]BASE'!CV21=0,"",'[1]BASE'!CV21)</f>
      </c>
      <c r="O21" s="651">
        <f>IF('[1]BASE'!CW21=0,"",'[1]BASE'!CW21)</f>
      </c>
      <c r="P21" s="651">
        <f>IF('[1]BASE'!CX21=0,"",'[1]BASE'!CX21)</f>
      </c>
      <c r="Q21" s="651">
        <f>IF('[1]BASE'!CY21=0,"",'[1]BASE'!CY21)</f>
      </c>
      <c r="R21" s="651">
        <f>IF('[1]BASE'!CZ21=0,"",'[1]BASE'!CZ21)</f>
        <v>1</v>
      </c>
      <c r="S21" s="651">
        <f>IF('[1]BASE'!DA21=0,"",'[1]BASE'!DA21)</f>
      </c>
      <c r="T21" s="647"/>
      <c r="U21" s="644"/>
    </row>
    <row r="22" spans="2:21" s="639" customFormat="1" ht="19.5" customHeight="1">
      <c r="B22" s="640"/>
      <c r="C22" s="648">
        <f>IF('[1]BASE'!C22=0,"",'[1]BASE'!C22)</f>
        <v>6</v>
      </c>
      <c r="D22" s="648" t="str">
        <f>IF('[1]BASE'!D22=0,"",'[1]BASE'!D22)</f>
        <v>ALMAFUERTE - EMBALSE </v>
      </c>
      <c r="E22" s="648">
        <f>IF('[1]BASE'!E22=0,"",'[1]BASE'!E22)</f>
        <v>500</v>
      </c>
      <c r="F22" s="648">
        <f>IF('[1]BASE'!F22=0,"",'[1]BASE'!F22)</f>
        <v>12</v>
      </c>
      <c r="G22" s="649" t="str">
        <f>IF('[1]BASE'!G22=0,"",'[1]BASE'!G22)</f>
        <v>A</v>
      </c>
      <c r="H22" s="649">
        <f>IF('[1]BASE'!CP22=0,"",'[1]BASE'!CP22)</f>
      </c>
      <c r="I22" s="649">
        <f>IF('[1]BASE'!CQ22=0,"",'[1]BASE'!CQ22)</f>
      </c>
      <c r="J22" s="649">
        <f>IF('[1]BASE'!CR22=0,"",'[1]BASE'!CR22)</f>
      </c>
      <c r="K22" s="649">
        <f>IF('[1]BASE'!CS22=0,"",'[1]BASE'!CS22)</f>
      </c>
      <c r="L22" s="649">
        <f>IF('[1]BASE'!CT22=0,"",'[1]BASE'!CT22)</f>
      </c>
      <c r="M22" s="649">
        <f>IF('[1]BASE'!CU22=0,"",'[1]BASE'!CU22)</f>
      </c>
      <c r="N22" s="649">
        <f>IF('[1]BASE'!CV22=0,"",'[1]BASE'!CV22)</f>
      </c>
      <c r="O22" s="649">
        <f>IF('[1]BASE'!CW22=0,"",'[1]BASE'!CW22)</f>
      </c>
      <c r="P22" s="649">
        <f>IF('[1]BASE'!CX22=0,"",'[1]BASE'!CX22)</f>
      </c>
      <c r="Q22" s="649">
        <f>IF('[1]BASE'!CY22=0,"",'[1]BASE'!CY22)</f>
      </c>
      <c r="R22" s="649">
        <f>IF('[1]BASE'!CZ22=0,"",'[1]BASE'!CZ22)</f>
      </c>
      <c r="S22" s="649">
        <f>IF('[1]BASE'!DA22=0,"",'[1]BASE'!DA22)</f>
      </c>
      <c r="T22" s="647"/>
      <c r="U22" s="644"/>
    </row>
    <row r="23" spans="2:21" s="639" customFormat="1" ht="19.5" customHeight="1">
      <c r="B23" s="640"/>
      <c r="C23" s="650">
        <f>IF('[1]BASE'!C23=0,"",'[1]BASE'!C23)</f>
        <v>7</v>
      </c>
      <c r="D23" s="650" t="str">
        <f>IF('[1]BASE'!D23=0,"",'[1]BASE'!D23)</f>
        <v> ALMAFUERTE - ROSARIO OESTE</v>
      </c>
      <c r="E23" s="650">
        <f>IF('[1]BASE'!E23=0,"",'[1]BASE'!E23)</f>
        <v>500</v>
      </c>
      <c r="F23" s="650">
        <f>IF('[1]BASE'!F23=0,"",'[1]BASE'!F23)</f>
        <v>345</v>
      </c>
      <c r="G23" s="651" t="str">
        <f>IF('[1]BASE'!G23=0,"",'[1]BASE'!G23)</f>
        <v>A</v>
      </c>
      <c r="H23" s="651">
        <f>IF('[1]BASE'!CP23=0,"",'[1]BASE'!CP23)</f>
      </c>
      <c r="I23" s="651">
        <f>IF('[1]BASE'!CQ23=0,"",'[1]BASE'!CQ23)</f>
      </c>
      <c r="J23" s="651">
        <f>IF('[1]BASE'!CR23=0,"",'[1]BASE'!CR23)</f>
      </c>
      <c r="K23" s="651">
        <f>IF('[1]BASE'!CS23=0,"",'[1]BASE'!CS23)</f>
      </c>
      <c r="L23" s="651">
        <f>IF('[1]BASE'!CT23=0,"",'[1]BASE'!CT23)</f>
      </c>
      <c r="M23" s="651">
        <f>IF('[1]BASE'!CU23=0,"",'[1]BASE'!CU23)</f>
      </c>
      <c r="N23" s="651">
        <f>IF('[1]BASE'!CV23=0,"",'[1]BASE'!CV23)</f>
      </c>
      <c r="O23" s="651">
        <f>IF('[1]BASE'!CW23=0,"",'[1]BASE'!CW23)</f>
      </c>
      <c r="P23" s="651">
        <f>IF('[1]BASE'!CX23=0,"",'[1]BASE'!CX23)</f>
      </c>
      <c r="Q23" s="651">
        <f>IF('[1]BASE'!CY23=0,"",'[1]BASE'!CY23)</f>
      </c>
      <c r="R23" s="651">
        <f>IF('[1]BASE'!CZ23=0,"",'[1]BASE'!CZ23)</f>
      </c>
      <c r="S23" s="651">
        <f>IF('[1]BASE'!DA23=0,"",'[1]BASE'!DA23)</f>
      </c>
      <c r="T23" s="647"/>
      <c r="U23" s="644"/>
    </row>
    <row r="24" spans="2:21" s="639" customFormat="1" ht="19.5" customHeight="1">
      <c r="B24" s="640"/>
      <c r="C24" s="648">
        <f>IF('[1]BASE'!C24=0,"",'[1]BASE'!C24)</f>
        <v>8</v>
      </c>
      <c r="D24" s="648" t="str">
        <f>IF('[1]BASE'!D24=0,"",'[1]BASE'!D24)</f>
        <v>BAHIA BLANCA - CHOELE CHOEL 1</v>
      </c>
      <c r="E24" s="648">
        <f>IF('[1]BASE'!E24=0,"",'[1]BASE'!E24)</f>
        <v>500</v>
      </c>
      <c r="F24" s="648">
        <f>IF('[1]BASE'!F24=0,"",'[1]BASE'!F24)</f>
        <v>348</v>
      </c>
      <c r="G24" s="649" t="str">
        <f>IF('[1]BASE'!G24=0,"",'[1]BASE'!G24)</f>
        <v>B</v>
      </c>
      <c r="H24" s="649">
        <f>IF('[1]BASE'!CP24=0,"",'[1]BASE'!CP24)</f>
      </c>
      <c r="I24" s="649">
        <f>IF('[1]BASE'!CQ24=0,"",'[1]BASE'!CQ24)</f>
      </c>
      <c r="J24" s="649">
        <f>IF('[1]BASE'!CR24=0,"",'[1]BASE'!CR24)</f>
      </c>
      <c r="K24" s="649">
        <f>IF('[1]BASE'!CS24=0,"",'[1]BASE'!CS24)</f>
      </c>
      <c r="L24" s="649">
        <f>IF('[1]BASE'!CT24=0,"",'[1]BASE'!CT24)</f>
      </c>
      <c r="M24" s="649">
        <f>IF('[1]BASE'!CU24=0,"",'[1]BASE'!CU24)</f>
      </c>
      <c r="N24" s="649">
        <f>IF('[1]BASE'!CV24=0,"",'[1]BASE'!CV24)</f>
      </c>
      <c r="O24" s="649">
        <f>IF('[1]BASE'!CW24=0,"",'[1]BASE'!CW24)</f>
      </c>
      <c r="P24" s="649">
        <f>IF('[1]BASE'!CX24=0,"",'[1]BASE'!CX24)</f>
      </c>
      <c r="Q24" s="649">
        <f>IF('[1]BASE'!CY24=0,"",'[1]BASE'!CY24)</f>
      </c>
      <c r="R24" s="649">
        <f>IF('[1]BASE'!CZ24=0,"",'[1]BASE'!CZ24)</f>
      </c>
      <c r="S24" s="649">
        <f>IF('[1]BASE'!DA24=0,"",'[1]BASE'!DA24)</f>
      </c>
      <c r="T24" s="647"/>
      <c r="U24" s="644"/>
    </row>
    <row r="25" spans="2:21" s="639" customFormat="1" ht="19.5" customHeight="1">
      <c r="B25" s="640"/>
      <c r="C25" s="650">
        <f>IF('[1]BASE'!C25=0,"",'[1]BASE'!C25)</f>
        <v>9</v>
      </c>
      <c r="D25" s="650" t="str">
        <f>IF('[1]BASE'!D25=0,"",'[1]BASE'!D25)</f>
        <v>BAHIA BLANCA - CHOELE CHOEL 2</v>
      </c>
      <c r="E25" s="650">
        <f>IF('[1]BASE'!E25=0,"",'[1]BASE'!E25)</f>
        <v>500</v>
      </c>
      <c r="F25" s="650">
        <f>IF('[1]BASE'!F25=0,"",'[1]BASE'!F25)</f>
        <v>348.4</v>
      </c>
      <c r="G25" s="651">
        <f>IF('[1]BASE'!G25=0,"",'[1]BASE'!G25)</f>
      </c>
      <c r="H25" s="651">
        <f>IF('[1]BASE'!CP25=0,"",'[1]BASE'!CP25)</f>
      </c>
      <c r="I25" s="651">
        <f>IF('[1]BASE'!CQ25=0,"",'[1]BASE'!CQ25)</f>
      </c>
      <c r="J25" s="651">
        <f>IF('[1]BASE'!CR25=0,"",'[1]BASE'!CR25)</f>
      </c>
      <c r="K25" s="651">
        <f>IF('[1]BASE'!CS25=0,"",'[1]BASE'!CS25)</f>
      </c>
      <c r="L25" s="651">
        <f>IF('[1]BASE'!CT25=0,"",'[1]BASE'!CT25)</f>
      </c>
      <c r="M25" s="651">
        <f>IF('[1]BASE'!CU25=0,"",'[1]BASE'!CU25)</f>
      </c>
      <c r="N25" s="651">
        <f>IF('[1]BASE'!CV25=0,"",'[1]BASE'!CV25)</f>
      </c>
      <c r="O25" s="651">
        <f>IF('[1]BASE'!CW25=0,"",'[1]BASE'!CW25)</f>
      </c>
      <c r="P25" s="651">
        <f>IF('[1]BASE'!CX25=0,"",'[1]BASE'!CX25)</f>
      </c>
      <c r="Q25" s="651">
        <f>IF('[1]BASE'!CY25=0,"",'[1]BASE'!CY25)</f>
        <v>1</v>
      </c>
      <c r="R25" s="651">
        <f>IF('[1]BASE'!CZ25=0,"",'[1]BASE'!CZ25)</f>
        <v>1</v>
      </c>
      <c r="S25" s="651">
        <f>IF('[1]BASE'!DA25=0,"",'[1]BASE'!DA25)</f>
        <v>1</v>
      </c>
      <c r="T25" s="647"/>
      <c r="U25" s="644"/>
    </row>
    <row r="26" spans="2:21" s="639" customFormat="1" ht="19.5" customHeight="1">
      <c r="B26" s="640"/>
      <c r="C26" s="648">
        <f>IF('[1]BASE'!C26=0,"",'[1]BASE'!C26)</f>
        <v>10</v>
      </c>
      <c r="D26" s="648" t="str">
        <f>IF('[1]BASE'!D26=0,"",'[1]BASE'!D26)</f>
        <v>CERR. de la CTA - P.BAND. (A3)</v>
      </c>
      <c r="E26" s="648">
        <f>IF('[1]BASE'!E26=0,"",'[1]BASE'!E26)</f>
        <v>500</v>
      </c>
      <c r="F26" s="648">
        <f>IF('[1]BASE'!F26=0,"",'[1]BASE'!F26)</f>
        <v>27</v>
      </c>
      <c r="G26" s="649" t="str">
        <f>IF('[1]BASE'!G26=0,"",'[1]BASE'!G26)</f>
        <v>C</v>
      </c>
      <c r="H26" s="649">
        <f>IF('[1]BASE'!CP26=0,"",'[1]BASE'!CP26)</f>
      </c>
      <c r="I26" s="649">
        <f>IF('[1]BASE'!CQ26=0,"",'[1]BASE'!CQ26)</f>
      </c>
      <c r="J26" s="649">
        <f>IF('[1]BASE'!CR26=0,"",'[1]BASE'!CR26)</f>
        <v>2</v>
      </c>
      <c r="K26" s="649">
        <f>IF('[1]BASE'!CS26=0,"",'[1]BASE'!CS26)</f>
      </c>
      <c r="L26" s="649">
        <f>IF('[1]BASE'!CT26=0,"",'[1]BASE'!CT26)</f>
      </c>
      <c r="M26" s="649">
        <f>IF('[1]BASE'!CU26=0,"",'[1]BASE'!CU26)</f>
        <v>1</v>
      </c>
      <c r="N26" s="649">
        <f>IF('[1]BASE'!CV26=0,"",'[1]BASE'!CV26)</f>
      </c>
      <c r="O26" s="649">
        <f>IF('[1]BASE'!CW26=0,"",'[1]BASE'!CW26)</f>
      </c>
      <c r="P26" s="649">
        <f>IF('[1]BASE'!CX26=0,"",'[1]BASE'!CX26)</f>
      </c>
      <c r="Q26" s="649">
        <f>IF('[1]BASE'!CY26=0,"",'[1]BASE'!CY26)</f>
      </c>
      <c r="R26" s="649">
        <f>IF('[1]BASE'!CZ26=0,"",'[1]BASE'!CZ26)</f>
      </c>
      <c r="S26" s="649">
        <f>IF('[1]BASE'!DA26=0,"",'[1]BASE'!DA26)</f>
      </c>
      <c r="T26" s="647"/>
      <c r="U26" s="644"/>
    </row>
    <row r="27" spans="2:21" s="639" customFormat="1" ht="19.5" customHeight="1">
      <c r="B27" s="640"/>
      <c r="C27" s="650">
        <f>IF('[1]BASE'!C27=0,"",'[1]BASE'!C27)</f>
        <v>11</v>
      </c>
      <c r="D27" s="650" t="str">
        <f>IF('[1]BASE'!D27=0,"",'[1]BASE'!D27)</f>
        <v>COLONIA ELIA - CAMPANA</v>
      </c>
      <c r="E27" s="650">
        <f>IF('[1]BASE'!E27=0,"",'[1]BASE'!E27)</f>
        <v>500</v>
      </c>
      <c r="F27" s="650">
        <f>IF('[1]BASE'!F27=0,"",'[1]BASE'!F27)</f>
        <v>166</v>
      </c>
      <c r="G27" s="651" t="str">
        <f>IF('[1]BASE'!G27=0,"",'[1]BASE'!G27)</f>
        <v>A</v>
      </c>
      <c r="H27" s="651">
        <f>IF('[1]BASE'!CP27=0,"",'[1]BASE'!CP27)</f>
      </c>
      <c r="I27" s="651">
        <f>IF('[1]BASE'!CQ27=0,"",'[1]BASE'!CQ27)</f>
      </c>
      <c r="J27" s="651">
        <f>IF('[1]BASE'!CR27=0,"",'[1]BASE'!CR27)</f>
      </c>
      <c r="K27" s="651">
        <f>IF('[1]BASE'!CS27=0,"",'[1]BASE'!CS27)</f>
      </c>
      <c r="L27" s="651">
        <f>IF('[1]BASE'!CT27=0,"",'[1]BASE'!CT27)</f>
      </c>
      <c r="M27" s="651">
        <f>IF('[1]BASE'!CU27=0,"",'[1]BASE'!CU27)</f>
      </c>
      <c r="N27" s="651">
        <f>IF('[1]BASE'!CV27=0,"",'[1]BASE'!CV27)</f>
      </c>
      <c r="O27" s="651">
        <f>IF('[1]BASE'!CW27=0,"",'[1]BASE'!CW27)</f>
      </c>
      <c r="P27" s="651">
        <f>IF('[1]BASE'!CX27=0,"",'[1]BASE'!CX27)</f>
      </c>
      <c r="Q27" s="651">
        <f>IF('[1]BASE'!CY27=0,"",'[1]BASE'!CY27)</f>
        <v>1</v>
      </c>
      <c r="R27" s="651">
        <f>IF('[1]BASE'!CZ27=0,"",'[1]BASE'!CZ27)</f>
      </c>
      <c r="S27" s="651">
        <f>IF('[1]BASE'!DA27=0,"",'[1]BASE'!DA27)</f>
        <v>1</v>
      </c>
      <c r="T27" s="647"/>
      <c r="U27" s="644"/>
    </row>
    <row r="28" spans="2:21" s="639" customFormat="1" ht="19.5" customHeight="1">
      <c r="B28" s="640"/>
      <c r="C28" s="648">
        <f>IF('[1]BASE'!C28=0,"",'[1]BASE'!C28)</f>
        <v>12</v>
      </c>
      <c r="D28" s="648" t="str">
        <f>IF('[1]BASE'!D28=0,"",'[1]BASE'!D28)</f>
        <v>CHO. W. - CHOELE CHOEL (5WH1)</v>
      </c>
      <c r="E28" s="648">
        <f>IF('[1]BASE'!E28=0,"",'[1]BASE'!E28)</f>
        <v>500</v>
      </c>
      <c r="F28" s="648">
        <f>IF('[1]BASE'!F28=0,"",'[1]BASE'!F28)</f>
        <v>269</v>
      </c>
      <c r="G28" s="649" t="str">
        <f>IF('[1]BASE'!G28=0,"",'[1]BASE'!G28)</f>
        <v>B</v>
      </c>
      <c r="H28" s="649">
        <f>IF('[1]BASE'!CP28=0,"",'[1]BASE'!CP28)</f>
      </c>
      <c r="I28" s="649">
        <f>IF('[1]BASE'!CQ28=0,"",'[1]BASE'!CQ28)</f>
      </c>
      <c r="J28" s="649">
        <f>IF('[1]BASE'!CR28=0,"",'[1]BASE'!CR28)</f>
      </c>
      <c r="K28" s="649">
        <f>IF('[1]BASE'!CS28=0,"",'[1]BASE'!CS28)</f>
        <v>1</v>
      </c>
      <c r="L28" s="649">
        <f>IF('[1]BASE'!CT28=0,"",'[1]BASE'!CT28)</f>
      </c>
      <c r="M28" s="649">
        <f>IF('[1]BASE'!CU28=0,"",'[1]BASE'!CU28)</f>
      </c>
      <c r="N28" s="649">
        <f>IF('[1]BASE'!CV28=0,"",'[1]BASE'!CV28)</f>
      </c>
      <c r="O28" s="649">
        <f>IF('[1]BASE'!CW28=0,"",'[1]BASE'!CW28)</f>
      </c>
      <c r="P28" s="649">
        <f>IF('[1]BASE'!CX28=0,"",'[1]BASE'!CX28)</f>
      </c>
      <c r="Q28" s="649">
        <f>IF('[1]BASE'!CY28=0,"",'[1]BASE'!CY28)</f>
      </c>
      <c r="R28" s="649">
        <f>IF('[1]BASE'!CZ28=0,"",'[1]BASE'!CZ28)</f>
      </c>
      <c r="S28" s="649">
        <f>IF('[1]BASE'!DA28=0,"",'[1]BASE'!DA28)</f>
      </c>
      <c r="T28" s="647"/>
      <c r="U28" s="644"/>
    </row>
    <row r="29" spans="2:21" s="639" customFormat="1" ht="19.5" customHeight="1">
      <c r="B29" s="640"/>
      <c r="C29" s="650">
        <f>IF('[1]BASE'!C29=0,"",'[1]BASE'!C29)</f>
        <v>13</v>
      </c>
      <c r="D29" s="650" t="str">
        <f>IF('[1]BASE'!D29=0,"",'[1]BASE'!D29)</f>
        <v>CHO.W. - CHO. 1 (5WC1)</v>
      </c>
      <c r="E29" s="650">
        <f>IF('[1]BASE'!E29=0,"",'[1]BASE'!E29)</f>
        <v>500</v>
      </c>
      <c r="F29" s="650">
        <f>IF('[1]BASE'!F29=0,"",'[1]BASE'!F29)</f>
        <v>4.5</v>
      </c>
      <c r="G29" s="651" t="str">
        <f>IF('[1]BASE'!G29=0,"",'[1]BASE'!G29)</f>
        <v>C</v>
      </c>
      <c r="H29" s="651">
        <f>IF('[1]BASE'!CP29=0,"",'[1]BASE'!CP29)</f>
      </c>
      <c r="I29" s="651">
        <f>IF('[1]BASE'!CQ29=0,"",'[1]BASE'!CQ29)</f>
      </c>
      <c r="J29" s="651">
        <f>IF('[1]BASE'!CR29=0,"",'[1]BASE'!CR29)</f>
      </c>
      <c r="K29" s="651">
        <f>IF('[1]BASE'!CS29=0,"",'[1]BASE'!CS29)</f>
      </c>
      <c r="L29" s="651">
        <f>IF('[1]BASE'!CT29=0,"",'[1]BASE'!CT29)</f>
      </c>
      <c r="M29" s="651">
        <f>IF('[1]BASE'!CU29=0,"",'[1]BASE'!CU29)</f>
      </c>
      <c r="N29" s="651">
        <f>IF('[1]BASE'!CV29=0,"",'[1]BASE'!CV29)</f>
      </c>
      <c r="O29" s="651">
        <f>IF('[1]BASE'!CW29=0,"",'[1]BASE'!CW29)</f>
      </c>
      <c r="P29" s="651">
        <f>IF('[1]BASE'!CX29=0,"",'[1]BASE'!CX29)</f>
      </c>
      <c r="Q29" s="651">
        <f>IF('[1]BASE'!CY29=0,"",'[1]BASE'!CY29)</f>
      </c>
      <c r="R29" s="651">
        <f>IF('[1]BASE'!CZ29=0,"",'[1]BASE'!CZ29)</f>
      </c>
      <c r="S29" s="651">
        <f>IF('[1]BASE'!DA29=0,"",'[1]BASE'!DA29)</f>
      </c>
      <c r="T29" s="647"/>
      <c r="U29" s="644"/>
    </row>
    <row r="30" spans="2:21" s="639" customFormat="1" ht="19.5" customHeight="1">
      <c r="B30" s="640"/>
      <c r="C30" s="648">
        <f>IF('[1]BASE'!C30=0,"",'[1]BASE'!C30)</f>
        <v>14</v>
      </c>
      <c r="D30" s="648" t="str">
        <f>IF('[1]BASE'!D30=0,"",'[1]BASE'!D30)</f>
        <v>CHO.W. - CHO. 2 (5WC2)</v>
      </c>
      <c r="E30" s="648">
        <f>IF('[1]BASE'!E30=0,"",'[1]BASE'!E30)</f>
        <v>500</v>
      </c>
      <c r="F30" s="648">
        <f>IF('[1]BASE'!F30=0,"",'[1]BASE'!F30)</f>
        <v>4.5</v>
      </c>
      <c r="G30" s="649" t="str">
        <f>IF('[1]BASE'!G30=0,"",'[1]BASE'!G30)</f>
        <v>C</v>
      </c>
      <c r="H30" s="649">
        <f>IF('[1]BASE'!CP30=0,"",'[1]BASE'!CP30)</f>
      </c>
      <c r="I30" s="649">
        <f>IF('[1]BASE'!CQ30=0,"",'[1]BASE'!CQ30)</f>
      </c>
      <c r="J30" s="649">
        <f>IF('[1]BASE'!CR30=0,"",'[1]BASE'!CR30)</f>
      </c>
      <c r="K30" s="649">
        <f>IF('[1]BASE'!CS30=0,"",'[1]BASE'!CS30)</f>
      </c>
      <c r="L30" s="649">
        <f>IF('[1]BASE'!CT30=0,"",'[1]BASE'!CT30)</f>
      </c>
      <c r="M30" s="649">
        <f>IF('[1]BASE'!CU30=0,"",'[1]BASE'!CU30)</f>
      </c>
      <c r="N30" s="649">
        <f>IF('[1]BASE'!CV30=0,"",'[1]BASE'!CV30)</f>
      </c>
      <c r="O30" s="649">
        <f>IF('[1]BASE'!CW30=0,"",'[1]BASE'!CW30)</f>
      </c>
      <c r="P30" s="649">
        <f>IF('[1]BASE'!CX30=0,"",'[1]BASE'!CX30)</f>
      </c>
      <c r="Q30" s="649">
        <f>IF('[1]BASE'!CY30=0,"",'[1]BASE'!CY30)</f>
      </c>
      <c r="R30" s="649">
        <f>IF('[1]BASE'!CZ30=0,"",'[1]BASE'!CZ30)</f>
      </c>
      <c r="S30" s="649">
        <f>IF('[1]BASE'!DA30=0,"",'[1]BASE'!DA30)</f>
      </c>
      <c r="T30" s="647"/>
      <c r="U30" s="644"/>
    </row>
    <row r="31" spans="2:21" s="639" customFormat="1" ht="19.5" customHeight="1">
      <c r="B31" s="640"/>
      <c r="C31" s="650">
        <f>IF('[1]BASE'!C31=0,"",'[1]BASE'!C31)</f>
        <v>15</v>
      </c>
      <c r="D31" s="650" t="str">
        <f>IF('[1]BASE'!D31=0,"",'[1]BASE'!D31)</f>
        <v>CHOCON - C.H. CHOCON 1</v>
      </c>
      <c r="E31" s="650">
        <f>IF('[1]BASE'!E31=0,"",'[1]BASE'!E31)</f>
        <v>500</v>
      </c>
      <c r="F31" s="650">
        <f>IF('[1]BASE'!F31=0,"",'[1]BASE'!F31)</f>
        <v>3</v>
      </c>
      <c r="G31" s="651" t="str">
        <f>IF('[1]BASE'!G31=0,"",'[1]BASE'!G31)</f>
        <v>C</v>
      </c>
      <c r="H31" s="651">
        <f>IF('[1]BASE'!CP31=0,"",'[1]BASE'!CP31)</f>
      </c>
      <c r="I31" s="651">
        <f>IF('[1]BASE'!CQ31=0,"",'[1]BASE'!CQ31)</f>
      </c>
      <c r="J31" s="651">
        <f>IF('[1]BASE'!CR31=0,"",'[1]BASE'!CR31)</f>
      </c>
      <c r="K31" s="651">
        <f>IF('[1]BASE'!CS31=0,"",'[1]BASE'!CS31)</f>
      </c>
      <c r="L31" s="651">
        <f>IF('[1]BASE'!CT31=0,"",'[1]BASE'!CT31)</f>
      </c>
      <c r="M31" s="651">
        <f>IF('[1]BASE'!CU31=0,"",'[1]BASE'!CU31)</f>
      </c>
      <c r="N31" s="651">
        <f>IF('[1]BASE'!CV31=0,"",'[1]BASE'!CV31)</f>
      </c>
      <c r="O31" s="651">
        <f>IF('[1]BASE'!CW31=0,"",'[1]BASE'!CW31)</f>
      </c>
      <c r="P31" s="651">
        <f>IF('[1]BASE'!CX31=0,"",'[1]BASE'!CX31)</f>
      </c>
      <c r="Q31" s="651">
        <f>IF('[1]BASE'!CY31=0,"",'[1]BASE'!CY31)</f>
      </c>
      <c r="R31" s="651">
        <f>IF('[1]BASE'!CZ31=0,"",'[1]BASE'!CZ31)</f>
      </c>
      <c r="S31" s="651">
        <f>IF('[1]BASE'!DA31=0,"",'[1]BASE'!DA31)</f>
      </c>
      <c r="T31" s="647"/>
      <c r="U31" s="644"/>
    </row>
    <row r="32" spans="2:21" s="639" customFormat="1" ht="19.5" customHeight="1">
      <c r="B32" s="640"/>
      <c r="C32" s="648">
        <f>IF('[1]BASE'!C32=0,"",'[1]BASE'!C32)</f>
        <v>16</v>
      </c>
      <c r="D32" s="648" t="str">
        <f>IF('[1]BASE'!D32=0,"",'[1]BASE'!D32)</f>
        <v>CHOCON - C.H. CHOCON 2</v>
      </c>
      <c r="E32" s="648">
        <f>IF('[1]BASE'!E32=0,"",'[1]BASE'!E32)</f>
        <v>500</v>
      </c>
      <c r="F32" s="648">
        <f>IF('[1]BASE'!F32=0,"",'[1]BASE'!F32)</f>
        <v>3</v>
      </c>
      <c r="G32" s="649" t="str">
        <f>IF('[1]BASE'!G32=0,"",'[1]BASE'!G32)</f>
        <v>C</v>
      </c>
      <c r="H32" s="649">
        <f>IF('[1]BASE'!CP32=0,"",'[1]BASE'!CP32)</f>
      </c>
      <c r="I32" s="649">
        <f>IF('[1]BASE'!CQ32=0,"",'[1]BASE'!CQ32)</f>
      </c>
      <c r="J32" s="649">
        <f>IF('[1]BASE'!CR32=0,"",'[1]BASE'!CR32)</f>
      </c>
      <c r="K32" s="649">
        <f>IF('[1]BASE'!CS32=0,"",'[1]BASE'!CS32)</f>
      </c>
      <c r="L32" s="649">
        <f>IF('[1]BASE'!CT32=0,"",'[1]BASE'!CT32)</f>
      </c>
      <c r="M32" s="649">
        <f>IF('[1]BASE'!CU32=0,"",'[1]BASE'!CU32)</f>
      </c>
      <c r="N32" s="649">
        <f>IF('[1]BASE'!CV32=0,"",'[1]BASE'!CV32)</f>
      </c>
      <c r="O32" s="649">
        <f>IF('[1]BASE'!CW32=0,"",'[1]BASE'!CW32)</f>
      </c>
      <c r="P32" s="649">
        <f>IF('[1]BASE'!CX32=0,"",'[1]BASE'!CX32)</f>
      </c>
      <c r="Q32" s="649">
        <f>IF('[1]BASE'!CY32=0,"",'[1]BASE'!CY32)</f>
      </c>
      <c r="R32" s="649">
        <f>IF('[1]BASE'!CZ32=0,"",'[1]BASE'!CZ32)</f>
      </c>
      <c r="S32" s="649">
        <f>IF('[1]BASE'!DA32=0,"",'[1]BASE'!DA32)</f>
      </c>
      <c r="T32" s="647"/>
      <c r="U32" s="644"/>
    </row>
    <row r="33" spans="2:21" s="639" customFormat="1" ht="19.5" customHeight="1">
      <c r="B33" s="640"/>
      <c r="C33" s="650">
        <f>IF('[1]BASE'!C33=0,"",'[1]BASE'!C33)</f>
        <v>17</v>
      </c>
      <c r="D33" s="650" t="str">
        <f>IF('[1]BASE'!D33=0,"",'[1]BASE'!D33)</f>
        <v>CHOCON - C.H. CHOCON 3</v>
      </c>
      <c r="E33" s="650">
        <f>IF('[1]BASE'!E33=0,"",'[1]BASE'!E33)</f>
        <v>500</v>
      </c>
      <c r="F33" s="650">
        <f>IF('[1]BASE'!F33=0,"",'[1]BASE'!F33)</f>
        <v>3</v>
      </c>
      <c r="G33" s="651" t="str">
        <f>IF('[1]BASE'!G33=0,"",'[1]BASE'!G33)</f>
        <v>C</v>
      </c>
      <c r="H33" s="651">
        <f>IF('[1]BASE'!CP33=0,"",'[1]BASE'!CP33)</f>
      </c>
      <c r="I33" s="651">
        <f>IF('[1]BASE'!CQ33=0,"",'[1]BASE'!CQ33)</f>
      </c>
      <c r="J33" s="651">
        <f>IF('[1]BASE'!CR33=0,"",'[1]BASE'!CR33)</f>
      </c>
      <c r="K33" s="651">
        <f>IF('[1]BASE'!CS33=0,"",'[1]BASE'!CS33)</f>
      </c>
      <c r="L33" s="651">
        <f>IF('[1]BASE'!CT33=0,"",'[1]BASE'!CT33)</f>
      </c>
      <c r="M33" s="651">
        <f>IF('[1]BASE'!CU33=0,"",'[1]BASE'!CU33)</f>
      </c>
      <c r="N33" s="651">
        <f>IF('[1]BASE'!CV33=0,"",'[1]BASE'!CV33)</f>
      </c>
      <c r="O33" s="651">
        <f>IF('[1]BASE'!CW33=0,"",'[1]BASE'!CW33)</f>
      </c>
      <c r="P33" s="651">
        <f>IF('[1]BASE'!CX33=0,"",'[1]BASE'!CX33)</f>
      </c>
      <c r="Q33" s="651">
        <f>IF('[1]BASE'!CY33=0,"",'[1]BASE'!CY33)</f>
      </c>
      <c r="R33" s="651">
        <f>IF('[1]BASE'!CZ33=0,"",'[1]BASE'!CZ33)</f>
      </c>
      <c r="S33" s="651">
        <f>IF('[1]BASE'!DA33=0,"",'[1]BASE'!DA33)</f>
      </c>
      <c r="T33" s="647"/>
      <c r="U33" s="644"/>
    </row>
    <row r="34" spans="2:21" s="639" customFormat="1" ht="19.5" customHeight="1">
      <c r="B34" s="640"/>
      <c r="C34" s="648">
        <f>IF('[1]BASE'!C34=0,"",'[1]BASE'!C34)</f>
        <v>18</v>
      </c>
      <c r="D34" s="648" t="str">
        <f>IF('[1]BASE'!D34=0,"",'[1]BASE'!D34)</f>
        <v>CHOCON - PUELCHES 1</v>
      </c>
      <c r="E34" s="648">
        <f>IF('[1]BASE'!E34=0,"",'[1]BASE'!E34)</f>
        <v>500</v>
      </c>
      <c r="F34" s="648">
        <f>IF('[1]BASE'!F34=0,"",'[1]BASE'!F34)</f>
        <v>304</v>
      </c>
      <c r="G34" s="649" t="str">
        <f>IF('[1]BASE'!G34=0,"",'[1]BASE'!G34)</f>
        <v>A</v>
      </c>
      <c r="H34" s="649">
        <f>IF('[1]BASE'!CP34=0,"",'[1]BASE'!CP34)</f>
      </c>
      <c r="I34" s="649">
        <f>IF('[1]BASE'!CQ34=0,"",'[1]BASE'!CQ34)</f>
      </c>
      <c r="J34" s="649">
        <f>IF('[1]BASE'!CR34=0,"",'[1]BASE'!CR34)</f>
      </c>
      <c r="K34" s="649">
        <f>IF('[1]BASE'!CS34=0,"",'[1]BASE'!CS34)</f>
      </c>
      <c r="L34" s="649">
        <f>IF('[1]BASE'!CT34=0,"",'[1]BASE'!CT34)</f>
      </c>
      <c r="M34" s="649">
        <f>IF('[1]BASE'!CU34=0,"",'[1]BASE'!CU34)</f>
      </c>
      <c r="N34" s="649">
        <f>IF('[1]BASE'!CV34=0,"",'[1]BASE'!CV34)</f>
      </c>
      <c r="O34" s="649">
        <f>IF('[1]BASE'!CW34=0,"",'[1]BASE'!CW34)</f>
      </c>
      <c r="P34" s="649">
        <f>IF('[1]BASE'!CX34=0,"",'[1]BASE'!CX34)</f>
      </c>
      <c r="Q34" s="649">
        <f>IF('[1]BASE'!CY34=0,"",'[1]BASE'!CY34)</f>
      </c>
      <c r="R34" s="649">
        <f>IF('[1]BASE'!CZ34=0,"",'[1]BASE'!CZ34)</f>
      </c>
      <c r="S34" s="649">
        <f>IF('[1]BASE'!DA34=0,"",'[1]BASE'!DA34)</f>
      </c>
      <c r="T34" s="647"/>
      <c r="U34" s="644"/>
    </row>
    <row r="35" spans="2:21" s="639" customFormat="1" ht="19.5" customHeight="1">
      <c r="B35" s="640"/>
      <c r="C35" s="650">
        <f>IF('[1]BASE'!C35=0,"",'[1]BASE'!C35)</f>
        <v>19</v>
      </c>
      <c r="D35" s="650" t="str">
        <f>IF('[1]BASE'!D35=0,"",'[1]BASE'!D35)</f>
        <v>CHOCON - PUELCHES 2</v>
      </c>
      <c r="E35" s="650">
        <f>IF('[1]BASE'!E35=0,"",'[1]BASE'!E35)</f>
        <v>500</v>
      </c>
      <c r="F35" s="650">
        <f>IF('[1]BASE'!F35=0,"",'[1]BASE'!F35)</f>
        <v>304</v>
      </c>
      <c r="G35" s="651" t="str">
        <f>IF('[1]BASE'!G35=0,"",'[1]BASE'!G35)</f>
        <v>A</v>
      </c>
      <c r="H35" s="651">
        <f>IF('[1]BASE'!CP35=0,"",'[1]BASE'!CP35)</f>
      </c>
      <c r="I35" s="651">
        <f>IF('[1]BASE'!CQ35=0,"",'[1]BASE'!CQ35)</f>
      </c>
      <c r="J35" s="651">
        <f>IF('[1]BASE'!CR35=0,"",'[1]BASE'!CR35)</f>
      </c>
      <c r="K35" s="651">
        <f>IF('[1]BASE'!CS35=0,"",'[1]BASE'!CS35)</f>
      </c>
      <c r="L35" s="651">
        <f>IF('[1]BASE'!CT35=0,"",'[1]BASE'!CT35)</f>
      </c>
      <c r="M35" s="651">
        <f>IF('[1]BASE'!CU35=0,"",'[1]BASE'!CU35)</f>
      </c>
      <c r="N35" s="651">
        <f>IF('[1]BASE'!CV35=0,"",'[1]BASE'!CV35)</f>
      </c>
      <c r="O35" s="651">
        <f>IF('[1]BASE'!CW35=0,"",'[1]BASE'!CW35)</f>
      </c>
      <c r="P35" s="651">
        <f>IF('[1]BASE'!CX35=0,"",'[1]BASE'!CX35)</f>
      </c>
      <c r="Q35" s="651">
        <f>IF('[1]BASE'!CY35=0,"",'[1]BASE'!CY35)</f>
      </c>
      <c r="R35" s="651">
        <f>IF('[1]BASE'!CZ35=0,"",'[1]BASE'!CZ35)</f>
      </c>
      <c r="S35" s="651">
        <f>IF('[1]BASE'!DA35=0,"",'[1]BASE'!DA35)</f>
      </c>
      <c r="T35" s="647"/>
      <c r="U35" s="644"/>
    </row>
    <row r="36" spans="2:21" s="639" customFormat="1" ht="19.5" customHeight="1">
      <c r="B36" s="640"/>
      <c r="C36" s="648">
        <f>IF('[1]BASE'!C36=0,"",'[1]BASE'!C36)</f>
        <v>20</v>
      </c>
      <c r="D36" s="648" t="str">
        <f>IF('[1]BASE'!D36=0,"",'[1]BASE'!D36)</f>
        <v>E.T.P.del AGUILA - CENTRAL P.del A. 1</v>
      </c>
      <c r="E36" s="648">
        <f>IF('[1]BASE'!E36=0,"",'[1]BASE'!E36)</f>
        <v>500</v>
      </c>
      <c r="F36" s="648">
        <f>IF('[1]BASE'!F36=0,"",'[1]BASE'!F36)</f>
        <v>5.4</v>
      </c>
      <c r="G36" s="649" t="str">
        <f>IF('[1]BASE'!G36=0,"",'[1]BASE'!G36)</f>
        <v>C</v>
      </c>
      <c r="H36" s="649">
        <f>IF('[1]BASE'!CP36=0,"",'[1]BASE'!CP36)</f>
      </c>
      <c r="I36" s="649">
        <f>IF('[1]BASE'!CQ36=0,"",'[1]BASE'!CQ36)</f>
      </c>
      <c r="J36" s="649">
        <f>IF('[1]BASE'!CR36=0,"",'[1]BASE'!CR36)</f>
      </c>
      <c r="K36" s="649">
        <f>IF('[1]BASE'!CS36=0,"",'[1]BASE'!CS36)</f>
      </c>
      <c r="L36" s="649">
        <f>IF('[1]BASE'!CT36=0,"",'[1]BASE'!CT36)</f>
      </c>
      <c r="M36" s="649">
        <f>IF('[1]BASE'!CU36=0,"",'[1]BASE'!CU36)</f>
      </c>
      <c r="N36" s="649">
        <f>IF('[1]BASE'!CV36=0,"",'[1]BASE'!CV36)</f>
      </c>
      <c r="O36" s="649">
        <f>IF('[1]BASE'!CW36=0,"",'[1]BASE'!CW36)</f>
      </c>
      <c r="P36" s="649">
        <f>IF('[1]BASE'!CX36=0,"",'[1]BASE'!CX36)</f>
      </c>
      <c r="Q36" s="649">
        <f>IF('[1]BASE'!CY36=0,"",'[1]BASE'!CY36)</f>
        <v>1</v>
      </c>
      <c r="R36" s="649">
        <f>IF('[1]BASE'!CZ36=0,"",'[1]BASE'!CZ36)</f>
      </c>
      <c r="S36" s="649">
        <f>IF('[1]BASE'!DA36=0,"",'[1]BASE'!DA36)</f>
      </c>
      <c r="T36" s="647"/>
      <c r="U36" s="644"/>
    </row>
    <row r="37" spans="2:21" s="639" customFormat="1" ht="19.5" customHeight="1">
      <c r="B37" s="640"/>
      <c r="C37" s="650">
        <f>IF('[1]BASE'!C37=0,"",'[1]BASE'!C37)</f>
        <v>21</v>
      </c>
      <c r="D37" s="650" t="str">
        <f>IF('[1]BASE'!D37=0,"",'[1]BASE'!D37)</f>
        <v>E.T.P.del AGUILA - CENTRAL P.del A. 2</v>
      </c>
      <c r="E37" s="650">
        <f>IF('[1]BASE'!E37=0,"",'[1]BASE'!E37)</f>
        <v>500</v>
      </c>
      <c r="F37" s="650">
        <f>IF('[1]BASE'!F37=0,"",'[1]BASE'!F37)</f>
        <v>5.3</v>
      </c>
      <c r="G37" s="651" t="str">
        <f>IF('[1]BASE'!G37=0,"",'[1]BASE'!G37)</f>
        <v>C</v>
      </c>
      <c r="H37" s="651">
        <f>IF('[1]BASE'!CP37=0,"",'[1]BASE'!CP37)</f>
      </c>
      <c r="I37" s="651">
        <f>IF('[1]BASE'!CQ37=0,"",'[1]BASE'!CQ37)</f>
      </c>
      <c r="J37" s="651">
        <f>IF('[1]BASE'!CR37=0,"",'[1]BASE'!CR37)</f>
      </c>
      <c r="K37" s="651">
        <f>IF('[1]BASE'!CS37=0,"",'[1]BASE'!CS37)</f>
      </c>
      <c r="L37" s="651">
        <f>IF('[1]BASE'!CT37=0,"",'[1]BASE'!CT37)</f>
      </c>
      <c r="M37" s="651">
        <f>IF('[1]BASE'!CU37=0,"",'[1]BASE'!CU37)</f>
      </c>
      <c r="N37" s="651">
        <f>IF('[1]BASE'!CV37=0,"",'[1]BASE'!CV37)</f>
      </c>
      <c r="O37" s="651">
        <f>IF('[1]BASE'!CW37=0,"",'[1]BASE'!CW37)</f>
      </c>
      <c r="P37" s="651">
        <f>IF('[1]BASE'!CX37=0,"",'[1]BASE'!CX37)</f>
      </c>
      <c r="Q37" s="651">
        <f>IF('[1]BASE'!CY37=0,"",'[1]BASE'!CY37)</f>
      </c>
      <c r="R37" s="651">
        <f>IF('[1]BASE'!CZ37=0,"",'[1]BASE'!CZ37)</f>
      </c>
      <c r="S37" s="651">
        <f>IF('[1]BASE'!DA37=0,"",'[1]BASE'!DA37)</f>
      </c>
      <c r="T37" s="647"/>
      <c r="U37" s="644"/>
    </row>
    <row r="38" spans="2:21" s="639" customFormat="1" ht="19.5" customHeight="1">
      <c r="B38" s="640"/>
      <c r="C38" s="648">
        <f>IF('[1]BASE'!C38=0,"",'[1]BASE'!C38)</f>
        <v>22</v>
      </c>
      <c r="D38" s="648" t="str">
        <f>IF('[1]BASE'!D38=0,"",'[1]BASE'!D38)</f>
        <v>EL BRACHO - RECREO(5)</v>
      </c>
      <c r="E38" s="648">
        <f>IF('[1]BASE'!E38=0,"",'[1]BASE'!E38)</f>
        <v>500</v>
      </c>
      <c r="F38" s="648">
        <f>IF('[1]BASE'!F38=0,"",'[1]BASE'!F38)</f>
        <v>255</v>
      </c>
      <c r="G38" s="649" t="str">
        <f>IF('[1]BASE'!G38=0,"",'[1]BASE'!G38)</f>
        <v>C</v>
      </c>
      <c r="H38" s="649">
        <f>IF('[1]BASE'!CP38=0,"",'[1]BASE'!CP38)</f>
      </c>
      <c r="I38" s="649">
        <f>IF('[1]BASE'!CQ38=0,"",'[1]BASE'!CQ38)</f>
      </c>
      <c r="J38" s="649">
        <f>IF('[1]BASE'!CR38=0,"",'[1]BASE'!CR38)</f>
      </c>
      <c r="K38" s="649">
        <f>IF('[1]BASE'!CS38=0,"",'[1]BASE'!CS38)</f>
      </c>
      <c r="L38" s="649">
        <f>IF('[1]BASE'!CT38=0,"",'[1]BASE'!CT38)</f>
      </c>
      <c r="M38" s="649">
        <f>IF('[1]BASE'!CU38=0,"",'[1]BASE'!CU38)</f>
        <v>1</v>
      </c>
      <c r="N38" s="649">
        <f>IF('[1]BASE'!CV38=0,"",'[1]BASE'!CV38)</f>
      </c>
      <c r="O38" s="649">
        <f>IF('[1]BASE'!CW38=0,"",'[1]BASE'!CW38)</f>
      </c>
      <c r="P38" s="649">
        <f>IF('[1]BASE'!CX38=0,"",'[1]BASE'!CX38)</f>
      </c>
      <c r="Q38" s="649">
        <f>IF('[1]BASE'!CY38=0,"",'[1]BASE'!CY38)</f>
      </c>
      <c r="R38" s="649">
        <f>IF('[1]BASE'!CZ38=0,"",'[1]BASE'!CZ38)</f>
      </c>
      <c r="S38" s="649">
        <f>IF('[1]BASE'!DA38=0,"",'[1]BASE'!DA38)</f>
      </c>
      <c r="T38" s="647"/>
      <c r="U38" s="644"/>
    </row>
    <row r="39" spans="2:21" s="639" customFormat="1" ht="19.5" customHeight="1">
      <c r="B39" s="640"/>
      <c r="C39" s="650">
        <f>IF('[1]BASE'!C39=0,"",'[1]BASE'!C39)</f>
        <v>23</v>
      </c>
      <c r="D39" s="650" t="str">
        <f>IF('[1]BASE'!D39=0,"",'[1]BASE'!D39)</f>
        <v>EZEIZA - ABASTO 1</v>
      </c>
      <c r="E39" s="650">
        <f>IF('[1]BASE'!E39=0,"",'[1]BASE'!E39)</f>
        <v>500</v>
      </c>
      <c r="F39" s="650">
        <f>IF('[1]BASE'!F39=0,"",'[1]BASE'!F39)</f>
        <v>58</v>
      </c>
      <c r="G39" s="651" t="str">
        <f>IF('[1]BASE'!G39=0,"",'[1]BASE'!G39)</f>
        <v>C</v>
      </c>
      <c r="H39" s="651">
        <f>IF('[1]BASE'!CP39=0,"",'[1]BASE'!CP39)</f>
      </c>
      <c r="I39" s="651">
        <f>IF('[1]BASE'!CQ39=0,"",'[1]BASE'!CQ39)</f>
      </c>
      <c r="J39" s="651">
        <f>IF('[1]BASE'!CR39=0,"",'[1]BASE'!CR39)</f>
      </c>
      <c r="K39" s="651">
        <f>IF('[1]BASE'!CS39=0,"",'[1]BASE'!CS39)</f>
      </c>
      <c r="L39" s="651">
        <f>IF('[1]BASE'!CT39=0,"",'[1]BASE'!CT39)</f>
      </c>
      <c r="M39" s="651">
        <f>IF('[1]BASE'!CU39=0,"",'[1]BASE'!CU39)</f>
      </c>
      <c r="N39" s="651">
        <f>IF('[1]BASE'!CV39=0,"",'[1]BASE'!CV39)</f>
      </c>
      <c r="O39" s="651">
        <f>IF('[1]BASE'!CW39=0,"",'[1]BASE'!CW39)</f>
      </c>
      <c r="P39" s="651">
        <f>IF('[1]BASE'!CX39=0,"",'[1]BASE'!CX39)</f>
      </c>
      <c r="Q39" s="651">
        <f>IF('[1]BASE'!CY39=0,"",'[1]BASE'!CY39)</f>
        <v>1</v>
      </c>
      <c r="R39" s="651">
        <f>IF('[1]BASE'!CZ39=0,"",'[1]BASE'!CZ39)</f>
      </c>
      <c r="S39" s="651">
        <f>IF('[1]BASE'!DA39=0,"",'[1]BASE'!DA39)</f>
      </c>
      <c r="T39" s="647"/>
      <c r="U39" s="644"/>
    </row>
    <row r="40" spans="2:21" s="639" customFormat="1" ht="19.5" customHeight="1">
      <c r="B40" s="640"/>
      <c r="C40" s="648">
        <f>IF('[1]BASE'!C40=0,"",'[1]BASE'!C40)</f>
        <v>24</v>
      </c>
      <c r="D40" s="648" t="str">
        <f>IF('[1]BASE'!D40=0,"",'[1]BASE'!D40)</f>
        <v>EZEIZA - ABASTO 2</v>
      </c>
      <c r="E40" s="648">
        <f>IF('[1]BASE'!E40=0,"",'[1]BASE'!E40)</f>
        <v>500</v>
      </c>
      <c r="F40" s="648">
        <f>IF('[1]BASE'!F40=0,"",'[1]BASE'!F40)</f>
        <v>58</v>
      </c>
      <c r="G40" s="649" t="str">
        <f>IF('[1]BASE'!G40=0,"",'[1]BASE'!G40)</f>
        <v>C</v>
      </c>
      <c r="H40" s="649">
        <f>IF('[1]BASE'!CP40=0,"",'[1]BASE'!CP40)</f>
      </c>
      <c r="I40" s="649">
        <f>IF('[1]BASE'!CQ40=0,"",'[1]BASE'!CQ40)</f>
      </c>
      <c r="J40" s="649">
        <f>IF('[1]BASE'!CR40=0,"",'[1]BASE'!CR40)</f>
      </c>
      <c r="K40" s="649">
        <f>IF('[1]BASE'!CS40=0,"",'[1]BASE'!CS40)</f>
        <v>1</v>
      </c>
      <c r="L40" s="649">
        <f>IF('[1]BASE'!CT40=0,"",'[1]BASE'!CT40)</f>
        <v>2</v>
      </c>
      <c r="M40" s="649">
        <f>IF('[1]BASE'!CU40=0,"",'[1]BASE'!CU40)</f>
      </c>
      <c r="N40" s="649">
        <f>IF('[1]BASE'!CV40=0,"",'[1]BASE'!CV40)</f>
      </c>
      <c r="O40" s="649">
        <f>IF('[1]BASE'!CW40=0,"",'[1]BASE'!CW40)</f>
      </c>
      <c r="P40" s="649">
        <f>IF('[1]BASE'!CX40=0,"",'[1]BASE'!CX40)</f>
      </c>
      <c r="Q40" s="649">
        <f>IF('[1]BASE'!CY40=0,"",'[1]BASE'!CY40)</f>
      </c>
      <c r="R40" s="649">
        <f>IF('[1]BASE'!CZ40=0,"",'[1]BASE'!CZ40)</f>
      </c>
      <c r="S40" s="649">
        <f>IF('[1]BASE'!DA40=0,"",'[1]BASE'!DA40)</f>
      </c>
      <c r="T40" s="647"/>
      <c r="U40" s="644"/>
    </row>
    <row r="41" spans="2:21" s="639" customFormat="1" ht="19.5" customHeight="1">
      <c r="B41" s="640"/>
      <c r="C41" s="650">
        <f>IF('[1]BASE'!C41=0,"",'[1]BASE'!C41)</f>
        <v>25</v>
      </c>
      <c r="D41" s="650" t="str">
        <f>IF('[1]BASE'!D41=0,"",'[1]BASE'!D41)</f>
        <v>EZEIZA - RODRIGUEZ 1</v>
      </c>
      <c r="E41" s="650">
        <f>IF('[1]BASE'!E41=0,"",'[1]BASE'!E41)</f>
        <v>500</v>
      </c>
      <c r="F41" s="650">
        <f>IF('[1]BASE'!F41=0,"",'[1]BASE'!F41)</f>
        <v>53</v>
      </c>
      <c r="G41" s="651" t="str">
        <f>IF('[1]BASE'!G41=0,"",'[1]BASE'!G41)</f>
        <v>C</v>
      </c>
      <c r="H41" s="651">
        <f>IF('[1]BASE'!CP41=0,"",'[1]BASE'!CP41)</f>
        <v>1</v>
      </c>
      <c r="I41" s="651">
        <f>IF('[1]BASE'!CQ41=0,"",'[1]BASE'!CQ41)</f>
      </c>
      <c r="J41" s="651">
        <f>IF('[1]BASE'!CR41=0,"",'[1]BASE'!CR41)</f>
      </c>
      <c r="K41" s="651">
        <f>IF('[1]BASE'!CS41=0,"",'[1]BASE'!CS41)</f>
      </c>
      <c r="L41" s="651">
        <f>IF('[1]BASE'!CT41=0,"",'[1]BASE'!CT41)</f>
      </c>
      <c r="M41" s="651">
        <f>IF('[1]BASE'!CU41=0,"",'[1]BASE'!CU41)</f>
      </c>
      <c r="N41" s="651">
        <f>IF('[1]BASE'!CV41=0,"",'[1]BASE'!CV41)</f>
      </c>
      <c r="O41" s="651">
        <f>IF('[1]BASE'!CW41=0,"",'[1]BASE'!CW41)</f>
      </c>
      <c r="P41" s="651">
        <f>IF('[1]BASE'!CX41=0,"",'[1]BASE'!CX41)</f>
      </c>
      <c r="Q41" s="651">
        <f>IF('[1]BASE'!CY41=0,"",'[1]BASE'!CY41)</f>
      </c>
      <c r="R41" s="651">
        <f>IF('[1]BASE'!CZ41=0,"",'[1]BASE'!CZ41)</f>
      </c>
      <c r="S41" s="651">
        <f>IF('[1]BASE'!DA41=0,"",'[1]BASE'!DA41)</f>
      </c>
      <c r="T41" s="647"/>
      <c r="U41" s="644"/>
    </row>
    <row r="42" spans="2:21" s="639" customFormat="1" ht="19.5" customHeight="1">
      <c r="B42" s="640"/>
      <c r="C42" s="648">
        <f>IF('[1]BASE'!C42=0,"",'[1]BASE'!C42)</f>
        <v>26</v>
      </c>
      <c r="D42" s="648" t="str">
        <f>IF('[1]BASE'!D42=0,"",'[1]BASE'!D42)</f>
        <v>EZEIZA - RODRIGUEZ 2</v>
      </c>
      <c r="E42" s="648">
        <f>IF('[1]BASE'!E42=0,"",'[1]BASE'!E42)</f>
        <v>500</v>
      </c>
      <c r="F42" s="648">
        <f>IF('[1]BASE'!F42=0,"",'[1]BASE'!F42)</f>
        <v>53</v>
      </c>
      <c r="G42" s="649" t="str">
        <f>IF('[1]BASE'!G42=0,"",'[1]BASE'!G42)</f>
        <v>C</v>
      </c>
      <c r="H42" s="649">
        <f>IF('[1]BASE'!CP42=0,"",'[1]BASE'!CP42)</f>
        <v>1</v>
      </c>
      <c r="I42" s="649">
        <f>IF('[1]BASE'!CQ42=0,"",'[1]BASE'!CQ42)</f>
      </c>
      <c r="J42" s="649">
        <f>IF('[1]BASE'!CR42=0,"",'[1]BASE'!CR42)</f>
      </c>
      <c r="K42" s="649">
        <f>IF('[1]BASE'!CS42=0,"",'[1]BASE'!CS42)</f>
      </c>
      <c r="L42" s="649">
        <f>IF('[1]BASE'!CT42=0,"",'[1]BASE'!CT42)</f>
      </c>
      <c r="M42" s="649">
        <f>IF('[1]BASE'!CU42=0,"",'[1]BASE'!CU42)</f>
      </c>
      <c r="N42" s="649">
        <f>IF('[1]BASE'!CV42=0,"",'[1]BASE'!CV42)</f>
      </c>
      <c r="O42" s="649">
        <f>IF('[1]BASE'!CW42=0,"",'[1]BASE'!CW42)</f>
      </c>
      <c r="P42" s="649">
        <f>IF('[1]BASE'!CX42=0,"",'[1]BASE'!CX42)</f>
      </c>
      <c r="Q42" s="649">
        <f>IF('[1]BASE'!CY42=0,"",'[1]BASE'!CY42)</f>
        <v>1</v>
      </c>
      <c r="R42" s="649">
        <f>IF('[1]BASE'!CZ42=0,"",'[1]BASE'!CZ42)</f>
        <v>1</v>
      </c>
      <c r="S42" s="649">
        <f>IF('[1]BASE'!DA42=0,"",'[1]BASE'!DA42)</f>
      </c>
      <c r="T42" s="647"/>
      <c r="U42" s="644"/>
    </row>
    <row r="43" spans="2:21" s="639" customFormat="1" ht="19.5" customHeight="1">
      <c r="B43" s="640"/>
      <c r="C43" s="650">
        <f>IF('[1]BASE'!C43=0,"",'[1]BASE'!C43)</f>
        <v>27</v>
      </c>
      <c r="D43" s="650" t="str">
        <f>IF('[1]BASE'!D43=0,"",'[1]BASE'!D43)</f>
        <v>EZEIZA- HENDERSON 1</v>
      </c>
      <c r="E43" s="650">
        <f>IF('[1]BASE'!E43=0,"",'[1]BASE'!E43)</f>
        <v>500</v>
      </c>
      <c r="F43" s="650">
        <f>IF('[1]BASE'!F43=0,"",'[1]BASE'!F43)</f>
        <v>313</v>
      </c>
      <c r="G43" s="651" t="str">
        <f>IF('[1]BASE'!G43=0,"",'[1]BASE'!G43)</f>
        <v>A</v>
      </c>
      <c r="H43" s="651">
        <f>IF('[1]BASE'!CP43=0,"",'[1]BASE'!CP43)</f>
      </c>
      <c r="I43" s="651">
        <f>IF('[1]BASE'!CQ43=0,"",'[1]BASE'!CQ43)</f>
      </c>
      <c r="J43" s="651">
        <f>IF('[1]BASE'!CR43=0,"",'[1]BASE'!CR43)</f>
      </c>
      <c r="K43" s="651">
        <f>IF('[1]BASE'!CS43=0,"",'[1]BASE'!CS43)</f>
      </c>
      <c r="L43" s="651">
        <f>IF('[1]BASE'!CT43=0,"",'[1]BASE'!CT43)</f>
      </c>
      <c r="M43" s="651">
        <f>IF('[1]BASE'!CU43=0,"",'[1]BASE'!CU43)</f>
      </c>
      <c r="N43" s="651">
        <f>IF('[1]BASE'!CV43=0,"",'[1]BASE'!CV43)</f>
      </c>
      <c r="O43" s="651">
        <f>IF('[1]BASE'!CW43=0,"",'[1]BASE'!CW43)</f>
      </c>
      <c r="P43" s="651">
        <f>IF('[1]BASE'!CX43=0,"",'[1]BASE'!CX43)</f>
      </c>
      <c r="Q43" s="651">
        <f>IF('[1]BASE'!CY43=0,"",'[1]BASE'!CY43)</f>
      </c>
      <c r="R43" s="651">
        <f>IF('[1]BASE'!CZ43=0,"",'[1]BASE'!CZ43)</f>
        <v>1</v>
      </c>
      <c r="S43" s="651">
        <f>IF('[1]BASE'!DA43=0,"",'[1]BASE'!DA43)</f>
      </c>
      <c r="T43" s="647"/>
      <c r="U43" s="644"/>
    </row>
    <row r="44" spans="2:21" s="639" customFormat="1" ht="19.5" customHeight="1">
      <c r="B44" s="640"/>
      <c r="C44" s="648">
        <f>IF('[1]BASE'!C44=0,"",'[1]BASE'!C44)</f>
        <v>28</v>
      </c>
      <c r="D44" s="648" t="str">
        <f>IF('[1]BASE'!D44=0,"",'[1]BASE'!D44)</f>
        <v>EZEIZA - HENDERSON 2</v>
      </c>
      <c r="E44" s="648">
        <f>IF('[1]BASE'!E44=0,"",'[1]BASE'!E44)</f>
        <v>500</v>
      </c>
      <c r="F44" s="648">
        <f>IF('[1]BASE'!F44=0,"",'[1]BASE'!F44)</f>
        <v>313</v>
      </c>
      <c r="G44" s="649" t="str">
        <f>IF('[1]BASE'!G44=0,"",'[1]BASE'!G44)</f>
        <v>A</v>
      </c>
      <c r="H44" s="649">
        <f>IF('[1]BASE'!CP44=0,"",'[1]BASE'!CP44)</f>
      </c>
      <c r="I44" s="649">
        <f>IF('[1]BASE'!CQ44=0,"",'[1]BASE'!CQ44)</f>
      </c>
      <c r="J44" s="649">
        <f>IF('[1]BASE'!CR44=0,"",'[1]BASE'!CR44)</f>
      </c>
      <c r="K44" s="649">
        <f>IF('[1]BASE'!CS44=0,"",'[1]BASE'!CS44)</f>
      </c>
      <c r="L44" s="649">
        <f>IF('[1]BASE'!CT44=0,"",'[1]BASE'!CT44)</f>
      </c>
      <c r="M44" s="649">
        <f>IF('[1]BASE'!CU44=0,"",'[1]BASE'!CU44)</f>
      </c>
      <c r="N44" s="649">
        <f>IF('[1]BASE'!CV44=0,"",'[1]BASE'!CV44)</f>
      </c>
      <c r="O44" s="649">
        <f>IF('[1]BASE'!CW44=0,"",'[1]BASE'!CW44)</f>
      </c>
      <c r="P44" s="649">
        <f>IF('[1]BASE'!CX44=0,"",'[1]BASE'!CX44)</f>
      </c>
      <c r="Q44" s="649">
        <f>IF('[1]BASE'!CY44=0,"",'[1]BASE'!CY44)</f>
      </c>
      <c r="R44" s="649">
        <f>IF('[1]BASE'!CZ44=0,"",'[1]BASE'!CZ44)</f>
      </c>
      <c r="S44" s="649">
        <f>IF('[1]BASE'!DA44=0,"",'[1]BASE'!DA44)</f>
      </c>
      <c r="T44" s="647"/>
      <c r="U44" s="644"/>
    </row>
    <row r="45" spans="2:21" s="639" customFormat="1" ht="19.5" customHeight="1">
      <c r="B45" s="640"/>
      <c r="C45" s="650">
        <f>IF('[1]BASE'!C45=0,"",'[1]BASE'!C45)</f>
        <v>29</v>
      </c>
      <c r="D45" s="650" t="str">
        <f>IF('[1]BASE'!D45=0,"",'[1]BASE'!D45)</f>
        <v>GRAL. RODRIGUEZ - CAMPANA </v>
      </c>
      <c r="E45" s="650">
        <f>IF('[1]BASE'!E45=0,"",'[1]BASE'!E45)</f>
        <v>500</v>
      </c>
      <c r="F45" s="650">
        <f>IF('[1]BASE'!F45=0,"",'[1]BASE'!F45)</f>
        <v>70</v>
      </c>
      <c r="G45" s="651" t="str">
        <f>IF('[1]BASE'!G45=0,"",'[1]BASE'!G45)</f>
        <v>A</v>
      </c>
      <c r="H45" s="651">
        <f>IF('[1]BASE'!CP45=0,"",'[1]BASE'!CP45)</f>
      </c>
      <c r="I45" s="651">
        <f>IF('[1]BASE'!CQ45=0,"",'[1]BASE'!CQ45)</f>
      </c>
      <c r="J45" s="651">
        <f>IF('[1]BASE'!CR45=0,"",'[1]BASE'!CR45)</f>
      </c>
      <c r="K45" s="651">
        <f>IF('[1]BASE'!CS45=0,"",'[1]BASE'!CS45)</f>
      </c>
      <c r="L45" s="651">
        <f>IF('[1]BASE'!CT45=0,"",'[1]BASE'!CT45)</f>
      </c>
      <c r="M45" s="651">
        <f>IF('[1]BASE'!CU45=0,"",'[1]BASE'!CU45)</f>
      </c>
      <c r="N45" s="651">
        <f>IF('[1]BASE'!CV45=0,"",'[1]BASE'!CV45)</f>
      </c>
      <c r="O45" s="651">
        <f>IF('[1]BASE'!CW45=0,"",'[1]BASE'!CW45)</f>
      </c>
      <c r="P45" s="651">
        <f>IF('[1]BASE'!CX45=0,"",'[1]BASE'!CX45)</f>
      </c>
      <c r="Q45" s="651">
        <f>IF('[1]BASE'!CY45=0,"",'[1]BASE'!CY45)</f>
      </c>
      <c r="R45" s="651">
        <f>IF('[1]BASE'!CZ45=0,"",'[1]BASE'!CZ45)</f>
      </c>
      <c r="S45" s="651">
        <f>IF('[1]BASE'!DA45=0,"",'[1]BASE'!DA45)</f>
      </c>
      <c r="T45" s="647"/>
      <c r="U45" s="644"/>
    </row>
    <row r="46" spans="2:21" s="639" customFormat="1" ht="19.5" customHeight="1">
      <c r="B46" s="640"/>
      <c r="C46" s="648">
        <f>IF('[1]BASE'!C46=0,"",'[1]BASE'!C46)</f>
        <v>30</v>
      </c>
      <c r="D46" s="648" t="str">
        <f>IF('[1]BASE'!D46=0,"",'[1]BASE'!D46)</f>
        <v>GRAL. RODRIGUEZ- ROSARIO OESTE </v>
      </c>
      <c r="E46" s="648">
        <f>IF('[1]BASE'!E46=0,"",'[1]BASE'!E46)</f>
        <v>500</v>
      </c>
      <c r="F46" s="648">
        <f>IF('[1]BASE'!F46=0,"",'[1]BASE'!F46)</f>
        <v>258</v>
      </c>
      <c r="G46" s="649" t="str">
        <f>IF('[1]BASE'!G46=0,"",'[1]BASE'!G46)</f>
        <v>C</v>
      </c>
      <c r="H46" s="649" t="str">
        <f>IF('[1]BASE'!CP46=0,"",'[1]BASE'!CP46)</f>
        <v>XXXX</v>
      </c>
      <c r="I46" s="649" t="str">
        <f>IF('[1]BASE'!CQ46=0,"",'[1]BASE'!CQ46)</f>
        <v>XXXX</v>
      </c>
      <c r="J46" s="649" t="str">
        <f>IF('[1]BASE'!CR46=0,"",'[1]BASE'!CR46)</f>
        <v>XXXX</v>
      </c>
      <c r="K46" s="649" t="str">
        <f>IF('[1]BASE'!CS46=0,"",'[1]BASE'!CS46)</f>
        <v>XXXX</v>
      </c>
      <c r="L46" s="649" t="str">
        <f>IF('[1]BASE'!CT46=0,"",'[1]BASE'!CT46)</f>
        <v>XXXX</v>
      </c>
      <c r="M46" s="649" t="str">
        <f>IF('[1]BASE'!CU46=0,"",'[1]BASE'!CU46)</f>
        <v>XXXX</v>
      </c>
      <c r="N46" s="649" t="str">
        <f>IF('[1]BASE'!CV46=0,"",'[1]BASE'!CV46)</f>
        <v>XXXX</v>
      </c>
      <c r="O46" s="649" t="str">
        <f>IF('[1]BASE'!CW46=0,"",'[1]BASE'!CW46)</f>
        <v>XXXX</v>
      </c>
      <c r="P46" s="649" t="str">
        <f>IF('[1]BASE'!CX46=0,"",'[1]BASE'!CX46)</f>
        <v>XXXX</v>
      </c>
      <c r="Q46" s="649" t="str">
        <f>IF('[1]BASE'!CY46=0,"",'[1]BASE'!CY46)</f>
        <v>XXXX</v>
      </c>
      <c r="R46" s="649" t="str">
        <f>IF('[1]BASE'!CZ46=0,"",'[1]BASE'!CZ46)</f>
        <v>XXXX</v>
      </c>
      <c r="S46" s="649" t="str">
        <f>IF('[1]BASE'!DA46=0,"",'[1]BASE'!DA46)</f>
        <v>XXXX</v>
      </c>
      <c r="T46" s="647"/>
      <c r="U46" s="644"/>
    </row>
    <row r="47" spans="2:21" s="639" customFormat="1" ht="19.5" customHeight="1">
      <c r="B47" s="640"/>
      <c r="C47" s="650">
        <f>IF('[1]BASE'!C47=0,"",'[1]BASE'!C47)</f>
        <v>31</v>
      </c>
      <c r="D47" s="650" t="str">
        <f>IF('[1]BASE'!D47=0,"",'[1]BASE'!D47)</f>
        <v>MALVINAS ARG. - ALMAFUERTE </v>
      </c>
      <c r="E47" s="650">
        <f>IF('[1]BASE'!E47=0,"",'[1]BASE'!E47)</f>
        <v>500</v>
      </c>
      <c r="F47" s="650">
        <f>IF('[1]BASE'!F47=0,"",'[1]BASE'!F47)</f>
        <v>105</v>
      </c>
      <c r="G47" s="651" t="str">
        <f>IF('[1]BASE'!G47=0,"",'[1]BASE'!G47)</f>
        <v>B</v>
      </c>
      <c r="H47" s="651">
        <f>IF('[1]BASE'!CP47=0,"",'[1]BASE'!CP47)</f>
      </c>
      <c r="I47" s="651">
        <f>IF('[1]BASE'!CQ47=0,"",'[1]BASE'!CQ47)</f>
      </c>
      <c r="J47" s="651">
        <f>IF('[1]BASE'!CR47=0,"",'[1]BASE'!CR47)</f>
      </c>
      <c r="K47" s="651">
        <f>IF('[1]BASE'!CS47=0,"",'[1]BASE'!CS47)</f>
      </c>
      <c r="L47" s="651">
        <f>IF('[1]BASE'!CT47=0,"",'[1]BASE'!CT47)</f>
      </c>
      <c r="M47" s="651">
        <f>IF('[1]BASE'!CU47=0,"",'[1]BASE'!CU47)</f>
      </c>
      <c r="N47" s="651">
        <f>IF('[1]BASE'!CV47=0,"",'[1]BASE'!CV47)</f>
      </c>
      <c r="O47" s="651">
        <f>IF('[1]BASE'!CW47=0,"",'[1]BASE'!CW47)</f>
      </c>
      <c r="P47" s="651">
        <f>IF('[1]BASE'!CX47=0,"",'[1]BASE'!CX47)</f>
      </c>
      <c r="Q47" s="651">
        <f>IF('[1]BASE'!CY47=0,"",'[1]BASE'!CY47)</f>
      </c>
      <c r="R47" s="651">
        <f>IF('[1]BASE'!CZ47=0,"",'[1]BASE'!CZ47)</f>
      </c>
      <c r="S47" s="651">
        <f>IF('[1]BASE'!DA47=0,"",'[1]BASE'!DA47)</f>
      </c>
      <c r="T47" s="647"/>
      <c r="U47" s="644"/>
    </row>
    <row r="48" spans="2:21" s="639" customFormat="1" ht="19.5" customHeight="1">
      <c r="B48" s="640"/>
      <c r="C48" s="648">
        <f>IF('[1]BASE'!C48=0,"",'[1]BASE'!C48)</f>
        <v>32</v>
      </c>
      <c r="D48" s="648" t="str">
        <f>IF('[1]BASE'!D48=0,"",'[1]BASE'!D48)</f>
        <v>OLAVARRIA - BAHIA BLANCA 1</v>
      </c>
      <c r="E48" s="648">
        <f>IF('[1]BASE'!E48=0,"",'[1]BASE'!E48)</f>
        <v>500</v>
      </c>
      <c r="F48" s="648">
        <f>IF('[1]BASE'!F48=0,"",'[1]BASE'!F48)</f>
        <v>255</v>
      </c>
      <c r="G48" s="649" t="str">
        <f>IF('[1]BASE'!G48=0,"",'[1]BASE'!G48)</f>
        <v>B</v>
      </c>
      <c r="H48" s="649">
        <f>IF('[1]BASE'!CP48=0,"",'[1]BASE'!CP48)</f>
      </c>
      <c r="I48" s="649">
        <f>IF('[1]BASE'!CQ48=0,"",'[1]BASE'!CQ48)</f>
      </c>
      <c r="J48" s="649">
        <f>IF('[1]BASE'!CR48=0,"",'[1]BASE'!CR48)</f>
      </c>
      <c r="K48" s="649">
        <f>IF('[1]BASE'!CS48=0,"",'[1]BASE'!CS48)</f>
      </c>
      <c r="L48" s="649">
        <f>IF('[1]BASE'!CT48=0,"",'[1]BASE'!CT48)</f>
        <v>1</v>
      </c>
      <c r="M48" s="649">
        <f>IF('[1]BASE'!CU48=0,"",'[1]BASE'!CU48)</f>
      </c>
      <c r="N48" s="649">
        <f>IF('[1]BASE'!CV48=0,"",'[1]BASE'!CV48)</f>
      </c>
      <c r="O48" s="649">
        <f>IF('[1]BASE'!CW48=0,"",'[1]BASE'!CW48)</f>
      </c>
      <c r="P48" s="649">
        <f>IF('[1]BASE'!CX48=0,"",'[1]BASE'!CX48)</f>
      </c>
      <c r="Q48" s="649">
        <f>IF('[1]BASE'!CY48=0,"",'[1]BASE'!CY48)</f>
      </c>
      <c r="R48" s="649">
        <f>IF('[1]BASE'!CZ48=0,"",'[1]BASE'!CZ48)</f>
      </c>
      <c r="S48" s="649">
        <f>IF('[1]BASE'!DA48=0,"",'[1]BASE'!DA48)</f>
      </c>
      <c r="T48" s="647"/>
      <c r="U48" s="644"/>
    </row>
    <row r="49" spans="2:21" s="639" customFormat="1" ht="19.5" customHeight="1">
      <c r="B49" s="640"/>
      <c r="C49" s="650">
        <f>IF('[1]BASE'!C49=0,"",'[1]BASE'!C49)</f>
        <v>33</v>
      </c>
      <c r="D49" s="650" t="str">
        <f>IF('[1]BASE'!D49=0,"",'[1]BASE'!D49)</f>
        <v>OLAVARRIA - BAHIA BLANCA 2</v>
      </c>
      <c r="E49" s="650">
        <f>IF('[1]BASE'!E49=0,"",'[1]BASE'!E49)</f>
        <v>500</v>
      </c>
      <c r="F49" s="650">
        <f>IF('[1]BASE'!F49=0,"",'[1]BASE'!F49)</f>
        <v>254.8</v>
      </c>
      <c r="G49" s="651">
        <f>IF('[1]BASE'!G49=0,"",'[1]BASE'!G49)</f>
      </c>
      <c r="H49" s="651">
        <f>IF('[1]BASE'!CP49=0,"",'[1]BASE'!CP49)</f>
      </c>
      <c r="I49" s="651">
        <f>IF('[1]BASE'!CQ49=0,"",'[1]BASE'!CQ49)</f>
      </c>
      <c r="J49" s="651">
        <f>IF('[1]BASE'!CR49=0,"",'[1]BASE'!CR49)</f>
      </c>
      <c r="K49" s="651">
        <f>IF('[1]BASE'!CS49=0,"",'[1]BASE'!CS49)</f>
      </c>
      <c r="L49" s="651">
        <f>IF('[1]BASE'!CT49=0,"",'[1]BASE'!CT49)</f>
      </c>
      <c r="M49" s="651">
        <f>IF('[1]BASE'!CU49=0,"",'[1]BASE'!CU49)</f>
      </c>
      <c r="N49" s="651">
        <f>IF('[1]BASE'!CV49=0,"",'[1]BASE'!CV49)</f>
      </c>
      <c r="O49" s="651">
        <f>IF('[1]BASE'!CW49=0,"",'[1]BASE'!CW49)</f>
      </c>
      <c r="P49" s="651">
        <f>IF('[1]BASE'!CX49=0,"",'[1]BASE'!CX49)</f>
      </c>
      <c r="Q49" s="651">
        <f>IF('[1]BASE'!CY49=0,"",'[1]BASE'!CY49)</f>
      </c>
      <c r="R49" s="651">
        <f>IF('[1]BASE'!CZ49=0,"",'[1]BASE'!CZ49)</f>
      </c>
      <c r="S49" s="651">
        <f>IF('[1]BASE'!DA49=0,"",'[1]BASE'!DA49)</f>
      </c>
      <c r="T49" s="647"/>
      <c r="U49" s="644"/>
    </row>
    <row r="50" spans="2:21" s="639" customFormat="1" ht="19.5" customHeight="1">
      <c r="B50" s="640"/>
      <c r="C50" s="648">
        <f>IF('[1]BASE'!C50=0,"",'[1]BASE'!C50)</f>
        <v>34</v>
      </c>
      <c r="D50" s="648" t="str">
        <f>IF('[1]BASE'!D50=0,"",'[1]BASE'!D50)</f>
        <v>P.del AGUILA  - CHOELE CHOEL</v>
      </c>
      <c r="E50" s="648">
        <f>IF('[1]BASE'!E50=0,"",'[1]BASE'!E50)</f>
        <v>500</v>
      </c>
      <c r="F50" s="648">
        <f>IF('[1]BASE'!F50=0,"",'[1]BASE'!F50)</f>
        <v>386.7</v>
      </c>
      <c r="G50" s="649">
        <f>IF('[1]BASE'!G50=0,"",'[1]BASE'!G50)</f>
      </c>
      <c r="H50" s="649">
        <f>IF('[1]BASE'!CP50=0,"",'[1]BASE'!CP50)</f>
      </c>
      <c r="I50" s="649">
        <f>IF('[1]BASE'!CQ50=0,"",'[1]BASE'!CQ50)</f>
      </c>
      <c r="J50" s="649">
        <f>IF('[1]BASE'!CR50=0,"",'[1]BASE'!CR50)</f>
      </c>
      <c r="K50" s="649">
        <f>IF('[1]BASE'!CS50=0,"",'[1]BASE'!CS50)</f>
      </c>
      <c r="L50" s="649">
        <f>IF('[1]BASE'!CT50=0,"",'[1]BASE'!CT50)</f>
      </c>
      <c r="M50" s="649">
        <f>IF('[1]BASE'!CU50=0,"",'[1]BASE'!CU50)</f>
      </c>
      <c r="N50" s="649">
        <f>IF('[1]BASE'!CV50=0,"",'[1]BASE'!CV50)</f>
      </c>
      <c r="O50" s="649">
        <f>IF('[1]BASE'!CW50=0,"",'[1]BASE'!CW50)</f>
      </c>
      <c r="P50" s="649">
        <f>IF('[1]BASE'!CX50=0,"",'[1]BASE'!CX50)</f>
      </c>
      <c r="Q50" s="649">
        <f>IF('[1]BASE'!CY50=0,"",'[1]BASE'!CY50)</f>
      </c>
      <c r="R50" s="649">
        <f>IF('[1]BASE'!CZ50=0,"",'[1]BASE'!CZ50)</f>
        <v>1</v>
      </c>
      <c r="S50" s="649">
        <f>IF('[1]BASE'!DA50=0,"",'[1]BASE'!DA50)</f>
      </c>
      <c r="T50" s="647"/>
      <c r="U50" s="644"/>
    </row>
    <row r="51" spans="2:21" s="639" customFormat="1" ht="19.5" customHeight="1">
      <c r="B51" s="640"/>
      <c r="C51" s="650">
        <f>IF('[1]BASE'!C51=0,"",'[1]BASE'!C51)</f>
        <v>35</v>
      </c>
      <c r="D51" s="650" t="str">
        <f>IF('[1]BASE'!D51=0,"",'[1]BASE'!D51)</f>
        <v>P.del AGUILA  - CHO. W. 1 (5GW1)</v>
      </c>
      <c r="E51" s="650">
        <f>IF('[1]BASE'!E51=0,"",'[1]BASE'!E51)</f>
        <v>500</v>
      </c>
      <c r="F51" s="650">
        <f>IF('[1]BASE'!F51=0,"",'[1]BASE'!F51)</f>
        <v>163.9</v>
      </c>
      <c r="G51" s="651" t="str">
        <f>IF('[1]BASE'!G51=0,"",'[1]BASE'!G51)</f>
        <v>A</v>
      </c>
      <c r="H51" s="651">
        <f>IF('[1]BASE'!CP51=0,"",'[1]BASE'!CP51)</f>
      </c>
      <c r="I51" s="651">
        <f>IF('[1]BASE'!CQ51=0,"",'[1]BASE'!CQ51)</f>
      </c>
      <c r="J51" s="651">
        <f>IF('[1]BASE'!CR51=0,"",'[1]BASE'!CR51)</f>
      </c>
      <c r="K51" s="651">
        <f>IF('[1]BASE'!CS51=0,"",'[1]BASE'!CS51)</f>
      </c>
      <c r="L51" s="651">
        <f>IF('[1]BASE'!CT51=0,"",'[1]BASE'!CT51)</f>
      </c>
      <c r="M51" s="651">
        <f>IF('[1]BASE'!CU51=0,"",'[1]BASE'!CU51)</f>
        <v>1</v>
      </c>
      <c r="N51" s="651">
        <f>IF('[1]BASE'!CV51=0,"",'[1]BASE'!CV51)</f>
      </c>
      <c r="O51" s="651">
        <f>IF('[1]BASE'!CW51=0,"",'[1]BASE'!CW51)</f>
      </c>
      <c r="P51" s="651">
        <f>IF('[1]BASE'!CX51=0,"",'[1]BASE'!CX51)</f>
      </c>
      <c r="Q51" s="651">
        <f>IF('[1]BASE'!CY51=0,"",'[1]BASE'!CY51)</f>
      </c>
      <c r="R51" s="651">
        <f>IF('[1]BASE'!CZ51=0,"",'[1]BASE'!CZ51)</f>
      </c>
      <c r="S51" s="651">
        <f>IF('[1]BASE'!DA51=0,"",'[1]BASE'!DA51)</f>
      </c>
      <c r="T51" s="647"/>
      <c r="U51" s="644"/>
    </row>
    <row r="52" spans="2:21" s="639" customFormat="1" ht="19.5" customHeight="1">
      <c r="B52" s="640"/>
      <c r="C52" s="648">
        <f>IF('[1]BASE'!C52=0,"",'[1]BASE'!C52)</f>
        <v>36</v>
      </c>
      <c r="D52" s="648" t="str">
        <f>IF('[1]BASE'!D52=0,"",'[1]BASE'!D52)</f>
        <v>P.del AGUILA  - CHO. W. 2 (5GW2)</v>
      </c>
      <c r="E52" s="648">
        <f>IF('[1]BASE'!E52=0,"",'[1]BASE'!E52)</f>
        <v>500</v>
      </c>
      <c r="F52" s="648">
        <f>IF('[1]BASE'!F52=0,"",'[1]BASE'!F52)</f>
        <v>164.1</v>
      </c>
      <c r="G52" s="649" t="str">
        <f>IF('[1]BASE'!G52=0,"",'[1]BASE'!G52)</f>
        <v>A</v>
      </c>
      <c r="H52" s="649">
        <f>IF('[1]BASE'!CP52=0,"",'[1]BASE'!CP52)</f>
      </c>
      <c r="I52" s="649">
        <f>IF('[1]BASE'!CQ52=0,"",'[1]BASE'!CQ52)</f>
      </c>
      <c r="J52" s="649">
        <f>IF('[1]BASE'!CR52=0,"",'[1]BASE'!CR52)</f>
      </c>
      <c r="K52" s="649">
        <f>IF('[1]BASE'!CS52=0,"",'[1]BASE'!CS52)</f>
      </c>
      <c r="L52" s="649">
        <f>IF('[1]BASE'!CT52=0,"",'[1]BASE'!CT52)</f>
      </c>
      <c r="M52" s="649">
        <f>IF('[1]BASE'!CU52=0,"",'[1]BASE'!CU52)</f>
      </c>
      <c r="N52" s="649">
        <f>IF('[1]BASE'!CV52=0,"",'[1]BASE'!CV52)</f>
      </c>
      <c r="O52" s="649">
        <f>IF('[1]BASE'!CW52=0,"",'[1]BASE'!CW52)</f>
      </c>
      <c r="P52" s="649">
        <f>IF('[1]BASE'!CX52=0,"",'[1]BASE'!CX52)</f>
      </c>
      <c r="Q52" s="649">
        <f>IF('[1]BASE'!CY52=0,"",'[1]BASE'!CY52)</f>
      </c>
      <c r="R52" s="649">
        <f>IF('[1]BASE'!CZ52=0,"",'[1]BASE'!CZ52)</f>
        <v>1</v>
      </c>
      <c r="S52" s="649">
        <f>IF('[1]BASE'!DA52=0,"",'[1]BASE'!DA52)</f>
      </c>
      <c r="T52" s="647"/>
      <c r="U52" s="644"/>
    </row>
    <row r="53" spans="2:21" s="639" customFormat="1" ht="19.5" customHeight="1">
      <c r="B53" s="640"/>
      <c r="C53" s="650">
        <f>IF('[1]BASE'!C53=0,"",'[1]BASE'!C53)</f>
        <v>37</v>
      </c>
      <c r="D53" s="650" t="str">
        <f>IF('[1]BASE'!D53=0,"",'[1]BASE'!D53)</f>
        <v>PUELCHES - HENDERSON 1 (B1)</v>
      </c>
      <c r="E53" s="650">
        <f>IF('[1]BASE'!E53=0,"",'[1]BASE'!E53)</f>
        <v>500</v>
      </c>
      <c r="F53" s="650">
        <f>IF('[1]BASE'!F53=0,"",'[1]BASE'!F53)</f>
        <v>421</v>
      </c>
      <c r="G53" s="651" t="str">
        <f>IF('[1]BASE'!G53=0,"",'[1]BASE'!G53)</f>
        <v>A</v>
      </c>
      <c r="H53" s="651">
        <f>IF('[1]BASE'!CP53=0,"",'[1]BASE'!CP53)</f>
      </c>
      <c r="I53" s="651">
        <f>IF('[1]BASE'!CQ53=0,"",'[1]BASE'!CQ53)</f>
      </c>
      <c r="J53" s="651">
        <f>IF('[1]BASE'!CR53=0,"",'[1]BASE'!CR53)</f>
      </c>
      <c r="K53" s="651">
        <f>IF('[1]BASE'!CS53=0,"",'[1]BASE'!CS53)</f>
      </c>
      <c r="L53" s="651">
        <f>IF('[1]BASE'!CT53=0,"",'[1]BASE'!CT53)</f>
      </c>
      <c r="M53" s="651">
        <f>IF('[1]BASE'!CU53=0,"",'[1]BASE'!CU53)</f>
        <v>1</v>
      </c>
      <c r="N53" s="651">
        <f>IF('[1]BASE'!CV53=0,"",'[1]BASE'!CV53)</f>
      </c>
      <c r="O53" s="651">
        <f>IF('[1]BASE'!CW53=0,"",'[1]BASE'!CW53)</f>
      </c>
      <c r="P53" s="651">
        <f>IF('[1]BASE'!CX53=0,"",'[1]BASE'!CX53)</f>
      </c>
      <c r="Q53" s="651">
        <f>IF('[1]BASE'!CY53=0,"",'[1]BASE'!CY53)</f>
      </c>
      <c r="R53" s="651">
        <f>IF('[1]BASE'!CZ53=0,"",'[1]BASE'!CZ53)</f>
      </c>
      <c r="S53" s="651">
        <f>IF('[1]BASE'!DA53=0,"",'[1]BASE'!DA53)</f>
      </c>
      <c r="T53" s="647"/>
      <c r="U53" s="644"/>
    </row>
    <row r="54" spans="2:21" s="639" customFormat="1" ht="19.5" customHeight="1">
      <c r="B54" s="640"/>
      <c r="C54" s="648">
        <f>IF('[1]BASE'!C54=0,"",'[1]BASE'!C54)</f>
        <v>38</v>
      </c>
      <c r="D54" s="648" t="str">
        <f>IF('[1]BASE'!D54=0,"",'[1]BASE'!D54)</f>
        <v>PUELCHES - HENDERSON 2 (B2)</v>
      </c>
      <c r="E54" s="648">
        <f>IF('[1]BASE'!E54=0,"",'[1]BASE'!E54)</f>
        <v>500</v>
      </c>
      <c r="F54" s="648">
        <f>IF('[1]BASE'!F54=0,"",'[1]BASE'!F54)</f>
        <v>421</v>
      </c>
      <c r="G54" s="649" t="str">
        <f>IF('[1]BASE'!G54=0,"",'[1]BASE'!G54)</f>
        <v>A</v>
      </c>
      <c r="H54" s="649">
        <f>IF('[1]BASE'!CP54=0,"",'[1]BASE'!CP54)</f>
      </c>
      <c r="I54" s="649">
        <f>IF('[1]BASE'!CQ54=0,"",'[1]BASE'!CQ54)</f>
      </c>
      <c r="J54" s="649">
        <f>IF('[1]BASE'!CR54=0,"",'[1]BASE'!CR54)</f>
      </c>
      <c r="K54" s="649">
        <f>IF('[1]BASE'!CS54=0,"",'[1]BASE'!CS54)</f>
      </c>
      <c r="L54" s="649">
        <f>IF('[1]BASE'!CT54=0,"",'[1]BASE'!CT54)</f>
      </c>
      <c r="M54" s="649">
        <f>IF('[1]BASE'!CU54=0,"",'[1]BASE'!CU54)</f>
        <v>1</v>
      </c>
      <c r="N54" s="649">
        <f>IF('[1]BASE'!CV54=0,"",'[1]BASE'!CV54)</f>
      </c>
      <c r="O54" s="649" t="str">
        <f>IF('[1]BASE'!CW54=0,"",'[1]BASE'!CW54)</f>
        <v>XXXX</v>
      </c>
      <c r="P54" s="649" t="str">
        <f>IF('[1]BASE'!CX54=0,"",'[1]BASE'!CX54)</f>
        <v>XXXX</v>
      </c>
      <c r="Q54" s="649" t="str">
        <f>IF('[1]BASE'!CY54=0,"",'[1]BASE'!CY54)</f>
        <v>XXXX</v>
      </c>
      <c r="R54" s="649" t="str">
        <f>IF('[1]BASE'!CZ54=0,"",'[1]BASE'!CZ54)</f>
        <v>XXXX</v>
      </c>
      <c r="S54" s="649" t="str">
        <f>IF('[1]BASE'!DA54=0,"",'[1]BASE'!DA54)</f>
        <v>XXXX</v>
      </c>
      <c r="T54" s="647"/>
      <c r="U54" s="644"/>
    </row>
    <row r="55" spans="2:21" s="639" customFormat="1" ht="19.5" customHeight="1">
      <c r="B55" s="640"/>
      <c r="C55" s="650">
        <f>IF('[1]BASE'!C55=0,"",'[1]BASE'!C55)</f>
        <v>39</v>
      </c>
      <c r="D55" s="650" t="str">
        <f>IF('[1]BASE'!D55=0,"",'[1]BASE'!D55)</f>
        <v>RECREO - MALVINAS ARG. </v>
      </c>
      <c r="E55" s="650">
        <f>IF('[1]BASE'!E55=0,"",'[1]BASE'!E55)</f>
        <v>500</v>
      </c>
      <c r="F55" s="650">
        <f>IF('[1]BASE'!F55=0,"",'[1]BASE'!F55)</f>
        <v>259</v>
      </c>
      <c r="G55" s="651" t="str">
        <f>IF('[1]BASE'!G55=0,"",'[1]BASE'!G55)</f>
        <v>C</v>
      </c>
      <c r="H55" s="651">
        <f>IF('[1]BASE'!CP55=0,"",'[1]BASE'!CP55)</f>
      </c>
      <c r="I55" s="651">
        <f>IF('[1]BASE'!CQ55=0,"",'[1]BASE'!CQ55)</f>
      </c>
      <c r="J55" s="651">
        <f>IF('[1]BASE'!CR55=0,"",'[1]BASE'!CR55)</f>
      </c>
      <c r="K55" s="651">
        <f>IF('[1]BASE'!CS55=0,"",'[1]BASE'!CS55)</f>
      </c>
      <c r="L55" s="651">
        <f>IF('[1]BASE'!CT55=0,"",'[1]BASE'!CT55)</f>
      </c>
      <c r="M55" s="651">
        <f>IF('[1]BASE'!CU55=0,"",'[1]BASE'!CU55)</f>
      </c>
      <c r="N55" s="651">
        <f>IF('[1]BASE'!CV55=0,"",'[1]BASE'!CV55)</f>
      </c>
      <c r="O55" s="651">
        <f>IF('[1]BASE'!CW55=0,"",'[1]BASE'!CW55)</f>
      </c>
      <c r="P55" s="651">
        <f>IF('[1]BASE'!CX55=0,"",'[1]BASE'!CX55)</f>
      </c>
      <c r="Q55" s="651">
        <f>IF('[1]BASE'!CY55=0,"",'[1]BASE'!CY55)</f>
      </c>
      <c r="R55" s="651">
        <f>IF('[1]BASE'!CZ55=0,"",'[1]BASE'!CZ55)</f>
      </c>
      <c r="S55" s="651">
        <f>IF('[1]BASE'!DA55=0,"",'[1]BASE'!DA55)</f>
      </c>
      <c r="T55" s="647"/>
      <c r="U55" s="644"/>
    </row>
    <row r="56" spans="2:21" s="639" customFormat="1" ht="19.5" customHeight="1">
      <c r="B56" s="640"/>
      <c r="C56" s="648">
        <f>IF('[1]BASE'!C56=0,"",'[1]BASE'!C56)</f>
        <v>40</v>
      </c>
      <c r="D56" s="648" t="str">
        <f>IF('[1]BASE'!D56=0,"",'[1]BASE'!D56)</f>
        <v>RIO GRANDE - EMBALSE</v>
      </c>
      <c r="E56" s="648">
        <f>IF('[1]BASE'!E56=0,"",'[1]BASE'!E56)</f>
        <v>500</v>
      </c>
      <c r="F56" s="648">
        <f>IF('[1]BASE'!F56=0,"",'[1]BASE'!F56)</f>
        <v>30</v>
      </c>
      <c r="G56" s="649" t="str">
        <f>IF('[1]BASE'!G56=0,"",'[1]BASE'!G56)</f>
        <v>B</v>
      </c>
      <c r="H56" s="649">
        <f>IF('[1]BASE'!CP56=0,"",'[1]BASE'!CP56)</f>
      </c>
      <c r="I56" s="649">
        <f>IF('[1]BASE'!CQ56=0,"",'[1]BASE'!CQ56)</f>
      </c>
      <c r="J56" s="649">
        <f>IF('[1]BASE'!CR56=0,"",'[1]BASE'!CR56)</f>
      </c>
      <c r="K56" s="649">
        <f>IF('[1]BASE'!CS56=0,"",'[1]BASE'!CS56)</f>
      </c>
      <c r="L56" s="649">
        <f>IF('[1]BASE'!CT56=0,"",'[1]BASE'!CT56)</f>
      </c>
      <c r="M56" s="649">
        <f>IF('[1]BASE'!CU56=0,"",'[1]BASE'!CU56)</f>
      </c>
      <c r="N56" s="649">
        <f>IF('[1]BASE'!CV56=0,"",'[1]BASE'!CV56)</f>
      </c>
      <c r="O56" s="649">
        <f>IF('[1]BASE'!CW56=0,"",'[1]BASE'!CW56)</f>
      </c>
      <c r="P56" s="649">
        <f>IF('[1]BASE'!CX56=0,"",'[1]BASE'!CX56)</f>
      </c>
      <c r="Q56" s="649">
        <f>IF('[1]BASE'!CY56=0,"",'[1]BASE'!CY56)</f>
      </c>
      <c r="R56" s="649">
        <f>IF('[1]BASE'!CZ56=0,"",'[1]BASE'!CZ56)</f>
      </c>
      <c r="S56" s="649">
        <f>IF('[1]BASE'!DA56=0,"",'[1]BASE'!DA56)</f>
      </c>
      <c r="T56" s="647"/>
      <c r="U56" s="644"/>
    </row>
    <row r="57" spans="2:21" s="639" customFormat="1" ht="19.5" customHeight="1">
      <c r="B57" s="640"/>
      <c r="C57" s="650">
        <f>IF('[1]BASE'!C57=0,"",'[1]BASE'!C57)</f>
        <v>41</v>
      </c>
      <c r="D57" s="650" t="str">
        <f>IF('[1]BASE'!D57=0,"",'[1]BASE'!D57)</f>
        <v>RIO GRANDE - GRAN MENDOZA</v>
      </c>
      <c r="E57" s="650">
        <f>IF('[1]BASE'!E57=0,"",'[1]BASE'!E57)</f>
        <v>500</v>
      </c>
      <c r="F57" s="650">
        <f>IF('[1]BASE'!F57=0,"",'[1]BASE'!F57)</f>
        <v>407</v>
      </c>
      <c r="G57" s="651" t="str">
        <f>IF('[1]BASE'!G57=0,"",'[1]BASE'!G57)</f>
        <v>B</v>
      </c>
      <c r="H57" s="651" t="str">
        <f>IF('[1]BASE'!CP57=0,"",'[1]BASE'!CP57)</f>
        <v>XXXX</v>
      </c>
      <c r="I57" s="651" t="str">
        <f>IF('[1]BASE'!CQ57=0,"",'[1]BASE'!CQ57)</f>
        <v>XXXX</v>
      </c>
      <c r="J57" s="651" t="str">
        <f>IF('[1]BASE'!CR57=0,"",'[1]BASE'!CR57)</f>
        <v>XXXX</v>
      </c>
      <c r="K57" s="651" t="str">
        <f>IF('[1]BASE'!CS57=0,"",'[1]BASE'!CS57)</f>
        <v>XXXX</v>
      </c>
      <c r="L57" s="651" t="str">
        <f>IF('[1]BASE'!CT57=0,"",'[1]BASE'!CT57)</f>
        <v>XXXX</v>
      </c>
      <c r="M57" s="651" t="str">
        <f>IF('[1]BASE'!CU57=0,"",'[1]BASE'!CU57)</f>
        <v>XXXX</v>
      </c>
      <c r="N57" s="651" t="str">
        <f>IF('[1]BASE'!CV57=0,"",'[1]BASE'!CV57)</f>
        <v>XXXX</v>
      </c>
      <c r="O57" s="651" t="str">
        <f>IF('[1]BASE'!CW57=0,"",'[1]BASE'!CW57)</f>
        <v>XXXX</v>
      </c>
      <c r="P57" s="651" t="str">
        <f>IF('[1]BASE'!CX57=0,"",'[1]BASE'!CX57)</f>
        <v>XXXX</v>
      </c>
      <c r="Q57" s="651" t="str">
        <f>IF('[1]BASE'!CY57=0,"",'[1]BASE'!CY57)</f>
        <v>XXXX</v>
      </c>
      <c r="R57" s="651" t="str">
        <f>IF('[1]BASE'!CZ57=0,"",'[1]BASE'!CZ57)</f>
        <v>XXXX</v>
      </c>
      <c r="S57" s="651" t="str">
        <f>IF('[1]BASE'!DA57=0,"",'[1]BASE'!DA57)</f>
        <v>XXXX</v>
      </c>
      <c r="T57" s="647"/>
      <c r="U57" s="644"/>
    </row>
    <row r="58" spans="2:21" s="639" customFormat="1" ht="19.5" customHeight="1">
      <c r="B58" s="640"/>
      <c r="C58" s="648">
        <f>IF('[1]BASE'!C58=0,"",'[1]BASE'!C58)</f>
        <v>42</v>
      </c>
      <c r="D58" s="648" t="str">
        <f>IF('[1]BASE'!D58=0,"",'[1]BASE'!D58)</f>
        <v>RIO GRANDE - LUJAN</v>
      </c>
      <c r="E58" s="648">
        <f>IF('[1]BASE'!E58=0,"",'[1]BASE'!E58)</f>
        <v>500</v>
      </c>
      <c r="F58" s="648">
        <f>IF('[1]BASE'!F58=0,"",'[1]BASE'!F58)</f>
        <v>149</v>
      </c>
      <c r="G58" s="649" t="str">
        <f>IF('[1]BASE'!G58=0,"",'[1]BASE'!G58)</f>
        <v>A</v>
      </c>
      <c r="H58" s="649">
        <f>IF('[1]BASE'!CP58=0,"",'[1]BASE'!CP58)</f>
      </c>
      <c r="I58" s="649">
        <f>IF('[1]BASE'!CQ58=0,"",'[1]BASE'!CQ58)</f>
      </c>
      <c r="J58" s="649">
        <f>IF('[1]BASE'!CR58=0,"",'[1]BASE'!CR58)</f>
        <v>1</v>
      </c>
      <c r="K58" s="649">
        <f>IF('[1]BASE'!CS58=0,"",'[1]BASE'!CS58)</f>
      </c>
      <c r="L58" s="649">
        <f>IF('[1]BASE'!CT58=0,"",'[1]BASE'!CT58)</f>
      </c>
      <c r="M58" s="649">
        <f>IF('[1]BASE'!CU58=0,"",'[1]BASE'!CU58)</f>
      </c>
      <c r="N58" s="649">
        <f>IF('[1]BASE'!CV58=0,"",'[1]BASE'!CV58)</f>
      </c>
      <c r="O58" s="649">
        <f>IF('[1]BASE'!CW58=0,"",'[1]BASE'!CW58)</f>
      </c>
      <c r="P58" s="649">
        <f>IF('[1]BASE'!CX58=0,"",'[1]BASE'!CX58)</f>
        <v>2</v>
      </c>
      <c r="Q58" s="649">
        <f>IF('[1]BASE'!CY58=0,"",'[1]BASE'!CY58)</f>
      </c>
      <c r="R58" s="649">
        <f>IF('[1]BASE'!CZ58=0,"",'[1]BASE'!CZ58)</f>
      </c>
      <c r="S58" s="649">
        <f>IF('[1]BASE'!DA58=0,"",'[1]BASE'!DA58)</f>
      </c>
      <c r="T58" s="647"/>
      <c r="U58" s="644"/>
    </row>
    <row r="59" spans="2:21" s="639" customFormat="1" ht="19.5" customHeight="1">
      <c r="B59" s="640"/>
      <c r="C59" s="650">
        <f>IF('[1]BASE'!C59=0,"",'[1]BASE'!C59)</f>
        <v>43</v>
      </c>
      <c r="D59" s="650" t="str">
        <f>IF('[1]BASE'!D59=0,"",'[1]BASE'!D59)</f>
        <v>LUJAN - GRAN MENDOZA</v>
      </c>
      <c r="E59" s="650">
        <f>IF('[1]BASE'!E59=0,"",'[1]BASE'!E59)</f>
        <v>500</v>
      </c>
      <c r="F59" s="650">
        <f>IF('[1]BASE'!F59=0,"",'[1]BASE'!F59)</f>
        <v>258</v>
      </c>
      <c r="G59" s="651" t="str">
        <f>IF('[1]BASE'!G59=0,"",'[1]BASE'!G59)</f>
        <v>B</v>
      </c>
      <c r="H59" s="651">
        <f>IF('[1]BASE'!CP59=0,"",'[1]BASE'!CP59)</f>
      </c>
      <c r="I59" s="651">
        <f>IF('[1]BASE'!CQ59=0,"",'[1]BASE'!CQ59)</f>
      </c>
      <c r="J59" s="651">
        <f>IF('[1]BASE'!CR59=0,"",'[1]BASE'!CR59)</f>
      </c>
      <c r="K59" s="651">
        <f>IF('[1]BASE'!CS59=0,"",'[1]BASE'!CS59)</f>
      </c>
      <c r="L59" s="651">
        <f>IF('[1]BASE'!CT59=0,"",'[1]BASE'!CT59)</f>
      </c>
      <c r="M59" s="651">
        <f>IF('[1]BASE'!CU59=0,"",'[1]BASE'!CU59)</f>
      </c>
      <c r="N59" s="651">
        <f>IF('[1]BASE'!CV59=0,"",'[1]BASE'!CV59)</f>
      </c>
      <c r="O59" s="651">
        <f>IF('[1]BASE'!CW59=0,"",'[1]BASE'!CW59)</f>
      </c>
      <c r="P59" s="651">
        <f>IF('[1]BASE'!CX59=0,"",'[1]BASE'!CX59)</f>
      </c>
      <c r="Q59" s="651">
        <f>IF('[1]BASE'!CY59=0,"",'[1]BASE'!CY59)</f>
      </c>
      <c r="R59" s="651">
        <f>IF('[1]BASE'!CZ59=0,"",'[1]BASE'!CZ59)</f>
      </c>
      <c r="S59" s="651">
        <f>IF('[1]BASE'!DA59=0,"",'[1]BASE'!DA59)</f>
      </c>
      <c r="T59" s="647"/>
      <c r="U59" s="644"/>
    </row>
    <row r="60" spans="2:21" s="639" customFormat="1" ht="19.5" customHeight="1">
      <c r="B60" s="640"/>
      <c r="C60" s="648">
        <f>IF('[1]BASE'!C60=0,"",'[1]BASE'!C60)</f>
        <v>44</v>
      </c>
      <c r="D60" s="648" t="str">
        <f>IF('[1]BASE'!D60=0,"",'[1]BASE'!D60)</f>
        <v>ROMANG - RESISTENCIA</v>
      </c>
      <c r="E60" s="648">
        <f>IF('[1]BASE'!E60=0,"",'[1]BASE'!E60)</f>
        <v>500</v>
      </c>
      <c r="F60" s="648">
        <f>IF('[1]BASE'!F60=0,"",'[1]BASE'!F60)</f>
        <v>256</v>
      </c>
      <c r="G60" s="649" t="str">
        <f>IF('[1]BASE'!G60=0,"",'[1]BASE'!G60)</f>
        <v>A</v>
      </c>
      <c r="H60" s="649">
        <f>IF('[1]BASE'!CP60=0,"",'[1]BASE'!CP60)</f>
      </c>
      <c r="I60" s="649">
        <f>IF('[1]BASE'!CQ60=0,"",'[1]BASE'!CQ60)</f>
      </c>
      <c r="J60" s="649">
        <f>IF('[1]BASE'!CR60=0,"",'[1]BASE'!CR60)</f>
      </c>
      <c r="K60" s="649">
        <f>IF('[1]BASE'!CS60=0,"",'[1]BASE'!CS60)</f>
      </c>
      <c r="L60" s="649">
        <f>IF('[1]BASE'!CT60=0,"",'[1]BASE'!CT60)</f>
      </c>
      <c r="M60" s="649">
        <f>IF('[1]BASE'!CU60=0,"",'[1]BASE'!CU60)</f>
      </c>
      <c r="N60" s="649">
        <f>IF('[1]BASE'!CV60=0,"",'[1]BASE'!CV60)</f>
      </c>
      <c r="O60" s="649">
        <f>IF('[1]BASE'!CW60=0,"",'[1]BASE'!CW60)</f>
      </c>
      <c r="P60" s="649">
        <f>IF('[1]BASE'!CX60=0,"",'[1]BASE'!CX60)</f>
      </c>
      <c r="Q60" s="649">
        <f>IF('[1]BASE'!CY60=0,"",'[1]BASE'!CY60)</f>
        <v>1</v>
      </c>
      <c r="R60" s="649">
        <f>IF('[1]BASE'!CZ60=0,"",'[1]BASE'!CZ60)</f>
      </c>
      <c r="S60" s="649">
        <f>IF('[1]BASE'!DA60=0,"",'[1]BASE'!DA60)</f>
      </c>
      <c r="T60" s="647"/>
      <c r="U60" s="644"/>
    </row>
    <row r="61" spans="2:21" s="639" customFormat="1" ht="19.5" customHeight="1">
      <c r="B61" s="640"/>
      <c r="C61" s="650">
        <f>IF('[1]BASE'!C61=0,"",'[1]BASE'!C61)</f>
        <v>45</v>
      </c>
      <c r="D61" s="650" t="str">
        <f>IF('[1]BASE'!D61=0,"",'[1]BASE'!D61)</f>
        <v>ROSARIO OESTE -SANTO TOME</v>
      </c>
      <c r="E61" s="650">
        <f>IF('[1]BASE'!E61=0,"",'[1]BASE'!E61)</f>
        <v>500</v>
      </c>
      <c r="F61" s="650">
        <f>IF('[1]BASE'!F61=0,"",'[1]BASE'!F61)</f>
        <v>159</v>
      </c>
      <c r="G61" s="651" t="str">
        <f>IF('[1]BASE'!G61=0,"",'[1]BASE'!G61)</f>
        <v>C</v>
      </c>
      <c r="H61" s="651">
        <f>IF('[1]BASE'!CP61=0,"",'[1]BASE'!CP61)</f>
      </c>
      <c r="I61" s="651">
        <f>IF('[1]BASE'!CQ61=0,"",'[1]BASE'!CQ61)</f>
      </c>
      <c r="J61" s="651">
        <f>IF('[1]BASE'!CR61=0,"",'[1]BASE'!CR61)</f>
      </c>
      <c r="K61" s="651">
        <f>IF('[1]BASE'!CS61=0,"",'[1]BASE'!CS61)</f>
      </c>
      <c r="L61" s="651">
        <f>IF('[1]BASE'!CT61=0,"",'[1]BASE'!CT61)</f>
      </c>
      <c r="M61" s="651">
        <f>IF('[1]BASE'!CU61=0,"",'[1]BASE'!CU61)</f>
      </c>
      <c r="N61" s="651">
        <f>IF('[1]BASE'!CV61=0,"",'[1]BASE'!CV61)</f>
      </c>
      <c r="O61" s="651">
        <f>IF('[1]BASE'!CW61=0,"",'[1]BASE'!CW61)</f>
      </c>
      <c r="P61" s="651">
        <f>IF('[1]BASE'!CX61=0,"",'[1]BASE'!CX61)</f>
      </c>
      <c r="Q61" s="651">
        <f>IF('[1]BASE'!CY61=0,"",'[1]BASE'!CY61)</f>
      </c>
      <c r="R61" s="651">
        <f>IF('[1]BASE'!CZ61=0,"",'[1]BASE'!CZ61)</f>
      </c>
      <c r="S61" s="651">
        <f>IF('[1]BASE'!DA61=0,"",'[1]BASE'!DA61)</f>
      </c>
      <c r="T61" s="647"/>
      <c r="U61" s="644"/>
    </row>
    <row r="62" spans="2:21" s="639" customFormat="1" ht="19.5" customHeight="1">
      <c r="B62" s="640"/>
      <c r="C62" s="648">
        <f>IF('[1]BASE'!C62=0,"",'[1]BASE'!C62)</f>
        <v>46</v>
      </c>
      <c r="D62" s="648" t="str">
        <f>IF('[1]BASE'!D62=0,"",'[1]BASE'!D62)</f>
        <v>SALTO GRANDE - SANTO TOME </v>
      </c>
      <c r="E62" s="648">
        <f>IF('[1]BASE'!E62=0,"",'[1]BASE'!E62)</f>
        <v>500</v>
      </c>
      <c r="F62" s="648">
        <f>IF('[1]BASE'!F62=0,"",'[1]BASE'!F62)</f>
        <v>289</v>
      </c>
      <c r="G62" s="649" t="str">
        <f>IF('[1]BASE'!G62=0,"",'[1]BASE'!G62)</f>
        <v>C</v>
      </c>
      <c r="H62" s="649">
        <f>IF('[1]BASE'!CP62=0,"",'[1]BASE'!CP62)</f>
      </c>
      <c r="I62" s="649">
        <f>IF('[1]BASE'!CQ62=0,"",'[1]BASE'!CQ62)</f>
      </c>
      <c r="J62" s="649">
        <f>IF('[1]BASE'!CR62=0,"",'[1]BASE'!CR62)</f>
      </c>
      <c r="K62" s="649">
        <f>IF('[1]BASE'!CS62=0,"",'[1]BASE'!CS62)</f>
      </c>
      <c r="L62" s="649">
        <f>IF('[1]BASE'!CT62=0,"",'[1]BASE'!CT62)</f>
      </c>
      <c r="M62" s="649">
        <f>IF('[1]BASE'!CU62=0,"",'[1]BASE'!CU62)</f>
      </c>
      <c r="N62" s="649">
        <f>IF('[1]BASE'!CV62=0,"",'[1]BASE'!CV62)</f>
      </c>
      <c r="O62" s="649">
        <f>IF('[1]BASE'!CW62=0,"",'[1]BASE'!CW62)</f>
      </c>
      <c r="P62" s="649">
        <f>IF('[1]BASE'!CX62=0,"",'[1]BASE'!CX62)</f>
      </c>
      <c r="Q62" s="649">
        <f>IF('[1]BASE'!CY62=0,"",'[1]BASE'!CY62)</f>
      </c>
      <c r="R62" s="649">
        <f>IF('[1]BASE'!CZ62=0,"",'[1]BASE'!CZ62)</f>
      </c>
      <c r="S62" s="649">
        <f>IF('[1]BASE'!DA62=0,"",'[1]BASE'!DA62)</f>
      </c>
      <c r="T62" s="647"/>
      <c r="U62" s="644"/>
    </row>
    <row r="63" spans="2:21" s="639" customFormat="1" ht="19.5" customHeight="1">
      <c r="B63" s="640"/>
      <c r="C63" s="650">
        <f>IF('[1]BASE'!C63=0,"",'[1]BASE'!C63)</f>
        <v>47</v>
      </c>
      <c r="D63" s="650" t="str">
        <f>IF('[1]BASE'!D63=0,"",'[1]BASE'!D63)</f>
        <v>SANTO TOME - ROMANG </v>
      </c>
      <c r="E63" s="650">
        <f>IF('[1]BASE'!E63=0,"",'[1]BASE'!E63)</f>
        <v>500</v>
      </c>
      <c r="F63" s="650">
        <f>IF('[1]BASE'!F63=0,"",'[1]BASE'!F63)</f>
        <v>270</v>
      </c>
      <c r="G63" s="651" t="str">
        <f>IF('[1]BASE'!G63=0,"",'[1]BASE'!G63)</f>
        <v>A</v>
      </c>
      <c r="H63" s="651">
        <f>IF('[1]BASE'!CP63=0,"",'[1]BASE'!CP63)</f>
      </c>
      <c r="I63" s="651">
        <f>IF('[1]BASE'!CQ63=0,"",'[1]BASE'!CQ63)</f>
      </c>
      <c r="J63" s="651">
        <f>IF('[1]BASE'!CR63=0,"",'[1]BASE'!CR63)</f>
      </c>
      <c r="K63" s="651">
        <f>IF('[1]BASE'!CS63=0,"",'[1]BASE'!CS63)</f>
      </c>
      <c r="L63" s="651">
        <f>IF('[1]BASE'!CT63=0,"",'[1]BASE'!CT63)</f>
      </c>
      <c r="M63" s="651">
        <f>IF('[1]BASE'!CU63=0,"",'[1]BASE'!CU63)</f>
      </c>
      <c r="N63" s="651">
        <f>IF('[1]BASE'!CV63=0,"",'[1]BASE'!CV63)</f>
      </c>
      <c r="O63" s="651">
        <f>IF('[1]BASE'!CW63=0,"",'[1]BASE'!CW63)</f>
      </c>
      <c r="P63" s="651">
        <f>IF('[1]BASE'!CX63=0,"",'[1]BASE'!CX63)</f>
      </c>
      <c r="Q63" s="651">
        <f>IF('[1]BASE'!CY63=0,"",'[1]BASE'!CY63)</f>
      </c>
      <c r="R63" s="651">
        <f>IF('[1]BASE'!CZ63=0,"",'[1]BASE'!CZ63)</f>
      </c>
      <c r="S63" s="651">
        <f>IF('[1]BASE'!DA63=0,"",'[1]BASE'!DA63)</f>
      </c>
      <c r="T63" s="647"/>
      <c r="U63" s="644"/>
    </row>
    <row r="64" spans="2:21" s="639" customFormat="1" ht="19.5" customHeight="1">
      <c r="B64" s="640"/>
      <c r="C64" s="648">
        <f>IF('[1]BASE'!C64=0,"",'[1]BASE'!C64)</f>
      </c>
      <c r="D64" s="648">
        <f>IF('[1]BASE'!D64=0,"",'[1]BASE'!D64)</f>
      </c>
      <c r="E64" s="648">
        <f>IF('[1]BASE'!E64=0,"",'[1]BASE'!E64)</f>
      </c>
      <c r="F64" s="648">
        <f>IF('[1]BASE'!F64=0,"",'[1]BASE'!F64)</f>
      </c>
      <c r="G64" s="649">
        <f>IF('[1]BASE'!G64=0,"",'[1]BASE'!G64)</f>
      </c>
      <c r="H64" s="649">
        <f>IF('[1]BASE'!CP64=0,"",'[1]BASE'!CP64)</f>
      </c>
      <c r="I64" s="649">
        <f>IF('[1]BASE'!CQ64=0,"",'[1]BASE'!CQ64)</f>
      </c>
      <c r="J64" s="649">
        <f>IF('[1]BASE'!CR64=0,"",'[1]BASE'!CR64)</f>
      </c>
      <c r="K64" s="649">
        <f>IF('[1]BASE'!CS64=0,"",'[1]BASE'!CS64)</f>
      </c>
      <c r="L64" s="649">
        <f>IF('[1]BASE'!CT64=0,"",'[1]BASE'!CT64)</f>
      </c>
      <c r="M64" s="649">
        <f>IF('[1]BASE'!CU64=0,"",'[1]BASE'!CU64)</f>
      </c>
      <c r="N64" s="649">
        <f>IF('[1]BASE'!CV64=0,"",'[1]BASE'!CV64)</f>
      </c>
      <c r="O64" s="649">
        <f>IF('[1]BASE'!CW64=0,"",'[1]BASE'!CW64)</f>
      </c>
      <c r="P64" s="649">
        <f>IF('[1]BASE'!CX64=0,"",'[1]BASE'!CX64)</f>
      </c>
      <c r="Q64" s="649">
        <f>IF('[1]BASE'!CY64=0,"",'[1]BASE'!CY64)</f>
      </c>
      <c r="R64" s="649">
        <f>IF('[1]BASE'!CZ64=0,"",'[1]BASE'!CZ64)</f>
      </c>
      <c r="S64" s="649">
        <f>IF('[1]BASE'!DA64=0,"",'[1]BASE'!DA64)</f>
      </c>
      <c r="T64" s="647"/>
      <c r="U64" s="644"/>
    </row>
    <row r="65" spans="2:21" s="639" customFormat="1" ht="19.5" customHeight="1">
      <c r="B65" s="640"/>
      <c r="C65" s="650">
        <f>IF('[1]BASE'!C65=0,"",'[1]BASE'!C65)</f>
        <v>48</v>
      </c>
      <c r="D65" s="650" t="str">
        <f>IF('[1]BASE'!D65=0,"",'[1]BASE'!D65)</f>
        <v>GRAL. RODRIGUEZ - VILLA  LIA 1</v>
      </c>
      <c r="E65" s="650">
        <f>IF('[1]BASE'!E65=0,"",'[1]BASE'!E65)</f>
        <v>220</v>
      </c>
      <c r="F65" s="650">
        <f>IF('[1]BASE'!F65=0,"",'[1]BASE'!F65)</f>
        <v>61</v>
      </c>
      <c r="G65" s="651" t="str">
        <f>IF('[1]BASE'!G65=0,"",'[1]BASE'!G65)</f>
        <v>C</v>
      </c>
      <c r="H65" s="651">
        <f>IF('[1]BASE'!CP65=0,"",'[1]BASE'!CP65)</f>
      </c>
      <c r="I65" s="651">
        <f>IF('[1]BASE'!CQ65=0,"",'[1]BASE'!CQ65)</f>
      </c>
      <c r="J65" s="651">
        <f>IF('[1]BASE'!CR65=0,"",'[1]BASE'!CR65)</f>
      </c>
      <c r="K65" s="651">
        <f>IF('[1]BASE'!CS65=0,"",'[1]BASE'!CS65)</f>
        <v>1</v>
      </c>
      <c r="L65" s="651">
        <f>IF('[1]BASE'!CT65=0,"",'[1]BASE'!CT65)</f>
        <v>1</v>
      </c>
      <c r="M65" s="651">
        <f>IF('[1]BASE'!CU65=0,"",'[1]BASE'!CU65)</f>
      </c>
      <c r="N65" s="651">
        <f>IF('[1]BASE'!CV65=0,"",'[1]BASE'!CV65)</f>
      </c>
      <c r="O65" s="651">
        <f>IF('[1]BASE'!CW65=0,"",'[1]BASE'!CW65)</f>
      </c>
      <c r="P65" s="651">
        <f>IF('[1]BASE'!CX65=0,"",'[1]BASE'!CX65)</f>
      </c>
      <c r="Q65" s="651">
        <f>IF('[1]BASE'!CY65=0,"",'[1]BASE'!CY65)</f>
      </c>
      <c r="R65" s="651">
        <f>IF('[1]BASE'!CZ65=0,"",'[1]BASE'!CZ65)</f>
      </c>
      <c r="S65" s="651">
        <f>IF('[1]BASE'!DA65=0,"",'[1]BASE'!DA65)</f>
      </c>
      <c r="T65" s="647"/>
      <c r="U65" s="644"/>
    </row>
    <row r="66" spans="2:21" s="639" customFormat="1" ht="19.5" customHeight="1">
      <c r="B66" s="640"/>
      <c r="C66" s="648">
        <f>IF('[1]BASE'!C66=0,"",'[1]BASE'!C66)</f>
        <v>49</v>
      </c>
      <c r="D66" s="648" t="str">
        <f>IF('[1]BASE'!D66=0,"",'[1]BASE'!D66)</f>
        <v>GRAL. RODRIGUEZ - VILLA  LIA 2</v>
      </c>
      <c r="E66" s="648">
        <f>IF('[1]BASE'!E66=0,"",'[1]BASE'!E66)</f>
        <v>220</v>
      </c>
      <c r="F66" s="648">
        <f>IF('[1]BASE'!F66=0,"",'[1]BASE'!F66)</f>
        <v>61</v>
      </c>
      <c r="G66" s="649" t="str">
        <f>IF('[1]BASE'!G66=0,"",'[1]BASE'!G66)</f>
        <v>C</v>
      </c>
      <c r="H66" s="649">
        <f>IF('[1]BASE'!CP66=0,"",'[1]BASE'!CP66)</f>
      </c>
      <c r="I66" s="649">
        <f>IF('[1]BASE'!CQ66=0,"",'[1]BASE'!CQ66)</f>
      </c>
      <c r="J66" s="649">
        <f>IF('[1]BASE'!CR66=0,"",'[1]BASE'!CR66)</f>
      </c>
      <c r="K66" s="649">
        <f>IF('[1]BASE'!CS66=0,"",'[1]BASE'!CS66)</f>
      </c>
      <c r="L66" s="649">
        <f>IF('[1]BASE'!CT66=0,"",'[1]BASE'!CT66)</f>
      </c>
      <c r="M66" s="649">
        <f>IF('[1]BASE'!CU66=0,"",'[1]BASE'!CU66)</f>
      </c>
      <c r="N66" s="649">
        <f>IF('[1]BASE'!CV66=0,"",'[1]BASE'!CV66)</f>
      </c>
      <c r="O66" s="649">
        <f>IF('[1]BASE'!CW66=0,"",'[1]BASE'!CW66)</f>
      </c>
      <c r="P66" s="649">
        <f>IF('[1]BASE'!CX66=0,"",'[1]BASE'!CX66)</f>
      </c>
      <c r="Q66" s="649">
        <f>IF('[1]BASE'!CY66=0,"",'[1]BASE'!CY66)</f>
      </c>
      <c r="R66" s="649">
        <f>IF('[1]BASE'!CZ66=0,"",'[1]BASE'!CZ66)</f>
      </c>
      <c r="S66" s="649">
        <f>IF('[1]BASE'!DA66=0,"",'[1]BASE'!DA66)</f>
      </c>
      <c r="T66" s="647"/>
      <c r="U66" s="644"/>
    </row>
    <row r="67" spans="2:21" s="639" customFormat="1" ht="19.5" customHeight="1">
      <c r="B67" s="640"/>
      <c r="C67" s="650">
        <f>IF('[1]BASE'!C67=0,"",'[1]BASE'!C67)</f>
        <v>50</v>
      </c>
      <c r="D67" s="650" t="str">
        <f>IF('[1]BASE'!D67=0,"",'[1]BASE'!D67)</f>
        <v>RAMALLO - SAN NICOLAS (2)</v>
      </c>
      <c r="E67" s="650">
        <f>IF('[1]BASE'!E67=0,"",'[1]BASE'!E67)</f>
        <v>220</v>
      </c>
      <c r="F67" s="650">
        <f>IF('[1]BASE'!F67=0,"",'[1]BASE'!F67)</f>
        <v>6</v>
      </c>
      <c r="G67" s="651" t="str">
        <f>IF('[1]BASE'!G67=0,"",'[1]BASE'!G67)</f>
        <v>C</v>
      </c>
      <c r="H67" s="651">
        <f>IF('[1]BASE'!CP67=0,"",'[1]BASE'!CP67)</f>
      </c>
      <c r="I67" s="651">
        <f>IF('[1]BASE'!CQ67=0,"",'[1]BASE'!CQ67)</f>
      </c>
      <c r="J67" s="651">
        <f>IF('[1]BASE'!CR67=0,"",'[1]BASE'!CR67)</f>
      </c>
      <c r="K67" s="651">
        <f>IF('[1]BASE'!CS67=0,"",'[1]BASE'!CS67)</f>
      </c>
      <c r="L67" s="651">
        <f>IF('[1]BASE'!CT67=0,"",'[1]BASE'!CT67)</f>
      </c>
      <c r="M67" s="651">
        <f>IF('[1]BASE'!CU67=0,"",'[1]BASE'!CU67)</f>
      </c>
      <c r="N67" s="651">
        <f>IF('[1]BASE'!CV67=0,"",'[1]BASE'!CV67)</f>
      </c>
      <c r="O67" s="651">
        <f>IF('[1]BASE'!CW67=0,"",'[1]BASE'!CW67)</f>
      </c>
      <c r="P67" s="651">
        <f>IF('[1]BASE'!CX67=0,"",'[1]BASE'!CX67)</f>
      </c>
      <c r="Q67" s="651">
        <f>IF('[1]BASE'!CY67=0,"",'[1]BASE'!CY67)</f>
      </c>
      <c r="R67" s="651">
        <f>IF('[1]BASE'!CZ67=0,"",'[1]BASE'!CZ67)</f>
      </c>
      <c r="S67" s="651">
        <f>IF('[1]BASE'!DA67=0,"",'[1]BASE'!DA67)</f>
      </c>
      <c r="T67" s="647"/>
      <c r="U67" s="644"/>
    </row>
    <row r="68" spans="2:21" s="639" customFormat="1" ht="19.5" customHeight="1">
      <c r="B68" s="640"/>
      <c r="C68" s="648">
        <f>IF('[1]BASE'!C68=0,"",'[1]BASE'!C68)</f>
        <v>51</v>
      </c>
      <c r="D68" s="648" t="str">
        <f>IF('[1]BASE'!D68=0,"",'[1]BASE'!D68)</f>
        <v>RAMALLO - SAN NICOLAS (1)</v>
      </c>
      <c r="E68" s="648">
        <f>IF('[1]BASE'!E68=0,"",'[1]BASE'!E68)</f>
        <v>220</v>
      </c>
      <c r="F68" s="648">
        <f>IF('[1]BASE'!F68=0,"",'[1]BASE'!F68)</f>
        <v>6</v>
      </c>
      <c r="G68" s="649" t="str">
        <f>IF('[1]BASE'!G68=0,"",'[1]BASE'!G68)</f>
        <v>C</v>
      </c>
      <c r="H68" s="649">
        <f>IF('[1]BASE'!CP68=0,"",'[1]BASE'!CP68)</f>
      </c>
      <c r="I68" s="649">
        <f>IF('[1]BASE'!CQ68=0,"",'[1]BASE'!CQ68)</f>
      </c>
      <c r="J68" s="649">
        <f>IF('[1]BASE'!CR68=0,"",'[1]BASE'!CR68)</f>
        <v>1</v>
      </c>
      <c r="K68" s="649">
        <f>IF('[1]BASE'!CS68=0,"",'[1]BASE'!CS68)</f>
      </c>
      <c r="L68" s="649">
        <f>IF('[1]BASE'!CT68=0,"",'[1]BASE'!CT68)</f>
      </c>
      <c r="M68" s="649">
        <f>IF('[1]BASE'!CU68=0,"",'[1]BASE'!CU68)</f>
      </c>
      <c r="N68" s="649">
        <f>IF('[1]BASE'!CV68=0,"",'[1]BASE'!CV68)</f>
      </c>
      <c r="O68" s="649">
        <f>IF('[1]BASE'!CW68=0,"",'[1]BASE'!CW68)</f>
      </c>
      <c r="P68" s="649">
        <f>IF('[1]BASE'!CX68=0,"",'[1]BASE'!CX68)</f>
      </c>
      <c r="Q68" s="649">
        <f>IF('[1]BASE'!CY68=0,"",'[1]BASE'!CY68)</f>
      </c>
      <c r="R68" s="649">
        <f>IF('[1]BASE'!CZ68=0,"",'[1]BASE'!CZ68)</f>
      </c>
      <c r="S68" s="649">
        <f>IF('[1]BASE'!DA68=0,"",'[1]BASE'!DA68)</f>
      </c>
      <c r="T68" s="647"/>
      <c r="U68" s="644"/>
    </row>
    <row r="69" spans="2:21" s="639" customFormat="1" ht="19.5" customHeight="1">
      <c r="B69" s="640"/>
      <c r="C69" s="650">
        <f>IF('[1]BASE'!C69=0,"",'[1]BASE'!C69)</f>
        <v>52</v>
      </c>
      <c r="D69" s="650" t="str">
        <f>IF('[1]BASE'!D69=0,"",'[1]BASE'!D69)</f>
        <v>RAMALLO - VILLA LIA  1</v>
      </c>
      <c r="E69" s="650">
        <f>IF('[1]BASE'!E69=0,"",'[1]BASE'!E69)</f>
        <v>220</v>
      </c>
      <c r="F69" s="651">
        <f>IF('[1]BASE'!F69=0,"",'[1]BASE'!F69)</f>
        <v>114</v>
      </c>
      <c r="G69" s="651" t="str">
        <f>IF('[1]BASE'!G69=0,"",'[1]BASE'!G69)</f>
        <v>C</v>
      </c>
      <c r="H69" s="651">
        <f>IF('[1]BASE'!CP69=0,"",'[1]BASE'!CP69)</f>
      </c>
      <c r="I69" s="651">
        <f>IF('[1]BASE'!CQ69=0,"",'[1]BASE'!CQ69)</f>
      </c>
      <c r="J69" s="651">
        <f>IF('[1]BASE'!CR69=0,"",'[1]BASE'!CR69)</f>
      </c>
      <c r="K69" s="651">
        <f>IF('[1]BASE'!CS69=0,"",'[1]BASE'!CS69)</f>
      </c>
      <c r="L69" s="651">
        <f>IF('[1]BASE'!CT69=0,"",'[1]BASE'!CT69)</f>
      </c>
      <c r="M69" s="651">
        <f>IF('[1]BASE'!CU69=0,"",'[1]BASE'!CU69)</f>
      </c>
      <c r="N69" s="651">
        <f>IF('[1]BASE'!CV69=0,"",'[1]BASE'!CV69)</f>
        <v>1</v>
      </c>
      <c r="O69" s="651">
        <f>IF('[1]BASE'!CW69=0,"",'[1]BASE'!CW69)</f>
      </c>
      <c r="P69" s="651">
        <f>IF('[1]BASE'!CX69=0,"",'[1]BASE'!CX69)</f>
      </c>
      <c r="Q69" s="651">
        <f>IF('[1]BASE'!CY69=0,"",'[1]BASE'!CY69)</f>
      </c>
      <c r="R69" s="651">
        <f>IF('[1]BASE'!CZ69=0,"",'[1]BASE'!CZ69)</f>
      </c>
      <c r="S69" s="651">
        <f>IF('[1]BASE'!DA69=0,"",'[1]BASE'!DA69)</f>
        <v>1</v>
      </c>
      <c r="T69" s="647"/>
      <c r="U69" s="644"/>
    </row>
    <row r="70" spans="2:21" s="639" customFormat="1" ht="19.5" customHeight="1">
      <c r="B70" s="640"/>
      <c r="C70" s="648">
        <f>IF('[1]BASE'!C70=0,"",'[1]BASE'!C70)</f>
        <v>53</v>
      </c>
      <c r="D70" s="648" t="str">
        <f>IF('[1]BASE'!D70=0,"",'[1]BASE'!D70)</f>
        <v>RAMALLO - VILLA LIA  2</v>
      </c>
      <c r="E70" s="648">
        <f>IF('[1]BASE'!E70=0,"",'[1]BASE'!E70)</f>
        <v>220</v>
      </c>
      <c r="F70" s="649">
        <f>IF('[1]BASE'!F70=0,"",'[1]BASE'!F70)</f>
        <v>114</v>
      </c>
      <c r="G70" s="649" t="str">
        <f>IF('[1]BASE'!G70=0,"",'[1]BASE'!G70)</f>
        <v>C</v>
      </c>
      <c r="H70" s="649">
        <f>IF('[1]BASE'!CP70=0,"",'[1]BASE'!CP70)</f>
      </c>
      <c r="I70" s="649">
        <f>IF('[1]BASE'!CQ70=0,"",'[1]BASE'!CQ70)</f>
      </c>
      <c r="J70" s="649">
        <f>IF('[1]BASE'!CR70=0,"",'[1]BASE'!CR70)</f>
      </c>
      <c r="K70" s="649">
        <f>IF('[1]BASE'!CS70=0,"",'[1]BASE'!CS70)</f>
      </c>
      <c r="L70" s="649">
        <f>IF('[1]BASE'!CT70=0,"",'[1]BASE'!CT70)</f>
      </c>
      <c r="M70" s="649">
        <f>IF('[1]BASE'!CU70=0,"",'[1]BASE'!CU70)</f>
      </c>
      <c r="N70" s="649">
        <f>IF('[1]BASE'!CV70=0,"",'[1]BASE'!CV70)</f>
      </c>
      <c r="O70" s="649">
        <f>IF('[1]BASE'!CW70=0,"",'[1]BASE'!CW70)</f>
      </c>
      <c r="P70" s="649">
        <f>IF('[1]BASE'!CX70=0,"",'[1]BASE'!CX70)</f>
      </c>
      <c r="Q70" s="649">
        <f>IF('[1]BASE'!CY70=0,"",'[1]BASE'!CY70)</f>
      </c>
      <c r="R70" s="649">
        <f>IF('[1]BASE'!CZ70=0,"",'[1]BASE'!CZ70)</f>
      </c>
      <c r="S70" s="649">
        <f>IF('[1]BASE'!DA70=0,"",'[1]BASE'!DA70)</f>
      </c>
      <c r="T70" s="647"/>
      <c r="U70" s="644"/>
    </row>
    <row r="71" spans="2:21" s="639" customFormat="1" ht="19.5" customHeight="1">
      <c r="B71" s="640"/>
      <c r="C71" s="650">
        <f>IF('[1]BASE'!C71=0,"",'[1]BASE'!C71)</f>
        <v>54</v>
      </c>
      <c r="D71" s="650" t="str">
        <f>IF('[1]BASE'!D71=0,"",'[1]BASE'!D71)</f>
        <v>ROSARIO OESTE - RAMALLO  1</v>
      </c>
      <c r="E71" s="650">
        <f>IF('[1]BASE'!E71=0,"",'[1]BASE'!E71)</f>
        <v>220</v>
      </c>
      <c r="F71" s="651">
        <f>IF('[1]BASE'!F71=0,"",'[1]BASE'!F71)</f>
        <v>77</v>
      </c>
      <c r="G71" s="651" t="str">
        <f>IF('[1]BASE'!G71=0,"",'[1]BASE'!G71)</f>
        <v>C</v>
      </c>
      <c r="H71" s="651">
        <f>IF('[1]BASE'!CP71=0,"",'[1]BASE'!CP71)</f>
      </c>
      <c r="I71" s="651">
        <f>IF('[1]BASE'!CQ71=0,"",'[1]BASE'!CQ71)</f>
      </c>
      <c r="J71" s="651">
        <f>IF('[1]BASE'!CR71=0,"",'[1]BASE'!CR71)</f>
      </c>
      <c r="K71" s="651">
        <f>IF('[1]BASE'!CS71=0,"",'[1]BASE'!CS71)</f>
      </c>
      <c r="L71" s="651">
        <f>IF('[1]BASE'!CT71=0,"",'[1]BASE'!CT71)</f>
      </c>
      <c r="M71" s="651">
        <f>IF('[1]BASE'!CU71=0,"",'[1]BASE'!CU71)</f>
      </c>
      <c r="N71" s="651">
        <f>IF('[1]BASE'!CV71=0,"",'[1]BASE'!CV71)</f>
      </c>
      <c r="O71" s="651">
        <f>IF('[1]BASE'!CW71=0,"",'[1]BASE'!CW71)</f>
      </c>
      <c r="P71" s="651">
        <f>IF('[1]BASE'!CX71=0,"",'[1]BASE'!CX71)</f>
      </c>
      <c r="Q71" s="651">
        <f>IF('[1]BASE'!CY71=0,"",'[1]BASE'!CY71)</f>
      </c>
      <c r="R71" s="651">
        <f>IF('[1]BASE'!CZ71=0,"",'[1]BASE'!CZ71)</f>
      </c>
      <c r="S71" s="651">
        <f>IF('[1]BASE'!DA71=0,"",'[1]BASE'!DA71)</f>
      </c>
      <c r="T71" s="647"/>
      <c r="U71" s="644"/>
    </row>
    <row r="72" spans="2:21" s="639" customFormat="1" ht="19.5" customHeight="1">
      <c r="B72" s="640"/>
      <c r="C72" s="648">
        <f>IF('[1]BASE'!C72=0,"",'[1]BASE'!C72)</f>
        <v>55</v>
      </c>
      <c r="D72" s="648" t="str">
        <f>IF('[1]BASE'!D72=0,"",'[1]BASE'!D72)</f>
        <v>ROSARIO OESTE - RAMALLO  2</v>
      </c>
      <c r="E72" s="648">
        <f>IF('[1]BASE'!E72=0,"",'[1]BASE'!E72)</f>
        <v>220</v>
      </c>
      <c r="F72" s="649">
        <f>IF('[1]BASE'!F72=0,"",'[1]BASE'!F72)</f>
        <v>77</v>
      </c>
      <c r="G72" s="649" t="str">
        <f>IF('[1]BASE'!G72=0,"",'[1]BASE'!G72)</f>
        <v>C</v>
      </c>
      <c r="H72" s="649">
        <f>IF('[1]BASE'!CP72=0,"",'[1]BASE'!CP72)</f>
      </c>
      <c r="I72" s="649">
        <f>IF('[1]BASE'!CQ72=0,"",'[1]BASE'!CQ72)</f>
      </c>
      <c r="J72" s="649">
        <f>IF('[1]BASE'!CR72=0,"",'[1]BASE'!CR72)</f>
      </c>
      <c r="K72" s="649">
        <f>IF('[1]BASE'!CS72=0,"",'[1]BASE'!CS72)</f>
      </c>
      <c r="L72" s="649">
        <f>IF('[1]BASE'!CT72=0,"",'[1]BASE'!CT72)</f>
      </c>
      <c r="M72" s="649">
        <f>IF('[1]BASE'!CU72=0,"",'[1]BASE'!CU72)</f>
      </c>
      <c r="N72" s="649">
        <f>IF('[1]BASE'!CV72=0,"",'[1]BASE'!CV72)</f>
      </c>
      <c r="O72" s="649">
        <f>IF('[1]BASE'!CW72=0,"",'[1]BASE'!CW72)</f>
      </c>
      <c r="P72" s="649">
        <f>IF('[1]BASE'!CX72=0,"",'[1]BASE'!CX72)</f>
      </c>
      <c r="Q72" s="649">
        <f>IF('[1]BASE'!CY72=0,"",'[1]BASE'!CY72)</f>
      </c>
      <c r="R72" s="649">
        <f>IF('[1]BASE'!CZ72=0,"",'[1]BASE'!CZ72)</f>
      </c>
      <c r="S72" s="649">
        <f>IF('[1]BASE'!DA72=0,"",'[1]BASE'!DA72)</f>
      </c>
      <c r="T72" s="647"/>
      <c r="U72" s="644"/>
    </row>
    <row r="73" spans="2:21" s="639" customFormat="1" ht="19.5" customHeight="1">
      <c r="B73" s="640"/>
      <c r="C73" s="650">
        <f>IF('[1]BASE'!C73=0,"",'[1]BASE'!C73)</f>
        <v>56</v>
      </c>
      <c r="D73" s="650" t="str">
        <f>IF('[1]BASE'!D73=0,"",'[1]BASE'!D73)</f>
        <v>VILLA LIA - ATUCHA 1</v>
      </c>
      <c r="E73" s="650">
        <f>IF('[1]BASE'!E73=0,"",'[1]BASE'!E73)</f>
        <v>220</v>
      </c>
      <c r="F73" s="650">
        <f>IF('[1]BASE'!F73=0,"",'[1]BASE'!F73)</f>
        <v>26</v>
      </c>
      <c r="G73" s="651" t="str">
        <f>IF('[1]BASE'!G73=0,"",'[1]BASE'!G73)</f>
        <v>C</v>
      </c>
      <c r="H73" s="651">
        <f>IF('[1]BASE'!CP73=0,"",'[1]BASE'!CP73)</f>
      </c>
      <c r="I73" s="651">
        <f>IF('[1]BASE'!CQ73=0,"",'[1]BASE'!CQ73)</f>
      </c>
      <c r="J73" s="651">
        <f>IF('[1]BASE'!CR73=0,"",'[1]BASE'!CR73)</f>
      </c>
      <c r="K73" s="651">
        <f>IF('[1]BASE'!CS73=0,"",'[1]BASE'!CS73)</f>
      </c>
      <c r="L73" s="651">
        <f>IF('[1]BASE'!CT73=0,"",'[1]BASE'!CT73)</f>
      </c>
      <c r="M73" s="651">
        <f>IF('[1]BASE'!CU73=0,"",'[1]BASE'!CU73)</f>
      </c>
      <c r="N73" s="651">
        <f>IF('[1]BASE'!CV73=0,"",'[1]BASE'!CV73)</f>
      </c>
      <c r="O73" s="651">
        <f>IF('[1]BASE'!CW73=0,"",'[1]BASE'!CW73)</f>
      </c>
      <c r="P73" s="651">
        <f>IF('[1]BASE'!CX73=0,"",'[1]BASE'!CX73)</f>
      </c>
      <c r="Q73" s="651">
        <f>IF('[1]BASE'!CY73=0,"",'[1]BASE'!CY73)</f>
      </c>
      <c r="R73" s="651">
        <f>IF('[1]BASE'!CZ73=0,"",'[1]BASE'!CZ73)</f>
      </c>
      <c r="S73" s="651">
        <f>IF('[1]BASE'!DA73=0,"",'[1]BASE'!DA73)</f>
      </c>
      <c r="T73" s="647"/>
      <c r="U73" s="644"/>
    </row>
    <row r="74" spans="2:21" s="639" customFormat="1" ht="19.5" customHeight="1">
      <c r="B74" s="640"/>
      <c r="C74" s="648">
        <f>IF('[1]BASE'!C74=0,"",'[1]BASE'!C74)</f>
        <v>57</v>
      </c>
      <c r="D74" s="648" t="str">
        <f>IF('[1]BASE'!D74=0,"",'[1]BASE'!D74)</f>
        <v>VILLA LIA - ATUCHA 2</v>
      </c>
      <c r="E74" s="648">
        <f>IF('[1]BASE'!E74=0,"",'[1]BASE'!E74)</f>
        <v>220</v>
      </c>
      <c r="F74" s="648">
        <f>IF('[1]BASE'!F74=0,"",'[1]BASE'!F74)</f>
        <v>26</v>
      </c>
      <c r="G74" s="649" t="str">
        <f>IF('[1]BASE'!G74=0,"",'[1]BASE'!G74)</f>
        <v>C</v>
      </c>
      <c r="H74" s="652">
        <f>IF('[1]BASE'!CP74=0,"",'[1]BASE'!CP74)</f>
      </c>
      <c r="I74" s="652">
        <f>IF('[1]BASE'!CQ74=0,"",'[1]BASE'!CQ74)</f>
      </c>
      <c r="J74" s="652">
        <f>IF('[1]BASE'!CR74=0,"",'[1]BASE'!CR74)</f>
      </c>
      <c r="K74" s="652">
        <f>IF('[1]BASE'!CS74=0,"",'[1]BASE'!CS74)</f>
      </c>
      <c r="L74" s="652">
        <f>IF('[1]BASE'!CT74=0,"",'[1]BASE'!CT74)</f>
      </c>
      <c r="M74" s="652">
        <f>IF('[1]BASE'!CU74=0,"",'[1]BASE'!CU74)</f>
      </c>
      <c r="N74" s="652">
        <f>IF('[1]BASE'!CV74=0,"",'[1]BASE'!CV74)</f>
      </c>
      <c r="O74" s="652">
        <f>IF('[1]BASE'!CW74=0,"",'[1]BASE'!CW74)</f>
      </c>
      <c r="P74" s="652">
        <f>IF('[1]BASE'!CX74=0,"",'[1]BASE'!CX74)</f>
      </c>
      <c r="Q74" s="652">
        <f>IF('[1]BASE'!CY74=0,"",'[1]BASE'!CY74)</f>
      </c>
      <c r="R74" s="652">
        <f>IF('[1]BASE'!CZ74=0,"",'[1]BASE'!CZ74)</f>
      </c>
      <c r="S74" s="652">
        <f>IF('[1]BASE'!DA74=0,"",'[1]BASE'!DA74)</f>
      </c>
      <c r="T74" s="647"/>
      <c r="U74" s="644"/>
    </row>
    <row r="75" spans="2:21" s="639" customFormat="1" ht="19.5" customHeight="1">
      <c r="B75" s="640"/>
      <c r="C75" s="650">
        <f>IF('[1]BASE'!C75=0,"",'[1]BASE'!C75)</f>
      </c>
      <c r="D75" s="650">
        <f>IF('[1]BASE'!D75=0,"",'[1]BASE'!D75)</f>
      </c>
      <c r="E75" s="650">
        <f>IF('[1]BASE'!E75=0,"",'[1]BASE'!E75)</f>
      </c>
      <c r="F75" s="650">
        <f>IF('[1]BASE'!F75=0,"",'[1]BASE'!F75)</f>
      </c>
      <c r="G75" s="651">
        <f>IF('[1]BASE'!G75=0,"",'[1]BASE'!G75)</f>
      </c>
      <c r="H75" s="651">
        <f>IF('[1]BASE'!CP75=0,"",'[1]BASE'!CP75)</f>
      </c>
      <c r="I75" s="651">
        <f>IF('[1]BASE'!CQ75=0,"",'[1]BASE'!CQ75)</f>
      </c>
      <c r="J75" s="651">
        <f>IF('[1]BASE'!CR75=0,"",'[1]BASE'!CR75)</f>
      </c>
      <c r="K75" s="651">
        <f>IF('[1]BASE'!CS75=0,"",'[1]BASE'!CS75)</f>
      </c>
      <c r="L75" s="651">
        <f>IF('[1]BASE'!CT75=0,"",'[1]BASE'!CT75)</f>
      </c>
      <c r="M75" s="651">
        <f>IF('[1]BASE'!CU75=0,"",'[1]BASE'!CU75)</f>
      </c>
      <c r="N75" s="651">
        <f>IF('[1]BASE'!CV75=0,"",'[1]BASE'!CV75)</f>
      </c>
      <c r="O75" s="651">
        <f>IF('[1]BASE'!CW75=0,"",'[1]BASE'!CW75)</f>
      </c>
      <c r="P75" s="651">
        <f>IF('[1]BASE'!CX75=0,"",'[1]BASE'!CX75)</f>
      </c>
      <c r="Q75" s="651">
        <f>IF('[1]BASE'!CY75=0,"",'[1]BASE'!CY75)</f>
      </c>
      <c r="R75" s="651">
        <f>IF('[1]BASE'!CZ75=0,"",'[1]BASE'!CZ75)</f>
      </c>
      <c r="S75" s="651">
        <f>IF('[1]BASE'!DA75=0,"",'[1]BASE'!DA75)</f>
      </c>
      <c r="T75" s="647"/>
      <c r="U75" s="644"/>
    </row>
    <row r="76" spans="2:21" s="639" customFormat="1" ht="19.5" customHeight="1">
      <c r="B76" s="640"/>
      <c r="C76" s="648">
        <f>IF('[1]BASE'!C76=0,"",'[1]BASE'!C76)</f>
        <v>58</v>
      </c>
      <c r="D76" s="648" t="str">
        <f>IF('[1]BASE'!D76=0,"",'[1]BASE'!D76)</f>
        <v>GRAL RODRIGUEZ - RAMALLO</v>
      </c>
      <c r="E76" s="648">
        <f>IF('[1]BASE'!E76=0,"",'[1]BASE'!E76)</f>
        <v>500</v>
      </c>
      <c r="F76" s="649">
        <f>IF('[1]BASE'!F76=0,"",'[1]BASE'!F76)</f>
        <v>183.9</v>
      </c>
      <c r="G76" s="649" t="str">
        <f>IF('[1]BASE'!G76=0,"",'[1]BASE'!G76)</f>
        <v>C</v>
      </c>
      <c r="H76" s="649">
        <f>IF('[1]BASE'!CP76=0,"",'[1]BASE'!CP76)</f>
      </c>
      <c r="I76" s="649">
        <f>IF('[1]BASE'!CQ76=0,"",'[1]BASE'!CQ76)</f>
      </c>
      <c r="J76" s="649">
        <f>IF('[1]BASE'!CR76=0,"",'[1]BASE'!CR76)</f>
      </c>
      <c r="K76" s="649">
        <f>IF('[1]BASE'!CS76=0,"",'[1]BASE'!CS76)</f>
      </c>
      <c r="L76" s="649">
        <f>IF('[1]BASE'!CT76=0,"",'[1]BASE'!CT76)</f>
      </c>
      <c r="M76" s="649">
        <f>IF('[1]BASE'!CU76=0,"",'[1]BASE'!CU76)</f>
      </c>
      <c r="N76" s="649">
        <f>IF('[1]BASE'!CV76=0,"",'[1]BASE'!CV76)</f>
      </c>
      <c r="O76" s="649">
        <f>IF('[1]BASE'!CW76=0,"",'[1]BASE'!CW76)</f>
      </c>
      <c r="P76" s="649">
        <f>IF('[1]BASE'!CX76=0,"",'[1]BASE'!CX76)</f>
      </c>
      <c r="Q76" s="649">
        <f>IF('[1]BASE'!CY76=0,"",'[1]BASE'!CY76)</f>
        <v>1</v>
      </c>
      <c r="R76" s="649">
        <f>IF('[1]BASE'!CZ76=0,"",'[1]BASE'!CZ76)</f>
      </c>
      <c r="S76" s="649">
        <f>IF('[1]BASE'!DA76=0,"",'[1]BASE'!DA76)</f>
        <v>1</v>
      </c>
      <c r="T76" s="647"/>
      <c r="U76" s="644"/>
    </row>
    <row r="77" spans="2:21" s="639" customFormat="1" ht="19.5" customHeight="1">
      <c r="B77" s="640"/>
      <c r="C77" s="650">
        <f>IF('[1]BASE'!C77=0,"",'[1]BASE'!C77)</f>
        <v>59</v>
      </c>
      <c r="D77" s="650" t="str">
        <f>IF('[1]BASE'!D77=0,"",'[1]BASE'!D77)</f>
        <v>RAMALLO - ROSARIO OESTE</v>
      </c>
      <c r="E77" s="650">
        <f>IF('[1]BASE'!E77=0,"",'[1]BASE'!E77)</f>
        <v>500</v>
      </c>
      <c r="F77" s="651">
        <f>IF('[1]BASE'!F77=0,"",'[1]BASE'!F77)</f>
        <v>77</v>
      </c>
      <c r="G77" s="651" t="str">
        <f>IF('[1]BASE'!G77=0,"",'[1]BASE'!G77)</f>
        <v>C</v>
      </c>
      <c r="H77" s="651">
        <f>IF('[1]BASE'!CP77=0,"",'[1]BASE'!CP77)</f>
        <v>1</v>
      </c>
      <c r="I77" s="651">
        <f>IF('[1]BASE'!CQ77=0,"",'[1]BASE'!CQ77)</f>
      </c>
      <c r="J77" s="651">
        <f>IF('[1]BASE'!CR77=0,"",'[1]BASE'!CR77)</f>
      </c>
      <c r="K77" s="651">
        <f>IF('[1]BASE'!CS77=0,"",'[1]BASE'!CS77)</f>
      </c>
      <c r="L77" s="651">
        <f>IF('[1]BASE'!CT77=0,"",'[1]BASE'!CT77)</f>
      </c>
      <c r="M77" s="651">
        <f>IF('[1]BASE'!CU77=0,"",'[1]BASE'!CU77)</f>
      </c>
      <c r="N77" s="651">
        <f>IF('[1]BASE'!CV77=0,"",'[1]BASE'!CV77)</f>
      </c>
      <c r="O77" s="651">
        <f>IF('[1]BASE'!CW77=0,"",'[1]BASE'!CW77)</f>
      </c>
      <c r="P77" s="651">
        <f>IF('[1]BASE'!CX77=0,"",'[1]BASE'!CX77)</f>
      </c>
      <c r="Q77" s="651">
        <f>IF('[1]BASE'!CY77=0,"",'[1]BASE'!CY77)</f>
        <v>1</v>
      </c>
      <c r="R77" s="651">
        <f>IF('[1]BASE'!CZ77=0,"",'[1]BASE'!CZ77)</f>
      </c>
      <c r="S77" s="651">
        <f>IF('[1]BASE'!DA77=0,"",'[1]BASE'!DA77)</f>
      </c>
      <c r="T77" s="647"/>
      <c r="U77" s="644"/>
    </row>
    <row r="78" spans="2:21" s="639" customFormat="1" ht="19.5" customHeight="1">
      <c r="B78" s="640"/>
      <c r="C78" s="648">
        <f>IF('[1]BASE'!C78=0,"",'[1]BASE'!C78)</f>
        <v>60</v>
      </c>
      <c r="D78" s="648" t="str">
        <f>IF('[1]BASE'!D78=0,"",'[1]BASE'!D78)</f>
        <v>MACACHIN - HENDERSON</v>
      </c>
      <c r="E78" s="648">
        <f>IF('[1]BASE'!E78=0,"",'[1]BASE'!E78)</f>
        <v>500</v>
      </c>
      <c r="F78" s="649">
        <f>IF('[1]BASE'!F78=0,"",'[1]BASE'!F78)</f>
        <v>194</v>
      </c>
      <c r="G78" s="649" t="str">
        <f>IF('[1]BASE'!G78=0,"",'[1]BASE'!G78)</f>
        <v>A</v>
      </c>
      <c r="H78" s="649" t="str">
        <f>IF('[1]BASE'!CP78=0,"",'[1]BASE'!CP78)</f>
        <v>XXXX</v>
      </c>
      <c r="I78" s="649" t="str">
        <f>IF('[1]BASE'!CQ78=0,"",'[1]BASE'!CQ78)</f>
        <v>XXXX</v>
      </c>
      <c r="J78" s="649" t="str">
        <f>IF('[1]BASE'!CR78=0,"",'[1]BASE'!CR78)</f>
        <v>XXXX</v>
      </c>
      <c r="K78" s="649" t="str">
        <f>IF('[1]BASE'!CS78=0,"",'[1]BASE'!CS78)</f>
        <v>XXXX</v>
      </c>
      <c r="L78" s="649" t="str">
        <f>IF('[1]BASE'!CT78=0,"",'[1]BASE'!CT78)</f>
        <v>XXXX</v>
      </c>
      <c r="M78" s="649" t="str">
        <f>IF('[1]BASE'!CU78=0,"",'[1]BASE'!CU78)</f>
        <v>XXXX</v>
      </c>
      <c r="N78" s="649" t="str">
        <f>IF('[1]BASE'!CV78=0,"",'[1]BASE'!CV78)</f>
        <v>XXXX</v>
      </c>
      <c r="O78" s="649">
        <f>IF('[1]BASE'!CW78=0,"",'[1]BASE'!CW78)</f>
      </c>
      <c r="P78" s="649">
        <f>IF('[1]BASE'!CX78=0,"",'[1]BASE'!CX78)</f>
      </c>
      <c r="Q78" s="649">
        <f>IF('[1]BASE'!CY78=0,"",'[1]BASE'!CY78)</f>
      </c>
      <c r="R78" s="649">
        <f>IF('[1]BASE'!CZ78=0,"",'[1]BASE'!CZ78)</f>
      </c>
      <c r="S78" s="649">
        <f>IF('[1]BASE'!DA78=0,"",'[1]BASE'!DA78)</f>
      </c>
      <c r="T78" s="647"/>
      <c r="U78" s="644"/>
    </row>
    <row r="79" spans="2:21" s="639" customFormat="1" ht="19.5" customHeight="1">
      <c r="B79" s="640"/>
      <c r="C79" s="650">
        <f>IF('[1]BASE'!C79=0,"",'[1]BASE'!C79)</f>
        <v>61</v>
      </c>
      <c r="D79" s="650" t="str">
        <f>IF('[1]BASE'!D79=0,"",'[1]BASE'!D79)</f>
        <v>PUELCHES - MACACHIN</v>
      </c>
      <c r="E79" s="650">
        <f>IF('[1]BASE'!E79=0,"",'[1]BASE'!E79)</f>
        <v>500</v>
      </c>
      <c r="F79" s="650">
        <f>IF('[1]BASE'!F79=0,"",'[1]BASE'!F79)</f>
        <v>227</v>
      </c>
      <c r="G79" s="651" t="str">
        <f>IF('[1]BASE'!G79=0,"",'[1]BASE'!G79)</f>
        <v>A</v>
      </c>
      <c r="H79" s="651" t="str">
        <f>IF('[1]BASE'!CP79=0,"",'[1]BASE'!CP79)</f>
        <v>XXXX</v>
      </c>
      <c r="I79" s="651" t="str">
        <f>IF('[1]BASE'!CQ79=0,"",'[1]BASE'!CQ79)</f>
        <v>XXXX</v>
      </c>
      <c r="J79" s="651" t="str">
        <f>IF('[1]BASE'!CR79=0,"",'[1]BASE'!CR79)</f>
        <v>XXXX</v>
      </c>
      <c r="K79" s="651" t="str">
        <f>IF('[1]BASE'!CS79=0,"",'[1]BASE'!CS79)</f>
        <v>XXXX</v>
      </c>
      <c r="L79" s="651" t="str">
        <f>IF('[1]BASE'!CT79=0,"",'[1]BASE'!CT79)</f>
        <v>XXXX</v>
      </c>
      <c r="M79" s="651" t="str">
        <f>IF('[1]BASE'!CU79=0,"",'[1]BASE'!CU79)</f>
        <v>XXXX</v>
      </c>
      <c r="N79" s="651" t="str">
        <f>IF('[1]BASE'!CV79=0,"",'[1]BASE'!CV79)</f>
        <v>XXXX</v>
      </c>
      <c r="O79" s="651">
        <f>IF('[1]BASE'!CW79=0,"",'[1]BASE'!CW79)</f>
      </c>
      <c r="P79" s="651">
        <f>IF('[1]BASE'!CX79=0,"",'[1]BASE'!CX79)</f>
      </c>
      <c r="Q79" s="651">
        <f>IF('[1]BASE'!CY79=0,"",'[1]BASE'!CY79)</f>
      </c>
      <c r="R79" s="651">
        <f>IF('[1]BASE'!CZ79=0,"",'[1]BASE'!CZ79)</f>
      </c>
      <c r="S79" s="651">
        <f>IF('[1]BASE'!DA79=0,"",'[1]BASE'!DA79)</f>
      </c>
      <c r="T79" s="647"/>
      <c r="U79" s="644"/>
    </row>
    <row r="80" spans="2:21" s="639" customFormat="1" ht="19.5" customHeight="1">
      <c r="B80" s="640"/>
      <c r="C80" s="648">
        <f>IF('[1]BASE'!C80=0,"",'[1]BASE'!C80)</f>
      </c>
      <c r="D80" s="648">
        <f>IF('[1]BASE'!D80=0,"",'[1]BASE'!D80)</f>
      </c>
      <c r="E80" s="648">
        <f>IF('[1]BASE'!E80=0,"",'[1]BASE'!E80)</f>
      </c>
      <c r="F80" s="649">
        <f>IF('[1]BASE'!F80=0,"",'[1]BASE'!F80)</f>
      </c>
      <c r="G80" s="649">
        <f>IF('[1]BASE'!G80=0,"",'[1]BASE'!G80)</f>
      </c>
      <c r="H80" s="649">
        <f>IF('[1]BASE'!CP80=0,"",'[1]BASE'!CP80)</f>
      </c>
      <c r="I80" s="649">
        <f>IF('[1]BASE'!CQ80=0,"",'[1]BASE'!CQ80)</f>
      </c>
      <c r="J80" s="649">
        <f>IF('[1]BASE'!CR80=0,"",'[1]BASE'!CR80)</f>
      </c>
      <c r="K80" s="649">
        <f>IF('[1]BASE'!CS80=0,"",'[1]BASE'!CS80)</f>
      </c>
      <c r="L80" s="649">
        <f>IF('[1]BASE'!CT80=0,"",'[1]BASE'!CT80)</f>
      </c>
      <c r="M80" s="649">
        <f>IF('[1]BASE'!CU80=0,"",'[1]BASE'!CU80)</f>
      </c>
      <c r="N80" s="649">
        <f>IF('[1]BASE'!CV80=0,"",'[1]BASE'!CV80)</f>
      </c>
      <c r="O80" s="649">
        <f>IF('[1]BASE'!CW80=0,"",'[1]BASE'!CW80)</f>
      </c>
      <c r="P80" s="649">
        <f>IF('[1]BASE'!CX80=0,"",'[1]BASE'!CX80)</f>
      </c>
      <c r="Q80" s="649">
        <f>IF('[1]BASE'!CY80=0,"",'[1]BASE'!CY80)</f>
      </c>
      <c r="R80" s="649">
        <f>IF('[1]BASE'!CZ80=0,"",'[1]BASE'!CZ80)</f>
      </c>
      <c r="S80" s="649">
        <f>IF('[1]BASE'!DA80=0,"",'[1]BASE'!DA80)</f>
      </c>
      <c r="T80" s="647"/>
      <c r="U80" s="644"/>
    </row>
    <row r="81" spans="2:21" s="639" customFormat="1" ht="19.5" customHeight="1">
      <c r="B81" s="640"/>
      <c r="C81" s="650">
        <f>IF('[1]BASE'!C81=0,"",'[1]BASE'!C81)</f>
      </c>
      <c r="D81" s="650">
        <f>IF('[1]BASE'!D81=0,"",'[1]BASE'!D81)</f>
      </c>
      <c r="E81" s="650">
        <f>IF('[1]BASE'!E81=0,"",'[1]BASE'!E81)</f>
      </c>
      <c r="F81" s="651">
        <f>IF('[1]BASE'!F81=0,"",'[1]BASE'!F81)</f>
      </c>
      <c r="G81" s="651">
        <f>IF('[1]BASE'!G81=0,"",'[1]BASE'!G81)</f>
      </c>
      <c r="H81" s="651">
        <f>IF('[1]BASE'!CP81=0,"",'[1]BASE'!CP81)</f>
      </c>
      <c r="I81" s="651">
        <f>IF('[1]BASE'!CQ81=0,"",'[1]BASE'!CQ81)</f>
      </c>
      <c r="J81" s="651">
        <f>IF('[1]BASE'!CR81=0,"",'[1]BASE'!CR81)</f>
      </c>
      <c r="K81" s="651">
        <f>IF('[1]BASE'!CS81=0,"",'[1]BASE'!CS81)</f>
      </c>
      <c r="L81" s="651">
        <f>IF('[1]BASE'!CT81=0,"",'[1]BASE'!CT81)</f>
      </c>
      <c r="M81" s="651">
        <f>IF('[1]BASE'!CU81=0,"",'[1]BASE'!CU81)</f>
      </c>
      <c r="N81" s="651">
        <f>IF('[1]BASE'!CV81=0,"",'[1]BASE'!CV81)</f>
      </c>
      <c r="O81" s="651">
        <f>IF('[1]BASE'!CW81=0,"",'[1]BASE'!CW81)</f>
      </c>
      <c r="P81" s="651">
        <f>IF('[1]BASE'!CX81=0,"",'[1]BASE'!CX81)</f>
      </c>
      <c r="Q81" s="651">
        <f>IF('[1]BASE'!CY81=0,"",'[1]BASE'!CY81)</f>
      </c>
      <c r="R81" s="651">
        <f>IF('[1]BASE'!CZ81=0,"",'[1]BASE'!CZ81)</f>
      </c>
      <c r="S81" s="651">
        <f>IF('[1]BASE'!DA81=0,"",'[1]BASE'!DA81)</f>
      </c>
      <c r="T81" s="647"/>
      <c r="U81" s="644"/>
    </row>
    <row r="82" spans="2:21" s="639" customFormat="1" ht="19.5" customHeight="1">
      <c r="B82" s="640"/>
      <c r="C82" s="648">
        <f>IF('[1]BASE'!C82=0,"",'[1]BASE'!C82)</f>
        <v>62</v>
      </c>
      <c r="D82" s="648" t="str">
        <f>IF('[1]BASE'!D82=0,"",'[1]BASE'!D82)</f>
        <v>YACYRETÁ - RINCON I</v>
      </c>
      <c r="E82" s="648">
        <f>IF('[1]BASE'!E82=0,"",'[1]BASE'!E82)</f>
        <v>500</v>
      </c>
      <c r="F82" s="649">
        <f>IF('[1]BASE'!F82=0,"",'[1]BASE'!F82)</f>
        <v>3.6</v>
      </c>
      <c r="G82" s="649" t="str">
        <f>IF('[1]BASE'!G82=0,"",'[1]BASE'!G82)</f>
        <v>B</v>
      </c>
      <c r="H82" s="649">
        <f>IF('[1]BASE'!CP82=0,"",'[1]BASE'!CP82)</f>
      </c>
      <c r="I82" s="649">
        <f>IF('[1]BASE'!CQ82=0,"",'[1]BASE'!CQ82)</f>
      </c>
      <c r="J82" s="649">
        <f>IF('[1]BASE'!CR82=0,"",'[1]BASE'!CR82)</f>
      </c>
      <c r="K82" s="649">
        <f>IF('[1]BASE'!CS82=0,"",'[1]BASE'!CS82)</f>
      </c>
      <c r="L82" s="649">
        <f>IF('[1]BASE'!CT82=0,"",'[1]BASE'!CT82)</f>
      </c>
      <c r="M82" s="649">
        <f>IF('[1]BASE'!CU82=0,"",'[1]BASE'!CU82)</f>
      </c>
      <c r="N82" s="649">
        <f>IF('[1]BASE'!CV82=0,"",'[1]BASE'!CV82)</f>
      </c>
      <c r="O82" s="649">
        <f>IF('[1]BASE'!CW82=0,"",'[1]BASE'!CW82)</f>
      </c>
      <c r="P82" s="649">
        <f>IF('[1]BASE'!CX82=0,"",'[1]BASE'!CX82)</f>
      </c>
      <c r="Q82" s="649">
        <f>IF('[1]BASE'!CY82=0,"",'[1]BASE'!CY82)</f>
      </c>
      <c r="R82" s="649">
        <f>IF('[1]BASE'!CZ82=0,"",'[1]BASE'!CZ82)</f>
      </c>
      <c r="S82" s="649">
        <f>IF('[1]BASE'!DA82=0,"",'[1]BASE'!DA82)</f>
      </c>
      <c r="T82" s="647"/>
      <c r="U82" s="644"/>
    </row>
    <row r="83" spans="2:21" s="639" customFormat="1" ht="19.5" customHeight="1">
      <c r="B83" s="640"/>
      <c r="C83" s="650">
        <f>IF('[1]BASE'!C83=0,"",'[1]BASE'!C83)</f>
        <v>63</v>
      </c>
      <c r="D83" s="650" t="str">
        <f>IF('[1]BASE'!D83=0,"",'[1]BASE'!D83)</f>
        <v>YACYRETÁ - RINCON II</v>
      </c>
      <c r="E83" s="650">
        <f>IF('[1]BASE'!E83=0,"",'[1]BASE'!E83)</f>
        <v>500</v>
      </c>
      <c r="F83" s="650">
        <f>IF('[1]BASE'!F83=0,"",'[1]BASE'!F83)</f>
        <v>3.6</v>
      </c>
      <c r="G83" s="651" t="str">
        <f>IF('[1]BASE'!G83=0,"",'[1]BASE'!G83)</f>
        <v>B</v>
      </c>
      <c r="H83" s="651">
        <f>IF('[1]BASE'!CP83=0,"",'[1]BASE'!CP83)</f>
      </c>
      <c r="I83" s="651">
        <f>IF('[1]BASE'!CQ83=0,"",'[1]BASE'!CQ83)</f>
      </c>
      <c r="J83" s="651">
        <f>IF('[1]BASE'!CR83=0,"",'[1]BASE'!CR83)</f>
      </c>
      <c r="K83" s="651">
        <f>IF('[1]BASE'!CS83=0,"",'[1]BASE'!CS83)</f>
      </c>
      <c r="L83" s="651">
        <f>IF('[1]BASE'!CT83=0,"",'[1]BASE'!CT83)</f>
      </c>
      <c r="M83" s="651">
        <f>IF('[1]BASE'!CU83=0,"",'[1]BASE'!CU83)</f>
      </c>
      <c r="N83" s="651">
        <f>IF('[1]BASE'!CV83=0,"",'[1]BASE'!CV83)</f>
      </c>
      <c r="O83" s="651">
        <f>IF('[1]BASE'!CW83=0,"",'[1]BASE'!CW83)</f>
      </c>
      <c r="P83" s="651">
        <f>IF('[1]BASE'!CX83=0,"",'[1]BASE'!CX83)</f>
      </c>
      <c r="Q83" s="651">
        <f>IF('[1]BASE'!CY83=0,"",'[1]BASE'!CY83)</f>
      </c>
      <c r="R83" s="651">
        <f>IF('[1]BASE'!CZ83=0,"",'[1]BASE'!CZ83)</f>
      </c>
      <c r="S83" s="651">
        <f>IF('[1]BASE'!DA83=0,"",'[1]BASE'!DA83)</f>
      </c>
      <c r="T83" s="647"/>
      <c r="U83" s="644"/>
    </row>
    <row r="84" spans="2:21" s="639" customFormat="1" ht="19.5" customHeight="1">
      <c r="B84" s="640"/>
      <c r="C84" s="648">
        <f>IF('[1]BASE'!C84=0,"",'[1]BASE'!C84)</f>
        <v>64</v>
      </c>
      <c r="D84" s="648" t="str">
        <f>IF('[1]BASE'!D84=0,"",'[1]BASE'!D84)</f>
        <v>YACYRETÁ - RINCON III</v>
      </c>
      <c r="E84" s="648">
        <f>IF('[1]BASE'!E84=0,"",'[1]BASE'!E84)</f>
        <v>500</v>
      </c>
      <c r="F84" s="649">
        <f>IF('[1]BASE'!F84=0,"",'[1]BASE'!F84)</f>
        <v>3.6</v>
      </c>
      <c r="G84" s="649" t="str">
        <f>IF('[1]BASE'!G84=0,"",'[1]BASE'!G84)</f>
        <v>B</v>
      </c>
      <c r="H84" s="649">
        <f>IF('[1]BASE'!CP84=0,"",'[1]BASE'!CP84)</f>
      </c>
      <c r="I84" s="649">
        <f>IF('[1]BASE'!CQ84=0,"",'[1]BASE'!CQ84)</f>
      </c>
      <c r="J84" s="649">
        <f>IF('[1]BASE'!CR84=0,"",'[1]BASE'!CR84)</f>
      </c>
      <c r="K84" s="649">
        <f>IF('[1]BASE'!CS84=0,"",'[1]BASE'!CS84)</f>
      </c>
      <c r="L84" s="649">
        <f>IF('[1]BASE'!CT84=0,"",'[1]BASE'!CT84)</f>
      </c>
      <c r="M84" s="649">
        <f>IF('[1]BASE'!CU84=0,"",'[1]BASE'!CU84)</f>
      </c>
      <c r="N84" s="649">
        <f>IF('[1]BASE'!CV84=0,"",'[1]BASE'!CV84)</f>
      </c>
      <c r="O84" s="649">
        <f>IF('[1]BASE'!CW84=0,"",'[1]BASE'!CW84)</f>
      </c>
      <c r="P84" s="649">
        <f>IF('[1]BASE'!CX84=0,"",'[1]BASE'!CX84)</f>
      </c>
      <c r="Q84" s="649">
        <f>IF('[1]BASE'!CY84=0,"",'[1]BASE'!CY84)</f>
      </c>
      <c r="R84" s="649">
        <f>IF('[1]BASE'!CZ84=0,"",'[1]BASE'!CZ84)</f>
      </c>
      <c r="S84" s="649">
        <f>IF('[1]BASE'!DA84=0,"",'[1]BASE'!DA84)</f>
      </c>
      <c r="T84" s="647"/>
      <c r="U84" s="644"/>
    </row>
    <row r="85" spans="2:21" s="639" customFormat="1" ht="19.5" customHeight="1">
      <c r="B85" s="640"/>
      <c r="C85" s="650">
        <f>IF('[1]BASE'!C85=0,"",'[1]BASE'!C85)</f>
        <v>65</v>
      </c>
      <c r="D85" s="650" t="str">
        <f>IF('[1]BASE'!D85=0,"",'[1]BASE'!D85)</f>
        <v>RINCON - PASO DE LA PATRIA</v>
      </c>
      <c r="E85" s="650">
        <f>IF('[1]BASE'!E85=0,"",'[1]BASE'!E85)</f>
        <v>500</v>
      </c>
      <c r="F85" s="651">
        <f>IF('[1]BASE'!F85=0,"",'[1]BASE'!F85)</f>
        <v>227</v>
      </c>
      <c r="G85" s="651" t="str">
        <f>IF('[1]BASE'!G85=0,"",'[1]BASE'!G85)</f>
        <v>A</v>
      </c>
      <c r="H85" s="651">
        <f>IF('[1]BASE'!CP85=0,"",'[1]BASE'!CP85)</f>
      </c>
      <c r="I85" s="651">
        <f>IF('[1]BASE'!CQ85=0,"",'[1]BASE'!CQ85)</f>
      </c>
      <c r="J85" s="651">
        <f>IF('[1]BASE'!CR85=0,"",'[1]BASE'!CR85)</f>
      </c>
      <c r="K85" s="651">
        <f>IF('[1]BASE'!CS85=0,"",'[1]BASE'!CS85)</f>
      </c>
      <c r="L85" s="651">
        <f>IF('[1]BASE'!CT85=0,"",'[1]BASE'!CT85)</f>
      </c>
      <c r="M85" s="651">
        <f>IF('[1]BASE'!CU85=0,"",'[1]BASE'!CU85)</f>
      </c>
      <c r="N85" s="651">
        <f>IF('[1]BASE'!CV85=0,"",'[1]BASE'!CV85)</f>
      </c>
      <c r="O85" s="651">
        <f>IF('[1]BASE'!CW85=0,"",'[1]BASE'!CW85)</f>
      </c>
      <c r="P85" s="651">
        <f>IF('[1]BASE'!CX85=0,"",'[1]BASE'!CX85)</f>
      </c>
      <c r="Q85" s="651">
        <f>IF('[1]BASE'!CY85=0,"",'[1]BASE'!CY85)</f>
      </c>
      <c r="R85" s="651">
        <f>IF('[1]BASE'!CZ85=0,"",'[1]BASE'!CZ85)</f>
      </c>
      <c r="S85" s="651">
        <f>IF('[1]BASE'!DA85=0,"",'[1]BASE'!DA85)</f>
      </c>
      <c r="T85" s="647"/>
      <c r="U85" s="644"/>
    </row>
    <row r="86" spans="2:21" s="639" customFormat="1" ht="19.5" customHeight="1">
      <c r="B86" s="640"/>
      <c r="C86" s="648">
        <f>IF('[1]BASE'!C86=0,"",'[1]BASE'!C86)</f>
        <v>66</v>
      </c>
      <c r="D86" s="648" t="str">
        <f>IF('[1]BASE'!D86=0,"",'[1]BASE'!D86)</f>
        <v>PASO DE LA PATRIA - RESISTENCIA</v>
      </c>
      <c r="E86" s="648">
        <f>IF('[1]BASE'!E86=0,"",'[1]BASE'!E86)</f>
        <v>500</v>
      </c>
      <c r="F86" s="649">
        <f>IF('[1]BASE'!F86=0,"",'[1]BASE'!F86)</f>
        <v>40</v>
      </c>
      <c r="G86" s="649" t="str">
        <f>IF('[1]BASE'!G86=0,"",'[1]BASE'!G86)</f>
        <v>C</v>
      </c>
      <c r="H86" s="649">
        <f>IF('[1]BASE'!CP86=0,"",'[1]BASE'!CP86)</f>
      </c>
      <c r="I86" s="649">
        <f>IF('[1]BASE'!CQ86=0,"",'[1]BASE'!CQ86)</f>
      </c>
      <c r="J86" s="649">
        <f>IF('[1]BASE'!CR86=0,"",'[1]BASE'!CR86)</f>
      </c>
      <c r="K86" s="649">
        <f>IF('[1]BASE'!CS86=0,"",'[1]BASE'!CS86)</f>
      </c>
      <c r="L86" s="649">
        <f>IF('[1]BASE'!CT86=0,"",'[1]BASE'!CT86)</f>
      </c>
      <c r="M86" s="649">
        <f>IF('[1]BASE'!CU86=0,"",'[1]BASE'!CU86)</f>
      </c>
      <c r="N86" s="649">
        <f>IF('[1]BASE'!CV86=0,"",'[1]BASE'!CV86)</f>
      </c>
      <c r="O86" s="649">
        <f>IF('[1]BASE'!CW86=0,"",'[1]BASE'!CW86)</f>
      </c>
      <c r="P86" s="649">
        <f>IF('[1]BASE'!CX86=0,"",'[1]BASE'!CX86)</f>
      </c>
      <c r="Q86" s="649">
        <f>IF('[1]BASE'!CY86=0,"",'[1]BASE'!CY86)</f>
      </c>
      <c r="R86" s="649">
        <f>IF('[1]BASE'!CZ86=0,"",'[1]BASE'!CZ86)</f>
      </c>
      <c r="S86" s="649">
        <f>IF('[1]BASE'!DA86=0,"",'[1]BASE'!DA86)</f>
      </c>
      <c r="T86" s="647"/>
      <c r="U86" s="644"/>
    </row>
    <row r="87" spans="2:21" s="639" customFormat="1" ht="19.5" customHeight="1">
      <c r="B87" s="640"/>
      <c r="C87" s="650">
        <f>IF('[1]BASE'!C87=0,"",'[1]BASE'!C87)</f>
        <v>67</v>
      </c>
      <c r="D87" s="650" t="str">
        <f>IF('[1]BASE'!D87=0,"",'[1]BASE'!D87)</f>
        <v>RINCON - RESISTENCIA</v>
      </c>
      <c r="E87" s="650">
        <f>IF('[1]BASE'!E87=0,"",'[1]BASE'!E87)</f>
        <v>500</v>
      </c>
      <c r="F87" s="650">
        <f>IF('[1]BASE'!F87=0,"",'[1]BASE'!F87)</f>
        <v>267</v>
      </c>
      <c r="G87" s="651" t="str">
        <f>IF('[1]BASE'!G87=0,"",'[1]BASE'!G87)</f>
        <v>B</v>
      </c>
      <c r="H87" s="651" t="str">
        <f>IF('[1]BASE'!CP87=0,"",'[1]BASE'!CP87)</f>
        <v>XXXX</v>
      </c>
      <c r="I87" s="651" t="str">
        <f>IF('[1]BASE'!CQ87=0,"",'[1]BASE'!CQ87)</f>
        <v>XXXX</v>
      </c>
      <c r="J87" s="651" t="str">
        <f>IF('[1]BASE'!CR87=0,"",'[1]BASE'!CR87)</f>
        <v>XXXX</v>
      </c>
      <c r="K87" s="651" t="str">
        <f>IF('[1]BASE'!CS87=0,"",'[1]BASE'!CS87)</f>
        <v>XXXX</v>
      </c>
      <c r="L87" s="651" t="str">
        <f>IF('[1]BASE'!CT87=0,"",'[1]BASE'!CT87)</f>
        <v>XXXX</v>
      </c>
      <c r="M87" s="651" t="str">
        <f>IF('[1]BASE'!CU87=0,"",'[1]BASE'!CU87)</f>
        <v>XXXX</v>
      </c>
      <c r="N87" s="651" t="str">
        <f>IF('[1]BASE'!CV87=0,"",'[1]BASE'!CV87)</f>
        <v>XXXX</v>
      </c>
      <c r="O87" s="651" t="str">
        <f>IF('[1]BASE'!CW87=0,"",'[1]BASE'!CW87)</f>
        <v>XXXX</v>
      </c>
      <c r="P87" s="651" t="str">
        <f>IF('[1]BASE'!CX87=0,"",'[1]BASE'!CX87)</f>
        <v>XXXX</v>
      </c>
      <c r="Q87" s="651" t="str">
        <f>IF('[1]BASE'!CY87=0,"",'[1]BASE'!CY87)</f>
        <v>XXXX</v>
      </c>
      <c r="R87" s="651" t="str">
        <f>IF('[1]BASE'!CZ87=0,"",'[1]BASE'!CZ87)</f>
        <v>XXXX</v>
      </c>
      <c r="S87" s="651" t="str">
        <f>IF('[1]BASE'!DA87=0,"",'[1]BASE'!DA87)</f>
        <v>XXXX</v>
      </c>
      <c r="T87" s="647"/>
      <c r="U87" s="644"/>
    </row>
    <row r="88" spans="2:21" s="639" customFormat="1" ht="19.5" customHeight="1">
      <c r="B88" s="640"/>
      <c r="C88" s="648">
        <f>IF('[1]BASE'!C88=0,"",'[1]BASE'!C88)</f>
      </c>
      <c r="D88" s="648">
        <f>IF('[1]BASE'!D88=0,"",'[1]BASE'!D88)</f>
      </c>
      <c r="E88" s="648">
        <f>IF('[1]BASE'!E88=0,"",'[1]BASE'!E88)</f>
      </c>
      <c r="F88" s="649">
        <f>IF('[1]BASE'!F88=0,"",'[1]BASE'!F88)</f>
      </c>
      <c r="G88" s="649">
        <f>IF('[1]BASE'!G88=0,"",'[1]BASE'!G88)</f>
      </c>
      <c r="H88" s="649">
        <f>IF('[1]BASE'!CP88=0,"",'[1]BASE'!CP88)</f>
      </c>
      <c r="I88" s="649">
        <f>IF('[1]BASE'!CQ88=0,"",'[1]BASE'!CQ88)</f>
      </c>
      <c r="J88" s="649">
        <f>IF('[1]BASE'!CR88=0,"",'[1]BASE'!CR88)</f>
      </c>
      <c r="K88" s="649">
        <f>IF('[1]BASE'!CS88=0,"",'[1]BASE'!CS88)</f>
      </c>
      <c r="L88" s="649">
        <f>IF('[1]BASE'!CT88=0,"",'[1]BASE'!CT88)</f>
      </c>
      <c r="M88" s="649">
        <f>IF('[1]BASE'!CU88=0,"",'[1]BASE'!CU88)</f>
      </c>
      <c r="N88" s="649">
        <f>IF('[1]BASE'!CV88=0,"",'[1]BASE'!CV88)</f>
      </c>
      <c r="O88" s="649">
        <f>IF('[1]BASE'!CW88=0,"",'[1]BASE'!CW88)</f>
      </c>
      <c r="P88" s="649">
        <f>IF('[1]BASE'!CX88=0,"",'[1]BASE'!CX88)</f>
      </c>
      <c r="Q88" s="649">
        <f>IF('[1]BASE'!CY88=0,"",'[1]BASE'!CY88)</f>
      </c>
      <c r="R88" s="649">
        <f>IF('[1]BASE'!CZ88=0,"",'[1]BASE'!CZ88)</f>
      </c>
      <c r="S88" s="649">
        <f>IF('[1]BASE'!DA88=0,"",'[1]BASE'!DA88)</f>
      </c>
      <c r="T88" s="647"/>
      <c r="U88" s="644"/>
    </row>
    <row r="89" spans="2:21" s="639" customFormat="1" ht="19.5" customHeight="1">
      <c r="B89" s="640"/>
      <c r="C89" s="650">
        <f>IF('[1]BASE'!C89=0,"",'[1]BASE'!C89)</f>
        <v>68</v>
      </c>
      <c r="D89" s="650" t="str">
        <f>IF('[1]BASE'!D89=0,"",'[1]BASE'!D89)</f>
        <v>RINCON - SALTO GRANDE</v>
      </c>
      <c r="E89" s="650">
        <f>IF('[1]BASE'!E89=0,"",'[1]BASE'!E89)</f>
        <v>500</v>
      </c>
      <c r="F89" s="651">
        <f>IF('[1]BASE'!F89=0,"",'[1]BASE'!F89)</f>
        <v>506</v>
      </c>
      <c r="G89" s="651" t="str">
        <f>IF('[1]BASE'!G89=0,"",'[1]BASE'!G89)</f>
        <v>A</v>
      </c>
      <c r="H89" s="651">
        <f>IF('[1]BASE'!CP89=0,"",'[1]BASE'!CP89)</f>
      </c>
      <c r="I89" s="651">
        <f>IF('[1]BASE'!CQ89=0,"",'[1]BASE'!CQ89)</f>
      </c>
      <c r="J89" s="651">
        <f>IF('[1]BASE'!CR89=0,"",'[1]BASE'!CR89)</f>
      </c>
      <c r="K89" s="651">
        <f>IF('[1]BASE'!CS89=0,"",'[1]BASE'!CS89)</f>
      </c>
      <c r="L89" s="651">
        <f>IF('[1]BASE'!CT89=0,"",'[1]BASE'!CT89)</f>
      </c>
      <c r="M89" s="651">
        <f>IF('[1]BASE'!CU89=0,"",'[1]BASE'!CU89)</f>
      </c>
      <c r="N89" s="651">
        <f>IF('[1]BASE'!CV89=0,"",'[1]BASE'!CV89)</f>
        <v>1</v>
      </c>
      <c r="O89" s="651">
        <f>IF('[1]BASE'!CW89=0,"",'[1]BASE'!CW89)</f>
      </c>
      <c r="P89" s="651">
        <f>IF('[1]BASE'!CX89=0,"",'[1]BASE'!CX89)</f>
      </c>
      <c r="Q89" s="651">
        <f>IF('[1]BASE'!CY89=0,"",'[1]BASE'!CY89)</f>
      </c>
      <c r="R89" s="651">
        <f>IF('[1]BASE'!CZ89=0,"",'[1]BASE'!CZ89)</f>
      </c>
      <c r="S89" s="651">
        <f>IF('[1]BASE'!DA89=0,"",'[1]BASE'!DA89)</f>
      </c>
      <c r="T89" s="647"/>
      <c r="U89" s="644"/>
    </row>
    <row r="90" spans="2:21" s="639" customFormat="1" ht="19.5" customHeight="1">
      <c r="B90" s="640"/>
      <c r="C90" s="648">
        <f>IF('[1]BASE'!C90=0,"",'[1]BASE'!C90)</f>
        <v>69</v>
      </c>
      <c r="D90" s="648" t="str">
        <f>IF('[1]BASE'!D90=0,"",'[1]BASE'!D90)</f>
        <v>RINCON - SAN ISIDRO</v>
      </c>
      <c r="E90" s="648">
        <f>IF('[1]BASE'!E90=0,"",'[1]BASE'!E90)</f>
        <v>500</v>
      </c>
      <c r="F90" s="649">
        <f>IF('[1]BASE'!F90=0,"",'[1]BASE'!F90)</f>
        <v>85</v>
      </c>
      <c r="G90" s="649" t="str">
        <f>IF('[1]BASE'!G90=0,"",'[1]BASE'!G90)</f>
        <v>C</v>
      </c>
      <c r="H90" s="649">
        <f>IF('[1]BASE'!CP90=0,"",'[1]BASE'!CP90)</f>
      </c>
      <c r="I90" s="649">
        <f>IF('[1]BASE'!CQ90=0,"",'[1]BASE'!CQ90)</f>
      </c>
      <c r="J90" s="649">
        <f>IF('[1]BASE'!CR90=0,"",'[1]BASE'!CR90)</f>
      </c>
      <c r="K90" s="649">
        <f>IF('[1]BASE'!CS90=0,"",'[1]BASE'!CS90)</f>
      </c>
      <c r="L90" s="649">
        <f>IF('[1]BASE'!CT90=0,"",'[1]BASE'!CT90)</f>
      </c>
      <c r="M90" s="649">
        <f>IF('[1]BASE'!CU90=0,"",'[1]BASE'!CU90)</f>
      </c>
      <c r="N90" s="649">
        <f>IF('[1]BASE'!CV90=0,"",'[1]BASE'!CV90)</f>
      </c>
      <c r="O90" s="649">
        <f>IF('[1]BASE'!CW90=0,"",'[1]BASE'!CW90)</f>
      </c>
      <c r="P90" s="649">
        <f>IF('[1]BASE'!CX90=0,"",'[1]BASE'!CX90)</f>
      </c>
      <c r="Q90" s="649">
        <f>IF('[1]BASE'!CY90=0,"",'[1]BASE'!CY90)</f>
      </c>
      <c r="R90" s="649">
        <f>IF('[1]BASE'!CZ90=0,"",'[1]BASE'!CZ90)</f>
      </c>
      <c r="S90" s="649">
        <f>IF('[1]BASE'!DA90=0,"",'[1]BASE'!DA90)</f>
      </c>
      <c r="T90" s="647"/>
      <c r="U90" s="644"/>
    </row>
    <row r="91" spans="2:21" s="639" customFormat="1" ht="19.5" customHeight="1">
      <c r="B91" s="640"/>
      <c r="C91" s="650">
        <f>IF('[1]BASE'!C91=0,"",'[1]BASE'!C91)</f>
      </c>
      <c r="D91" s="650">
        <f>IF('[1]BASE'!D91=0,"",'[1]BASE'!D91)</f>
      </c>
      <c r="E91" s="650">
        <f>IF('[1]BASE'!E91=0,"",'[1]BASE'!E91)</f>
      </c>
      <c r="F91" s="650">
        <f>IF('[1]BASE'!F91=0,"",'[1]BASE'!F91)</f>
      </c>
      <c r="G91" s="651">
        <f>IF('[1]BASE'!G91=0,"",'[1]BASE'!G91)</f>
      </c>
      <c r="H91" s="651">
        <f>IF('[1]BASE'!CP91=0,"",'[1]BASE'!CP91)</f>
      </c>
      <c r="I91" s="651">
        <f>IF('[1]BASE'!CQ91=0,"",'[1]BASE'!CQ91)</f>
      </c>
      <c r="J91" s="651">
        <f>IF('[1]BASE'!CR91=0,"",'[1]BASE'!CR91)</f>
      </c>
      <c r="K91" s="651">
        <f>IF('[1]BASE'!CS91=0,"",'[1]BASE'!CS91)</f>
      </c>
      <c r="L91" s="651">
        <f>IF('[1]BASE'!CT91=0,"",'[1]BASE'!CT91)</f>
      </c>
      <c r="M91" s="651">
        <f>IF('[1]BASE'!CU91=0,"",'[1]BASE'!CU91)</f>
      </c>
      <c r="N91" s="651">
        <f>IF('[1]BASE'!CV91=0,"",'[1]BASE'!CV91)</f>
      </c>
      <c r="O91" s="651">
        <f>IF('[1]BASE'!CW91=0,"",'[1]BASE'!CW91)</f>
      </c>
      <c r="P91" s="651">
        <f>IF('[1]BASE'!CX91=0,"",'[1]BASE'!CX91)</f>
      </c>
      <c r="Q91" s="651">
        <f>IF('[1]BASE'!CY91=0,"",'[1]BASE'!CY91)</f>
      </c>
      <c r="R91" s="651">
        <f>IF('[1]BASE'!CZ91=0,"",'[1]BASE'!CZ91)</f>
      </c>
      <c r="S91" s="651">
        <f>IF('[1]BASE'!DA91=0,"",'[1]BASE'!DA91)</f>
      </c>
      <c r="T91" s="647"/>
      <c r="U91" s="644"/>
    </row>
    <row r="92" spans="2:21" s="639" customFormat="1" ht="19.5" customHeight="1" thickBot="1">
      <c r="B92" s="640"/>
      <c r="C92" s="653"/>
      <c r="D92" s="653"/>
      <c r="E92" s="653"/>
      <c r="F92" s="653"/>
      <c r="G92" s="654"/>
      <c r="H92" s="654"/>
      <c r="I92" s="654"/>
      <c r="J92" s="654"/>
      <c r="K92" s="654"/>
      <c r="L92" s="654"/>
      <c r="M92" s="654"/>
      <c r="N92" s="654"/>
      <c r="O92" s="654"/>
      <c r="P92" s="654"/>
      <c r="Q92" s="654"/>
      <c r="R92" s="654"/>
      <c r="S92" s="654"/>
      <c r="T92" s="647"/>
      <c r="U92" s="644"/>
    </row>
    <row r="93" spans="2:21" s="639" customFormat="1" ht="19.5" customHeight="1" thickBot="1" thickTop="1">
      <c r="B93" s="640"/>
      <c r="C93" s="655"/>
      <c r="D93" s="656"/>
      <c r="E93" s="657" t="s">
        <v>171</v>
      </c>
      <c r="F93" s="658">
        <f>SUM(F16:F92)-F57-F46-F54-F87</f>
        <v>9663.5</v>
      </c>
      <c r="G93" s="659"/>
      <c r="H93" s="660"/>
      <c r="I93" s="660"/>
      <c r="J93" s="660"/>
      <c r="K93" s="660"/>
      <c r="L93" s="660"/>
      <c r="M93" s="660"/>
      <c r="N93" s="660"/>
      <c r="O93" s="660"/>
      <c r="P93" s="660"/>
      <c r="Q93" s="660"/>
      <c r="R93" s="660"/>
      <c r="S93" s="661"/>
      <c r="T93" s="647"/>
      <c r="U93" s="644"/>
    </row>
    <row r="94" spans="2:21" s="639" customFormat="1" ht="19.5" customHeight="1" thickBot="1" thickTop="1">
      <c r="B94" s="640"/>
      <c r="C94" s="662"/>
      <c r="D94" s="663"/>
      <c r="E94" s="664"/>
      <c r="F94" s="665" t="s">
        <v>172</v>
      </c>
      <c r="H94" s="666">
        <f aca="true" t="shared" si="0" ref="H94:S94">SUM(H17:H92)</f>
        <v>3</v>
      </c>
      <c r="I94" s="666">
        <f t="shared" si="0"/>
        <v>0</v>
      </c>
      <c r="J94" s="666">
        <f t="shared" si="0"/>
        <v>4</v>
      </c>
      <c r="K94" s="666">
        <f t="shared" si="0"/>
        <v>3</v>
      </c>
      <c r="L94" s="666">
        <f t="shared" si="0"/>
        <v>5</v>
      </c>
      <c r="M94" s="666">
        <f t="shared" si="0"/>
        <v>6</v>
      </c>
      <c r="N94" s="666">
        <f t="shared" si="0"/>
        <v>3</v>
      </c>
      <c r="O94" s="666">
        <f t="shared" si="0"/>
        <v>1</v>
      </c>
      <c r="P94" s="666">
        <f t="shared" si="0"/>
        <v>2</v>
      </c>
      <c r="Q94" s="666">
        <f t="shared" si="0"/>
        <v>8</v>
      </c>
      <c r="R94" s="666">
        <f t="shared" si="0"/>
        <v>6</v>
      </c>
      <c r="S94" s="666">
        <f t="shared" si="0"/>
        <v>6</v>
      </c>
      <c r="T94" s="667"/>
      <c r="U94" s="644"/>
    </row>
    <row r="95" spans="2:21" s="639" customFormat="1" ht="19.5" customHeight="1" thickBot="1" thickTop="1">
      <c r="B95" s="640"/>
      <c r="E95" s="664"/>
      <c r="F95" s="665" t="s">
        <v>173</v>
      </c>
      <c r="H95" s="668">
        <f>'[1]BASE'!CP100</f>
        <v>1.05</v>
      </c>
      <c r="I95" s="668">
        <f>'[1]BASE'!CQ100</f>
        <v>1.02</v>
      </c>
      <c r="J95" s="668">
        <f>'[1]BASE'!CR100</f>
        <v>0.96</v>
      </c>
      <c r="K95" s="668">
        <f>'[1]BASE'!CS100</f>
        <v>0.98</v>
      </c>
      <c r="L95" s="668">
        <f>'[1]BASE'!CT100</f>
        <v>0.94</v>
      </c>
      <c r="M95" s="668">
        <f>'[1]BASE'!CU100</f>
        <v>0.96</v>
      </c>
      <c r="N95" s="668">
        <f>'[1]BASE'!CV100</f>
        <v>0.96</v>
      </c>
      <c r="O95" s="668">
        <f>'[1]BASE'!CW100</f>
        <v>0.96</v>
      </c>
      <c r="P95" s="668">
        <f>'[1]BASE'!CX100</f>
        <v>0.89</v>
      </c>
      <c r="Q95" s="668">
        <f>'[1]BASE'!CY100</f>
        <v>0.81</v>
      </c>
      <c r="R95" s="668">
        <f>'[1]BASE'!CZ100</f>
        <v>0.73</v>
      </c>
      <c r="S95" s="668">
        <f>'[1]BASE'!DA100</f>
        <v>0.67</v>
      </c>
      <c r="T95" s="668">
        <f>ROUND(SUM(H94:S94)/($F$93)*100,2)</f>
        <v>0.49</v>
      </c>
      <c r="U95" s="644"/>
    </row>
    <row r="96" spans="2:21" s="669" customFormat="1" ht="15.75" customHeight="1" thickBot="1" thickTop="1">
      <c r="B96" s="670"/>
      <c r="C96"/>
      <c r="D96" s="671"/>
      <c r="E96" s="672"/>
      <c r="F96" s="673"/>
      <c r="G96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5"/>
    </row>
    <row r="97" spans="2:21" ht="15.75" customHeight="1" thickBot="1">
      <c r="B97" s="108"/>
      <c r="C97" s="676"/>
      <c r="D97" s="49" t="s">
        <v>174</v>
      </c>
      <c r="E97" s="13"/>
      <c r="F97" s="13"/>
      <c r="G97" s="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12"/>
    </row>
    <row r="98" spans="2:21" ht="21.75" thickBot="1" thickTop="1">
      <c r="B98" s="108"/>
      <c r="C98" s="2"/>
      <c r="D98" s="13"/>
      <c r="E98" s="13"/>
      <c r="F98" s="677"/>
      <c r="G98" s="677"/>
      <c r="H98" s="678"/>
      <c r="I98" s="679" t="s">
        <v>175</v>
      </c>
      <c r="J98" s="680">
        <f>+T95</f>
        <v>0.49</v>
      </c>
      <c r="K98" s="681" t="s">
        <v>176</v>
      </c>
      <c r="L98" s="678"/>
      <c r="M98" s="682"/>
      <c r="N98"/>
      <c r="O98" s="13"/>
      <c r="P98" s="13"/>
      <c r="Q98" s="13"/>
      <c r="R98" s="13"/>
      <c r="S98" s="13"/>
      <c r="T98" s="13"/>
      <c r="U98" s="112"/>
    </row>
    <row r="99" spans="2:21" s="90" customFormat="1" ht="17.25" thickBot="1" thickTop="1">
      <c r="B99" s="115"/>
      <c r="C99" s="683"/>
      <c r="D99" s="117"/>
      <c r="E99" s="117"/>
      <c r="F99" s="683"/>
      <c r="G99" s="683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8"/>
    </row>
    <row r="100" spans="3:7" ht="13.5" thickTop="1">
      <c r="C100" s="66"/>
      <c r="F100" s="66"/>
      <c r="G100" s="66"/>
    </row>
    <row r="101" spans="3:194" ht="12.75">
      <c r="C101" s="66"/>
      <c r="D101" s="2"/>
      <c r="E101" s="2"/>
      <c r="F101" s="2"/>
      <c r="G101" s="2"/>
      <c r="H101" s="684"/>
      <c r="I101" s="684"/>
      <c r="J101" s="684"/>
      <c r="K101" s="684"/>
      <c r="L101" s="684"/>
      <c r="M101" s="684"/>
      <c r="N101" s="684"/>
      <c r="O101" s="684"/>
      <c r="P101" s="684"/>
      <c r="Q101" s="684"/>
      <c r="R101" s="684"/>
      <c r="S101" s="684"/>
      <c r="T101" s="68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</row>
    <row r="102" spans="3:194" ht="12.75">
      <c r="C102" s="66"/>
      <c r="D102" s="2"/>
      <c r="E102" s="2"/>
      <c r="F102" s="2"/>
      <c r="G102" s="2"/>
      <c r="H102" s="684"/>
      <c r="I102" s="684"/>
      <c r="J102" s="684"/>
      <c r="K102" s="684"/>
      <c r="L102" s="684"/>
      <c r="M102" s="684"/>
      <c r="N102" s="684"/>
      <c r="O102" s="684"/>
      <c r="P102" s="684"/>
      <c r="Q102" s="684"/>
      <c r="R102" s="684"/>
      <c r="S102" s="684"/>
      <c r="T102" s="68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</row>
    <row r="103" spans="3:194" ht="12.75">
      <c r="C103" s="66"/>
      <c r="D103" s="2"/>
      <c r="E103" s="2"/>
      <c r="F103" s="2"/>
      <c r="G103" s="2"/>
      <c r="H103" s="685"/>
      <c r="I103" s="685"/>
      <c r="J103" s="685"/>
      <c r="K103" s="685"/>
      <c r="L103" s="685"/>
      <c r="M103" s="685"/>
      <c r="N103" s="685"/>
      <c r="O103" s="685"/>
      <c r="P103" s="685"/>
      <c r="Q103" s="685"/>
      <c r="R103" s="685"/>
      <c r="S103" s="685"/>
      <c r="T103" s="6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</row>
    <row r="104" spans="3:194" ht="12.75">
      <c r="C104" s="66"/>
      <c r="D104" s="2"/>
      <c r="E104" s="2"/>
      <c r="F104" s="2"/>
      <c r="G104" s="2"/>
      <c r="H104" s="684"/>
      <c r="I104" s="684"/>
      <c r="J104" s="684"/>
      <c r="K104" s="684"/>
      <c r="L104" s="684"/>
      <c r="M104" s="684"/>
      <c r="N104" s="684"/>
      <c r="O104" s="684"/>
      <c r="P104" s="684"/>
      <c r="Q104" s="684"/>
      <c r="R104" s="684"/>
      <c r="S104" s="684"/>
      <c r="T104" s="68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</row>
    <row r="105" spans="3:194" ht="12.75">
      <c r="C105" s="66"/>
      <c r="D105" s="2"/>
      <c r="E105" s="2"/>
      <c r="F105" s="2"/>
      <c r="G105" s="2"/>
      <c r="H105" s="684"/>
      <c r="I105" s="684"/>
      <c r="J105" s="684"/>
      <c r="K105" s="684"/>
      <c r="L105" s="684"/>
      <c r="M105" s="684"/>
      <c r="N105" s="684"/>
      <c r="O105" s="684"/>
      <c r="P105" s="684"/>
      <c r="Q105" s="684"/>
      <c r="R105" s="684"/>
      <c r="S105" s="684"/>
      <c r="T105" s="68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</row>
    <row r="106" spans="3:194" ht="12.75">
      <c r="C106" s="66"/>
      <c r="D106" s="2"/>
      <c r="E106" s="2"/>
      <c r="F106" s="2"/>
      <c r="G106" s="2"/>
      <c r="H106" s="684"/>
      <c r="I106" s="684"/>
      <c r="J106" s="684"/>
      <c r="K106" s="684"/>
      <c r="L106" s="684"/>
      <c r="M106" s="684"/>
      <c r="N106" s="684"/>
      <c r="O106" s="684"/>
      <c r="P106" s="684"/>
      <c r="Q106" s="684"/>
      <c r="R106" s="684"/>
      <c r="S106" s="684"/>
      <c r="T106" s="68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</row>
    <row r="107" spans="3:194" ht="12.75">
      <c r="C107" s="66"/>
      <c r="D107" s="2"/>
      <c r="E107" s="2"/>
      <c r="F107" s="2"/>
      <c r="G107" s="2"/>
      <c r="H107" s="684"/>
      <c r="I107" s="684"/>
      <c r="J107" s="684"/>
      <c r="K107" s="684"/>
      <c r="L107" s="684"/>
      <c r="M107" s="684"/>
      <c r="N107" s="684"/>
      <c r="O107" s="684"/>
      <c r="P107" s="684"/>
      <c r="Q107" s="684"/>
      <c r="R107" s="684"/>
      <c r="S107" s="684"/>
      <c r="T107" s="68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</row>
    <row r="108" spans="3:194" ht="12.75">
      <c r="C108" s="66"/>
      <c r="D108" s="2"/>
      <c r="E108" s="2"/>
      <c r="F108" s="2"/>
      <c r="G108" s="2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</row>
    <row r="109" spans="3:194" ht="12.75">
      <c r="C109" s="6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</row>
    <row r="110" spans="3:194" ht="12.75">
      <c r="C110" s="66"/>
      <c r="D110" s="13"/>
      <c r="E110" s="13"/>
      <c r="F110" s="2"/>
      <c r="G110" s="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</row>
    <row r="111" spans="3:7" ht="12.75">
      <c r="C111" s="66"/>
      <c r="F111" s="66"/>
      <c r="G111" s="66"/>
    </row>
    <row r="112" spans="3:7" ht="12.75">
      <c r="C112" s="66"/>
      <c r="F112" s="66"/>
      <c r="G112" s="66"/>
    </row>
    <row r="113" spans="3:7" ht="12.75">
      <c r="C113" s="66"/>
      <c r="F113" s="66"/>
      <c r="G113" s="66"/>
    </row>
    <row r="114" spans="6:7" ht="12.75">
      <c r="F114" s="66"/>
      <c r="G114" s="66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5"/>
  <sheetViews>
    <sheetView zoomScale="75" zoomScaleNormal="75" workbookViewId="0" topLeftCell="F13">
      <selection activeCell="C24" sqref="C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6" customFormat="1" ht="26.25">
      <c r="A1" s="126"/>
      <c r="AD1" s="531"/>
    </row>
    <row r="2" spans="1:30" s="76" customFormat="1" ht="26.25">
      <c r="A2" s="126"/>
      <c r="B2" s="77" t="str">
        <f>+'tot-0202'!B2</f>
        <v>ANEXO I a la Resolución ENRE N° 090/2003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="15" customFormat="1" ht="12.75">
      <c r="A3" s="48"/>
    </row>
    <row r="4" spans="1:2" s="83" customFormat="1" ht="11.25">
      <c r="A4" s="81" t="s">
        <v>31</v>
      </c>
      <c r="B4" s="157"/>
    </row>
    <row r="5" spans="1:2" s="83" customFormat="1" ht="11.25">
      <c r="A5" s="81" t="s">
        <v>32</v>
      </c>
      <c r="B5" s="157"/>
    </row>
    <row r="6" s="15" customFormat="1" ht="13.5" thickBot="1"/>
    <row r="7" spans="2:30" s="15" customFormat="1" ht="13.5" thickTop="1">
      <c r="B7" s="127"/>
      <c r="C7" s="128"/>
      <c r="D7" s="128"/>
      <c r="E7" s="129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30"/>
    </row>
    <row r="8" spans="2:30" s="9" customFormat="1" ht="20.25">
      <c r="B8" s="141"/>
      <c r="C8" s="10"/>
      <c r="D8" s="6" t="s">
        <v>47</v>
      </c>
      <c r="E8" s="10"/>
      <c r="F8" s="10"/>
      <c r="G8" s="10"/>
      <c r="H8" s="10"/>
      <c r="N8" s="10"/>
      <c r="O8" s="10"/>
      <c r="P8" s="142"/>
      <c r="Q8" s="14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43"/>
    </row>
    <row r="9" spans="2:30" s="15" customFormat="1" ht="12.75">
      <c r="B9" s="10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1"/>
    </row>
    <row r="10" spans="2:30" s="9" customFormat="1" ht="20.25">
      <c r="B10" s="141"/>
      <c r="C10" s="10"/>
      <c r="D10" s="142" t="s">
        <v>48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3"/>
    </row>
    <row r="11" spans="2:30" s="15" customFormat="1" ht="12.75">
      <c r="B11" s="10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1"/>
    </row>
    <row r="12" spans="2:30" s="9" customFormat="1" ht="20.25">
      <c r="B12" s="141"/>
      <c r="C12" s="10"/>
      <c r="D12" s="142" t="s">
        <v>49</v>
      </c>
      <c r="E12" s="10"/>
      <c r="F12" s="10"/>
      <c r="G12" s="10"/>
      <c r="I12" s="10"/>
      <c r="J12" s="10"/>
      <c r="K12" s="10"/>
      <c r="L12" s="10"/>
      <c r="M12" s="10"/>
      <c r="N12" s="10"/>
      <c r="O12" s="10"/>
      <c r="P12" s="142"/>
      <c r="Q12" s="14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3"/>
    </row>
    <row r="13" spans="2:30" s="15" customFormat="1" ht="12.75">
      <c r="B13" s="108"/>
      <c r="C13" s="13"/>
      <c r="D13" s="13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1"/>
    </row>
    <row r="14" spans="2:30" s="14" customFormat="1" ht="19.5">
      <c r="B14" s="96" t="str">
        <f>+'tot-0202'!B14</f>
        <v>Desde el 01 al 28 de febrero de 2002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45"/>
      <c r="O14" s="145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46"/>
    </row>
    <row r="15" spans="2:30" s="15" customFormat="1" ht="16.5" customHeight="1" thickBot="1">
      <c r="B15" s="108"/>
      <c r="C15" s="13"/>
      <c r="D15" s="13"/>
      <c r="E15" s="2"/>
      <c r="F15" s="2"/>
      <c r="G15" s="13"/>
      <c r="H15" s="13"/>
      <c r="I15" s="13"/>
      <c r="J15" s="140"/>
      <c r="K15" s="13"/>
      <c r="L15" s="13"/>
      <c r="M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1"/>
    </row>
    <row r="16" spans="2:30" s="15" customFormat="1" ht="16.5" customHeight="1" thickBot="1" thickTop="1">
      <c r="B16" s="108"/>
      <c r="C16" s="13"/>
      <c r="D16" s="147" t="s">
        <v>50</v>
      </c>
      <c r="E16" s="472">
        <v>56.353</v>
      </c>
      <c r="F16" s="22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1"/>
    </row>
    <row r="17" spans="2:30" s="15" customFormat="1" ht="16.5" customHeight="1" thickBot="1" thickTop="1">
      <c r="B17" s="108"/>
      <c r="C17" s="13"/>
      <c r="D17" s="147" t="s">
        <v>51</v>
      </c>
      <c r="E17" s="472">
        <v>46.961</v>
      </c>
      <c r="F17" s="223"/>
      <c r="G17" s="13"/>
      <c r="H17" s="13"/>
      <c r="I17" s="13"/>
      <c r="J17" s="532"/>
      <c r="K17" s="53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3"/>
      <c r="W17" s="133"/>
      <c r="X17" s="133"/>
      <c r="Y17" s="133"/>
      <c r="Z17" s="133"/>
      <c r="AA17" s="133"/>
      <c r="AB17" s="133"/>
      <c r="AD17" s="131"/>
    </row>
    <row r="18" spans="2:30" s="15" customFormat="1" ht="16.5" customHeight="1" thickBot="1" thickTop="1">
      <c r="B18" s="108"/>
      <c r="C18" s="13"/>
      <c r="D18" s="13"/>
      <c r="E18" s="1"/>
      <c r="F18" s="13"/>
      <c r="G18" s="13"/>
      <c r="H18" s="13"/>
      <c r="I18" s="13"/>
      <c r="J18" s="13"/>
      <c r="K18" s="13"/>
      <c r="L18" s="13"/>
      <c r="M18" s="13"/>
      <c r="N18" s="1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1"/>
    </row>
    <row r="19" spans="2:30" s="15" customFormat="1" ht="33.75" customHeight="1" thickBot="1" thickTop="1">
      <c r="B19" s="108"/>
      <c r="C19" s="148" t="s">
        <v>52</v>
      </c>
      <c r="D19" s="150" t="s">
        <v>34</v>
      </c>
      <c r="E19" s="363" t="s">
        <v>53</v>
      </c>
      <c r="F19" s="154" t="s">
        <v>54</v>
      </c>
      <c r="G19" s="149" t="s">
        <v>55</v>
      </c>
      <c r="H19" s="364" t="s">
        <v>56</v>
      </c>
      <c r="I19" s="361" t="s">
        <v>57</v>
      </c>
      <c r="J19" s="150" t="s">
        <v>58</v>
      </c>
      <c r="K19" s="151" t="s">
        <v>59</v>
      </c>
      <c r="L19" s="153" t="s">
        <v>60</v>
      </c>
      <c r="M19" s="154" t="s">
        <v>61</v>
      </c>
      <c r="N19" s="153" t="s">
        <v>62</v>
      </c>
      <c r="O19" s="154" t="s">
        <v>63</v>
      </c>
      <c r="P19" s="151" t="s">
        <v>64</v>
      </c>
      <c r="Q19" s="150" t="s">
        <v>65</v>
      </c>
      <c r="R19" s="326" t="s">
        <v>66</v>
      </c>
      <c r="S19" s="329" t="s">
        <v>67</v>
      </c>
      <c r="T19" s="281" t="s">
        <v>68</v>
      </c>
      <c r="U19" s="282"/>
      <c r="V19" s="283"/>
      <c r="W19" s="333" t="s">
        <v>69</v>
      </c>
      <c r="X19" s="334"/>
      <c r="Y19" s="335"/>
      <c r="Z19" s="349" t="s">
        <v>70</v>
      </c>
      <c r="AA19" s="350" t="s">
        <v>71</v>
      </c>
      <c r="AB19" s="155" t="s">
        <v>72</v>
      </c>
      <c r="AC19" s="155" t="s">
        <v>73</v>
      </c>
      <c r="AD19" s="135"/>
    </row>
    <row r="20" spans="2:30" s="15" customFormat="1" ht="16.5" customHeight="1" hidden="1" thickTop="1">
      <c r="B20" s="108"/>
      <c r="C20" s="346"/>
      <c r="D20" s="368"/>
      <c r="E20" s="368"/>
      <c r="F20" s="346"/>
      <c r="G20" s="346"/>
      <c r="H20" s="366"/>
      <c r="I20" s="367"/>
      <c r="J20" s="346"/>
      <c r="K20" s="346"/>
      <c r="L20" s="346"/>
      <c r="M20" s="346"/>
      <c r="N20" s="346"/>
      <c r="O20" s="346"/>
      <c r="P20" s="346"/>
      <c r="Q20" s="346"/>
      <c r="R20" s="327"/>
      <c r="S20" s="330"/>
      <c r="T20" s="338"/>
      <c r="U20" s="339"/>
      <c r="V20" s="340"/>
      <c r="W20" s="341"/>
      <c r="X20" s="342"/>
      <c r="Y20" s="343"/>
      <c r="Z20" s="347"/>
      <c r="AA20" s="351"/>
      <c r="AB20" s="346"/>
      <c r="AC20" s="415"/>
      <c r="AD20" s="131"/>
    </row>
    <row r="21" spans="2:30" s="15" customFormat="1" ht="16.5" customHeight="1" thickTop="1">
      <c r="B21" s="108"/>
      <c r="C21" s="16"/>
      <c r="D21" s="16"/>
      <c r="E21" s="19"/>
      <c r="F21" s="16"/>
      <c r="G21" s="16"/>
      <c r="H21" s="359"/>
      <c r="I21" s="362"/>
      <c r="J21" s="18"/>
      <c r="K21" s="13"/>
      <c r="L21" s="16"/>
      <c r="M21" s="16"/>
      <c r="N21" s="17"/>
      <c r="O21" s="16"/>
      <c r="P21" s="16"/>
      <c r="Q21" s="16"/>
      <c r="R21" s="325"/>
      <c r="S21" s="328"/>
      <c r="T21" s="345"/>
      <c r="U21" s="331"/>
      <c r="V21" s="332"/>
      <c r="W21" s="344"/>
      <c r="X21" s="336"/>
      <c r="Y21" s="337"/>
      <c r="Z21" s="348"/>
      <c r="AA21" s="352"/>
      <c r="AB21" s="16"/>
      <c r="AC21" s="156"/>
      <c r="AD21" s="131"/>
    </row>
    <row r="22" spans="2:30" s="15" customFormat="1" ht="16.5" customHeight="1">
      <c r="B22" s="108"/>
      <c r="C22" s="544">
        <v>2</v>
      </c>
      <c r="D22" s="545" t="s">
        <v>5</v>
      </c>
      <c r="E22" s="546">
        <v>500</v>
      </c>
      <c r="F22" s="547">
        <v>58</v>
      </c>
      <c r="G22" s="546" t="s">
        <v>2</v>
      </c>
      <c r="H22" s="365">
        <f aca="true" t="shared" si="0" ref="H22:H40">IF(G22="A",200,IF(G22="B",60,20))</f>
        <v>20</v>
      </c>
      <c r="I22" s="469">
        <f aca="true" t="shared" si="1" ref="I22:I40">IF(E22=500,IF(F22&lt;100,100*$E$16/100,F22*$E$16/100),IF(F22&lt;100,100*$E$17/100,F22*$E$17/100))</f>
        <v>56.353</v>
      </c>
      <c r="J22" s="556">
        <v>37294.427083333336</v>
      </c>
      <c r="K22" s="557">
        <v>37294.62013888889</v>
      </c>
      <c r="L22" s="21">
        <f aca="true" t="shared" si="2" ref="L22:L40">IF(D22="","",(K22-J22)*24)</f>
        <v>4.633333333244082</v>
      </c>
      <c r="M22" s="22">
        <f aca="true" t="shared" si="3" ref="M22:M40">IF(D22="","",ROUND((K22-J22)*24*60,0))</f>
        <v>278</v>
      </c>
      <c r="N22" s="564" t="s">
        <v>163</v>
      </c>
      <c r="O22" s="565" t="str">
        <f aca="true" t="shared" si="4" ref="O22:O40">IF(D22="","","--")</f>
        <v>--</v>
      </c>
      <c r="P22" s="566" t="str">
        <f aca="true" t="shared" si="5" ref="P22:P40">IF(D22="","","NO")</f>
        <v>NO</v>
      </c>
      <c r="Q22" s="566" t="str">
        <f aca="true" t="shared" si="6" ref="Q22:Q40">IF(D22="","",IF(OR(N22="P",N22="RP"),"--","NO"))</f>
        <v>--</v>
      </c>
      <c r="R22" s="567">
        <f aca="true" t="shared" si="7" ref="R22:R40">IF(N22="P",I22*H22*ROUND(M22/60,2)*0.01,"--")</f>
        <v>52.182878</v>
      </c>
      <c r="S22" s="568" t="str">
        <f aca="true" t="shared" si="8" ref="S22:S40">IF(N22="RP",I22*H22*ROUND(M22/60,2)*0.01*O22/100,"--")</f>
        <v>--</v>
      </c>
      <c r="T22" s="569" t="str">
        <f aca="true" t="shared" si="9" ref="T22:T40">IF(AND(N22="F",Q22="NO"),I22*H22*IF(P22="SI",1.2,1),"--")</f>
        <v>--</v>
      </c>
      <c r="U22" s="570" t="str">
        <f aca="true" t="shared" si="10" ref="U22:U40">IF(AND(N22="F",M22&gt;=10),I22*H22*IF(P22="SI",1.2,1)*IF(M22&lt;=300,ROUND(M22/60,2),5),"--")</f>
        <v>--</v>
      </c>
      <c r="V22" s="571" t="str">
        <f aca="true" t="shared" si="11" ref="V22:V40">IF(AND(N22="F",M22&gt;300),(ROUND(M22/60,2)-5)*I22*H22*0.1*IF(P22="SI",1.2,1),"--")</f>
        <v>--</v>
      </c>
      <c r="W22" s="572" t="str">
        <f aca="true" t="shared" si="12" ref="W22:W40">IF(AND(N22="R",Q22="NO"),I22*H22*O22/100*IF(P22="SI",1.2,1),"--")</f>
        <v>--</v>
      </c>
      <c r="X22" s="573" t="str">
        <f aca="true" t="shared" si="13" ref="X22:X40">IF(AND(N22="R",M22&gt;=10),I22*H22*O22/100*IF(P22="SI",1.2,1)*IF(M22&lt;=300,ROUND(M22/60,2),5),"--")</f>
        <v>--</v>
      </c>
      <c r="Y22" s="574" t="str">
        <f aca="true" t="shared" si="14" ref="Y22:Y40">IF(AND(N22="R",M22&gt;300),(ROUND(M22/60,2)-5)*I22*H22*0.1*O22/100*IF(P22="SI",1.2,1),"--")</f>
        <v>--</v>
      </c>
      <c r="Z22" s="575" t="str">
        <f aca="true" t="shared" si="15" ref="Z22:Z40">IF(N22="RF",ROUND(M22/60,2)*I22*H22*0.1*IF(P22="SI",1.2,1),"--")</f>
        <v>--</v>
      </c>
      <c r="AA22" s="576" t="str">
        <f aca="true" t="shared" si="16" ref="AA22:AA40">IF(N22="RR",ROUND(M22/60,2)*I22*H22*0.1*O22/100*IF(P22="SI",1.2,1),"--")</f>
        <v>--</v>
      </c>
      <c r="AB22" s="577" t="str">
        <f aca="true" t="shared" si="17" ref="AB22:AB40">IF(D22="","","SI")</f>
        <v>SI</v>
      </c>
      <c r="AC22" s="23">
        <f aca="true" t="shared" si="18" ref="AC22:AC40">IF(D22="","",SUM(R22:AA22)*IF(AB22="SI",1,2))</f>
        <v>52.182878</v>
      </c>
      <c r="AD22" s="409"/>
    </row>
    <row r="23" spans="2:30" s="15" customFormat="1" ht="16.5" customHeight="1">
      <c r="B23" s="108"/>
      <c r="C23" s="544">
        <v>3</v>
      </c>
      <c r="D23" s="548" t="s">
        <v>5</v>
      </c>
      <c r="E23" s="549">
        <v>500</v>
      </c>
      <c r="F23" s="550">
        <v>58</v>
      </c>
      <c r="G23" s="549" t="s">
        <v>2</v>
      </c>
      <c r="H23" s="365">
        <f t="shared" si="0"/>
        <v>20</v>
      </c>
      <c r="I23" s="469">
        <f t="shared" si="1"/>
        <v>56.353</v>
      </c>
      <c r="J23" s="558">
        <v>37295.44861111111</v>
      </c>
      <c r="K23" s="559">
        <v>37295.58819444444</v>
      </c>
      <c r="L23" s="21">
        <f t="shared" si="2"/>
        <v>3.3499999999185093</v>
      </c>
      <c r="M23" s="22">
        <f t="shared" si="3"/>
        <v>201</v>
      </c>
      <c r="N23" s="564" t="s">
        <v>163</v>
      </c>
      <c r="O23" s="565" t="str">
        <f t="shared" si="4"/>
        <v>--</v>
      </c>
      <c r="P23" s="566" t="str">
        <f t="shared" si="5"/>
        <v>NO</v>
      </c>
      <c r="Q23" s="566" t="str">
        <f t="shared" si="6"/>
        <v>--</v>
      </c>
      <c r="R23" s="567">
        <f t="shared" si="7"/>
        <v>37.75651</v>
      </c>
      <c r="S23" s="568" t="str">
        <f t="shared" si="8"/>
        <v>--</v>
      </c>
      <c r="T23" s="569" t="str">
        <f t="shared" si="9"/>
        <v>--</v>
      </c>
      <c r="U23" s="570" t="str">
        <f t="shared" si="10"/>
        <v>--</v>
      </c>
      <c r="V23" s="571" t="str">
        <f t="shared" si="11"/>
        <v>--</v>
      </c>
      <c r="W23" s="572" t="str">
        <f t="shared" si="12"/>
        <v>--</v>
      </c>
      <c r="X23" s="573" t="str">
        <f t="shared" si="13"/>
        <v>--</v>
      </c>
      <c r="Y23" s="574" t="str">
        <f t="shared" si="14"/>
        <v>--</v>
      </c>
      <c r="Z23" s="575" t="str">
        <f t="shared" si="15"/>
        <v>--</v>
      </c>
      <c r="AA23" s="576" t="str">
        <f t="shared" si="16"/>
        <v>--</v>
      </c>
      <c r="AB23" s="577" t="str">
        <f t="shared" si="17"/>
        <v>SI</v>
      </c>
      <c r="AC23" s="23">
        <f t="shared" si="18"/>
        <v>37.75651</v>
      </c>
      <c r="AD23" s="409"/>
    </row>
    <row r="24" spans="2:30" s="15" customFormat="1" ht="16.5" customHeight="1">
      <c r="B24" s="108"/>
      <c r="C24" s="544">
        <v>4</v>
      </c>
      <c r="D24" s="548" t="s">
        <v>7</v>
      </c>
      <c r="E24" s="549">
        <v>220</v>
      </c>
      <c r="F24" s="550">
        <v>77</v>
      </c>
      <c r="G24" s="549" t="s">
        <v>2</v>
      </c>
      <c r="H24" s="365">
        <f t="shared" si="0"/>
        <v>20</v>
      </c>
      <c r="I24" s="469">
        <f t="shared" si="1"/>
        <v>46.96099999999999</v>
      </c>
      <c r="J24" s="558">
        <v>37301.35</v>
      </c>
      <c r="K24" s="559">
        <v>37301.623611111114</v>
      </c>
      <c r="L24" s="21">
        <f t="shared" si="2"/>
        <v>6.56666666676756</v>
      </c>
      <c r="M24" s="22">
        <f t="shared" si="3"/>
        <v>394</v>
      </c>
      <c r="N24" s="564" t="s">
        <v>163</v>
      </c>
      <c r="O24" s="565" t="str">
        <f t="shared" si="4"/>
        <v>--</v>
      </c>
      <c r="P24" s="566" t="str">
        <f t="shared" si="5"/>
        <v>NO</v>
      </c>
      <c r="Q24" s="566" t="str">
        <f t="shared" si="6"/>
        <v>--</v>
      </c>
      <c r="R24" s="567">
        <f t="shared" si="7"/>
        <v>61.706754</v>
      </c>
      <c r="S24" s="568" t="str">
        <f t="shared" si="8"/>
        <v>--</v>
      </c>
      <c r="T24" s="569" t="str">
        <f t="shared" si="9"/>
        <v>--</v>
      </c>
      <c r="U24" s="570" t="str">
        <f t="shared" si="10"/>
        <v>--</v>
      </c>
      <c r="V24" s="571" t="str">
        <f t="shared" si="11"/>
        <v>--</v>
      </c>
      <c r="W24" s="572" t="str">
        <f t="shared" si="12"/>
        <v>--</v>
      </c>
      <c r="X24" s="573" t="str">
        <f t="shared" si="13"/>
        <v>--</v>
      </c>
      <c r="Y24" s="574" t="str">
        <f t="shared" si="14"/>
        <v>--</v>
      </c>
      <c r="Z24" s="575" t="str">
        <f t="shared" si="15"/>
        <v>--</v>
      </c>
      <c r="AA24" s="576" t="str">
        <f t="shared" si="16"/>
        <v>--</v>
      </c>
      <c r="AB24" s="577" t="str">
        <f t="shared" si="17"/>
        <v>SI</v>
      </c>
      <c r="AC24" s="23">
        <f t="shared" si="18"/>
        <v>61.706754</v>
      </c>
      <c r="AD24" s="409"/>
    </row>
    <row r="25" spans="2:30" s="15" customFormat="1" ht="16.5" customHeight="1">
      <c r="B25" s="108"/>
      <c r="C25" s="544">
        <v>5</v>
      </c>
      <c r="D25" s="545" t="s">
        <v>8</v>
      </c>
      <c r="E25" s="546">
        <v>500</v>
      </c>
      <c r="F25" s="547">
        <v>289</v>
      </c>
      <c r="G25" s="546" t="s">
        <v>2</v>
      </c>
      <c r="H25" s="365">
        <f t="shared" si="0"/>
        <v>20</v>
      </c>
      <c r="I25" s="469">
        <f t="shared" si="1"/>
        <v>162.86017</v>
      </c>
      <c r="J25" s="556">
        <v>37309.41527777778</v>
      </c>
      <c r="K25" s="557">
        <v>37309.52777777778</v>
      </c>
      <c r="L25" s="21">
        <f t="shared" si="2"/>
        <v>2.700000000069849</v>
      </c>
      <c r="M25" s="22">
        <f t="shared" si="3"/>
        <v>162</v>
      </c>
      <c r="N25" s="564" t="s">
        <v>163</v>
      </c>
      <c r="O25" s="565" t="str">
        <f t="shared" si="4"/>
        <v>--</v>
      </c>
      <c r="P25" s="566" t="str">
        <f t="shared" si="5"/>
        <v>NO</v>
      </c>
      <c r="Q25" s="566" t="str">
        <f t="shared" si="6"/>
        <v>--</v>
      </c>
      <c r="R25" s="567">
        <f t="shared" si="7"/>
        <v>87.94449180000002</v>
      </c>
      <c r="S25" s="568" t="str">
        <f t="shared" si="8"/>
        <v>--</v>
      </c>
      <c r="T25" s="569" t="str">
        <f t="shared" si="9"/>
        <v>--</v>
      </c>
      <c r="U25" s="570" t="str">
        <f t="shared" si="10"/>
        <v>--</v>
      </c>
      <c r="V25" s="571" t="str">
        <f t="shared" si="11"/>
        <v>--</v>
      </c>
      <c r="W25" s="572" t="str">
        <f t="shared" si="12"/>
        <v>--</v>
      </c>
      <c r="X25" s="573" t="str">
        <f t="shared" si="13"/>
        <v>--</v>
      </c>
      <c r="Y25" s="574" t="str">
        <f t="shared" si="14"/>
        <v>--</v>
      </c>
      <c r="Z25" s="575" t="str">
        <f t="shared" si="15"/>
        <v>--</v>
      </c>
      <c r="AA25" s="576" t="str">
        <f t="shared" si="16"/>
        <v>--</v>
      </c>
      <c r="AB25" s="577" t="str">
        <f t="shared" si="17"/>
        <v>SI</v>
      </c>
      <c r="AC25" s="23">
        <f t="shared" si="18"/>
        <v>87.94449180000002</v>
      </c>
      <c r="AD25" s="409"/>
    </row>
    <row r="26" spans="2:30" s="15" customFormat="1" ht="16.5" customHeight="1">
      <c r="B26" s="108"/>
      <c r="C26" s="544">
        <v>6</v>
      </c>
      <c r="D26" s="545" t="s">
        <v>7</v>
      </c>
      <c r="E26" s="546">
        <v>220</v>
      </c>
      <c r="F26" s="547">
        <v>77</v>
      </c>
      <c r="G26" s="546" t="s">
        <v>2</v>
      </c>
      <c r="H26" s="365">
        <f t="shared" si="0"/>
        <v>20</v>
      </c>
      <c r="I26" s="469">
        <f t="shared" si="1"/>
        <v>46.96099999999999</v>
      </c>
      <c r="J26" s="556">
        <v>37312.35833333333</v>
      </c>
      <c r="K26" s="557">
        <v>37312.62430555555</v>
      </c>
      <c r="L26" s="21">
        <f t="shared" si="2"/>
        <v>6.383333333360497</v>
      </c>
      <c r="M26" s="22">
        <f t="shared" si="3"/>
        <v>383</v>
      </c>
      <c r="N26" s="564" t="s">
        <v>163</v>
      </c>
      <c r="O26" s="565" t="str">
        <f t="shared" si="4"/>
        <v>--</v>
      </c>
      <c r="P26" s="566" t="str">
        <f t="shared" si="5"/>
        <v>NO</v>
      </c>
      <c r="Q26" s="566" t="str">
        <f t="shared" si="6"/>
        <v>--</v>
      </c>
      <c r="R26" s="567">
        <f t="shared" si="7"/>
        <v>59.922235999999984</v>
      </c>
      <c r="S26" s="568" t="str">
        <f t="shared" si="8"/>
        <v>--</v>
      </c>
      <c r="T26" s="569" t="str">
        <f t="shared" si="9"/>
        <v>--</v>
      </c>
      <c r="U26" s="570" t="str">
        <f t="shared" si="10"/>
        <v>--</v>
      </c>
      <c r="V26" s="571" t="str">
        <f t="shared" si="11"/>
        <v>--</v>
      </c>
      <c r="W26" s="572" t="str">
        <f t="shared" si="12"/>
        <v>--</v>
      </c>
      <c r="X26" s="573" t="str">
        <f t="shared" si="13"/>
        <v>--</v>
      </c>
      <c r="Y26" s="574" t="str">
        <f t="shared" si="14"/>
        <v>--</v>
      </c>
      <c r="Z26" s="575" t="str">
        <f t="shared" si="15"/>
        <v>--</v>
      </c>
      <c r="AA26" s="576" t="str">
        <f t="shared" si="16"/>
        <v>--</v>
      </c>
      <c r="AB26" s="577" t="str">
        <f t="shared" si="17"/>
        <v>SI</v>
      </c>
      <c r="AC26" s="23">
        <f t="shared" si="18"/>
        <v>59.922235999999984</v>
      </c>
      <c r="AD26" s="409"/>
    </row>
    <row r="27" spans="2:30" s="15" customFormat="1" ht="16.5" customHeight="1">
      <c r="B27" s="108"/>
      <c r="C27" s="544">
        <v>7</v>
      </c>
      <c r="D27" s="544" t="s">
        <v>3</v>
      </c>
      <c r="E27" s="551">
        <v>500</v>
      </c>
      <c r="F27" s="552">
        <v>3</v>
      </c>
      <c r="G27" s="551" t="s">
        <v>2</v>
      </c>
      <c r="H27" s="365">
        <f t="shared" si="0"/>
        <v>20</v>
      </c>
      <c r="I27" s="469">
        <f t="shared" si="1"/>
        <v>56.353</v>
      </c>
      <c r="J27" s="560">
        <v>37312.36111111111</v>
      </c>
      <c r="K27" s="561">
        <v>37314.76111111111</v>
      </c>
      <c r="L27" s="21">
        <f t="shared" si="2"/>
        <v>57.600000000034925</v>
      </c>
      <c r="M27" s="22">
        <f t="shared" si="3"/>
        <v>3456</v>
      </c>
      <c r="N27" s="564" t="s">
        <v>163</v>
      </c>
      <c r="O27" s="565" t="str">
        <f t="shared" si="4"/>
        <v>--</v>
      </c>
      <c r="P27" s="566" t="str">
        <f t="shared" si="5"/>
        <v>NO</v>
      </c>
      <c r="Q27" s="566" t="str">
        <f t="shared" si="6"/>
        <v>--</v>
      </c>
      <c r="R27" s="567">
        <f t="shared" si="7"/>
        <v>649.18656</v>
      </c>
      <c r="S27" s="568" t="str">
        <f t="shared" si="8"/>
        <v>--</v>
      </c>
      <c r="T27" s="569" t="str">
        <f t="shared" si="9"/>
        <v>--</v>
      </c>
      <c r="U27" s="570" t="str">
        <f t="shared" si="10"/>
        <v>--</v>
      </c>
      <c r="V27" s="571" t="str">
        <f t="shared" si="11"/>
        <v>--</v>
      </c>
      <c r="W27" s="572" t="str">
        <f t="shared" si="12"/>
        <v>--</v>
      </c>
      <c r="X27" s="573" t="str">
        <f t="shared" si="13"/>
        <v>--</v>
      </c>
      <c r="Y27" s="574" t="str">
        <f t="shared" si="14"/>
        <v>--</v>
      </c>
      <c r="Z27" s="575" t="str">
        <f t="shared" si="15"/>
        <v>--</v>
      </c>
      <c r="AA27" s="576" t="str">
        <f t="shared" si="16"/>
        <v>--</v>
      </c>
      <c r="AB27" s="577" t="str">
        <f t="shared" si="17"/>
        <v>SI</v>
      </c>
      <c r="AC27" s="23">
        <f t="shared" si="18"/>
        <v>649.18656</v>
      </c>
      <c r="AD27" s="409"/>
    </row>
    <row r="28" spans="2:30" s="15" customFormat="1" ht="16.5" customHeight="1">
      <c r="B28" s="108"/>
      <c r="C28" s="544">
        <v>8</v>
      </c>
      <c r="D28" s="544" t="s">
        <v>6</v>
      </c>
      <c r="E28" s="551">
        <v>220</v>
      </c>
      <c r="F28" s="552">
        <v>6</v>
      </c>
      <c r="G28" s="551" t="s">
        <v>2</v>
      </c>
      <c r="H28" s="365">
        <f t="shared" si="0"/>
        <v>20</v>
      </c>
      <c r="I28" s="469">
        <f t="shared" si="1"/>
        <v>46.96099999999999</v>
      </c>
      <c r="J28" s="560">
        <v>37312.475</v>
      </c>
      <c r="K28" s="561">
        <v>37312.57361111111</v>
      </c>
      <c r="L28" s="21">
        <f t="shared" si="2"/>
        <v>2.3666666666977108</v>
      </c>
      <c r="M28" s="22">
        <f t="shared" si="3"/>
        <v>142</v>
      </c>
      <c r="N28" s="564" t="s">
        <v>163</v>
      </c>
      <c r="O28" s="565" t="str">
        <f t="shared" si="4"/>
        <v>--</v>
      </c>
      <c r="P28" s="566" t="str">
        <f t="shared" si="5"/>
        <v>NO</v>
      </c>
      <c r="Q28" s="566" t="str">
        <f t="shared" si="6"/>
        <v>--</v>
      </c>
      <c r="R28" s="567">
        <f t="shared" si="7"/>
        <v>22.259513999999996</v>
      </c>
      <c r="S28" s="568" t="str">
        <f t="shared" si="8"/>
        <v>--</v>
      </c>
      <c r="T28" s="569" t="str">
        <f t="shared" si="9"/>
        <v>--</v>
      </c>
      <c r="U28" s="570" t="str">
        <f t="shared" si="10"/>
        <v>--</v>
      </c>
      <c r="V28" s="571" t="str">
        <f t="shared" si="11"/>
        <v>--</v>
      </c>
      <c r="W28" s="572" t="str">
        <f t="shared" si="12"/>
        <v>--</v>
      </c>
      <c r="X28" s="573" t="str">
        <f t="shared" si="13"/>
        <v>--</v>
      </c>
      <c r="Y28" s="574" t="str">
        <f t="shared" si="14"/>
        <v>--</v>
      </c>
      <c r="Z28" s="575" t="str">
        <f t="shared" si="15"/>
        <v>--</v>
      </c>
      <c r="AA28" s="576" t="str">
        <f t="shared" si="16"/>
        <v>--</v>
      </c>
      <c r="AB28" s="577" t="str">
        <f t="shared" si="17"/>
        <v>SI</v>
      </c>
      <c r="AC28" s="23">
        <f t="shared" si="18"/>
        <v>22.259513999999996</v>
      </c>
      <c r="AD28" s="409"/>
    </row>
    <row r="29" spans="2:30" s="15" customFormat="1" ht="16.5" customHeight="1">
      <c r="B29" s="108"/>
      <c r="C29" s="544">
        <v>9</v>
      </c>
      <c r="D29" s="544" t="s">
        <v>3</v>
      </c>
      <c r="E29" s="551">
        <v>500</v>
      </c>
      <c r="F29" s="552">
        <v>3</v>
      </c>
      <c r="G29" s="551" t="s">
        <v>2</v>
      </c>
      <c r="H29" s="365">
        <f t="shared" si="0"/>
        <v>20</v>
      </c>
      <c r="I29" s="469">
        <f t="shared" si="1"/>
        <v>56.353</v>
      </c>
      <c r="J29" s="560">
        <v>37315.36388888889</v>
      </c>
      <c r="K29" s="561">
        <v>37315.75625</v>
      </c>
      <c r="L29" s="21">
        <f t="shared" si="2"/>
        <v>9.416666666627862</v>
      </c>
      <c r="M29" s="22">
        <f t="shared" si="3"/>
        <v>565</v>
      </c>
      <c r="N29" s="564" t="s">
        <v>163</v>
      </c>
      <c r="O29" s="565" t="str">
        <f t="shared" si="4"/>
        <v>--</v>
      </c>
      <c r="P29" s="566" t="str">
        <f t="shared" si="5"/>
        <v>NO</v>
      </c>
      <c r="Q29" s="566" t="str">
        <f t="shared" si="6"/>
        <v>--</v>
      </c>
      <c r="R29" s="567">
        <f t="shared" si="7"/>
        <v>106.169052</v>
      </c>
      <c r="S29" s="568" t="str">
        <f t="shared" si="8"/>
        <v>--</v>
      </c>
      <c r="T29" s="569" t="str">
        <f t="shared" si="9"/>
        <v>--</v>
      </c>
      <c r="U29" s="570" t="str">
        <f t="shared" si="10"/>
        <v>--</v>
      </c>
      <c r="V29" s="571" t="str">
        <f t="shared" si="11"/>
        <v>--</v>
      </c>
      <c r="W29" s="572" t="str">
        <f t="shared" si="12"/>
        <v>--</v>
      </c>
      <c r="X29" s="573" t="str">
        <f t="shared" si="13"/>
        <v>--</v>
      </c>
      <c r="Y29" s="574" t="str">
        <f t="shared" si="14"/>
        <v>--</v>
      </c>
      <c r="Z29" s="575" t="str">
        <f t="shared" si="15"/>
        <v>--</v>
      </c>
      <c r="AA29" s="576" t="str">
        <f t="shared" si="16"/>
        <v>--</v>
      </c>
      <c r="AB29" s="577" t="str">
        <f t="shared" si="17"/>
        <v>SI</v>
      </c>
      <c r="AC29" s="23">
        <f t="shared" si="18"/>
        <v>106.169052</v>
      </c>
      <c r="AD29" s="409"/>
    </row>
    <row r="30" spans="2:30" s="15" customFormat="1" ht="16.5" customHeight="1">
      <c r="B30" s="108"/>
      <c r="C30" s="544"/>
      <c r="D30" s="544"/>
      <c r="E30" s="551"/>
      <c r="F30" s="552"/>
      <c r="G30" s="551"/>
      <c r="H30" s="365">
        <f t="shared" si="0"/>
        <v>20</v>
      </c>
      <c r="I30" s="469">
        <f t="shared" si="1"/>
        <v>46.96099999999999</v>
      </c>
      <c r="J30" s="560"/>
      <c r="K30" s="561"/>
      <c r="L30" s="21">
        <f t="shared" si="2"/>
      </c>
      <c r="M30" s="22">
        <f t="shared" si="3"/>
      </c>
      <c r="N30" s="564"/>
      <c r="O30" s="565">
        <f t="shared" si="4"/>
      </c>
      <c r="P30" s="566">
        <f t="shared" si="5"/>
      </c>
      <c r="Q30" s="566">
        <f t="shared" si="6"/>
      </c>
      <c r="R30" s="567" t="str">
        <f t="shared" si="7"/>
        <v>--</v>
      </c>
      <c r="S30" s="568" t="str">
        <f t="shared" si="8"/>
        <v>--</v>
      </c>
      <c r="T30" s="569" t="str">
        <f t="shared" si="9"/>
        <v>--</v>
      </c>
      <c r="U30" s="570" t="str">
        <f t="shared" si="10"/>
        <v>--</v>
      </c>
      <c r="V30" s="571" t="str">
        <f t="shared" si="11"/>
        <v>--</v>
      </c>
      <c r="W30" s="572" t="str">
        <f t="shared" si="12"/>
        <v>--</v>
      </c>
      <c r="X30" s="573" t="str">
        <f t="shared" si="13"/>
        <v>--</v>
      </c>
      <c r="Y30" s="574" t="str">
        <f t="shared" si="14"/>
        <v>--</v>
      </c>
      <c r="Z30" s="575" t="str">
        <f t="shared" si="15"/>
        <v>--</v>
      </c>
      <c r="AA30" s="576" t="str">
        <f t="shared" si="16"/>
        <v>--</v>
      </c>
      <c r="AB30" s="577">
        <f t="shared" si="17"/>
      </c>
      <c r="AC30" s="23">
        <f t="shared" si="18"/>
      </c>
      <c r="AD30" s="409"/>
    </row>
    <row r="31" spans="2:30" s="15" customFormat="1" ht="16.5" customHeight="1">
      <c r="B31" s="108"/>
      <c r="C31" s="544"/>
      <c r="D31" s="544"/>
      <c r="E31" s="551"/>
      <c r="F31" s="552"/>
      <c r="G31" s="551"/>
      <c r="H31" s="365">
        <f t="shared" si="0"/>
        <v>20</v>
      </c>
      <c r="I31" s="469">
        <f t="shared" si="1"/>
        <v>46.96099999999999</v>
      </c>
      <c r="J31" s="560"/>
      <c r="K31" s="561"/>
      <c r="L31" s="21">
        <f t="shared" si="2"/>
      </c>
      <c r="M31" s="22">
        <f t="shared" si="3"/>
      </c>
      <c r="N31" s="564"/>
      <c r="O31" s="565">
        <f t="shared" si="4"/>
      </c>
      <c r="P31" s="566">
        <f t="shared" si="5"/>
      </c>
      <c r="Q31" s="566">
        <f t="shared" si="6"/>
      </c>
      <c r="R31" s="567" t="str">
        <f t="shared" si="7"/>
        <v>--</v>
      </c>
      <c r="S31" s="568" t="str">
        <f t="shared" si="8"/>
        <v>--</v>
      </c>
      <c r="T31" s="569" t="str">
        <f t="shared" si="9"/>
        <v>--</v>
      </c>
      <c r="U31" s="570" t="str">
        <f t="shared" si="10"/>
        <v>--</v>
      </c>
      <c r="V31" s="571" t="str">
        <f t="shared" si="11"/>
        <v>--</v>
      </c>
      <c r="W31" s="572" t="str">
        <f t="shared" si="12"/>
        <v>--</v>
      </c>
      <c r="X31" s="573" t="str">
        <f t="shared" si="13"/>
        <v>--</v>
      </c>
      <c r="Y31" s="574" t="str">
        <f t="shared" si="14"/>
        <v>--</v>
      </c>
      <c r="Z31" s="575" t="str">
        <f t="shared" si="15"/>
        <v>--</v>
      </c>
      <c r="AA31" s="576" t="str">
        <f t="shared" si="16"/>
        <v>--</v>
      </c>
      <c r="AB31" s="577">
        <f t="shared" si="17"/>
      </c>
      <c r="AC31" s="23">
        <f t="shared" si="18"/>
      </c>
      <c r="AD31" s="409"/>
    </row>
    <row r="32" spans="2:30" s="15" customFormat="1" ht="16.5" customHeight="1">
      <c r="B32" s="108"/>
      <c r="C32" s="544"/>
      <c r="D32" s="544"/>
      <c r="E32" s="551"/>
      <c r="F32" s="552"/>
      <c r="G32" s="551"/>
      <c r="H32" s="365">
        <f t="shared" si="0"/>
        <v>20</v>
      </c>
      <c r="I32" s="469">
        <f t="shared" si="1"/>
        <v>46.96099999999999</v>
      </c>
      <c r="J32" s="560"/>
      <c r="K32" s="562"/>
      <c r="L32" s="21">
        <f t="shared" si="2"/>
      </c>
      <c r="M32" s="22">
        <f t="shared" si="3"/>
      </c>
      <c r="N32" s="564"/>
      <c r="O32" s="565">
        <f t="shared" si="4"/>
      </c>
      <c r="P32" s="566">
        <f t="shared" si="5"/>
      </c>
      <c r="Q32" s="566">
        <f t="shared" si="6"/>
      </c>
      <c r="R32" s="567" t="str">
        <f t="shared" si="7"/>
        <v>--</v>
      </c>
      <c r="S32" s="568" t="str">
        <f t="shared" si="8"/>
        <v>--</v>
      </c>
      <c r="T32" s="569" t="str">
        <f t="shared" si="9"/>
        <v>--</v>
      </c>
      <c r="U32" s="570" t="str">
        <f t="shared" si="10"/>
        <v>--</v>
      </c>
      <c r="V32" s="571" t="str">
        <f t="shared" si="11"/>
        <v>--</v>
      </c>
      <c r="W32" s="572" t="str">
        <f t="shared" si="12"/>
        <v>--</v>
      </c>
      <c r="X32" s="573" t="str">
        <f t="shared" si="13"/>
        <v>--</v>
      </c>
      <c r="Y32" s="574" t="str">
        <f t="shared" si="14"/>
        <v>--</v>
      </c>
      <c r="Z32" s="575" t="str">
        <f t="shared" si="15"/>
        <v>--</v>
      </c>
      <c r="AA32" s="576" t="str">
        <f t="shared" si="16"/>
        <v>--</v>
      </c>
      <c r="AB32" s="577">
        <f t="shared" si="17"/>
      </c>
      <c r="AC32" s="23">
        <f t="shared" si="18"/>
      </c>
      <c r="AD32" s="409"/>
    </row>
    <row r="33" spans="2:30" s="15" customFormat="1" ht="16.5" customHeight="1">
      <c r="B33" s="108"/>
      <c r="C33" s="544"/>
      <c r="D33" s="544"/>
      <c r="E33" s="551"/>
      <c r="F33" s="552"/>
      <c r="G33" s="551"/>
      <c r="H33" s="365">
        <f t="shared" si="0"/>
        <v>20</v>
      </c>
      <c r="I33" s="469">
        <f t="shared" si="1"/>
        <v>46.96099999999999</v>
      </c>
      <c r="J33" s="560"/>
      <c r="K33" s="562"/>
      <c r="L33" s="21">
        <f t="shared" si="2"/>
      </c>
      <c r="M33" s="22">
        <f t="shared" si="3"/>
      </c>
      <c r="N33" s="564"/>
      <c r="O33" s="565">
        <f t="shared" si="4"/>
      </c>
      <c r="P33" s="566">
        <f t="shared" si="5"/>
      </c>
      <c r="Q33" s="566">
        <f t="shared" si="6"/>
      </c>
      <c r="R33" s="567" t="str">
        <f t="shared" si="7"/>
        <v>--</v>
      </c>
      <c r="S33" s="568" t="str">
        <f t="shared" si="8"/>
        <v>--</v>
      </c>
      <c r="T33" s="569" t="str">
        <f t="shared" si="9"/>
        <v>--</v>
      </c>
      <c r="U33" s="570" t="str">
        <f t="shared" si="10"/>
        <v>--</v>
      </c>
      <c r="V33" s="571" t="str">
        <f t="shared" si="11"/>
        <v>--</v>
      </c>
      <c r="W33" s="572" t="str">
        <f t="shared" si="12"/>
        <v>--</v>
      </c>
      <c r="X33" s="573" t="str">
        <f t="shared" si="13"/>
        <v>--</v>
      </c>
      <c r="Y33" s="574" t="str">
        <f t="shared" si="14"/>
        <v>--</v>
      </c>
      <c r="Z33" s="575" t="str">
        <f t="shared" si="15"/>
        <v>--</v>
      </c>
      <c r="AA33" s="576" t="str">
        <f t="shared" si="16"/>
        <v>--</v>
      </c>
      <c r="AB33" s="577">
        <f t="shared" si="17"/>
      </c>
      <c r="AC33" s="23">
        <f t="shared" si="18"/>
      </c>
      <c r="AD33" s="409"/>
    </row>
    <row r="34" spans="2:30" s="15" customFormat="1" ht="16.5" customHeight="1">
      <c r="B34" s="108"/>
      <c r="C34" s="544"/>
      <c r="D34" s="544"/>
      <c r="E34" s="551"/>
      <c r="F34" s="552"/>
      <c r="G34" s="551"/>
      <c r="H34" s="365">
        <f t="shared" si="0"/>
        <v>20</v>
      </c>
      <c r="I34" s="469">
        <f t="shared" si="1"/>
        <v>46.96099999999999</v>
      </c>
      <c r="J34" s="560"/>
      <c r="K34" s="562"/>
      <c r="L34" s="21">
        <f t="shared" si="2"/>
      </c>
      <c r="M34" s="22">
        <f t="shared" si="3"/>
      </c>
      <c r="N34" s="564"/>
      <c r="O34" s="565">
        <f t="shared" si="4"/>
      </c>
      <c r="P34" s="566">
        <f t="shared" si="5"/>
      </c>
      <c r="Q34" s="566">
        <f t="shared" si="6"/>
      </c>
      <c r="R34" s="567" t="str">
        <f t="shared" si="7"/>
        <v>--</v>
      </c>
      <c r="S34" s="568" t="str">
        <f t="shared" si="8"/>
        <v>--</v>
      </c>
      <c r="T34" s="569" t="str">
        <f t="shared" si="9"/>
        <v>--</v>
      </c>
      <c r="U34" s="570" t="str">
        <f t="shared" si="10"/>
        <v>--</v>
      </c>
      <c r="V34" s="571" t="str">
        <f t="shared" si="11"/>
        <v>--</v>
      </c>
      <c r="W34" s="572" t="str">
        <f t="shared" si="12"/>
        <v>--</v>
      </c>
      <c r="X34" s="573" t="str">
        <f t="shared" si="13"/>
        <v>--</v>
      </c>
      <c r="Y34" s="574" t="str">
        <f t="shared" si="14"/>
        <v>--</v>
      </c>
      <c r="Z34" s="575" t="str">
        <f t="shared" si="15"/>
        <v>--</v>
      </c>
      <c r="AA34" s="576" t="str">
        <f t="shared" si="16"/>
        <v>--</v>
      </c>
      <c r="AB34" s="577">
        <f t="shared" si="17"/>
      </c>
      <c r="AC34" s="23">
        <f t="shared" si="18"/>
      </c>
      <c r="AD34" s="409"/>
    </row>
    <row r="35" spans="2:30" s="15" customFormat="1" ht="16.5" customHeight="1">
      <c r="B35" s="108"/>
      <c r="C35" s="544"/>
      <c r="D35" s="544"/>
      <c r="E35" s="551"/>
      <c r="F35" s="552"/>
      <c r="G35" s="551"/>
      <c r="H35" s="365">
        <f t="shared" si="0"/>
        <v>20</v>
      </c>
      <c r="I35" s="469">
        <f t="shared" si="1"/>
        <v>46.96099999999999</v>
      </c>
      <c r="J35" s="560"/>
      <c r="K35" s="562"/>
      <c r="L35" s="21">
        <f t="shared" si="2"/>
      </c>
      <c r="M35" s="22">
        <f t="shared" si="3"/>
      </c>
      <c r="N35" s="564"/>
      <c r="O35" s="565">
        <f t="shared" si="4"/>
      </c>
      <c r="P35" s="566">
        <f t="shared" si="5"/>
      </c>
      <c r="Q35" s="566">
        <f t="shared" si="6"/>
      </c>
      <c r="R35" s="567" t="str">
        <f t="shared" si="7"/>
        <v>--</v>
      </c>
      <c r="S35" s="568" t="str">
        <f t="shared" si="8"/>
        <v>--</v>
      </c>
      <c r="T35" s="569" t="str">
        <f t="shared" si="9"/>
        <v>--</v>
      </c>
      <c r="U35" s="570" t="str">
        <f t="shared" si="10"/>
        <v>--</v>
      </c>
      <c r="V35" s="571" t="str">
        <f t="shared" si="11"/>
        <v>--</v>
      </c>
      <c r="W35" s="572" t="str">
        <f t="shared" si="12"/>
        <v>--</v>
      </c>
      <c r="X35" s="573" t="str">
        <f t="shared" si="13"/>
        <v>--</v>
      </c>
      <c r="Y35" s="574" t="str">
        <f t="shared" si="14"/>
        <v>--</v>
      </c>
      <c r="Z35" s="575" t="str">
        <f t="shared" si="15"/>
        <v>--</v>
      </c>
      <c r="AA35" s="576" t="str">
        <f t="shared" si="16"/>
        <v>--</v>
      </c>
      <c r="AB35" s="577">
        <f t="shared" si="17"/>
      </c>
      <c r="AC35" s="23">
        <f t="shared" si="18"/>
      </c>
      <c r="AD35" s="409"/>
    </row>
    <row r="36" spans="2:30" s="15" customFormat="1" ht="16.5" customHeight="1">
      <c r="B36" s="108"/>
      <c r="C36" s="544"/>
      <c r="D36" s="544"/>
      <c r="E36" s="551"/>
      <c r="F36" s="552"/>
      <c r="G36" s="551"/>
      <c r="H36" s="365">
        <f t="shared" si="0"/>
        <v>20</v>
      </c>
      <c r="I36" s="469">
        <f t="shared" si="1"/>
        <v>46.96099999999999</v>
      </c>
      <c r="J36" s="560"/>
      <c r="K36" s="562"/>
      <c r="L36" s="21">
        <f t="shared" si="2"/>
      </c>
      <c r="M36" s="22">
        <f t="shared" si="3"/>
      </c>
      <c r="N36" s="564"/>
      <c r="O36" s="565">
        <f t="shared" si="4"/>
      </c>
      <c r="P36" s="566">
        <f t="shared" si="5"/>
      </c>
      <c r="Q36" s="566">
        <f t="shared" si="6"/>
      </c>
      <c r="R36" s="567" t="str">
        <f t="shared" si="7"/>
        <v>--</v>
      </c>
      <c r="S36" s="568" t="str">
        <f t="shared" si="8"/>
        <v>--</v>
      </c>
      <c r="T36" s="569" t="str">
        <f t="shared" si="9"/>
        <v>--</v>
      </c>
      <c r="U36" s="570" t="str">
        <f t="shared" si="10"/>
        <v>--</v>
      </c>
      <c r="V36" s="571" t="str">
        <f t="shared" si="11"/>
        <v>--</v>
      </c>
      <c r="W36" s="572" t="str">
        <f t="shared" si="12"/>
        <v>--</v>
      </c>
      <c r="X36" s="573" t="str">
        <f t="shared" si="13"/>
        <v>--</v>
      </c>
      <c r="Y36" s="574" t="str">
        <f t="shared" si="14"/>
        <v>--</v>
      </c>
      <c r="Z36" s="575" t="str">
        <f t="shared" si="15"/>
        <v>--</v>
      </c>
      <c r="AA36" s="576" t="str">
        <f t="shared" si="16"/>
        <v>--</v>
      </c>
      <c r="AB36" s="577">
        <f t="shared" si="17"/>
      </c>
      <c r="AC36" s="23">
        <f t="shared" si="18"/>
      </c>
      <c r="AD36" s="409"/>
    </row>
    <row r="37" spans="2:30" s="15" customFormat="1" ht="16.5" customHeight="1">
      <c r="B37" s="108"/>
      <c r="C37" s="544"/>
      <c r="D37" s="544"/>
      <c r="E37" s="551"/>
      <c r="F37" s="552"/>
      <c r="G37" s="551"/>
      <c r="H37" s="365">
        <f t="shared" si="0"/>
        <v>20</v>
      </c>
      <c r="I37" s="469">
        <f t="shared" si="1"/>
        <v>46.96099999999999</v>
      </c>
      <c r="J37" s="560"/>
      <c r="K37" s="562"/>
      <c r="L37" s="21">
        <f t="shared" si="2"/>
      </c>
      <c r="M37" s="22">
        <f t="shared" si="3"/>
      </c>
      <c r="N37" s="564"/>
      <c r="O37" s="565">
        <f t="shared" si="4"/>
      </c>
      <c r="P37" s="566">
        <f t="shared" si="5"/>
      </c>
      <c r="Q37" s="566">
        <f t="shared" si="6"/>
      </c>
      <c r="R37" s="567" t="str">
        <f t="shared" si="7"/>
        <v>--</v>
      </c>
      <c r="S37" s="568" t="str">
        <f t="shared" si="8"/>
        <v>--</v>
      </c>
      <c r="T37" s="569" t="str">
        <f t="shared" si="9"/>
        <v>--</v>
      </c>
      <c r="U37" s="570" t="str">
        <f t="shared" si="10"/>
        <v>--</v>
      </c>
      <c r="V37" s="571" t="str">
        <f t="shared" si="11"/>
        <v>--</v>
      </c>
      <c r="W37" s="572" t="str">
        <f t="shared" si="12"/>
        <v>--</v>
      </c>
      <c r="X37" s="573" t="str">
        <f t="shared" si="13"/>
        <v>--</v>
      </c>
      <c r="Y37" s="574" t="str">
        <f t="shared" si="14"/>
        <v>--</v>
      </c>
      <c r="Z37" s="575" t="str">
        <f t="shared" si="15"/>
        <v>--</v>
      </c>
      <c r="AA37" s="576" t="str">
        <f t="shared" si="16"/>
        <v>--</v>
      </c>
      <c r="AB37" s="577">
        <f t="shared" si="17"/>
      </c>
      <c r="AC37" s="23">
        <f t="shared" si="18"/>
      </c>
      <c r="AD37" s="409"/>
    </row>
    <row r="38" spans="2:30" s="15" customFormat="1" ht="16.5" customHeight="1">
      <c r="B38" s="108"/>
      <c r="C38" s="544"/>
      <c r="D38" s="544"/>
      <c r="E38" s="551"/>
      <c r="F38" s="552"/>
      <c r="G38" s="551"/>
      <c r="H38" s="365">
        <f t="shared" si="0"/>
        <v>20</v>
      </c>
      <c r="I38" s="469">
        <f t="shared" si="1"/>
        <v>46.96099999999999</v>
      </c>
      <c r="J38" s="560"/>
      <c r="K38" s="562"/>
      <c r="L38" s="21">
        <f t="shared" si="2"/>
      </c>
      <c r="M38" s="22">
        <f t="shared" si="3"/>
      </c>
      <c r="N38" s="564"/>
      <c r="O38" s="565">
        <f t="shared" si="4"/>
      </c>
      <c r="P38" s="566">
        <f t="shared" si="5"/>
      </c>
      <c r="Q38" s="566">
        <f t="shared" si="6"/>
      </c>
      <c r="R38" s="567" t="str">
        <f t="shared" si="7"/>
        <v>--</v>
      </c>
      <c r="S38" s="568" t="str">
        <f t="shared" si="8"/>
        <v>--</v>
      </c>
      <c r="T38" s="569" t="str">
        <f t="shared" si="9"/>
        <v>--</v>
      </c>
      <c r="U38" s="570" t="str">
        <f t="shared" si="10"/>
        <v>--</v>
      </c>
      <c r="V38" s="571" t="str">
        <f t="shared" si="11"/>
        <v>--</v>
      </c>
      <c r="W38" s="572" t="str">
        <f t="shared" si="12"/>
        <v>--</v>
      </c>
      <c r="X38" s="573" t="str">
        <f t="shared" si="13"/>
        <v>--</v>
      </c>
      <c r="Y38" s="574" t="str">
        <f t="shared" si="14"/>
        <v>--</v>
      </c>
      <c r="Z38" s="575" t="str">
        <f t="shared" si="15"/>
        <v>--</v>
      </c>
      <c r="AA38" s="576" t="str">
        <f t="shared" si="16"/>
        <v>--</v>
      </c>
      <c r="AB38" s="577">
        <f t="shared" si="17"/>
      </c>
      <c r="AC38" s="23">
        <f t="shared" si="18"/>
      </c>
      <c r="AD38" s="409"/>
    </row>
    <row r="39" spans="2:30" s="15" customFormat="1" ht="16.5" customHeight="1">
      <c r="B39" s="108"/>
      <c r="C39" s="544"/>
      <c r="D39" s="544"/>
      <c r="E39" s="551"/>
      <c r="F39" s="552"/>
      <c r="G39" s="551"/>
      <c r="H39" s="365">
        <f t="shared" si="0"/>
        <v>20</v>
      </c>
      <c r="I39" s="469">
        <f t="shared" si="1"/>
        <v>46.96099999999999</v>
      </c>
      <c r="J39" s="560"/>
      <c r="K39" s="562"/>
      <c r="L39" s="21">
        <f t="shared" si="2"/>
      </c>
      <c r="M39" s="22">
        <f t="shared" si="3"/>
      </c>
      <c r="N39" s="564"/>
      <c r="O39" s="565">
        <f t="shared" si="4"/>
      </c>
      <c r="P39" s="566">
        <f t="shared" si="5"/>
      </c>
      <c r="Q39" s="566">
        <f t="shared" si="6"/>
      </c>
      <c r="R39" s="567" t="str">
        <f t="shared" si="7"/>
        <v>--</v>
      </c>
      <c r="S39" s="568" t="str">
        <f t="shared" si="8"/>
        <v>--</v>
      </c>
      <c r="T39" s="569" t="str">
        <f t="shared" si="9"/>
        <v>--</v>
      </c>
      <c r="U39" s="570" t="str">
        <f t="shared" si="10"/>
        <v>--</v>
      </c>
      <c r="V39" s="571" t="str">
        <f t="shared" si="11"/>
        <v>--</v>
      </c>
      <c r="W39" s="572" t="str">
        <f t="shared" si="12"/>
        <v>--</v>
      </c>
      <c r="X39" s="573" t="str">
        <f t="shared" si="13"/>
        <v>--</v>
      </c>
      <c r="Y39" s="574" t="str">
        <f t="shared" si="14"/>
        <v>--</v>
      </c>
      <c r="Z39" s="575" t="str">
        <f t="shared" si="15"/>
        <v>--</v>
      </c>
      <c r="AA39" s="576" t="str">
        <f t="shared" si="16"/>
        <v>--</v>
      </c>
      <c r="AB39" s="577">
        <f t="shared" si="17"/>
      </c>
      <c r="AC39" s="23">
        <f t="shared" si="18"/>
      </c>
      <c r="AD39" s="409"/>
    </row>
    <row r="40" spans="2:30" s="15" customFormat="1" ht="16.5" customHeight="1">
      <c r="B40" s="108"/>
      <c r="C40" s="544"/>
      <c r="D40" s="544"/>
      <c r="E40" s="551"/>
      <c r="F40" s="552"/>
      <c r="G40" s="551"/>
      <c r="H40" s="365">
        <f t="shared" si="0"/>
        <v>20</v>
      </c>
      <c r="I40" s="469">
        <f t="shared" si="1"/>
        <v>46.96099999999999</v>
      </c>
      <c r="J40" s="560"/>
      <c r="K40" s="562"/>
      <c r="L40" s="21">
        <f t="shared" si="2"/>
      </c>
      <c r="M40" s="22">
        <f t="shared" si="3"/>
      </c>
      <c r="N40" s="564"/>
      <c r="O40" s="565">
        <f t="shared" si="4"/>
      </c>
      <c r="P40" s="566">
        <f t="shared" si="5"/>
      </c>
      <c r="Q40" s="566">
        <f t="shared" si="6"/>
      </c>
      <c r="R40" s="567" t="str">
        <f t="shared" si="7"/>
        <v>--</v>
      </c>
      <c r="S40" s="568" t="str">
        <f t="shared" si="8"/>
        <v>--</v>
      </c>
      <c r="T40" s="569" t="str">
        <f t="shared" si="9"/>
        <v>--</v>
      </c>
      <c r="U40" s="570" t="str">
        <f t="shared" si="10"/>
        <v>--</v>
      </c>
      <c r="V40" s="571" t="str">
        <f t="shared" si="11"/>
        <v>--</v>
      </c>
      <c r="W40" s="572" t="str">
        <f t="shared" si="12"/>
        <v>--</v>
      </c>
      <c r="X40" s="573" t="str">
        <f t="shared" si="13"/>
        <v>--</v>
      </c>
      <c r="Y40" s="574" t="str">
        <f t="shared" si="14"/>
        <v>--</v>
      </c>
      <c r="Z40" s="575" t="str">
        <f t="shared" si="15"/>
        <v>--</v>
      </c>
      <c r="AA40" s="576" t="str">
        <f t="shared" si="16"/>
        <v>--</v>
      </c>
      <c r="AB40" s="577">
        <f t="shared" si="17"/>
      </c>
      <c r="AC40" s="23">
        <f t="shared" si="18"/>
      </c>
      <c r="AD40" s="409"/>
    </row>
    <row r="41" spans="2:30" s="15" customFormat="1" ht="16.5" customHeight="1" thickBot="1">
      <c r="B41" s="108"/>
      <c r="C41" s="553"/>
      <c r="D41" s="553"/>
      <c r="E41" s="554"/>
      <c r="F41" s="553"/>
      <c r="G41" s="555"/>
      <c r="H41" s="360"/>
      <c r="I41" s="470"/>
      <c r="J41" s="563"/>
      <c r="K41" s="563"/>
      <c r="L41" s="26"/>
      <c r="M41" s="26"/>
      <c r="N41" s="563"/>
      <c r="O41" s="578"/>
      <c r="P41" s="563"/>
      <c r="Q41" s="563"/>
      <c r="R41" s="579"/>
      <c r="S41" s="580"/>
      <c r="T41" s="581"/>
      <c r="U41" s="582"/>
      <c r="V41" s="583"/>
      <c r="W41" s="584"/>
      <c r="X41" s="585"/>
      <c r="Y41" s="586"/>
      <c r="Z41" s="587"/>
      <c r="AA41" s="588"/>
      <c r="AB41" s="589"/>
      <c r="AC41" s="27"/>
      <c r="AD41" s="409"/>
    </row>
    <row r="42" spans="2:30" s="15" customFormat="1" ht="16.5" customHeight="1" thickBot="1" thickTop="1">
      <c r="B42" s="108"/>
      <c r="C42" s="224" t="s">
        <v>74</v>
      </c>
      <c r="D42" s="225" t="s">
        <v>75</v>
      </c>
      <c r="E42" s="28"/>
      <c r="F42" s="1"/>
      <c r="G42" s="29"/>
      <c r="H42" s="1"/>
      <c r="I42" s="30"/>
      <c r="J42" s="30"/>
      <c r="K42" s="30"/>
      <c r="L42" s="30"/>
      <c r="M42" s="30"/>
      <c r="N42" s="30"/>
      <c r="O42" s="31"/>
      <c r="P42" s="30"/>
      <c r="Q42" s="30"/>
      <c r="R42" s="353">
        <f aca="true" t="shared" si="19" ref="R42:AA42">SUM(R20:R41)</f>
        <v>1077.1279958</v>
      </c>
      <c r="S42" s="354">
        <f t="shared" si="19"/>
        <v>0</v>
      </c>
      <c r="T42" s="355">
        <f t="shared" si="19"/>
        <v>0</v>
      </c>
      <c r="U42" s="355">
        <f t="shared" si="19"/>
        <v>0</v>
      </c>
      <c r="V42" s="355">
        <f t="shared" si="19"/>
        <v>0</v>
      </c>
      <c r="W42" s="356">
        <f t="shared" si="19"/>
        <v>0</v>
      </c>
      <c r="X42" s="356">
        <f t="shared" si="19"/>
        <v>0</v>
      </c>
      <c r="Y42" s="356">
        <f t="shared" si="19"/>
        <v>0</v>
      </c>
      <c r="Z42" s="357">
        <f t="shared" si="19"/>
        <v>0</v>
      </c>
      <c r="AA42" s="358">
        <f t="shared" si="19"/>
        <v>0</v>
      </c>
      <c r="AB42" s="32"/>
      <c r="AC42" s="534">
        <f>ROUND(SUM(AC20:AC41),2)</f>
        <v>1077.13</v>
      </c>
      <c r="AD42" s="409"/>
    </row>
    <row r="43" spans="2:30" s="228" customFormat="1" ht="9.75" thickTop="1">
      <c r="B43" s="229"/>
      <c r="C43" s="226"/>
      <c r="D43" s="227" t="s">
        <v>76</v>
      </c>
      <c r="E43" s="230"/>
      <c r="F43" s="231"/>
      <c r="G43" s="232"/>
      <c r="H43" s="231"/>
      <c r="I43" s="233"/>
      <c r="J43" s="233"/>
      <c r="K43" s="233"/>
      <c r="L43" s="233"/>
      <c r="M43" s="233"/>
      <c r="N43" s="233"/>
      <c r="O43" s="234"/>
      <c r="P43" s="233"/>
      <c r="Q43" s="233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  <c r="AD43" s="237"/>
    </row>
    <row r="44" spans="2:30" s="15" customFormat="1" ht="16.5" customHeight="1" thickBo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9"/>
    </row>
    <row r="45" spans="2:30" ht="16.5" customHeight="1" thickTop="1">
      <c r="B45" s="11"/>
      <c r="AD45" s="1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AD45"/>
  <sheetViews>
    <sheetView zoomScale="75" zoomScaleNormal="75" workbookViewId="0" topLeftCell="F26">
      <selection activeCell="D47" sqref="D47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 outlineLevel="1"/>
    <col min="9" max="9" width="10.8515625" style="0" hidden="1" customWidth="1" outlineLevel="1"/>
    <col min="10" max="10" width="15.7109375" style="0" customWidth="1" collapsed="1"/>
    <col min="11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 outlineLevel="1"/>
    <col min="19" max="19" width="15.57421875" style="0" hidden="1" customWidth="1" outlineLevel="1"/>
    <col min="20" max="20" width="14.140625" style="0" hidden="1" customWidth="1" outlineLevel="1"/>
    <col min="21" max="21" width="13.57421875" style="0" hidden="1" customWidth="1" outlineLevel="1"/>
    <col min="22" max="22" width="13.00390625" style="0" hidden="1" customWidth="1" outlineLevel="1"/>
    <col min="23" max="23" width="13.57421875" style="0" hidden="1" customWidth="1" outlineLevel="1"/>
    <col min="24" max="24" width="13.140625" style="0" hidden="1" customWidth="1" outlineLevel="1"/>
    <col min="25" max="27" width="14.140625" style="0" hidden="1" customWidth="1" outlineLevel="1"/>
    <col min="28" max="28" width="9.7109375" style="0" customWidth="1" collapsed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6" customFormat="1" ht="26.25">
      <c r="A1" s="126"/>
      <c r="AD1" s="531"/>
    </row>
    <row r="2" spans="1:30" s="76" customFormat="1" ht="26.25">
      <c r="A2" s="126"/>
      <c r="B2" s="77" t="str">
        <f>'tot-0202'!B2</f>
        <v>ANEXO I a la Resolución ENRE N° 090/2003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="15" customFormat="1" ht="12.75">
      <c r="A3" s="48"/>
    </row>
    <row r="4" spans="1:2" s="83" customFormat="1" ht="11.25">
      <c r="A4" s="81" t="s">
        <v>31</v>
      </c>
      <c r="B4" s="157"/>
    </row>
    <row r="5" spans="1:2" s="83" customFormat="1" ht="11.25">
      <c r="A5" s="81" t="s">
        <v>32</v>
      </c>
      <c r="B5" s="157"/>
    </row>
    <row r="6" s="15" customFormat="1" ht="13.5" thickBot="1"/>
    <row r="7" spans="2:30" s="15" customFormat="1" ht="13.5" thickTop="1">
      <c r="B7" s="127"/>
      <c r="C7" s="128"/>
      <c r="D7" s="128"/>
      <c r="E7" s="129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30"/>
    </row>
    <row r="8" spans="2:30" s="9" customFormat="1" ht="20.25">
      <c r="B8" s="141"/>
      <c r="C8" s="10"/>
      <c r="D8" s="6" t="s">
        <v>47</v>
      </c>
      <c r="E8" s="10"/>
      <c r="F8" s="10"/>
      <c r="G8" s="10"/>
      <c r="H8" s="10"/>
      <c r="N8" s="10"/>
      <c r="O8" s="10"/>
      <c r="P8" s="142"/>
      <c r="Q8" s="14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43"/>
    </row>
    <row r="9" spans="2:30" s="15" customFormat="1" ht="12.75">
      <c r="B9" s="10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1"/>
    </row>
    <row r="10" spans="2:30" s="9" customFormat="1" ht="20.25">
      <c r="B10" s="141"/>
      <c r="C10" s="10"/>
      <c r="D10" s="142" t="s">
        <v>48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3"/>
    </row>
    <row r="11" spans="2:30" s="15" customFormat="1" ht="12.75">
      <c r="B11" s="10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1"/>
    </row>
    <row r="12" spans="2:30" s="9" customFormat="1" ht="20.25">
      <c r="B12" s="141"/>
      <c r="C12" s="10"/>
      <c r="D12" s="699" t="s">
        <v>187</v>
      </c>
      <c r="E12" s="10"/>
      <c r="F12" s="10"/>
      <c r="G12" s="10"/>
      <c r="I12" s="10"/>
      <c r="J12" s="10"/>
      <c r="K12" s="10"/>
      <c r="L12" s="10"/>
      <c r="M12" s="10"/>
      <c r="N12" s="10"/>
      <c r="O12" s="10"/>
      <c r="P12" s="142"/>
      <c r="Q12" s="14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3"/>
    </row>
    <row r="13" spans="2:30" s="15" customFormat="1" ht="12.75">
      <c r="B13" s="108"/>
      <c r="C13" s="13"/>
      <c r="D13" s="13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1"/>
    </row>
    <row r="14" spans="2:30" s="14" customFormat="1" ht="19.5">
      <c r="B14" s="96" t="str">
        <f>'tot-0202'!B14</f>
        <v>Desde el 01 al 28 de febrero de 2002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45"/>
      <c r="O14" s="145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46"/>
    </row>
    <row r="15" spans="2:30" s="15" customFormat="1" ht="16.5" customHeight="1" thickBot="1">
      <c r="B15" s="108"/>
      <c r="C15" s="13"/>
      <c r="D15" s="13"/>
      <c r="E15" s="2"/>
      <c r="F15" s="2"/>
      <c r="G15" s="13"/>
      <c r="H15" s="13"/>
      <c r="I15" s="13"/>
      <c r="J15" s="140"/>
      <c r="K15" s="13"/>
      <c r="L15" s="13"/>
      <c r="M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1"/>
    </row>
    <row r="16" spans="2:30" s="15" customFormat="1" ht="16.5" customHeight="1" thickBot="1" thickTop="1">
      <c r="B16" s="108"/>
      <c r="C16" s="13"/>
      <c r="D16" s="147" t="s">
        <v>50</v>
      </c>
      <c r="E16" s="472">
        <v>56.353</v>
      </c>
      <c r="F16" s="22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1"/>
    </row>
    <row r="17" spans="2:30" s="15" customFormat="1" ht="16.5" customHeight="1" thickBot="1" thickTop="1">
      <c r="B17" s="108"/>
      <c r="C17" s="13"/>
      <c r="D17" s="147" t="s">
        <v>51</v>
      </c>
      <c r="E17" s="472">
        <v>46.961</v>
      </c>
      <c r="F17" s="223"/>
      <c r="G17" s="13"/>
      <c r="H17" s="13"/>
      <c r="I17" s="13"/>
      <c r="J17" s="532"/>
      <c r="K17" s="53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3"/>
      <c r="W17" s="133"/>
      <c r="X17" s="133"/>
      <c r="Y17" s="133"/>
      <c r="Z17" s="133"/>
      <c r="AA17" s="133"/>
      <c r="AB17" s="133"/>
      <c r="AD17" s="131"/>
    </row>
    <row r="18" spans="2:30" s="15" customFormat="1" ht="16.5" customHeight="1" thickBot="1" thickTop="1">
      <c r="B18" s="108"/>
      <c r="C18" s="13"/>
      <c r="D18" s="13"/>
      <c r="E18" s="1"/>
      <c r="F18" s="13"/>
      <c r="G18" s="13"/>
      <c r="H18" s="13"/>
      <c r="I18" s="13"/>
      <c r="J18" s="13"/>
      <c r="K18" s="13"/>
      <c r="L18" s="13"/>
      <c r="M18" s="13"/>
      <c r="N18" s="1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1"/>
    </row>
    <row r="19" spans="2:30" s="15" customFormat="1" ht="33.75" customHeight="1" thickBot="1" thickTop="1">
      <c r="B19" s="108"/>
      <c r="C19" s="148" t="s">
        <v>52</v>
      </c>
      <c r="D19" s="150" t="s">
        <v>34</v>
      </c>
      <c r="E19" s="363" t="s">
        <v>53</v>
      </c>
      <c r="F19" s="154" t="s">
        <v>54</v>
      </c>
      <c r="G19" s="149" t="s">
        <v>55</v>
      </c>
      <c r="H19" s="364" t="s">
        <v>56</v>
      </c>
      <c r="I19" s="361" t="s">
        <v>57</v>
      </c>
      <c r="J19" s="150" t="s">
        <v>58</v>
      </c>
      <c r="K19" s="151" t="s">
        <v>59</v>
      </c>
      <c r="L19" s="153" t="s">
        <v>60</v>
      </c>
      <c r="M19" s="154" t="s">
        <v>61</v>
      </c>
      <c r="N19" s="153" t="s">
        <v>62</v>
      </c>
      <c r="O19" s="154" t="s">
        <v>63</v>
      </c>
      <c r="P19" s="151" t="s">
        <v>64</v>
      </c>
      <c r="Q19" s="150" t="s">
        <v>65</v>
      </c>
      <c r="R19" s="326" t="s">
        <v>66</v>
      </c>
      <c r="S19" s="329" t="s">
        <v>67</v>
      </c>
      <c r="T19" s="281" t="s">
        <v>68</v>
      </c>
      <c r="U19" s="282"/>
      <c r="V19" s="283"/>
      <c r="W19" s="333" t="s">
        <v>69</v>
      </c>
      <c r="X19" s="334"/>
      <c r="Y19" s="335"/>
      <c r="Z19" s="349" t="s">
        <v>70</v>
      </c>
      <c r="AA19" s="350" t="s">
        <v>71</v>
      </c>
      <c r="AB19" s="155" t="s">
        <v>72</v>
      </c>
      <c r="AC19" s="155" t="s">
        <v>73</v>
      </c>
      <c r="AD19" s="135"/>
    </row>
    <row r="20" spans="2:30" s="15" customFormat="1" ht="16.5" customHeight="1" hidden="1" thickTop="1">
      <c r="B20" s="108"/>
      <c r="C20" s="346"/>
      <c r="D20" s="368"/>
      <c r="E20" s="368"/>
      <c r="F20" s="346"/>
      <c r="G20" s="346"/>
      <c r="H20" s="366"/>
      <c r="I20" s="367"/>
      <c r="J20" s="346"/>
      <c r="K20" s="346"/>
      <c r="L20" s="346"/>
      <c r="M20" s="346"/>
      <c r="N20" s="346"/>
      <c r="O20" s="346"/>
      <c r="P20" s="346"/>
      <c r="Q20" s="346"/>
      <c r="R20" s="327"/>
      <c r="S20" s="330"/>
      <c r="T20" s="338"/>
      <c r="U20" s="339"/>
      <c r="V20" s="340"/>
      <c r="W20" s="341"/>
      <c r="X20" s="342"/>
      <c r="Y20" s="343"/>
      <c r="Z20" s="347"/>
      <c r="AA20" s="351"/>
      <c r="AB20" s="346"/>
      <c r="AC20" s="415"/>
      <c r="AD20" s="131"/>
    </row>
    <row r="21" spans="2:30" s="15" customFormat="1" ht="16.5" customHeight="1" thickTop="1">
      <c r="B21" s="108"/>
      <c r="C21" s="16"/>
      <c r="D21" s="19"/>
      <c r="E21" s="19"/>
      <c r="F21" s="16"/>
      <c r="G21" s="16"/>
      <c r="H21" s="359"/>
      <c r="I21" s="362"/>
      <c r="J21" s="17"/>
      <c r="K21" s="700"/>
      <c r="L21" s="16"/>
      <c r="M21" s="16"/>
      <c r="N21" s="17"/>
      <c r="O21" s="16"/>
      <c r="P21" s="16"/>
      <c r="Q21" s="16"/>
      <c r="R21" s="325"/>
      <c r="S21" s="328"/>
      <c r="T21" s="701"/>
      <c r="U21" s="702"/>
      <c r="V21" s="703"/>
      <c r="W21" s="704"/>
      <c r="X21" s="705"/>
      <c r="Y21" s="706"/>
      <c r="Z21" s="707"/>
      <c r="AA21" s="708"/>
      <c r="AB21" s="16"/>
      <c r="AC21" s="709"/>
      <c r="AD21" s="131"/>
    </row>
    <row r="22" spans="2:30" s="15" customFormat="1" ht="16.5" customHeight="1">
      <c r="B22" s="710" t="s">
        <v>188</v>
      </c>
      <c r="C22" s="544">
        <v>1</v>
      </c>
      <c r="D22" s="545" t="s">
        <v>142</v>
      </c>
      <c r="E22" s="546">
        <v>500</v>
      </c>
      <c r="F22" s="547">
        <v>348</v>
      </c>
      <c r="G22" s="546" t="s">
        <v>4</v>
      </c>
      <c r="H22" s="365">
        <f aca="true" t="shared" si="0" ref="H22:H39">IF(G22="A",200,IF(G22="B",60,20))</f>
        <v>200</v>
      </c>
      <c r="I22" s="469">
        <f aca="true" t="shared" si="1" ref="I22:I39">IF(E22=500,IF(F22&lt;100,100*$E$16/100,F22*$E$16/100),IF(F22&lt;100,100*$E$17/100,F22*$E$17/100))</f>
        <v>196.10844</v>
      </c>
      <c r="J22" s="556">
        <v>37290.88611111111</v>
      </c>
      <c r="K22" s="557">
        <v>37290.89236111111</v>
      </c>
      <c r="L22" s="21">
        <f aca="true" t="shared" si="2" ref="L22:L39">IF(D22="","",(K22-J22)*24)</f>
        <v>0.1499999999650754</v>
      </c>
      <c r="M22" s="22">
        <f aca="true" t="shared" si="3" ref="M22:M39">IF(D22="","",ROUND((K22-J22)*24*60,0))</f>
        <v>9</v>
      </c>
      <c r="N22" s="690" t="s">
        <v>146</v>
      </c>
      <c r="O22" s="714" t="str">
        <f aca="true" t="shared" si="4" ref="O22:O39">IF(D22="","","--")</f>
        <v>--</v>
      </c>
      <c r="P22" s="715" t="str">
        <f aca="true" t="shared" si="5" ref="P22:P39">IF(D22="","","NO")</f>
        <v>NO</v>
      </c>
      <c r="Q22" s="715" t="str">
        <f aca="true" t="shared" si="6" ref="Q22:Q39">IF(D22="","",IF(OR(N22="P",N22="RP"),"--","NO"))</f>
        <v>NO</v>
      </c>
      <c r="R22" s="716" t="str">
        <f aca="true" t="shared" si="7" ref="R22:R39">IF(N22="P",I22*H22*ROUND(M22/60,2)*0.01,"--")</f>
        <v>--</v>
      </c>
      <c r="S22" s="717" t="str">
        <f aca="true" t="shared" si="8" ref="S22:S39">IF(N22="RP",I22*H22*ROUND(M22/60,2)*0.01*O22/100,"--")</f>
        <v>--</v>
      </c>
      <c r="T22" s="718">
        <f aca="true" t="shared" si="9" ref="T22:T39">IF(AND(N22="F",Q22="NO"),I22*H22*IF(P22="SI",1.2,1),"--")</f>
        <v>39221.688</v>
      </c>
      <c r="U22" s="719" t="str">
        <f aca="true" t="shared" si="10" ref="U22:U39">IF(AND(N22="F",M22&gt;=10),I22*H22*IF(P22="SI",1.2,1)*IF(M22&lt;=300,ROUND(M22/60,2),5),"--")</f>
        <v>--</v>
      </c>
      <c r="V22" s="720" t="str">
        <f aca="true" t="shared" si="11" ref="V22:V39">IF(AND(N22="F",M22&gt;300),(ROUND(M22/60,2)-5)*I22*H22*0.1*IF(P22="SI",1.2,1),"--")</f>
        <v>--</v>
      </c>
      <c r="W22" s="721" t="str">
        <f aca="true" t="shared" si="12" ref="W22:W39">IF(AND(N22="R",Q22="NO"),I22*H22*O22/100*IF(P22="SI",1.2,1),"--")</f>
        <v>--</v>
      </c>
      <c r="X22" s="722" t="str">
        <f aca="true" t="shared" si="13" ref="X22:X39">IF(AND(N22="R",M22&gt;=10),I22*H22*O22/100*IF(P22="SI",1.2,1)*IF(M22&lt;=300,ROUND(M22/60,2),5),"--")</f>
        <v>--</v>
      </c>
      <c r="Y22" s="723" t="str">
        <f aca="true" t="shared" si="14" ref="Y22:Y39">IF(AND(N22="R",M22&gt;300),(ROUND(M22/60,2)-5)*I22*H22*0.1*O22/100*IF(P22="SI",1.2,1),"--")</f>
        <v>--</v>
      </c>
      <c r="Z22" s="724" t="str">
        <f aca="true" t="shared" si="15" ref="Z22:Z39">IF(N22="RF",ROUND(M22/60,2)*I22*H22*0.1*IF(P22="SI",1.2,1),"--")</f>
        <v>--</v>
      </c>
      <c r="AA22" s="725" t="str">
        <f aca="true" t="shared" si="16" ref="AA22:AA39">IF(N22="RR",ROUND(M22/60,2)*I22*H22*0.1*O22/100*IF(P22="SI",1.2,1),"--")</f>
        <v>--</v>
      </c>
      <c r="AB22" s="726" t="str">
        <f aca="true" t="shared" si="17" ref="AB22:AB39">IF(D22="","","SI")</f>
        <v>SI</v>
      </c>
      <c r="AC22" s="23">
        <f aca="true" t="shared" si="18" ref="AC22:AC39">IF(D22="","",SUM(R22:AA22)*IF(AB22="SI",1,2))</f>
        <v>39221.688</v>
      </c>
      <c r="AD22" s="409"/>
    </row>
    <row r="23" spans="2:30" s="15" customFormat="1" ht="16.5" customHeight="1">
      <c r="B23" s="710"/>
      <c r="C23" s="19"/>
      <c r="D23" s="19"/>
      <c r="E23" s="711"/>
      <c r="F23" s="712"/>
      <c r="G23" s="711"/>
      <c r="H23" s="365">
        <f t="shared" si="0"/>
        <v>20</v>
      </c>
      <c r="I23" s="469">
        <f t="shared" si="1"/>
        <v>46.96099999999999</v>
      </c>
      <c r="J23" s="18"/>
      <c r="K23" s="713"/>
      <c r="L23" s="21">
        <f t="shared" si="2"/>
      </c>
      <c r="M23" s="22">
        <f t="shared" si="3"/>
      </c>
      <c r="N23" s="690"/>
      <c r="O23" s="714">
        <f t="shared" si="4"/>
      </c>
      <c r="P23" s="715">
        <f t="shared" si="5"/>
      </c>
      <c r="Q23" s="715">
        <f t="shared" si="6"/>
      </c>
      <c r="R23" s="716" t="str">
        <f t="shared" si="7"/>
        <v>--</v>
      </c>
      <c r="S23" s="717" t="str">
        <f t="shared" si="8"/>
        <v>--</v>
      </c>
      <c r="T23" s="718" t="str">
        <f t="shared" si="9"/>
        <v>--</v>
      </c>
      <c r="U23" s="719" t="str">
        <f t="shared" si="10"/>
        <v>--</v>
      </c>
      <c r="V23" s="720" t="str">
        <f t="shared" si="11"/>
        <v>--</v>
      </c>
      <c r="W23" s="721" t="str">
        <f t="shared" si="12"/>
        <v>--</v>
      </c>
      <c r="X23" s="722" t="str">
        <f t="shared" si="13"/>
        <v>--</v>
      </c>
      <c r="Y23" s="723" t="str">
        <f t="shared" si="14"/>
        <v>--</v>
      </c>
      <c r="Z23" s="724" t="str">
        <f t="shared" si="15"/>
        <v>--</v>
      </c>
      <c r="AA23" s="725" t="str">
        <f t="shared" si="16"/>
        <v>--</v>
      </c>
      <c r="AB23" s="726">
        <f t="shared" si="17"/>
      </c>
      <c r="AC23" s="23">
        <f t="shared" si="18"/>
      </c>
      <c r="AD23" s="409"/>
    </row>
    <row r="24" spans="2:30" s="15" customFormat="1" ht="16.5" customHeight="1">
      <c r="B24" s="710"/>
      <c r="C24" s="19"/>
      <c r="D24" s="19"/>
      <c r="E24" s="711"/>
      <c r="F24" s="712"/>
      <c r="G24" s="711"/>
      <c r="H24" s="365">
        <f t="shared" si="0"/>
        <v>20</v>
      </c>
      <c r="I24" s="469">
        <f t="shared" si="1"/>
        <v>46.96099999999999</v>
      </c>
      <c r="J24" s="18"/>
      <c r="K24" s="713"/>
      <c r="L24" s="21">
        <f t="shared" si="2"/>
      </c>
      <c r="M24" s="22">
        <f t="shared" si="3"/>
      </c>
      <c r="N24" s="690"/>
      <c r="O24" s="714">
        <f t="shared" si="4"/>
      </c>
      <c r="P24" s="715">
        <f t="shared" si="5"/>
      </c>
      <c r="Q24" s="715">
        <f t="shared" si="6"/>
      </c>
      <c r="R24" s="716" t="str">
        <f t="shared" si="7"/>
        <v>--</v>
      </c>
      <c r="S24" s="717" t="str">
        <f t="shared" si="8"/>
        <v>--</v>
      </c>
      <c r="T24" s="718" t="str">
        <f t="shared" si="9"/>
        <v>--</v>
      </c>
      <c r="U24" s="719" t="str">
        <f t="shared" si="10"/>
        <v>--</v>
      </c>
      <c r="V24" s="720" t="str">
        <f t="shared" si="11"/>
        <v>--</v>
      </c>
      <c r="W24" s="721" t="str">
        <f t="shared" si="12"/>
        <v>--</v>
      </c>
      <c r="X24" s="722" t="str">
        <f t="shared" si="13"/>
        <v>--</v>
      </c>
      <c r="Y24" s="723" t="str">
        <f t="shared" si="14"/>
        <v>--</v>
      </c>
      <c r="Z24" s="724" t="str">
        <f t="shared" si="15"/>
        <v>--</v>
      </c>
      <c r="AA24" s="725" t="str">
        <f t="shared" si="16"/>
        <v>--</v>
      </c>
      <c r="AB24" s="726">
        <f t="shared" si="17"/>
      </c>
      <c r="AC24" s="23">
        <f t="shared" si="18"/>
      </c>
      <c r="AD24" s="409"/>
    </row>
    <row r="25" spans="2:30" s="15" customFormat="1" ht="16.5" customHeight="1">
      <c r="B25" s="710"/>
      <c r="C25" s="19"/>
      <c r="D25" s="19"/>
      <c r="E25" s="711"/>
      <c r="F25" s="712"/>
      <c r="G25" s="711"/>
      <c r="H25" s="365">
        <f t="shared" si="0"/>
        <v>20</v>
      </c>
      <c r="I25" s="469">
        <f t="shared" si="1"/>
        <v>46.96099999999999</v>
      </c>
      <c r="J25" s="18"/>
      <c r="K25" s="713"/>
      <c r="L25" s="21">
        <f t="shared" si="2"/>
      </c>
      <c r="M25" s="22">
        <f t="shared" si="3"/>
      </c>
      <c r="N25" s="690"/>
      <c r="O25" s="714">
        <f t="shared" si="4"/>
      </c>
      <c r="P25" s="715">
        <f t="shared" si="5"/>
      </c>
      <c r="Q25" s="715">
        <f t="shared" si="6"/>
      </c>
      <c r="R25" s="716" t="str">
        <f t="shared" si="7"/>
        <v>--</v>
      </c>
      <c r="S25" s="717" t="str">
        <f t="shared" si="8"/>
        <v>--</v>
      </c>
      <c r="T25" s="718" t="str">
        <f t="shared" si="9"/>
        <v>--</v>
      </c>
      <c r="U25" s="719" t="str">
        <f t="shared" si="10"/>
        <v>--</v>
      </c>
      <c r="V25" s="720" t="str">
        <f t="shared" si="11"/>
        <v>--</v>
      </c>
      <c r="W25" s="721" t="str">
        <f t="shared" si="12"/>
        <v>--</v>
      </c>
      <c r="X25" s="722" t="str">
        <f t="shared" si="13"/>
        <v>--</v>
      </c>
      <c r="Y25" s="723" t="str">
        <f t="shared" si="14"/>
        <v>--</v>
      </c>
      <c r="Z25" s="724" t="str">
        <f t="shared" si="15"/>
        <v>--</v>
      </c>
      <c r="AA25" s="725" t="str">
        <f t="shared" si="16"/>
        <v>--</v>
      </c>
      <c r="AB25" s="726">
        <f t="shared" si="17"/>
      </c>
      <c r="AC25" s="23">
        <f t="shared" si="18"/>
      </c>
      <c r="AD25" s="409"/>
    </row>
    <row r="26" spans="2:30" s="15" customFormat="1" ht="16.5" customHeight="1">
      <c r="B26" s="108"/>
      <c r="C26" s="19"/>
      <c r="D26" s="19"/>
      <c r="E26" s="711"/>
      <c r="F26" s="712"/>
      <c r="G26" s="711"/>
      <c r="H26" s="365">
        <f t="shared" si="0"/>
        <v>20</v>
      </c>
      <c r="I26" s="469">
        <f t="shared" si="1"/>
        <v>46.96099999999999</v>
      </c>
      <c r="J26" s="18"/>
      <c r="K26" s="713"/>
      <c r="L26" s="21">
        <f t="shared" si="2"/>
      </c>
      <c r="M26" s="22">
        <f t="shared" si="3"/>
      </c>
      <c r="N26" s="690"/>
      <c r="O26" s="714">
        <f t="shared" si="4"/>
      </c>
      <c r="P26" s="715">
        <f t="shared" si="5"/>
      </c>
      <c r="Q26" s="715">
        <f t="shared" si="6"/>
      </c>
      <c r="R26" s="716" t="str">
        <f t="shared" si="7"/>
        <v>--</v>
      </c>
      <c r="S26" s="717" t="str">
        <f t="shared" si="8"/>
        <v>--</v>
      </c>
      <c r="T26" s="718" t="str">
        <f t="shared" si="9"/>
        <v>--</v>
      </c>
      <c r="U26" s="719" t="str">
        <f t="shared" si="10"/>
        <v>--</v>
      </c>
      <c r="V26" s="720" t="str">
        <f t="shared" si="11"/>
        <v>--</v>
      </c>
      <c r="W26" s="721" t="str">
        <f t="shared" si="12"/>
        <v>--</v>
      </c>
      <c r="X26" s="722" t="str">
        <f t="shared" si="13"/>
        <v>--</v>
      </c>
      <c r="Y26" s="723" t="str">
        <f t="shared" si="14"/>
        <v>--</v>
      </c>
      <c r="Z26" s="724" t="str">
        <f t="shared" si="15"/>
        <v>--</v>
      </c>
      <c r="AA26" s="725" t="str">
        <f t="shared" si="16"/>
        <v>--</v>
      </c>
      <c r="AB26" s="726">
        <f t="shared" si="17"/>
      </c>
      <c r="AC26" s="23">
        <f t="shared" si="18"/>
      </c>
      <c r="AD26" s="409"/>
    </row>
    <row r="27" spans="2:30" s="15" customFormat="1" ht="16.5" customHeight="1">
      <c r="B27" s="108"/>
      <c r="C27" s="19"/>
      <c r="D27" s="19"/>
      <c r="E27" s="711"/>
      <c r="F27" s="712"/>
      <c r="G27" s="711"/>
      <c r="H27" s="365">
        <f t="shared" si="0"/>
        <v>20</v>
      </c>
      <c r="I27" s="469">
        <f t="shared" si="1"/>
        <v>46.96099999999999</v>
      </c>
      <c r="J27" s="18"/>
      <c r="K27" s="713"/>
      <c r="L27" s="21">
        <f t="shared" si="2"/>
      </c>
      <c r="M27" s="22">
        <f t="shared" si="3"/>
      </c>
      <c r="N27" s="690"/>
      <c r="O27" s="714">
        <f t="shared" si="4"/>
      </c>
      <c r="P27" s="715">
        <f t="shared" si="5"/>
      </c>
      <c r="Q27" s="715">
        <f t="shared" si="6"/>
      </c>
      <c r="R27" s="716" t="str">
        <f t="shared" si="7"/>
        <v>--</v>
      </c>
      <c r="S27" s="717" t="str">
        <f t="shared" si="8"/>
        <v>--</v>
      </c>
      <c r="T27" s="718" t="str">
        <f t="shared" si="9"/>
        <v>--</v>
      </c>
      <c r="U27" s="719" t="str">
        <f t="shared" si="10"/>
        <v>--</v>
      </c>
      <c r="V27" s="720" t="str">
        <f t="shared" si="11"/>
        <v>--</v>
      </c>
      <c r="W27" s="721" t="str">
        <f t="shared" si="12"/>
        <v>--</v>
      </c>
      <c r="X27" s="722" t="str">
        <f t="shared" si="13"/>
        <v>--</v>
      </c>
      <c r="Y27" s="723" t="str">
        <f t="shared" si="14"/>
        <v>--</v>
      </c>
      <c r="Z27" s="724" t="str">
        <f t="shared" si="15"/>
        <v>--</v>
      </c>
      <c r="AA27" s="725" t="str">
        <f t="shared" si="16"/>
        <v>--</v>
      </c>
      <c r="AB27" s="726">
        <f t="shared" si="17"/>
      </c>
      <c r="AC27" s="23">
        <f t="shared" si="18"/>
      </c>
      <c r="AD27" s="409"/>
    </row>
    <row r="28" spans="2:30" s="15" customFormat="1" ht="16.5" customHeight="1">
      <c r="B28" s="108"/>
      <c r="C28" s="19"/>
      <c r="D28" s="19"/>
      <c r="E28" s="711"/>
      <c r="F28" s="712"/>
      <c r="G28" s="711"/>
      <c r="H28" s="365">
        <f t="shared" si="0"/>
        <v>20</v>
      </c>
      <c r="I28" s="469">
        <f t="shared" si="1"/>
        <v>46.96099999999999</v>
      </c>
      <c r="J28" s="18"/>
      <c r="K28" s="713"/>
      <c r="L28" s="21">
        <f t="shared" si="2"/>
      </c>
      <c r="M28" s="22">
        <f t="shared" si="3"/>
      </c>
      <c r="N28" s="690"/>
      <c r="O28" s="714">
        <f t="shared" si="4"/>
      </c>
      <c r="P28" s="715">
        <f t="shared" si="5"/>
      </c>
      <c r="Q28" s="715">
        <f t="shared" si="6"/>
      </c>
      <c r="R28" s="716" t="str">
        <f t="shared" si="7"/>
        <v>--</v>
      </c>
      <c r="S28" s="717" t="str">
        <f t="shared" si="8"/>
        <v>--</v>
      </c>
      <c r="T28" s="718" t="str">
        <f t="shared" si="9"/>
        <v>--</v>
      </c>
      <c r="U28" s="719" t="str">
        <f t="shared" si="10"/>
        <v>--</v>
      </c>
      <c r="V28" s="720" t="str">
        <f t="shared" si="11"/>
        <v>--</v>
      </c>
      <c r="W28" s="721" t="str">
        <f t="shared" si="12"/>
        <v>--</v>
      </c>
      <c r="X28" s="722" t="str">
        <f t="shared" si="13"/>
        <v>--</v>
      </c>
      <c r="Y28" s="723" t="str">
        <f t="shared" si="14"/>
        <v>--</v>
      </c>
      <c r="Z28" s="724" t="str">
        <f t="shared" si="15"/>
        <v>--</v>
      </c>
      <c r="AA28" s="725" t="str">
        <f t="shared" si="16"/>
        <v>--</v>
      </c>
      <c r="AB28" s="726">
        <f t="shared" si="17"/>
      </c>
      <c r="AC28" s="23">
        <f t="shared" si="18"/>
      </c>
      <c r="AD28" s="409"/>
    </row>
    <row r="29" spans="2:30" s="15" customFormat="1" ht="16.5" customHeight="1">
      <c r="B29" s="108"/>
      <c r="C29" s="19"/>
      <c r="D29" s="19"/>
      <c r="E29" s="711"/>
      <c r="F29" s="712"/>
      <c r="G29" s="711"/>
      <c r="H29" s="365">
        <f t="shared" si="0"/>
        <v>20</v>
      </c>
      <c r="I29" s="469">
        <f t="shared" si="1"/>
        <v>46.96099999999999</v>
      </c>
      <c r="J29" s="18"/>
      <c r="K29" s="713"/>
      <c r="L29" s="21">
        <f t="shared" si="2"/>
      </c>
      <c r="M29" s="22">
        <f t="shared" si="3"/>
      </c>
      <c r="N29" s="690"/>
      <c r="O29" s="714">
        <f t="shared" si="4"/>
      </c>
      <c r="P29" s="715">
        <f t="shared" si="5"/>
      </c>
      <c r="Q29" s="715">
        <f t="shared" si="6"/>
      </c>
      <c r="R29" s="716" t="str">
        <f t="shared" si="7"/>
        <v>--</v>
      </c>
      <c r="S29" s="717" t="str">
        <f t="shared" si="8"/>
        <v>--</v>
      </c>
      <c r="T29" s="718" t="str">
        <f t="shared" si="9"/>
        <v>--</v>
      </c>
      <c r="U29" s="719" t="str">
        <f t="shared" si="10"/>
        <v>--</v>
      </c>
      <c r="V29" s="720" t="str">
        <f t="shared" si="11"/>
        <v>--</v>
      </c>
      <c r="W29" s="721" t="str">
        <f t="shared" si="12"/>
        <v>--</v>
      </c>
      <c r="X29" s="722" t="str">
        <f t="shared" si="13"/>
        <v>--</v>
      </c>
      <c r="Y29" s="723" t="str">
        <f t="shared" si="14"/>
        <v>--</v>
      </c>
      <c r="Z29" s="724" t="str">
        <f t="shared" si="15"/>
        <v>--</v>
      </c>
      <c r="AA29" s="725" t="str">
        <f t="shared" si="16"/>
        <v>--</v>
      </c>
      <c r="AB29" s="726">
        <f t="shared" si="17"/>
      </c>
      <c r="AC29" s="23">
        <f t="shared" si="18"/>
      </c>
      <c r="AD29" s="409"/>
    </row>
    <row r="30" spans="2:30" s="15" customFormat="1" ht="16.5" customHeight="1">
      <c r="B30" s="108"/>
      <c r="C30" s="19"/>
      <c r="D30" s="19"/>
      <c r="E30" s="711"/>
      <c r="F30" s="712"/>
      <c r="G30" s="711"/>
      <c r="H30" s="365">
        <f t="shared" si="0"/>
        <v>20</v>
      </c>
      <c r="I30" s="469">
        <f t="shared" si="1"/>
        <v>46.96099999999999</v>
      </c>
      <c r="J30" s="18"/>
      <c r="K30" s="713"/>
      <c r="L30" s="21">
        <f t="shared" si="2"/>
      </c>
      <c r="M30" s="22">
        <f t="shared" si="3"/>
      </c>
      <c r="N30" s="690"/>
      <c r="O30" s="714">
        <f t="shared" si="4"/>
      </c>
      <c r="P30" s="715">
        <f t="shared" si="5"/>
      </c>
      <c r="Q30" s="715">
        <f t="shared" si="6"/>
      </c>
      <c r="R30" s="716" t="str">
        <f t="shared" si="7"/>
        <v>--</v>
      </c>
      <c r="S30" s="717" t="str">
        <f t="shared" si="8"/>
        <v>--</v>
      </c>
      <c r="T30" s="718" t="str">
        <f t="shared" si="9"/>
        <v>--</v>
      </c>
      <c r="U30" s="719" t="str">
        <f t="shared" si="10"/>
        <v>--</v>
      </c>
      <c r="V30" s="720" t="str">
        <f t="shared" si="11"/>
        <v>--</v>
      </c>
      <c r="W30" s="721" t="str">
        <f t="shared" si="12"/>
        <v>--</v>
      </c>
      <c r="X30" s="722" t="str">
        <f t="shared" si="13"/>
        <v>--</v>
      </c>
      <c r="Y30" s="723" t="str">
        <f t="shared" si="14"/>
        <v>--</v>
      </c>
      <c r="Z30" s="724" t="str">
        <f t="shared" si="15"/>
        <v>--</v>
      </c>
      <c r="AA30" s="725" t="str">
        <f t="shared" si="16"/>
        <v>--</v>
      </c>
      <c r="AB30" s="726">
        <f t="shared" si="17"/>
      </c>
      <c r="AC30" s="23">
        <f t="shared" si="18"/>
      </c>
      <c r="AD30" s="409"/>
    </row>
    <row r="31" spans="2:30" s="15" customFormat="1" ht="16.5" customHeight="1">
      <c r="B31" s="108"/>
      <c r="C31" s="19"/>
      <c r="D31" s="19"/>
      <c r="E31" s="711"/>
      <c r="F31" s="712"/>
      <c r="G31" s="711"/>
      <c r="H31" s="365">
        <f t="shared" si="0"/>
        <v>20</v>
      </c>
      <c r="I31" s="469">
        <f t="shared" si="1"/>
        <v>46.96099999999999</v>
      </c>
      <c r="J31" s="18"/>
      <c r="K31" s="727"/>
      <c r="L31" s="21">
        <f t="shared" si="2"/>
      </c>
      <c r="M31" s="22">
        <f t="shared" si="3"/>
      </c>
      <c r="N31" s="690"/>
      <c r="O31" s="714">
        <f t="shared" si="4"/>
      </c>
      <c r="P31" s="715">
        <f t="shared" si="5"/>
      </c>
      <c r="Q31" s="715">
        <f t="shared" si="6"/>
      </c>
      <c r="R31" s="716" t="str">
        <f t="shared" si="7"/>
        <v>--</v>
      </c>
      <c r="S31" s="717" t="str">
        <f t="shared" si="8"/>
        <v>--</v>
      </c>
      <c r="T31" s="718" t="str">
        <f t="shared" si="9"/>
        <v>--</v>
      </c>
      <c r="U31" s="719" t="str">
        <f t="shared" si="10"/>
        <v>--</v>
      </c>
      <c r="V31" s="720" t="str">
        <f t="shared" si="11"/>
        <v>--</v>
      </c>
      <c r="W31" s="721" t="str">
        <f t="shared" si="12"/>
        <v>--</v>
      </c>
      <c r="X31" s="722" t="str">
        <f t="shared" si="13"/>
        <v>--</v>
      </c>
      <c r="Y31" s="723" t="str">
        <f t="shared" si="14"/>
        <v>--</v>
      </c>
      <c r="Z31" s="724" t="str">
        <f t="shared" si="15"/>
        <v>--</v>
      </c>
      <c r="AA31" s="725" t="str">
        <f t="shared" si="16"/>
        <v>--</v>
      </c>
      <c r="AB31" s="726">
        <f t="shared" si="17"/>
      </c>
      <c r="AC31" s="23">
        <f t="shared" si="18"/>
      </c>
      <c r="AD31" s="409"/>
    </row>
    <row r="32" spans="2:30" s="15" customFormat="1" ht="16.5" customHeight="1">
      <c r="B32" s="108"/>
      <c r="C32" s="19"/>
      <c r="D32" s="19"/>
      <c r="E32" s="711"/>
      <c r="F32" s="712"/>
      <c r="G32" s="711"/>
      <c r="H32" s="365">
        <f t="shared" si="0"/>
        <v>20</v>
      </c>
      <c r="I32" s="469">
        <f t="shared" si="1"/>
        <v>46.96099999999999</v>
      </c>
      <c r="J32" s="18"/>
      <c r="K32" s="727"/>
      <c r="L32" s="21">
        <f t="shared" si="2"/>
      </c>
      <c r="M32" s="22">
        <f t="shared" si="3"/>
      </c>
      <c r="N32" s="690"/>
      <c r="O32" s="714">
        <f t="shared" si="4"/>
      </c>
      <c r="P32" s="715">
        <f t="shared" si="5"/>
      </c>
      <c r="Q32" s="715">
        <f t="shared" si="6"/>
      </c>
      <c r="R32" s="716" t="str">
        <f t="shared" si="7"/>
        <v>--</v>
      </c>
      <c r="S32" s="717" t="str">
        <f t="shared" si="8"/>
        <v>--</v>
      </c>
      <c r="T32" s="718" t="str">
        <f t="shared" si="9"/>
        <v>--</v>
      </c>
      <c r="U32" s="719" t="str">
        <f t="shared" si="10"/>
        <v>--</v>
      </c>
      <c r="V32" s="720" t="str">
        <f t="shared" si="11"/>
        <v>--</v>
      </c>
      <c r="W32" s="721" t="str">
        <f t="shared" si="12"/>
        <v>--</v>
      </c>
      <c r="X32" s="722" t="str">
        <f t="shared" si="13"/>
        <v>--</v>
      </c>
      <c r="Y32" s="723" t="str">
        <f t="shared" si="14"/>
        <v>--</v>
      </c>
      <c r="Z32" s="724" t="str">
        <f t="shared" si="15"/>
        <v>--</v>
      </c>
      <c r="AA32" s="725" t="str">
        <f t="shared" si="16"/>
        <v>--</v>
      </c>
      <c r="AB32" s="726">
        <f t="shared" si="17"/>
      </c>
      <c r="AC32" s="23">
        <f t="shared" si="18"/>
      </c>
      <c r="AD32" s="409"/>
    </row>
    <row r="33" spans="2:30" s="15" customFormat="1" ht="16.5" customHeight="1">
      <c r="B33" s="108"/>
      <c r="C33" s="19"/>
      <c r="D33" s="19"/>
      <c r="E33" s="711"/>
      <c r="F33" s="712"/>
      <c r="G33" s="711"/>
      <c r="H33" s="365">
        <f t="shared" si="0"/>
        <v>20</v>
      </c>
      <c r="I33" s="469">
        <f t="shared" si="1"/>
        <v>46.96099999999999</v>
      </c>
      <c r="J33" s="18"/>
      <c r="K33" s="727"/>
      <c r="L33" s="21">
        <f t="shared" si="2"/>
      </c>
      <c r="M33" s="22">
        <f t="shared" si="3"/>
      </c>
      <c r="N33" s="690"/>
      <c r="O33" s="714">
        <f t="shared" si="4"/>
      </c>
      <c r="P33" s="715">
        <f t="shared" si="5"/>
      </c>
      <c r="Q33" s="715">
        <f t="shared" si="6"/>
      </c>
      <c r="R33" s="716" t="str">
        <f t="shared" si="7"/>
        <v>--</v>
      </c>
      <c r="S33" s="717" t="str">
        <f t="shared" si="8"/>
        <v>--</v>
      </c>
      <c r="T33" s="718" t="str">
        <f t="shared" si="9"/>
        <v>--</v>
      </c>
      <c r="U33" s="719" t="str">
        <f t="shared" si="10"/>
        <v>--</v>
      </c>
      <c r="V33" s="720" t="str">
        <f t="shared" si="11"/>
        <v>--</v>
      </c>
      <c r="W33" s="721" t="str">
        <f t="shared" si="12"/>
        <v>--</v>
      </c>
      <c r="X33" s="722" t="str">
        <f t="shared" si="13"/>
        <v>--</v>
      </c>
      <c r="Y33" s="723" t="str">
        <f t="shared" si="14"/>
        <v>--</v>
      </c>
      <c r="Z33" s="724" t="str">
        <f t="shared" si="15"/>
        <v>--</v>
      </c>
      <c r="AA33" s="725" t="str">
        <f t="shared" si="16"/>
        <v>--</v>
      </c>
      <c r="AB33" s="726">
        <f t="shared" si="17"/>
      </c>
      <c r="AC33" s="23">
        <f t="shared" si="18"/>
      </c>
      <c r="AD33" s="409"/>
    </row>
    <row r="34" spans="2:30" s="15" customFormat="1" ht="16.5" customHeight="1">
      <c r="B34" s="108"/>
      <c r="C34" s="19"/>
      <c r="D34" s="19"/>
      <c r="E34" s="711"/>
      <c r="F34" s="712"/>
      <c r="G34" s="711"/>
      <c r="H34" s="365">
        <f t="shared" si="0"/>
        <v>20</v>
      </c>
      <c r="I34" s="469">
        <f t="shared" si="1"/>
        <v>46.96099999999999</v>
      </c>
      <c r="J34" s="18"/>
      <c r="K34" s="727"/>
      <c r="L34" s="21">
        <f t="shared" si="2"/>
      </c>
      <c r="M34" s="22">
        <f t="shared" si="3"/>
      </c>
      <c r="N34" s="690"/>
      <c r="O34" s="714">
        <f t="shared" si="4"/>
      </c>
      <c r="P34" s="715">
        <f t="shared" si="5"/>
      </c>
      <c r="Q34" s="715">
        <f t="shared" si="6"/>
      </c>
      <c r="R34" s="716" t="str">
        <f t="shared" si="7"/>
        <v>--</v>
      </c>
      <c r="S34" s="717" t="str">
        <f t="shared" si="8"/>
        <v>--</v>
      </c>
      <c r="T34" s="718" t="str">
        <f t="shared" si="9"/>
        <v>--</v>
      </c>
      <c r="U34" s="719" t="str">
        <f t="shared" si="10"/>
        <v>--</v>
      </c>
      <c r="V34" s="720" t="str">
        <f t="shared" si="11"/>
        <v>--</v>
      </c>
      <c r="W34" s="721" t="str">
        <f t="shared" si="12"/>
        <v>--</v>
      </c>
      <c r="X34" s="722" t="str">
        <f t="shared" si="13"/>
        <v>--</v>
      </c>
      <c r="Y34" s="723" t="str">
        <f t="shared" si="14"/>
        <v>--</v>
      </c>
      <c r="Z34" s="724" t="str">
        <f t="shared" si="15"/>
        <v>--</v>
      </c>
      <c r="AA34" s="725" t="str">
        <f t="shared" si="16"/>
        <v>--</v>
      </c>
      <c r="AB34" s="726">
        <f t="shared" si="17"/>
      </c>
      <c r="AC34" s="23">
        <f t="shared" si="18"/>
      </c>
      <c r="AD34" s="409"/>
    </row>
    <row r="35" spans="2:30" s="15" customFormat="1" ht="16.5" customHeight="1">
      <c r="B35" s="108"/>
      <c r="C35" s="19"/>
      <c r="D35" s="19"/>
      <c r="E35" s="711"/>
      <c r="F35" s="712"/>
      <c r="G35" s="711"/>
      <c r="H35" s="365">
        <f t="shared" si="0"/>
        <v>20</v>
      </c>
      <c r="I35" s="469">
        <f t="shared" si="1"/>
        <v>46.96099999999999</v>
      </c>
      <c r="J35" s="18"/>
      <c r="K35" s="727"/>
      <c r="L35" s="21">
        <f t="shared" si="2"/>
      </c>
      <c r="M35" s="22">
        <f t="shared" si="3"/>
      </c>
      <c r="N35" s="690"/>
      <c r="O35" s="714">
        <f t="shared" si="4"/>
      </c>
      <c r="P35" s="715">
        <f t="shared" si="5"/>
      </c>
      <c r="Q35" s="715">
        <f t="shared" si="6"/>
      </c>
      <c r="R35" s="716" t="str">
        <f t="shared" si="7"/>
        <v>--</v>
      </c>
      <c r="S35" s="717" t="str">
        <f t="shared" si="8"/>
        <v>--</v>
      </c>
      <c r="T35" s="718" t="str">
        <f t="shared" si="9"/>
        <v>--</v>
      </c>
      <c r="U35" s="719" t="str">
        <f t="shared" si="10"/>
        <v>--</v>
      </c>
      <c r="V35" s="720" t="str">
        <f t="shared" si="11"/>
        <v>--</v>
      </c>
      <c r="W35" s="721" t="str">
        <f t="shared" si="12"/>
        <v>--</v>
      </c>
      <c r="X35" s="722" t="str">
        <f t="shared" si="13"/>
        <v>--</v>
      </c>
      <c r="Y35" s="723" t="str">
        <f t="shared" si="14"/>
        <v>--</v>
      </c>
      <c r="Z35" s="724" t="str">
        <f t="shared" si="15"/>
        <v>--</v>
      </c>
      <c r="AA35" s="725" t="str">
        <f t="shared" si="16"/>
        <v>--</v>
      </c>
      <c r="AB35" s="726">
        <f t="shared" si="17"/>
      </c>
      <c r="AC35" s="23">
        <f t="shared" si="18"/>
      </c>
      <c r="AD35" s="409"/>
    </row>
    <row r="36" spans="2:30" s="15" customFormat="1" ht="16.5" customHeight="1">
      <c r="B36" s="108"/>
      <c r="C36" s="19"/>
      <c r="D36" s="19"/>
      <c r="E36" s="711"/>
      <c r="F36" s="712"/>
      <c r="G36" s="711"/>
      <c r="H36" s="365">
        <f t="shared" si="0"/>
        <v>20</v>
      </c>
      <c r="I36" s="469">
        <f t="shared" si="1"/>
        <v>46.96099999999999</v>
      </c>
      <c r="J36" s="18"/>
      <c r="K36" s="727"/>
      <c r="L36" s="21">
        <f t="shared" si="2"/>
      </c>
      <c r="M36" s="22">
        <f t="shared" si="3"/>
      </c>
      <c r="N36" s="690"/>
      <c r="O36" s="714">
        <f t="shared" si="4"/>
      </c>
      <c r="P36" s="715">
        <f t="shared" si="5"/>
      </c>
      <c r="Q36" s="715">
        <f t="shared" si="6"/>
      </c>
      <c r="R36" s="716" t="str">
        <f t="shared" si="7"/>
        <v>--</v>
      </c>
      <c r="S36" s="717" t="str">
        <f t="shared" si="8"/>
        <v>--</v>
      </c>
      <c r="T36" s="718" t="str">
        <f t="shared" si="9"/>
        <v>--</v>
      </c>
      <c r="U36" s="719" t="str">
        <f t="shared" si="10"/>
        <v>--</v>
      </c>
      <c r="V36" s="720" t="str">
        <f t="shared" si="11"/>
        <v>--</v>
      </c>
      <c r="W36" s="721" t="str">
        <f t="shared" si="12"/>
        <v>--</v>
      </c>
      <c r="X36" s="722" t="str">
        <f t="shared" si="13"/>
        <v>--</v>
      </c>
      <c r="Y36" s="723" t="str">
        <f t="shared" si="14"/>
        <v>--</v>
      </c>
      <c r="Z36" s="724" t="str">
        <f t="shared" si="15"/>
        <v>--</v>
      </c>
      <c r="AA36" s="725" t="str">
        <f t="shared" si="16"/>
        <v>--</v>
      </c>
      <c r="AB36" s="726">
        <f t="shared" si="17"/>
      </c>
      <c r="AC36" s="23">
        <f t="shared" si="18"/>
      </c>
      <c r="AD36" s="409"/>
    </row>
    <row r="37" spans="2:30" s="15" customFormat="1" ht="16.5" customHeight="1">
      <c r="B37" s="108"/>
      <c r="C37" s="19"/>
      <c r="D37" s="19"/>
      <c r="E37" s="711"/>
      <c r="F37" s="712"/>
      <c r="G37" s="711"/>
      <c r="H37" s="365">
        <f t="shared" si="0"/>
        <v>20</v>
      </c>
      <c r="I37" s="469">
        <f t="shared" si="1"/>
        <v>46.96099999999999</v>
      </c>
      <c r="J37" s="18"/>
      <c r="K37" s="727"/>
      <c r="L37" s="21">
        <f t="shared" si="2"/>
      </c>
      <c r="M37" s="22">
        <f t="shared" si="3"/>
      </c>
      <c r="N37" s="690"/>
      <c r="O37" s="714">
        <f t="shared" si="4"/>
      </c>
      <c r="P37" s="715">
        <f t="shared" si="5"/>
      </c>
      <c r="Q37" s="715">
        <f t="shared" si="6"/>
      </c>
      <c r="R37" s="716" t="str">
        <f t="shared" si="7"/>
        <v>--</v>
      </c>
      <c r="S37" s="717" t="str">
        <f t="shared" si="8"/>
        <v>--</v>
      </c>
      <c r="T37" s="718" t="str">
        <f t="shared" si="9"/>
        <v>--</v>
      </c>
      <c r="U37" s="719" t="str">
        <f t="shared" si="10"/>
        <v>--</v>
      </c>
      <c r="V37" s="720" t="str">
        <f t="shared" si="11"/>
        <v>--</v>
      </c>
      <c r="W37" s="721" t="str">
        <f t="shared" si="12"/>
        <v>--</v>
      </c>
      <c r="X37" s="722" t="str">
        <f t="shared" si="13"/>
        <v>--</v>
      </c>
      <c r="Y37" s="723" t="str">
        <f t="shared" si="14"/>
        <v>--</v>
      </c>
      <c r="Z37" s="724" t="str">
        <f t="shared" si="15"/>
        <v>--</v>
      </c>
      <c r="AA37" s="725" t="str">
        <f t="shared" si="16"/>
        <v>--</v>
      </c>
      <c r="AB37" s="726">
        <f t="shared" si="17"/>
      </c>
      <c r="AC37" s="23">
        <f t="shared" si="18"/>
      </c>
      <c r="AD37" s="409"/>
    </row>
    <row r="38" spans="2:30" s="15" customFormat="1" ht="16.5" customHeight="1">
      <c r="B38" s="108"/>
      <c r="C38" s="19"/>
      <c r="D38" s="19"/>
      <c r="E38" s="711"/>
      <c r="F38" s="712"/>
      <c r="G38" s="711"/>
      <c r="H38" s="365">
        <f t="shared" si="0"/>
        <v>20</v>
      </c>
      <c r="I38" s="469">
        <f t="shared" si="1"/>
        <v>46.96099999999999</v>
      </c>
      <c r="J38" s="18"/>
      <c r="K38" s="727"/>
      <c r="L38" s="21">
        <f t="shared" si="2"/>
      </c>
      <c r="M38" s="22">
        <f t="shared" si="3"/>
      </c>
      <c r="N38" s="690"/>
      <c r="O38" s="714">
        <f t="shared" si="4"/>
      </c>
      <c r="P38" s="715">
        <f t="shared" si="5"/>
      </c>
      <c r="Q38" s="715">
        <f t="shared" si="6"/>
      </c>
      <c r="R38" s="716" t="str">
        <f t="shared" si="7"/>
        <v>--</v>
      </c>
      <c r="S38" s="717" t="str">
        <f t="shared" si="8"/>
        <v>--</v>
      </c>
      <c r="T38" s="718" t="str">
        <f t="shared" si="9"/>
        <v>--</v>
      </c>
      <c r="U38" s="719" t="str">
        <f t="shared" si="10"/>
        <v>--</v>
      </c>
      <c r="V38" s="720" t="str">
        <f t="shared" si="11"/>
        <v>--</v>
      </c>
      <c r="W38" s="721" t="str">
        <f t="shared" si="12"/>
        <v>--</v>
      </c>
      <c r="X38" s="722" t="str">
        <f t="shared" si="13"/>
        <v>--</v>
      </c>
      <c r="Y38" s="723" t="str">
        <f t="shared" si="14"/>
        <v>--</v>
      </c>
      <c r="Z38" s="724" t="str">
        <f t="shared" si="15"/>
        <v>--</v>
      </c>
      <c r="AA38" s="725" t="str">
        <f t="shared" si="16"/>
        <v>--</v>
      </c>
      <c r="AB38" s="726">
        <f t="shared" si="17"/>
      </c>
      <c r="AC38" s="23">
        <f t="shared" si="18"/>
      </c>
      <c r="AD38" s="409"/>
    </row>
    <row r="39" spans="2:30" s="15" customFormat="1" ht="16.5" customHeight="1">
      <c r="B39" s="108"/>
      <c r="C39" s="19"/>
      <c r="D39" s="19"/>
      <c r="E39" s="711"/>
      <c r="F39" s="712"/>
      <c r="G39" s="711"/>
      <c r="H39" s="365">
        <f t="shared" si="0"/>
        <v>20</v>
      </c>
      <c r="I39" s="469">
        <f t="shared" si="1"/>
        <v>46.96099999999999</v>
      </c>
      <c r="J39" s="18"/>
      <c r="K39" s="727"/>
      <c r="L39" s="21">
        <f t="shared" si="2"/>
      </c>
      <c r="M39" s="22">
        <f t="shared" si="3"/>
      </c>
      <c r="N39" s="690"/>
      <c r="O39" s="714">
        <f t="shared" si="4"/>
      </c>
      <c r="P39" s="715">
        <f t="shared" si="5"/>
      </c>
      <c r="Q39" s="715">
        <f t="shared" si="6"/>
      </c>
      <c r="R39" s="716" t="str">
        <f t="shared" si="7"/>
        <v>--</v>
      </c>
      <c r="S39" s="717" t="str">
        <f t="shared" si="8"/>
        <v>--</v>
      </c>
      <c r="T39" s="718" t="str">
        <f t="shared" si="9"/>
        <v>--</v>
      </c>
      <c r="U39" s="719" t="str">
        <f t="shared" si="10"/>
        <v>--</v>
      </c>
      <c r="V39" s="720" t="str">
        <f t="shared" si="11"/>
        <v>--</v>
      </c>
      <c r="W39" s="721" t="str">
        <f t="shared" si="12"/>
        <v>--</v>
      </c>
      <c r="X39" s="722" t="str">
        <f t="shared" si="13"/>
        <v>--</v>
      </c>
      <c r="Y39" s="723" t="str">
        <f t="shared" si="14"/>
        <v>--</v>
      </c>
      <c r="Z39" s="724" t="str">
        <f t="shared" si="15"/>
        <v>--</v>
      </c>
      <c r="AA39" s="725" t="str">
        <f t="shared" si="16"/>
        <v>--</v>
      </c>
      <c r="AB39" s="726">
        <f t="shared" si="17"/>
      </c>
      <c r="AC39" s="23">
        <f t="shared" si="18"/>
      </c>
      <c r="AD39" s="409"/>
    </row>
    <row r="40" spans="2:30" s="15" customFormat="1" ht="16.5" customHeight="1" thickBot="1">
      <c r="B40" s="108"/>
      <c r="C40" s="728"/>
      <c r="D40" s="728"/>
      <c r="E40" s="729"/>
      <c r="F40" s="730"/>
      <c r="G40" s="731"/>
      <c r="H40" s="360"/>
      <c r="I40" s="470"/>
      <c r="J40" s="26"/>
      <c r="K40" s="26"/>
      <c r="L40" s="26"/>
      <c r="M40" s="26"/>
      <c r="N40" s="26"/>
      <c r="O40" s="732"/>
      <c r="P40" s="26"/>
      <c r="Q40" s="26"/>
      <c r="R40" s="733"/>
      <c r="S40" s="734"/>
      <c r="T40" s="735"/>
      <c r="U40" s="736"/>
      <c r="V40" s="737"/>
      <c r="W40" s="738"/>
      <c r="X40" s="739"/>
      <c r="Y40" s="740"/>
      <c r="Z40" s="741"/>
      <c r="AA40" s="742"/>
      <c r="AB40" s="743"/>
      <c r="AC40" s="744"/>
      <c r="AD40" s="409"/>
    </row>
    <row r="41" spans="2:30" s="15" customFormat="1" ht="16.5" customHeight="1" thickBot="1" thickTop="1">
      <c r="B41" s="108"/>
      <c r="C41" s="224" t="s">
        <v>74</v>
      </c>
      <c r="D41" s="225" t="s">
        <v>75</v>
      </c>
      <c r="E41" s="28"/>
      <c r="F41" s="1"/>
      <c r="G41" s="29"/>
      <c r="H41" s="1"/>
      <c r="I41" s="30"/>
      <c r="J41" s="30"/>
      <c r="K41" s="30"/>
      <c r="L41" s="30"/>
      <c r="M41" s="30"/>
      <c r="N41" s="30"/>
      <c r="O41" s="31"/>
      <c r="P41" s="30"/>
      <c r="Q41" s="30"/>
      <c r="R41" s="353">
        <f aca="true" t="shared" si="19" ref="R41:AA41">SUM(R20:R40)</f>
        <v>0</v>
      </c>
      <c r="S41" s="354">
        <f t="shared" si="19"/>
        <v>0</v>
      </c>
      <c r="T41" s="355">
        <f t="shared" si="19"/>
        <v>39221.688</v>
      </c>
      <c r="U41" s="355">
        <f t="shared" si="19"/>
        <v>0</v>
      </c>
      <c r="V41" s="355">
        <f t="shared" si="19"/>
        <v>0</v>
      </c>
      <c r="W41" s="356">
        <f t="shared" si="19"/>
        <v>0</v>
      </c>
      <c r="X41" s="356">
        <f t="shared" si="19"/>
        <v>0</v>
      </c>
      <c r="Y41" s="356">
        <f t="shared" si="19"/>
        <v>0</v>
      </c>
      <c r="Z41" s="357">
        <f t="shared" si="19"/>
        <v>0</v>
      </c>
      <c r="AA41" s="358">
        <f t="shared" si="19"/>
        <v>0</v>
      </c>
      <c r="AB41" s="745"/>
      <c r="AC41" s="534">
        <f>ROUND(SUM(AC20:AC40),2)</f>
        <v>39221.69</v>
      </c>
      <c r="AD41" s="409"/>
    </row>
    <row r="42" spans="2:30" s="228" customFormat="1" ht="9.75" thickTop="1">
      <c r="B42" s="229"/>
      <c r="C42" s="226"/>
      <c r="D42" s="227" t="s">
        <v>76</v>
      </c>
      <c r="E42" s="230"/>
      <c r="F42" s="231"/>
      <c r="G42" s="232"/>
      <c r="H42" s="231"/>
      <c r="I42" s="233"/>
      <c r="J42" s="233"/>
      <c r="K42" s="233"/>
      <c r="L42" s="233"/>
      <c r="M42" s="233"/>
      <c r="N42" s="233"/>
      <c r="O42" s="234"/>
      <c r="P42" s="233"/>
      <c r="Q42" s="233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6"/>
      <c r="AD42" s="237"/>
    </row>
    <row r="43" spans="2:30" s="228" customFormat="1" ht="13.5" customHeight="1">
      <c r="B43" s="229"/>
      <c r="C43" s="226" t="s">
        <v>188</v>
      </c>
      <c r="D43" s="227" t="s">
        <v>189</v>
      </c>
      <c r="E43" s="230"/>
      <c r="F43" s="231"/>
      <c r="G43" s="232"/>
      <c r="H43" s="231"/>
      <c r="I43" s="233"/>
      <c r="J43" s="233"/>
      <c r="K43" s="233"/>
      <c r="L43" s="233"/>
      <c r="M43" s="233"/>
      <c r="N43" s="233"/>
      <c r="O43" s="234"/>
      <c r="P43" s="233"/>
      <c r="Q43" s="233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  <c r="AD43" s="237"/>
    </row>
    <row r="44" spans="2:30" s="15" customFormat="1" ht="16.5" customHeight="1" thickBo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9"/>
    </row>
    <row r="45" spans="2:30" ht="16.5" customHeight="1" thickTop="1">
      <c r="B45" s="11"/>
      <c r="AD45" s="1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W159"/>
  <sheetViews>
    <sheetView zoomScale="75" zoomScaleNormal="75" workbookViewId="0" topLeftCell="F29">
      <selection activeCell="D37" sqref="D3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6" customFormat="1" ht="26.25">
      <c r="A1" s="126"/>
      <c r="U1" s="531"/>
    </row>
    <row r="2" spans="1:21" s="76" customFormat="1" ht="26.25">
      <c r="A2" s="126"/>
      <c r="B2" s="77" t="str">
        <f>+'tot-0202'!B2</f>
        <v>ANEXO I a la Resolución ENRE N° 090/2003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="15" customFormat="1" ht="12.75">
      <c r="A3" s="48"/>
    </row>
    <row r="4" spans="1:2" s="83" customFormat="1" ht="11.25">
      <c r="A4" s="81" t="s">
        <v>31</v>
      </c>
      <c r="B4" s="157"/>
    </row>
    <row r="5" spans="1:2" s="83" customFormat="1" ht="11.25">
      <c r="A5" s="81" t="s">
        <v>32</v>
      </c>
      <c r="B5" s="157"/>
    </row>
    <row r="6" s="15" customFormat="1" ht="13.5" thickBot="1"/>
    <row r="7" spans="2:21" s="15" customFormat="1" ht="13.5" thickTop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69"/>
    </row>
    <row r="8" spans="2:21" s="9" customFormat="1" ht="20.25">
      <c r="B8" s="141"/>
      <c r="C8" s="10"/>
      <c r="D8" s="50" t="s">
        <v>47</v>
      </c>
      <c r="L8" s="161"/>
      <c r="M8" s="161"/>
      <c r="N8" s="33"/>
      <c r="O8" s="10"/>
      <c r="P8" s="10"/>
      <c r="Q8" s="10"/>
      <c r="R8" s="10"/>
      <c r="S8" s="10"/>
      <c r="T8" s="10"/>
      <c r="U8" s="178"/>
    </row>
    <row r="9" spans="2:21" s="15" customFormat="1" ht="12.75">
      <c r="B9" s="108"/>
      <c r="C9" s="1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3"/>
      <c r="Q9" s="13"/>
      <c r="R9" s="13"/>
      <c r="S9" s="13"/>
      <c r="T9" s="13"/>
      <c r="U9" s="112"/>
    </row>
    <row r="10" spans="2:21" s="9" customFormat="1" ht="20.25">
      <c r="B10" s="141"/>
      <c r="C10" s="10"/>
      <c r="D10" s="162" t="s">
        <v>84</v>
      </c>
      <c r="E10" s="34"/>
      <c r="F10" s="161"/>
      <c r="G10" s="179"/>
      <c r="I10" s="179"/>
      <c r="J10" s="179"/>
      <c r="K10" s="179"/>
      <c r="L10" s="179"/>
      <c r="M10" s="179"/>
      <c r="N10" s="179"/>
      <c r="O10" s="10"/>
      <c r="P10" s="10"/>
      <c r="Q10" s="10"/>
      <c r="R10" s="10"/>
      <c r="S10" s="10"/>
      <c r="T10" s="10"/>
      <c r="U10" s="178"/>
    </row>
    <row r="11" spans="2:21" s="15" customFormat="1" ht="13.5">
      <c r="B11" s="108"/>
      <c r="C11" s="13"/>
      <c r="D11" s="177"/>
      <c r="E11" s="177"/>
      <c r="F11" s="48"/>
      <c r="G11" s="170"/>
      <c r="H11" s="110"/>
      <c r="I11" s="170"/>
      <c r="J11" s="170"/>
      <c r="K11" s="170"/>
      <c r="L11" s="170"/>
      <c r="M11" s="170"/>
      <c r="N11" s="170"/>
      <c r="O11" s="13"/>
      <c r="P11" s="13"/>
      <c r="Q11" s="13"/>
      <c r="R11" s="13"/>
      <c r="S11" s="13"/>
      <c r="T11" s="13"/>
      <c r="U11" s="112"/>
    </row>
    <row r="12" spans="2:21" s="9" customFormat="1" ht="20.25">
      <c r="B12" s="141"/>
      <c r="C12" s="10"/>
      <c r="D12" s="162" t="s">
        <v>85</v>
      </c>
      <c r="E12" s="34"/>
      <c r="F12" s="161"/>
      <c r="G12" s="179"/>
      <c r="I12" s="179"/>
      <c r="J12" s="179"/>
      <c r="K12" s="179"/>
      <c r="L12" s="179"/>
      <c r="M12" s="179"/>
      <c r="N12" s="179"/>
      <c r="O12" s="10"/>
      <c r="P12" s="10"/>
      <c r="Q12" s="10"/>
      <c r="R12" s="10"/>
      <c r="S12" s="10"/>
      <c r="T12" s="10"/>
      <c r="U12" s="178"/>
    </row>
    <row r="13" spans="2:21" s="15" customFormat="1" ht="13.5">
      <c r="B13" s="108"/>
      <c r="C13" s="13"/>
      <c r="D13" s="177"/>
      <c r="E13" s="177"/>
      <c r="F13" s="48"/>
      <c r="G13" s="170"/>
      <c r="H13" s="110"/>
      <c r="I13" s="170"/>
      <c r="J13" s="170"/>
      <c r="K13" s="170"/>
      <c r="L13" s="170"/>
      <c r="M13" s="170"/>
      <c r="N13" s="170"/>
      <c r="O13" s="13"/>
      <c r="P13" s="13"/>
      <c r="Q13" s="13"/>
      <c r="R13" s="13"/>
      <c r="S13" s="13"/>
      <c r="T13" s="13"/>
      <c r="U13" s="112"/>
    </row>
    <row r="14" spans="2:21" s="15" customFormat="1" ht="19.5">
      <c r="B14" s="96" t="str">
        <f>+'tot-0202'!B14</f>
        <v>Desde el 01 al 28 de febrero de 2002</v>
      </c>
      <c r="C14" s="99"/>
      <c r="D14" s="99"/>
      <c r="E14" s="99"/>
      <c r="F14" s="99"/>
      <c r="G14" s="180"/>
      <c r="H14" s="180"/>
      <c r="I14" s="180"/>
      <c r="J14" s="180"/>
      <c r="K14" s="180"/>
      <c r="L14" s="180"/>
      <c r="M14" s="180"/>
      <c r="N14" s="180"/>
      <c r="O14" s="99"/>
      <c r="P14" s="99"/>
      <c r="Q14" s="99"/>
      <c r="R14" s="99"/>
      <c r="S14" s="99"/>
      <c r="T14" s="99"/>
      <c r="U14" s="181"/>
    </row>
    <row r="15" spans="2:21" s="15" customFormat="1" ht="14.25" thickBot="1">
      <c r="B15" s="182"/>
      <c r="C15" s="183"/>
      <c r="D15" s="183"/>
      <c r="E15" s="183"/>
      <c r="F15" s="183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5"/>
    </row>
    <row r="16" spans="2:21" s="15" customFormat="1" ht="15" thickBot="1" thickTop="1">
      <c r="B16" s="108"/>
      <c r="C16" s="13"/>
      <c r="D16" s="186"/>
      <c r="E16" s="186"/>
      <c r="F16" s="187" t="s">
        <v>86</v>
      </c>
      <c r="G16" s="13"/>
      <c r="H16" s="1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2"/>
    </row>
    <row r="17" spans="2:21" s="15" customFormat="1" ht="16.5" customHeight="1" thickBot="1" thickTop="1">
      <c r="B17" s="108"/>
      <c r="C17" s="13"/>
      <c r="D17" s="535" t="s">
        <v>87</v>
      </c>
      <c r="E17" s="536">
        <v>30.733</v>
      </c>
      <c r="F17" s="537">
        <v>200</v>
      </c>
      <c r="T17" s="133"/>
      <c r="U17" s="112"/>
    </row>
    <row r="18" spans="2:21" s="15" customFormat="1" ht="16.5" customHeight="1" thickBot="1" thickTop="1">
      <c r="B18" s="108"/>
      <c r="C18" s="13"/>
      <c r="D18" s="538" t="s">
        <v>88</v>
      </c>
      <c r="E18" s="539">
        <v>27.658</v>
      </c>
      <c r="F18" s="537">
        <v>100</v>
      </c>
      <c r="M18" s="13"/>
      <c r="N18" s="13"/>
      <c r="O18" s="13"/>
      <c r="P18" s="13"/>
      <c r="Q18" s="13"/>
      <c r="R18" s="13"/>
      <c r="S18" s="13"/>
      <c r="T18" s="13"/>
      <c r="U18" s="112"/>
    </row>
    <row r="19" spans="2:21" s="15" customFormat="1" ht="16.5" customHeight="1" thickBot="1" thickTop="1">
      <c r="B19" s="108"/>
      <c r="C19" s="13"/>
      <c r="D19" s="540" t="s">
        <v>89</v>
      </c>
      <c r="E19" s="539">
        <v>24.587</v>
      </c>
      <c r="F19" s="537">
        <v>40</v>
      </c>
      <c r="I19" s="532"/>
      <c r="J19" s="533"/>
      <c r="K19" s="13"/>
      <c r="M19" s="13"/>
      <c r="O19" s="13"/>
      <c r="P19" s="13"/>
      <c r="Q19" s="13"/>
      <c r="R19" s="13"/>
      <c r="S19" s="13"/>
      <c r="T19" s="13"/>
      <c r="U19" s="112"/>
    </row>
    <row r="20" spans="2:21" s="15" customFormat="1" ht="16.5" customHeight="1" thickBot="1" thickTop="1">
      <c r="B20" s="108"/>
      <c r="C20" s="20"/>
      <c r="D20" s="65"/>
      <c r="E20" s="65"/>
      <c r="F20" s="171"/>
      <c r="G20" s="172"/>
      <c r="H20" s="172"/>
      <c r="I20" s="172"/>
      <c r="J20" s="172"/>
      <c r="K20" s="172"/>
      <c r="L20" s="172"/>
      <c r="M20" s="172"/>
      <c r="N20" s="58"/>
      <c r="O20" s="173"/>
      <c r="P20" s="174"/>
      <c r="Q20" s="174"/>
      <c r="R20" s="174"/>
      <c r="S20" s="175"/>
      <c r="T20" s="176"/>
      <c r="U20" s="112"/>
    </row>
    <row r="21" spans="2:21" s="15" customFormat="1" ht="33.75" customHeight="1" thickBot="1" thickTop="1">
      <c r="B21" s="108"/>
      <c r="C21" s="148" t="s">
        <v>52</v>
      </c>
      <c r="D21" s="154" t="s">
        <v>80</v>
      </c>
      <c r="E21" s="152" t="s">
        <v>29</v>
      </c>
      <c r="F21" s="189" t="s">
        <v>53</v>
      </c>
      <c r="G21" s="284" t="s">
        <v>57</v>
      </c>
      <c r="H21" s="150" t="s">
        <v>58</v>
      </c>
      <c r="I21" s="152" t="s">
        <v>59</v>
      </c>
      <c r="J21" s="190" t="s">
        <v>60</v>
      </c>
      <c r="K21" s="190" t="s">
        <v>61</v>
      </c>
      <c r="L21" s="153" t="s">
        <v>62</v>
      </c>
      <c r="M21" s="151" t="s">
        <v>65</v>
      </c>
      <c r="N21" s="371" t="s">
        <v>56</v>
      </c>
      <c r="O21" s="369" t="s">
        <v>77</v>
      </c>
      <c r="P21" s="378" t="s">
        <v>90</v>
      </c>
      <c r="Q21" s="379"/>
      <c r="R21" s="388" t="s">
        <v>70</v>
      </c>
      <c r="S21" s="155" t="s">
        <v>72</v>
      </c>
      <c r="T21" s="167" t="s">
        <v>73</v>
      </c>
      <c r="U21" s="112"/>
    </row>
    <row r="22" spans="2:21" s="15" customFormat="1" ht="16.5" customHeight="1" hidden="1" thickTop="1">
      <c r="B22" s="108"/>
      <c r="C22" s="19"/>
      <c r="D22" s="52"/>
      <c r="E22" s="52"/>
      <c r="F22" s="52"/>
      <c r="G22" s="288"/>
      <c r="H22" s="52"/>
      <c r="I22" s="52"/>
      <c r="J22" s="52"/>
      <c r="K22" s="52"/>
      <c r="L22" s="52"/>
      <c r="M22" s="52"/>
      <c r="N22" s="373"/>
      <c r="O22" s="376"/>
      <c r="P22" s="380"/>
      <c r="Q22" s="381"/>
      <c r="R22" s="389"/>
      <c r="S22" s="52"/>
      <c r="T22" s="474"/>
      <c r="U22" s="112"/>
    </row>
    <row r="23" spans="2:21" s="15" customFormat="1" ht="16.5" customHeight="1" thickTop="1">
      <c r="B23" s="108"/>
      <c r="C23" s="19"/>
      <c r="D23" s="53"/>
      <c r="E23" s="53"/>
      <c r="F23" s="53"/>
      <c r="G23" s="289"/>
      <c r="H23" s="53"/>
      <c r="I23" s="53"/>
      <c r="J23" s="53"/>
      <c r="K23" s="53"/>
      <c r="L23" s="53"/>
      <c r="M23" s="53"/>
      <c r="N23" s="370"/>
      <c r="O23" s="374"/>
      <c r="P23" s="382"/>
      <c r="Q23" s="383"/>
      <c r="R23" s="386"/>
      <c r="S23" s="53"/>
      <c r="T23" s="191"/>
      <c r="U23" s="112"/>
    </row>
    <row r="24" spans="2:21" s="15" customFormat="1" ht="16.5" customHeight="1">
      <c r="B24" s="108"/>
      <c r="C24" s="544">
        <v>10</v>
      </c>
      <c r="D24" s="591" t="s">
        <v>12</v>
      </c>
      <c r="E24" s="591" t="s">
        <v>25</v>
      </c>
      <c r="F24" s="592">
        <v>220</v>
      </c>
      <c r="G24" s="285">
        <f aca="true" t="shared" si="0" ref="G24:G42">IF(F24=500,$E$17,IF(F24=220,$E$18,$E$19))</f>
        <v>27.658</v>
      </c>
      <c r="H24" s="594">
        <v>37294.260416666664</v>
      </c>
      <c r="I24" s="595">
        <v>37294.46111111111</v>
      </c>
      <c r="J24" s="57">
        <f aca="true" t="shared" si="1" ref="J24:J42">IF(D24="","",(I24-H24)*24)</f>
        <v>4.816666666651145</v>
      </c>
      <c r="K24" s="24">
        <f aca="true" t="shared" si="2" ref="K24:K42">IF(D24="","",ROUND((I24-H24)*24*60,0))</f>
        <v>289</v>
      </c>
      <c r="L24" s="564" t="s">
        <v>163</v>
      </c>
      <c r="M24" s="566" t="str">
        <f aca="true" t="shared" si="3" ref="M24:M42">IF(D24="","",IF(L24="P","--","NO"))</f>
        <v>--</v>
      </c>
      <c r="N24" s="597">
        <f aca="true" t="shared" si="4" ref="N24:N42">IF(F24=500,$F$17,IF(F24=220,$F$18,$F$19))</f>
        <v>100</v>
      </c>
      <c r="O24" s="598">
        <f aca="true" t="shared" si="5" ref="O24:O42">IF(L24="P",G24*N24*ROUND(K24/60,2)*0.1,"--")</f>
        <v>1333.1156</v>
      </c>
      <c r="P24" s="599" t="str">
        <f aca="true" t="shared" si="6" ref="P24:P42">IF(AND(L24="F",M24="NO"),G24*N24,"--")</f>
        <v>--</v>
      </c>
      <c r="Q24" s="600" t="str">
        <f aca="true" t="shared" si="7" ref="Q24:Q42">IF(L24="F",G24*N24*ROUND(K24/60,2),"--")</f>
        <v>--</v>
      </c>
      <c r="R24" s="601" t="str">
        <f aca="true" t="shared" si="8" ref="R24:R42">IF(L24="RF",G24*N24*ROUND(K24/60,2),"--")</f>
        <v>--</v>
      </c>
      <c r="S24" s="566" t="str">
        <f aca="true" t="shared" si="9" ref="S24:S42">IF(D24="","","SI")</f>
        <v>SI</v>
      </c>
      <c r="T24" s="60">
        <f aca="true" t="shared" si="10" ref="T24:T42">IF(D24="","",SUM(O24:R24)*IF(S24="SI",1,2))</f>
        <v>1333.1156</v>
      </c>
      <c r="U24" s="112"/>
    </row>
    <row r="25" spans="2:21" s="15" customFormat="1" ht="16.5" customHeight="1">
      <c r="B25" s="108"/>
      <c r="C25" s="544">
        <v>11</v>
      </c>
      <c r="D25" s="591" t="s">
        <v>9</v>
      </c>
      <c r="E25" s="591" t="s">
        <v>18</v>
      </c>
      <c r="F25" s="592">
        <v>132</v>
      </c>
      <c r="G25" s="285">
        <f t="shared" si="0"/>
        <v>24.587</v>
      </c>
      <c r="H25" s="594">
        <v>37296.3125</v>
      </c>
      <c r="I25" s="595">
        <v>37296.51458333333</v>
      </c>
      <c r="J25" s="57">
        <f t="shared" si="1"/>
        <v>4.849999999918509</v>
      </c>
      <c r="K25" s="24">
        <f t="shared" si="2"/>
        <v>291</v>
      </c>
      <c r="L25" s="564" t="s">
        <v>163</v>
      </c>
      <c r="M25" s="566" t="str">
        <f t="shared" si="3"/>
        <v>--</v>
      </c>
      <c r="N25" s="597">
        <f t="shared" si="4"/>
        <v>40</v>
      </c>
      <c r="O25" s="598">
        <f t="shared" si="5"/>
        <v>476.9878</v>
      </c>
      <c r="P25" s="599" t="str">
        <f t="shared" si="6"/>
        <v>--</v>
      </c>
      <c r="Q25" s="600" t="str">
        <f t="shared" si="7"/>
        <v>--</v>
      </c>
      <c r="R25" s="601" t="str">
        <f t="shared" si="8"/>
        <v>--</v>
      </c>
      <c r="S25" s="566" t="str">
        <f t="shared" si="9"/>
        <v>SI</v>
      </c>
      <c r="T25" s="60">
        <f t="shared" si="10"/>
        <v>476.9878</v>
      </c>
      <c r="U25" s="112"/>
    </row>
    <row r="26" spans="2:21" s="15" customFormat="1" ht="16.5" customHeight="1">
      <c r="B26" s="108"/>
      <c r="C26" s="544">
        <v>12</v>
      </c>
      <c r="D26" s="591" t="s">
        <v>10</v>
      </c>
      <c r="E26" s="591" t="s">
        <v>21</v>
      </c>
      <c r="F26" s="592">
        <v>132</v>
      </c>
      <c r="G26" s="285">
        <f t="shared" si="0"/>
        <v>24.587</v>
      </c>
      <c r="H26" s="594">
        <v>37296.518055555556</v>
      </c>
      <c r="I26" s="595">
        <v>37296.675</v>
      </c>
      <c r="J26" s="57">
        <f t="shared" si="1"/>
        <v>3.766666666720994</v>
      </c>
      <c r="K26" s="24">
        <f t="shared" si="2"/>
        <v>226</v>
      </c>
      <c r="L26" s="564" t="s">
        <v>163</v>
      </c>
      <c r="M26" s="566" t="str">
        <f t="shared" si="3"/>
        <v>--</v>
      </c>
      <c r="N26" s="597">
        <f t="shared" si="4"/>
        <v>40</v>
      </c>
      <c r="O26" s="598">
        <f t="shared" si="5"/>
        <v>370.77196000000004</v>
      </c>
      <c r="P26" s="599" t="str">
        <f t="shared" si="6"/>
        <v>--</v>
      </c>
      <c r="Q26" s="600" t="str">
        <f t="shared" si="7"/>
        <v>--</v>
      </c>
      <c r="R26" s="601" t="str">
        <f t="shared" si="8"/>
        <v>--</v>
      </c>
      <c r="S26" s="566" t="str">
        <f t="shared" si="9"/>
        <v>SI</v>
      </c>
      <c r="T26" s="60">
        <f t="shared" si="10"/>
        <v>370.77196000000004</v>
      </c>
      <c r="U26" s="112"/>
    </row>
    <row r="27" spans="2:21" s="15" customFormat="1" ht="16.5" customHeight="1">
      <c r="B27" s="108"/>
      <c r="C27" s="544">
        <v>13</v>
      </c>
      <c r="D27" s="591" t="s">
        <v>9</v>
      </c>
      <c r="E27" s="591" t="s">
        <v>18</v>
      </c>
      <c r="F27" s="592">
        <v>132</v>
      </c>
      <c r="G27" s="285">
        <f t="shared" si="0"/>
        <v>24.587</v>
      </c>
      <c r="H27" s="594">
        <v>37297.30416666667</v>
      </c>
      <c r="I27" s="595">
        <v>37297.45625</v>
      </c>
      <c r="J27" s="57">
        <f t="shared" si="1"/>
        <v>3.650000000023283</v>
      </c>
      <c r="K27" s="24">
        <f t="shared" si="2"/>
        <v>219</v>
      </c>
      <c r="L27" s="564" t="s">
        <v>163</v>
      </c>
      <c r="M27" s="566" t="str">
        <f t="shared" si="3"/>
        <v>--</v>
      </c>
      <c r="N27" s="597">
        <f t="shared" si="4"/>
        <v>40</v>
      </c>
      <c r="O27" s="598">
        <f t="shared" si="5"/>
        <v>358.9702</v>
      </c>
      <c r="P27" s="599" t="str">
        <f t="shared" si="6"/>
        <v>--</v>
      </c>
      <c r="Q27" s="600" t="str">
        <f t="shared" si="7"/>
        <v>--</v>
      </c>
      <c r="R27" s="601" t="str">
        <f t="shared" si="8"/>
        <v>--</v>
      </c>
      <c r="S27" s="566" t="str">
        <f t="shared" si="9"/>
        <v>SI</v>
      </c>
      <c r="T27" s="60">
        <f t="shared" si="10"/>
        <v>358.9702</v>
      </c>
      <c r="U27" s="112"/>
    </row>
    <row r="28" spans="2:21" s="15" customFormat="1" ht="16.5" customHeight="1">
      <c r="B28" s="108"/>
      <c r="C28" s="544">
        <v>14</v>
      </c>
      <c r="D28" s="591" t="s">
        <v>22</v>
      </c>
      <c r="E28" s="591" t="s">
        <v>23</v>
      </c>
      <c r="F28" s="592">
        <v>500</v>
      </c>
      <c r="G28" s="285">
        <f t="shared" si="0"/>
        <v>30.733</v>
      </c>
      <c r="H28" s="594">
        <v>37297.33541666667</v>
      </c>
      <c r="I28" s="595">
        <v>37297.62291666667</v>
      </c>
      <c r="J28" s="57">
        <f t="shared" si="1"/>
        <v>6.899999999965075</v>
      </c>
      <c r="K28" s="24">
        <f t="shared" si="2"/>
        <v>414</v>
      </c>
      <c r="L28" s="564" t="s">
        <v>163</v>
      </c>
      <c r="M28" s="566" t="str">
        <f t="shared" si="3"/>
        <v>--</v>
      </c>
      <c r="N28" s="597">
        <f t="shared" si="4"/>
        <v>200</v>
      </c>
      <c r="O28" s="598">
        <f t="shared" si="5"/>
        <v>4241.154000000001</v>
      </c>
      <c r="P28" s="599" t="str">
        <f t="shared" si="6"/>
        <v>--</v>
      </c>
      <c r="Q28" s="600" t="str">
        <f t="shared" si="7"/>
        <v>--</v>
      </c>
      <c r="R28" s="601" t="str">
        <f t="shared" si="8"/>
        <v>--</v>
      </c>
      <c r="S28" s="566" t="str">
        <f t="shared" si="9"/>
        <v>SI</v>
      </c>
      <c r="T28" s="60">
        <f t="shared" si="10"/>
        <v>4241.154000000001</v>
      </c>
      <c r="U28" s="112"/>
    </row>
    <row r="29" spans="2:21" s="15" customFormat="1" ht="16.5" customHeight="1">
      <c r="B29" s="108"/>
      <c r="C29" s="544">
        <v>15</v>
      </c>
      <c r="D29" s="591" t="s">
        <v>14</v>
      </c>
      <c r="E29" s="591" t="s">
        <v>27</v>
      </c>
      <c r="F29" s="592">
        <v>132</v>
      </c>
      <c r="G29" s="285">
        <f t="shared" si="0"/>
        <v>24.587</v>
      </c>
      <c r="H29" s="594">
        <v>37301.30138888889</v>
      </c>
      <c r="I29" s="595">
        <v>37301.521527777775</v>
      </c>
      <c r="J29" s="57">
        <f t="shared" si="1"/>
        <v>5.283333333267365</v>
      </c>
      <c r="K29" s="24">
        <f t="shared" si="2"/>
        <v>317</v>
      </c>
      <c r="L29" s="564" t="s">
        <v>163</v>
      </c>
      <c r="M29" s="566" t="str">
        <f t="shared" si="3"/>
        <v>--</v>
      </c>
      <c r="N29" s="597">
        <f t="shared" si="4"/>
        <v>40</v>
      </c>
      <c r="O29" s="598">
        <f t="shared" si="5"/>
        <v>519.2774400000001</v>
      </c>
      <c r="P29" s="599" t="str">
        <f t="shared" si="6"/>
        <v>--</v>
      </c>
      <c r="Q29" s="600" t="str">
        <f t="shared" si="7"/>
        <v>--</v>
      </c>
      <c r="R29" s="601" t="str">
        <f t="shared" si="8"/>
        <v>--</v>
      </c>
      <c r="S29" s="566" t="str">
        <f t="shared" si="9"/>
        <v>SI</v>
      </c>
      <c r="T29" s="60">
        <f t="shared" si="10"/>
        <v>519.2774400000001</v>
      </c>
      <c r="U29" s="112"/>
    </row>
    <row r="30" spans="2:21" s="15" customFormat="1" ht="16.5" customHeight="1">
      <c r="B30" s="108"/>
      <c r="C30" s="544">
        <v>16</v>
      </c>
      <c r="D30" s="591" t="s">
        <v>15</v>
      </c>
      <c r="E30" s="591" t="s">
        <v>28</v>
      </c>
      <c r="F30" s="592">
        <v>132</v>
      </c>
      <c r="G30" s="285">
        <f t="shared" si="0"/>
        <v>24.587</v>
      </c>
      <c r="H30" s="594">
        <v>37302.54305555556</v>
      </c>
      <c r="I30" s="595">
        <v>37302.57847222222</v>
      </c>
      <c r="J30" s="57">
        <f t="shared" si="1"/>
        <v>0.8499999999767169</v>
      </c>
      <c r="K30" s="24">
        <f t="shared" si="2"/>
        <v>51</v>
      </c>
      <c r="L30" s="564" t="s">
        <v>146</v>
      </c>
      <c r="M30" s="566" t="s">
        <v>164</v>
      </c>
      <c r="N30" s="597">
        <f t="shared" si="4"/>
        <v>40</v>
      </c>
      <c r="O30" s="598" t="str">
        <f t="shared" si="5"/>
        <v>--</v>
      </c>
      <c r="P30" s="599" t="str">
        <f t="shared" si="6"/>
        <v>--</v>
      </c>
      <c r="Q30" s="600">
        <f t="shared" si="7"/>
        <v>835.958</v>
      </c>
      <c r="R30" s="601" t="str">
        <f t="shared" si="8"/>
        <v>--</v>
      </c>
      <c r="S30" s="566" t="str">
        <f t="shared" si="9"/>
        <v>SI</v>
      </c>
      <c r="T30" s="60">
        <f t="shared" si="10"/>
        <v>835.958</v>
      </c>
      <c r="U30" s="112"/>
    </row>
    <row r="31" spans="2:21" s="15" customFormat="1" ht="16.5" customHeight="1">
      <c r="B31" s="108"/>
      <c r="C31" s="544">
        <v>18</v>
      </c>
      <c r="D31" s="591" t="s">
        <v>22</v>
      </c>
      <c r="E31" s="591" t="s">
        <v>24</v>
      </c>
      <c r="F31" s="592">
        <v>500</v>
      </c>
      <c r="G31" s="285">
        <f t="shared" si="0"/>
        <v>30.733</v>
      </c>
      <c r="H31" s="594">
        <v>37304.32916666667</v>
      </c>
      <c r="I31" s="595">
        <v>37304.850694444445</v>
      </c>
      <c r="J31" s="57">
        <f t="shared" si="1"/>
        <v>12.516666666604578</v>
      </c>
      <c r="K31" s="24">
        <f t="shared" si="2"/>
        <v>751</v>
      </c>
      <c r="L31" s="564" t="s">
        <v>163</v>
      </c>
      <c r="M31" s="566" t="str">
        <f t="shared" si="3"/>
        <v>--</v>
      </c>
      <c r="N31" s="597">
        <f t="shared" si="4"/>
        <v>200</v>
      </c>
      <c r="O31" s="598">
        <f t="shared" si="5"/>
        <v>7695.5432</v>
      </c>
      <c r="P31" s="599" t="str">
        <f t="shared" si="6"/>
        <v>--</v>
      </c>
      <c r="Q31" s="600" t="str">
        <f t="shared" si="7"/>
        <v>--</v>
      </c>
      <c r="R31" s="601" t="str">
        <f t="shared" si="8"/>
        <v>--</v>
      </c>
      <c r="S31" s="566" t="str">
        <f t="shared" si="9"/>
        <v>SI</v>
      </c>
      <c r="T31" s="60">
        <f t="shared" si="10"/>
        <v>7695.5432</v>
      </c>
      <c r="U31" s="112"/>
    </row>
    <row r="32" spans="2:21" s="15" customFormat="1" ht="16.5" customHeight="1">
      <c r="B32" s="108"/>
      <c r="C32" s="544">
        <v>19</v>
      </c>
      <c r="D32" s="591" t="s">
        <v>13</v>
      </c>
      <c r="E32" s="591" t="s">
        <v>144</v>
      </c>
      <c r="F32" s="592">
        <v>132</v>
      </c>
      <c r="G32" s="285">
        <f t="shared" si="0"/>
        <v>24.587</v>
      </c>
      <c r="H32" s="594">
        <v>37307.361805555556</v>
      </c>
      <c r="I32" s="595">
        <v>37307.490277777775</v>
      </c>
      <c r="J32" s="57">
        <f t="shared" si="1"/>
        <v>3.083333333255723</v>
      </c>
      <c r="K32" s="24">
        <f t="shared" si="2"/>
        <v>185</v>
      </c>
      <c r="L32" s="564" t="s">
        <v>163</v>
      </c>
      <c r="M32" s="566" t="str">
        <f t="shared" si="3"/>
        <v>--</v>
      </c>
      <c r="N32" s="597">
        <f t="shared" si="4"/>
        <v>40</v>
      </c>
      <c r="O32" s="598">
        <f t="shared" si="5"/>
        <v>302.91184000000004</v>
      </c>
      <c r="P32" s="599" t="str">
        <f t="shared" si="6"/>
        <v>--</v>
      </c>
      <c r="Q32" s="600" t="str">
        <f t="shared" si="7"/>
        <v>--</v>
      </c>
      <c r="R32" s="601" t="str">
        <f t="shared" si="8"/>
        <v>--</v>
      </c>
      <c r="S32" s="566" t="str">
        <f t="shared" si="9"/>
        <v>SI</v>
      </c>
      <c r="T32" s="60">
        <f t="shared" si="10"/>
        <v>302.91184000000004</v>
      </c>
      <c r="U32" s="112"/>
    </row>
    <row r="33" spans="2:21" s="15" customFormat="1" ht="16.5" customHeight="1">
      <c r="B33" s="108"/>
      <c r="C33" s="544">
        <v>20</v>
      </c>
      <c r="D33" s="591" t="s">
        <v>13</v>
      </c>
      <c r="E33" s="591" t="s">
        <v>145</v>
      </c>
      <c r="F33" s="592">
        <v>132</v>
      </c>
      <c r="G33" s="285">
        <f t="shared" si="0"/>
        <v>24.587</v>
      </c>
      <c r="H33" s="594">
        <v>37309.35486111111</v>
      </c>
      <c r="I33" s="595">
        <v>37309.68472222222</v>
      </c>
      <c r="J33" s="57">
        <f t="shared" si="1"/>
        <v>7.916666666627862</v>
      </c>
      <c r="K33" s="24">
        <f t="shared" si="2"/>
        <v>475</v>
      </c>
      <c r="L33" s="564" t="s">
        <v>163</v>
      </c>
      <c r="M33" s="566" t="str">
        <f t="shared" si="3"/>
        <v>--</v>
      </c>
      <c r="N33" s="597">
        <f t="shared" si="4"/>
        <v>40</v>
      </c>
      <c r="O33" s="598">
        <f t="shared" si="5"/>
        <v>778.9161600000001</v>
      </c>
      <c r="P33" s="599" t="str">
        <f t="shared" si="6"/>
        <v>--</v>
      </c>
      <c r="Q33" s="600" t="str">
        <f t="shared" si="7"/>
        <v>--</v>
      </c>
      <c r="R33" s="601" t="str">
        <f t="shared" si="8"/>
        <v>--</v>
      </c>
      <c r="S33" s="566" t="str">
        <f t="shared" si="9"/>
        <v>SI</v>
      </c>
      <c r="T33" s="60">
        <f t="shared" si="10"/>
        <v>778.9161600000001</v>
      </c>
      <c r="U33" s="112"/>
    </row>
    <row r="34" spans="2:21" s="15" customFormat="1" ht="16.5" customHeight="1">
      <c r="B34" s="108"/>
      <c r="C34" s="544">
        <v>21</v>
      </c>
      <c r="D34" s="591" t="s">
        <v>16</v>
      </c>
      <c r="E34" s="591" t="s">
        <v>136</v>
      </c>
      <c r="F34" s="592">
        <v>132</v>
      </c>
      <c r="G34" s="285">
        <f t="shared" si="0"/>
        <v>24.587</v>
      </c>
      <c r="H34" s="594">
        <v>37311.342361111114</v>
      </c>
      <c r="I34" s="595">
        <v>37311.44097222222</v>
      </c>
      <c r="J34" s="57">
        <f t="shared" si="1"/>
        <v>2.3666666665230878</v>
      </c>
      <c r="K34" s="24">
        <f t="shared" si="2"/>
        <v>142</v>
      </c>
      <c r="L34" s="564" t="s">
        <v>163</v>
      </c>
      <c r="M34" s="566" t="str">
        <f t="shared" si="3"/>
        <v>--</v>
      </c>
      <c r="N34" s="597">
        <f t="shared" si="4"/>
        <v>40</v>
      </c>
      <c r="O34" s="598">
        <f t="shared" si="5"/>
        <v>233.08476000000002</v>
      </c>
      <c r="P34" s="599" t="str">
        <f t="shared" si="6"/>
        <v>--</v>
      </c>
      <c r="Q34" s="600" t="str">
        <f t="shared" si="7"/>
        <v>--</v>
      </c>
      <c r="R34" s="601" t="str">
        <f t="shared" si="8"/>
        <v>--</v>
      </c>
      <c r="S34" s="566" t="str">
        <f t="shared" si="9"/>
        <v>SI</v>
      </c>
      <c r="T34" s="60">
        <f t="shared" si="10"/>
        <v>233.08476000000002</v>
      </c>
      <c r="U34" s="112"/>
    </row>
    <row r="35" spans="2:21" s="15" customFormat="1" ht="16.5" customHeight="1">
      <c r="B35" s="108"/>
      <c r="C35" s="544">
        <v>22</v>
      </c>
      <c r="D35" s="591" t="s">
        <v>10</v>
      </c>
      <c r="E35" s="591" t="s">
        <v>20</v>
      </c>
      <c r="F35" s="592">
        <v>132</v>
      </c>
      <c r="G35" s="285">
        <f t="shared" si="0"/>
        <v>24.587</v>
      </c>
      <c r="H35" s="594">
        <v>37311.37777777778</v>
      </c>
      <c r="I35" s="595">
        <v>37311.569444444445</v>
      </c>
      <c r="J35" s="57">
        <f t="shared" si="1"/>
        <v>4.599999999976717</v>
      </c>
      <c r="K35" s="24">
        <f t="shared" si="2"/>
        <v>276</v>
      </c>
      <c r="L35" s="564" t="s">
        <v>163</v>
      </c>
      <c r="M35" s="566" t="str">
        <f t="shared" si="3"/>
        <v>--</v>
      </c>
      <c r="N35" s="597">
        <f t="shared" si="4"/>
        <v>40</v>
      </c>
      <c r="O35" s="598">
        <f t="shared" si="5"/>
        <v>452.4008</v>
      </c>
      <c r="P35" s="599" t="str">
        <f t="shared" si="6"/>
        <v>--</v>
      </c>
      <c r="Q35" s="600" t="str">
        <f t="shared" si="7"/>
        <v>--</v>
      </c>
      <c r="R35" s="601" t="str">
        <f t="shared" si="8"/>
        <v>--</v>
      </c>
      <c r="S35" s="566" t="str">
        <f t="shared" si="9"/>
        <v>SI</v>
      </c>
      <c r="T35" s="60">
        <f t="shared" si="10"/>
        <v>452.4008</v>
      </c>
      <c r="U35" s="112"/>
    </row>
    <row r="36" spans="2:21" s="15" customFormat="1" ht="16.5" customHeight="1">
      <c r="B36" s="108"/>
      <c r="C36" s="544">
        <v>23</v>
      </c>
      <c r="D36" s="591" t="s">
        <v>9</v>
      </c>
      <c r="E36" s="591" t="s">
        <v>19</v>
      </c>
      <c r="F36" s="592">
        <v>500</v>
      </c>
      <c r="G36" s="285">
        <f t="shared" si="0"/>
        <v>30.733</v>
      </c>
      <c r="H36" s="594">
        <v>37313.461805555555</v>
      </c>
      <c r="I36" s="595">
        <v>37313.59652777778</v>
      </c>
      <c r="J36" s="57">
        <f t="shared" si="1"/>
        <v>3.2333333333954215</v>
      </c>
      <c r="K36" s="24">
        <f t="shared" si="2"/>
        <v>194</v>
      </c>
      <c r="L36" s="564" t="s">
        <v>163</v>
      </c>
      <c r="M36" s="566" t="str">
        <f t="shared" si="3"/>
        <v>--</v>
      </c>
      <c r="N36" s="597">
        <f t="shared" si="4"/>
        <v>200</v>
      </c>
      <c r="O36" s="598">
        <f t="shared" si="5"/>
        <v>1985.3518000000001</v>
      </c>
      <c r="P36" s="599" t="str">
        <f t="shared" si="6"/>
        <v>--</v>
      </c>
      <c r="Q36" s="600" t="str">
        <f t="shared" si="7"/>
        <v>--</v>
      </c>
      <c r="R36" s="601" t="str">
        <f t="shared" si="8"/>
        <v>--</v>
      </c>
      <c r="S36" s="566" t="str">
        <f t="shared" si="9"/>
        <v>SI</v>
      </c>
      <c r="T36" s="60">
        <f t="shared" si="10"/>
        <v>1985.3518000000001</v>
      </c>
      <c r="U36" s="112"/>
    </row>
    <row r="37" spans="2:21" s="15" customFormat="1" ht="16.5" customHeight="1">
      <c r="B37" s="108"/>
      <c r="C37" s="544">
        <v>24</v>
      </c>
      <c r="D37" s="591" t="s">
        <v>9</v>
      </c>
      <c r="E37" s="591" t="s">
        <v>19</v>
      </c>
      <c r="F37" s="592">
        <v>500</v>
      </c>
      <c r="G37" s="285">
        <f t="shared" si="0"/>
        <v>30.733</v>
      </c>
      <c r="H37" s="594">
        <v>37314.40416666667</v>
      </c>
      <c r="I37" s="595">
        <v>37314.57638888889</v>
      </c>
      <c r="J37" s="57">
        <f t="shared" si="1"/>
        <v>4.133333333360497</v>
      </c>
      <c r="K37" s="24">
        <f t="shared" si="2"/>
        <v>248</v>
      </c>
      <c r="L37" s="564" t="s">
        <v>163</v>
      </c>
      <c r="M37" s="566" t="str">
        <f t="shared" si="3"/>
        <v>--</v>
      </c>
      <c r="N37" s="597">
        <f t="shared" si="4"/>
        <v>200</v>
      </c>
      <c r="O37" s="598">
        <f t="shared" si="5"/>
        <v>2538.5458000000003</v>
      </c>
      <c r="P37" s="599" t="str">
        <f t="shared" si="6"/>
        <v>--</v>
      </c>
      <c r="Q37" s="600" t="str">
        <f t="shared" si="7"/>
        <v>--</v>
      </c>
      <c r="R37" s="601" t="str">
        <f t="shared" si="8"/>
        <v>--</v>
      </c>
      <c r="S37" s="566" t="str">
        <f t="shared" si="9"/>
        <v>SI</v>
      </c>
      <c r="T37" s="60">
        <f t="shared" si="10"/>
        <v>2538.5458000000003</v>
      </c>
      <c r="U37" s="112"/>
    </row>
    <row r="38" spans="2:21" s="15" customFormat="1" ht="16.5" customHeight="1">
      <c r="B38" s="108"/>
      <c r="C38" s="544">
        <v>25</v>
      </c>
      <c r="D38" s="591" t="s">
        <v>9</v>
      </c>
      <c r="E38" s="591" t="s">
        <v>19</v>
      </c>
      <c r="F38" s="592">
        <v>500</v>
      </c>
      <c r="G38" s="285">
        <f t="shared" si="0"/>
        <v>30.733</v>
      </c>
      <c r="H38" s="594">
        <v>37315.39861111111</v>
      </c>
      <c r="I38" s="595">
        <v>37315.58819444444</v>
      </c>
      <c r="J38" s="57">
        <f t="shared" si="1"/>
        <v>4.5499999999883585</v>
      </c>
      <c r="K38" s="24">
        <f t="shared" si="2"/>
        <v>273</v>
      </c>
      <c r="L38" s="564" t="s">
        <v>163</v>
      </c>
      <c r="M38" s="566" t="str">
        <f t="shared" si="3"/>
        <v>--</v>
      </c>
      <c r="N38" s="597">
        <f t="shared" si="4"/>
        <v>200</v>
      </c>
      <c r="O38" s="598">
        <f t="shared" si="5"/>
        <v>2796.703</v>
      </c>
      <c r="P38" s="599" t="str">
        <f t="shared" si="6"/>
        <v>--</v>
      </c>
      <c r="Q38" s="600" t="str">
        <f t="shared" si="7"/>
        <v>--</v>
      </c>
      <c r="R38" s="601" t="str">
        <f t="shared" si="8"/>
        <v>--</v>
      </c>
      <c r="S38" s="566" t="str">
        <f t="shared" si="9"/>
        <v>SI</v>
      </c>
      <c r="T38" s="60">
        <f t="shared" si="10"/>
        <v>2796.703</v>
      </c>
      <c r="U38" s="112"/>
    </row>
    <row r="39" spans="2:21" s="15" customFormat="1" ht="16.5" customHeight="1">
      <c r="B39" s="108"/>
      <c r="C39" s="544"/>
      <c r="D39" s="591"/>
      <c r="E39" s="591"/>
      <c r="F39" s="592"/>
      <c r="G39" s="285">
        <f t="shared" si="0"/>
        <v>24.587</v>
      </c>
      <c r="H39" s="594"/>
      <c r="I39" s="595"/>
      <c r="J39" s="57">
        <f t="shared" si="1"/>
      </c>
      <c r="K39" s="24">
        <f t="shared" si="2"/>
      </c>
      <c r="L39" s="564"/>
      <c r="M39" s="566">
        <f t="shared" si="3"/>
      </c>
      <c r="N39" s="597">
        <f t="shared" si="4"/>
        <v>40</v>
      </c>
      <c r="O39" s="598" t="str">
        <f t="shared" si="5"/>
        <v>--</v>
      </c>
      <c r="P39" s="599" t="str">
        <f t="shared" si="6"/>
        <v>--</v>
      </c>
      <c r="Q39" s="600" t="str">
        <f t="shared" si="7"/>
        <v>--</v>
      </c>
      <c r="R39" s="601" t="str">
        <f t="shared" si="8"/>
        <v>--</v>
      </c>
      <c r="S39" s="566">
        <f t="shared" si="9"/>
      </c>
      <c r="T39" s="60">
        <f t="shared" si="10"/>
      </c>
      <c r="U39" s="112"/>
    </row>
    <row r="40" spans="2:21" s="15" customFormat="1" ht="16.5" customHeight="1">
      <c r="B40" s="108"/>
      <c r="C40" s="544"/>
      <c r="D40" s="591"/>
      <c r="E40" s="591"/>
      <c r="F40" s="592"/>
      <c r="G40" s="285">
        <f t="shared" si="0"/>
        <v>24.587</v>
      </c>
      <c r="H40" s="594"/>
      <c r="I40" s="595"/>
      <c r="J40" s="57">
        <f t="shared" si="1"/>
      </c>
      <c r="K40" s="24">
        <f t="shared" si="2"/>
      </c>
      <c r="L40" s="564"/>
      <c r="M40" s="566">
        <f t="shared" si="3"/>
      </c>
      <c r="N40" s="597">
        <f t="shared" si="4"/>
        <v>40</v>
      </c>
      <c r="O40" s="598" t="str">
        <f t="shared" si="5"/>
        <v>--</v>
      </c>
      <c r="P40" s="599" t="str">
        <f t="shared" si="6"/>
        <v>--</v>
      </c>
      <c r="Q40" s="600" t="str">
        <f t="shared" si="7"/>
        <v>--</v>
      </c>
      <c r="R40" s="601" t="str">
        <f t="shared" si="8"/>
        <v>--</v>
      </c>
      <c r="S40" s="566">
        <f t="shared" si="9"/>
      </c>
      <c r="T40" s="60">
        <f t="shared" si="10"/>
      </c>
      <c r="U40" s="112"/>
    </row>
    <row r="41" spans="2:21" s="15" customFormat="1" ht="16.5" customHeight="1">
      <c r="B41" s="108"/>
      <c r="C41" s="544"/>
      <c r="D41" s="591"/>
      <c r="E41" s="591"/>
      <c r="F41" s="592"/>
      <c r="G41" s="285">
        <f t="shared" si="0"/>
        <v>24.587</v>
      </c>
      <c r="H41" s="594"/>
      <c r="I41" s="595"/>
      <c r="J41" s="57">
        <f t="shared" si="1"/>
      </c>
      <c r="K41" s="24">
        <f t="shared" si="2"/>
      </c>
      <c r="L41" s="564"/>
      <c r="M41" s="566">
        <f t="shared" si="3"/>
      </c>
      <c r="N41" s="597">
        <f t="shared" si="4"/>
        <v>40</v>
      </c>
      <c r="O41" s="598" t="str">
        <f t="shared" si="5"/>
        <v>--</v>
      </c>
      <c r="P41" s="599" t="str">
        <f t="shared" si="6"/>
        <v>--</v>
      </c>
      <c r="Q41" s="600" t="str">
        <f t="shared" si="7"/>
        <v>--</v>
      </c>
      <c r="R41" s="601" t="str">
        <f t="shared" si="8"/>
        <v>--</v>
      </c>
      <c r="S41" s="566">
        <f t="shared" si="9"/>
      </c>
      <c r="T41" s="60">
        <f t="shared" si="10"/>
      </c>
      <c r="U41" s="112"/>
    </row>
    <row r="42" spans="2:21" s="15" customFormat="1" ht="16.5" customHeight="1">
      <c r="B42" s="108"/>
      <c r="C42" s="544"/>
      <c r="D42" s="591"/>
      <c r="E42" s="591"/>
      <c r="F42" s="592"/>
      <c r="G42" s="285">
        <f t="shared" si="0"/>
        <v>24.587</v>
      </c>
      <c r="H42" s="594"/>
      <c r="I42" s="595"/>
      <c r="J42" s="57">
        <f t="shared" si="1"/>
      </c>
      <c r="K42" s="24">
        <f t="shared" si="2"/>
      </c>
      <c r="L42" s="564"/>
      <c r="M42" s="566">
        <f t="shared" si="3"/>
      </c>
      <c r="N42" s="597">
        <f t="shared" si="4"/>
        <v>40</v>
      </c>
      <c r="O42" s="598" t="str">
        <f t="shared" si="5"/>
        <v>--</v>
      </c>
      <c r="P42" s="599" t="str">
        <f t="shared" si="6"/>
        <v>--</v>
      </c>
      <c r="Q42" s="600" t="str">
        <f t="shared" si="7"/>
        <v>--</v>
      </c>
      <c r="R42" s="601" t="str">
        <f t="shared" si="8"/>
        <v>--</v>
      </c>
      <c r="S42" s="566">
        <f t="shared" si="9"/>
      </c>
      <c r="T42" s="60">
        <f t="shared" si="10"/>
      </c>
      <c r="U42" s="112"/>
    </row>
    <row r="43" spans="2:21" s="15" customFormat="1" ht="16.5" customHeight="1" thickBot="1">
      <c r="B43" s="108"/>
      <c r="C43" s="553"/>
      <c r="D43" s="593"/>
      <c r="E43" s="593"/>
      <c r="F43" s="554"/>
      <c r="G43" s="286"/>
      <c r="H43" s="596"/>
      <c r="I43" s="596"/>
      <c r="J43" s="61"/>
      <c r="K43" s="61"/>
      <c r="L43" s="596"/>
      <c r="M43" s="563"/>
      <c r="N43" s="602"/>
      <c r="O43" s="603"/>
      <c r="P43" s="604"/>
      <c r="Q43" s="605"/>
      <c r="R43" s="606"/>
      <c r="S43" s="563"/>
      <c r="T43" s="192"/>
      <c r="U43" s="112"/>
    </row>
    <row r="44" spans="2:21" s="15" customFormat="1" ht="16.5" customHeight="1" thickBot="1" thickTop="1">
      <c r="B44" s="108"/>
      <c r="C44" s="224" t="s">
        <v>74</v>
      </c>
      <c r="D44" s="225" t="s">
        <v>75</v>
      </c>
      <c r="E44"/>
      <c r="F44" s="13"/>
      <c r="G44" s="13"/>
      <c r="H44" s="13"/>
      <c r="I44" s="13"/>
      <c r="J44" s="13"/>
      <c r="K44" s="13"/>
      <c r="L44" s="13"/>
      <c r="M44" s="13"/>
      <c r="N44" s="13"/>
      <c r="O44" s="377">
        <f>SUM(O22:O43)</f>
        <v>24083.734360000006</v>
      </c>
      <c r="P44" s="384">
        <f>SUM(P22:P43)</f>
        <v>0</v>
      </c>
      <c r="Q44" s="385">
        <f>SUM(Q22:Q43)</f>
        <v>835.958</v>
      </c>
      <c r="R44" s="387">
        <f>SUM(R22:R43)</f>
        <v>0</v>
      </c>
      <c r="S44" s="62"/>
      <c r="T44" s="63">
        <f>ROUND(SUM(T22:T43),2)</f>
        <v>24919.69</v>
      </c>
      <c r="U44" s="112"/>
    </row>
    <row r="45" spans="2:21" s="228" customFormat="1" ht="13.5" thickTop="1">
      <c r="B45" s="229"/>
      <c r="C45" s="226"/>
      <c r="D45" s="227" t="s">
        <v>76</v>
      </c>
      <c r="E45"/>
      <c r="F45" s="239"/>
      <c r="G45" s="239"/>
      <c r="H45" s="239"/>
      <c r="I45" s="239"/>
      <c r="J45" s="239"/>
      <c r="K45" s="239"/>
      <c r="L45" s="239"/>
      <c r="M45" s="239"/>
      <c r="N45" s="239"/>
      <c r="O45" s="238"/>
      <c r="P45" s="238"/>
      <c r="Q45" s="238"/>
      <c r="R45" s="238"/>
      <c r="S45" s="238"/>
      <c r="T45" s="240"/>
      <c r="U45" s="241"/>
    </row>
    <row r="46" spans="2:21" s="15" customFormat="1" ht="16.5" customHeight="1" thickBot="1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</row>
    <row r="47" spans="21:23" ht="16.5" customHeight="1" thickTop="1">
      <c r="U47" s="4"/>
      <c r="V47" s="4"/>
      <c r="W47" s="4"/>
    </row>
    <row r="48" spans="21:23" ht="16.5" customHeight="1">
      <c r="U48" s="4"/>
      <c r="V48" s="4"/>
      <c r="W48" s="4"/>
    </row>
    <row r="49" spans="21:23" ht="16.5" customHeight="1">
      <c r="U49" s="4"/>
      <c r="V49" s="4"/>
      <c r="W49" s="4"/>
    </row>
    <row r="50" spans="21:23" ht="16.5" customHeight="1">
      <c r="U50" s="4"/>
      <c r="V50" s="4"/>
      <c r="W50" s="4"/>
    </row>
    <row r="51" spans="21:23" ht="16.5" customHeight="1">
      <c r="U51" s="4"/>
      <c r="V51" s="4"/>
      <c r="W51" s="4"/>
    </row>
    <row r="52" spans="4:23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4:23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3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4:23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4:23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4:23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4:23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4:23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3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4:23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4:23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4:23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4:23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3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4:23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4:23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4:23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4:23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4:23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4:23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4:23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4:23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4:23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4:23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4:23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4:23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4:23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4:23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4:23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4:23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4:23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4:23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4:23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4:23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4:23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4:23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4:23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4:23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4:23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4:23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4:23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4:23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4:23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4:23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4:23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4:23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4:23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4:23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4:23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4:23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4:23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4:23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4:23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4:23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4:23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4:23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4:23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4:23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4:23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4:23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4:23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4:23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4:23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4:23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4:23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4:23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4:23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4:23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4:23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4:23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4:23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4:23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4:23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4:23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4:23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4:23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4:23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4:23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4:23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4:23" ht="16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4:23" ht="16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4:23" ht="16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4:23" ht="16.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4:23" ht="16.5" customHeight="1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zoomScale="75" zoomScaleNormal="75" workbookViewId="0" topLeftCell="A20">
      <selection activeCell="S26" sqref="S26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6" customFormat="1" ht="26.25">
      <c r="A1" s="126"/>
      <c r="U1" s="531"/>
    </row>
    <row r="2" spans="1:21" s="76" customFormat="1" ht="26.25">
      <c r="A2" s="126"/>
      <c r="B2" s="77" t="str">
        <f>+'tot-0202'!B2</f>
        <v>ANEXO I a la Resolución ENRE N° 090/2003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="15" customFormat="1" ht="12.75">
      <c r="A3" s="48"/>
    </row>
    <row r="4" spans="1:2" s="83" customFormat="1" ht="11.25">
      <c r="A4" s="81" t="s">
        <v>31</v>
      </c>
      <c r="B4" s="157"/>
    </row>
    <row r="5" spans="1:2" s="83" customFormat="1" ht="11.25">
      <c r="A5" s="81" t="s">
        <v>32</v>
      </c>
      <c r="B5" s="157"/>
    </row>
    <row r="6" s="15" customFormat="1" ht="13.5" thickBot="1"/>
    <row r="7" spans="2:21" s="15" customFormat="1" ht="13.5" thickTop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69"/>
    </row>
    <row r="8" spans="2:21" s="9" customFormat="1" ht="20.25">
      <c r="B8" s="141"/>
      <c r="C8" s="10"/>
      <c r="D8" s="50" t="s">
        <v>47</v>
      </c>
      <c r="L8" s="161"/>
      <c r="M8" s="161"/>
      <c r="N8" s="33"/>
      <c r="O8" s="10"/>
      <c r="P8" s="10"/>
      <c r="Q8" s="10"/>
      <c r="R8" s="10"/>
      <c r="S8" s="10"/>
      <c r="T8" s="10"/>
      <c r="U8" s="178"/>
    </row>
    <row r="9" spans="2:21" s="15" customFormat="1" ht="12.75">
      <c r="B9" s="108"/>
      <c r="C9" s="1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3"/>
      <c r="Q9" s="13"/>
      <c r="R9" s="13"/>
      <c r="S9" s="13"/>
      <c r="T9" s="13"/>
      <c r="U9" s="112"/>
    </row>
    <row r="10" spans="2:21" s="9" customFormat="1" ht="20.25">
      <c r="B10" s="141"/>
      <c r="C10" s="10"/>
      <c r="D10" s="162" t="s">
        <v>91</v>
      </c>
      <c r="E10" s="34"/>
      <c r="F10" s="161"/>
      <c r="G10" s="179"/>
      <c r="I10" s="179"/>
      <c r="J10" s="179"/>
      <c r="K10" s="179"/>
      <c r="L10" s="179"/>
      <c r="M10" s="179"/>
      <c r="N10" s="179"/>
      <c r="O10" s="10"/>
      <c r="P10" s="10"/>
      <c r="Q10" s="10"/>
      <c r="R10" s="10"/>
      <c r="S10" s="10"/>
      <c r="T10" s="10"/>
      <c r="U10" s="178"/>
    </row>
    <row r="11" spans="2:21" s="15" customFormat="1" ht="13.5">
      <c r="B11" s="108"/>
      <c r="C11" s="13"/>
      <c r="D11" s="177"/>
      <c r="E11" s="177"/>
      <c r="F11" s="48"/>
      <c r="G11" s="170"/>
      <c r="H11" s="110"/>
      <c r="I11" s="170"/>
      <c r="J11" s="170"/>
      <c r="K11" s="170"/>
      <c r="L11" s="170"/>
      <c r="M11" s="170"/>
      <c r="N11" s="170"/>
      <c r="O11" s="13"/>
      <c r="P11" s="13"/>
      <c r="Q11" s="13"/>
      <c r="R11" s="13"/>
      <c r="S11" s="13"/>
      <c r="T11" s="13"/>
      <c r="U11" s="112"/>
    </row>
    <row r="12" spans="2:21" s="15" customFormat="1" ht="19.5">
      <c r="B12" s="96" t="str">
        <f>+'tot-0202'!B14</f>
        <v>Desde el 01 al 28 de febrero de 2002</v>
      </c>
      <c r="C12" s="99"/>
      <c r="D12" s="99"/>
      <c r="E12" s="99"/>
      <c r="F12" s="99"/>
      <c r="G12" s="180"/>
      <c r="H12" s="180"/>
      <c r="I12" s="180"/>
      <c r="J12" s="180"/>
      <c r="K12" s="180"/>
      <c r="L12" s="180"/>
      <c r="M12" s="180"/>
      <c r="N12" s="180"/>
      <c r="O12" s="99"/>
      <c r="P12" s="99"/>
      <c r="Q12" s="99"/>
      <c r="R12" s="99"/>
      <c r="S12" s="99"/>
      <c r="T12" s="99"/>
      <c r="U12" s="181"/>
    </row>
    <row r="13" spans="2:21" s="15" customFormat="1" ht="14.25" thickBot="1">
      <c r="B13" s="182"/>
      <c r="C13" s="183"/>
      <c r="D13" s="183"/>
      <c r="E13" s="183"/>
      <c r="F13" s="183"/>
      <c r="G13" s="184"/>
      <c r="H13" s="184"/>
      <c r="I13" s="184"/>
      <c r="J13" s="184"/>
      <c r="K13" s="184"/>
      <c r="L13" s="184"/>
      <c r="M13" s="184"/>
      <c r="N13" s="184"/>
      <c r="O13" s="183"/>
      <c r="P13" s="183"/>
      <c r="Q13" s="183"/>
      <c r="R13" s="183"/>
      <c r="S13" s="183"/>
      <c r="T13" s="183"/>
      <c r="U13" s="185"/>
    </row>
    <row r="14" spans="2:21" s="15" customFormat="1" ht="15" thickBot="1" thickTop="1">
      <c r="B14" s="108"/>
      <c r="C14" s="13"/>
      <c r="D14" s="186"/>
      <c r="E14" s="186"/>
      <c r="F14" s="187" t="s">
        <v>86</v>
      </c>
      <c r="G14" s="13"/>
      <c r="H14" s="1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12"/>
    </row>
    <row r="15" spans="2:21" s="15" customFormat="1" ht="16.5" customHeight="1" thickBot="1" thickTop="1">
      <c r="B15" s="108"/>
      <c r="C15" s="13"/>
      <c r="D15" s="535" t="s">
        <v>87</v>
      </c>
      <c r="E15" s="536">
        <v>11.787</v>
      </c>
      <c r="F15" s="537">
        <v>200</v>
      </c>
      <c r="T15" s="133"/>
      <c r="U15" s="112"/>
    </row>
    <row r="16" spans="2:21" s="15" customFormat="1" ht="16.5" customHeight="1" thickBot="1" thickTop="1">
      <c r="B16" s="108"/>
      <c r="C16" s="13"/>
      <c r="D16" s="538" t="s">
        <v>88</v>
      </c>
      <c r="E16" s="539">
        <v>10.609</v>
      </c>
      <c r="F16" s="537">
        <v>100</v>
      </c>
      <c r="M16" s="13"/>
      <c r="N16" s="13"/>
      <c r="O16" s="13"/>
      <c r="P16" s="13"/>
      <c r="Q16" s="13"/>
      <c r="R16" s="13"/>
      <c r="S16" s="13"/>
      <c r="T16" s="13"/>
      <c r="U16" s="112"/>
    </row>
    <row r="17" spans="2:21" s="15" customFormat="1" ht="16.5" customHeight="1" thickBot="1" thickTop="1">
      <c r="B17" s="108"/>
      <c r="C17" s="13"/>
      <c r="D17" s="540" t="s">
        <v>89</v>
      </c>
      <c r="E17" s="607">
        <v>9.43</v>
      </c>
      <c r="F17" s="537">
        <v>40</v>
      </c>
      <c r="M17" s="13"/>
      <c r="O17" s="13"/>
      <c r="P17" s="13"/>
      <c r="Q17" s="13"/>
      <c r="R17" s="13"/>
      <c r="S17" s="13"/>
      <c r="T17" s="13"/>
      <c r="U17" s="112"/>
    </row>
    <row r="18" spans="2:21" s="15" customFormat="1" ht="16.5" customHeight="1" thickBot="1" thickTop="1">
      <c r="B18" s="108"/>
      <c r="C18" s="20"/>
      <c r="D18" s="65"/>
      <c r="E18" s="65"/>
      <c r="F18" s="171"/>
      <c r="G18" s="172"/>
      <c r="H18" s="172"/>
      <c r="I18" s="172"/>
      <c r="J18" s="172"/>
      <c r="K18" s="172"/>
      <c r="L18" s="172"/>
      <c r="M18" s="172"/>
      <c r="N18" s="58"/>
      <c r="O18" s="173"/>
      <c r="P18" s="174"/>
      <c r="Q18" s="174"/>
      <c r="R18" s="174"/>
      <c r="S18" s="175"/>
      <c r="T18" s="176"/>
      <c r="U18" s="112"/>
    </row>
    <row r="19" spans="2:21" s="15" customFormat="1" ht="33.75" customHeight="1" thickBot="1" thickTop="1">
      <c r="B19" s="108"/>
      <c r="C19" s="148" t="s">
        <v>52</v>
      </c>
      <c r="D19" s="154" t="s">
        <v>80</v>
      </c>
      <c r="E19" s="152" t="s">
        <v>29</v>
      </c>
      <c r="F19" s="189" t="s">
        <v>53</v>
      </c>
      <c r="G19" s="284" t="s">
        <v>57</v>
      </c>
      <c r="H19" s="150" t="s">
        <v>58</v>
      </c>
      <c r="I19" s="152" t="s">
        <v>59</v>
      </c>
      <c r="J19" s="190" t="s">
        <v>60</v>
      </c>
      <c r="K19" s="190" t="s">
        <v>61</v>
      </c>
      <c r="L19" s="153" t="s">
        <v>62</v>
      </c>
      <c r="M19" s="151" t="s">
        <v>65</v>
      </c>
      <c r="N19" s="371" t="s">
        <v>56</v>
      </c>
      <c r="O19" s="369" t="s">
        <v>77</v>
      </c>
      <c r="P19" s="378" t="s">
        <v>90</v>
      </c>
      <c r="Q19" s="379"/>
      <c r="R19" s="388" t="s">
        <v>70</v>
      </c>
      <c r="S19" s="155" t="s">
        <v>72</v>
      </c>
      <c r="T19" s="167" t="s">
        <v>73</v>
      </c>
      <c r="U19" s="112"/>
    </row>
    <row r="20" spans="2:21" s="15" customFormat="1" ht="16.5" customHeight="1" thickTop="1">
      <c r="B20" s="108"/>
      <c r="C20" s="19"/>
      <c r="D20" s="53"/>
      <c r="E20" s="53"/>
      <c r="F20" s="53"/>
      <c r="G20" s="289"/>
      <c r="H20" s="53"/>
      <c r="I20" s="53"/>
      <c r="J20" s="53"/>
      <c r="K20" s="53"/>
      <c r="L20" s="53"/>
      <c r="M20" s="53"/>
      <c r="N20" s="370"/>
      <c r="O20" s="374"/>
      <c r="P20" s="382"/>
      <c r="Q20" s="383"/>
      <c r="R20" s="386"/>
      <c r="S20" s="53"/>
      <c r="T20" s="191"/>
      <c r="U20" s="112"/>
    </row>
    <row r="21" spans="2:21" s="15" customFormat="1" ht="16.5" customHeight="1">
      <c r="B21" s="108"/>
      <c r="C21" s="544" t="s">
        <v>149</v>
      </c>
      <c r="D21" s="591" t="s">
        <v>26</v>
      </c>
      <c r="E21" s="591" t="s">
        <v>148</v>
      </c>
      <c r="F21" s="592">
        <v>132</v>
      </c>
      <c r="G21" s="285">
        <f aca="true" t="shared" si="0" ref="G21:G41">IF(F21=500,$E$15,IF(F21=220,$E$16,$E$17))</f>
        <v>9.43</v>
      </c>
      <c r="H21" s="594">
        <v>37292.38402777778</v>
      </c>
      <c r="I21" s="595">
        <v>37292.63888888889</v>
      </c>
      <c r="J21" s="57">
        <f aca="true" t="shared" si="1" ref="J21:J41">IF(D21="","",(I21-H21)*24)</f>
        <v>6.116666666697711</v>
      </c>
      <c r="K21" s="24">
        <f aca="true" t="shared" si="2" ref="K21:K41">IF(D21="","",ROUND((I21-H21)*24*60,0))</f>
        <v>367</v>
      </c>
      <c r="L21" s="564" t="s">
        <v>163</v>
      </c>
      <c r="M21" s="566" t="str">
        <f aca="true" t="shared" si="3" ref="M21:M41">IF(D21="","",IF(L21="P","--","NO"))</f>
        <v>--</v>
      </c>
      <c r="N21" s="597">
        <f aca="true" t="shared" si="4" ref="N21:N41">IF(F21=500,$F$15,IF(F21=220,$F$16,$F$17))</f>
        <v>40</v>
      </c>
      <c r="O21" s="598">
        <f aca="true" t="shared" si="5" ref="O21:O41">IF(L21="P",G21*N21*ROUND(K21/60,2)*0.1,"--")</f>
        <v>230.84640000000002</v>
      </c>
      <c r="P21" s="599" t="str">
        <f aca="true" t="shared" si="6" ref="P21:P41">IF(AND(L21="F",M21="NO"),G21*N21,"--")</f>
        <v>--</v>
      </c>
      <c r="Q21" s="600" t="str">
        <f aca="true" t="shared" si="7" ref="Q21:Q41">IF(L21="F",G21*N21*ROUND(K21/60,2),"--")</f>
        <v>--</v>
      </c>
      <c r="R21" s="601" t="str">
        <f aca="true" t="shared" si="8" ref="R21:R41">IF(L21="RF",G21*N21*ROUND(K21/60,2),"--")</f>
        <v>--</v>
      </c>
      <c r="S21" s="566" t="str">
        <f aca="true" t="shared" si="9" ref="S21:S41">IF(D21="","","SI")</f>
        <v>SI</v>
      </c>
      <c r="T21" s="60">
        <f aca="true" t="shared" si="10" ref="T21:T41">IF(D21="","",SUM(O21:R21)*IF(S21="SI",1,2))</f>
        <v>230.84640000000002</v>
      </c>
      <c r="U21" s="112"/>
    </row>
    <row r="22" spans="2:21" s="15" customFormat="1" ht="16.5" customHeight="1">
      <c r="B22" s="108"/>
      <c r="C22" s="544" t="s">
        <v>150</v>
      </c>
      <c r="D22" s="591" t="s">
        <v>26</v>
      </c>
      <c r="E22" s="591" t="s">
        <v>148</v>
      </c>
      <c r="F22" s="592">
        <v>132</v>
      </c>
      <c r="G22" s="285">
        <f t="shared" si="0"/>
        <v>9.43</v>
      </c>
      <c r="H22" s="594">
        <v>37293.384722222225</v>
      </c>
      <c r="I22" s="595">
        <v>37293.65069444444</v>
      </c>
      <c r="J22" s="57">
        <f t="shared" si="1"/>
        <v>6.383333333185874</v>
      </c>
      <c r="K22" s="24">
        <f t="shared" si="2"/>
        <v>383</v>
      </c>
      <c r="L22" s="564" t="s">
        <v>163</v>
      </c>
      <c r="M22" s="566" t="str">
        <f t="shared" si="3"/>
        <v>--</v>
      </c>
      <c r="N22" s="597">
        <f t="shared" si="4"/>
        <v>40</v>
      </c>
      <c r="O22" s="598">
        <f t="shared" si="5"/>
        <v>240.6536</v>
      </c>
      <c r="P22" s="599" t="str">
        <f t="shared" si="6"/>
        <v>--</v>
      </c>
      <c r="Q22" s="600" t="str">
        <f t="shared" si="7"/>
        <v>--</v>
      </c>
      <c r="R22" s="601" t="str">
        <f t="shared" si="8"/>
        <v>--</v>
      </c>
      <c r="S22" s="566" t="str">
        <f t="shared" si="9"/>
        <v>SI</v>
      </c>
      <c r="T22" s="60">
        <f t="shared" si="10"/>
        <v>240.6536</v>
      </c>
      <c r="U22" s="112"/>
    </row>
    <row r="23" spans="2:21" s="15" customFormat="1" ht="16.5" customHeight="1">
      <c r="B23" s="108"/>
      <c r="C23" s="544" t="s">
        <v>157</v>
      </c>
      <c r="D23" s="591" t="s">
        <v>26</v>
      </c>
      <c r="E23" s="591" t="s">
        <v>148</v>
      </c>
      <c r="F23" s="592">
        <v>132</v>
      </c>
      <c r="G23" s="285">
        <f t="shared" si="0"/>
        <v>9.43</v>
      </c>
      <c r="H23" s="594">
        <v>37294.36111111111</v>
      </c>
      <c r="I23" s="595">
        <v>37294.63125</v>
      </c>
      <c r="J23" s="57">
        <f t="shared" si="1"/>
        <v>6.483333333337214</v>
      </c>
      <c r="K23" s="24">
        <f t="shared" si="2"/>
        <v>389</v>
      </c>
      <c r="L23" s="564" t="s">
        <v>163</v>
      </c>
      <c r="M23" s="566" t="str">
        <f t="shared" si="3"/>
        <v>--</v>
      </c>
      <c r="N23" s="597">
        <f t="shared" si="4"/>
        <v>40</v>
      </c>
      <c r="O23" s="598">
        <f t="shared" si="5"/>
        <v>244.42560000000003</v>
      </c>
      <c r="P23" s="599" t="str">
        <f t="shared" si="6"/>
        <v>--</v>
      </c>
      <c r="Q23" s="600" t="str">
        <f t="shared" si="7"/>
        <v>--</v>
      </c>
      <c r="R23" s="601" t="str">
        <f t="shared" si="8"/>
        <v>--</v>
      </c>
      <c r="S23" s="566" t="str">
        <f t="shared" si="9"/>
        <v>SI</v>
      </c>
      <c r="T23" s="60">
        <f t="shared" si="10"/>
        <v>244.42560000000003</v>
      </c>
      <c r="U23" s="112"/>
    </row>
    <row r="24" spans="2:21" s="15" customFormat="1" ht="16.5" customHeight="1">
      <c r="B24" s="108"/>
      <c r="C24" s="544" t="s">
        <v>151</v>
      </c>
      <c r="D24" s="591" t="s">
        <v>26</v>
      </c>
      <c r="E24" s="591" t="s">
        <v>148</v>
      </c>
      <c r="F24" s="592">
        <v>132</v>
      </c>
      <c r="G24" s="285">
        <f t="shared" si="0"/>
        <v>9.43</v>
      </c>
      <c r="H24" s="594">
        <v>37295.36875</v>
      </c>
      <c r="I24" s="595">
        <v>37295.618055555555</v>
      </c>
      <c r="J24" s="57">
        <f t="shared" si="1"/>
        <v>5.983333333279006</v>
      </c>
      <c r="K24" s="24">
        <f t="shared" si="2"/>
        <v>359</v>
      </c>
      <c r="L24" s="564" t="s">
        <v>163</v>
      </c>
      <c r="M24" s="566" t="str">
        <f t="shared" si="3"/>
        <v>--</v>
      </c>
      <c r="N24" s="597">
        <f t="shared" si="4"/>
        <v>40</v>
      </c>
      <c r="O24" s="598">
        <f t="shared" si="5"/>
        <v>225.56560000000002</v>
      </c>
      <c r="P24" s="599" t="str">
        <f t="shared" si="6"/>
        <v>--</v>
      </c>
      <c r="Q24" s="600" t="str">
        <f t="shared" si="7"/>
        <v>--</v>
      </c>
      <c r="R24" s="601" t="str">
        <f t="shared" si="8"/>
        <v>--</v>
      </c>
      <c r="S24" s="566" t="str">
        <f t="shared" si="9"/>
        <v>SI</v>
      </c>
      <c r="T24" s="60">
        <f t="shared" si="10"/>
        <v>225.56560000000002</v>
      </c>
      <c r="U24" s="112"/>
    </row>
    <row r="25" spans="2:21" s="15" customFormat="1" ht="16.5" customHeight="1">
      <c r="B25" s="108"/>
      <c r="C25" s="544" t="s">
        <v>158</v>
      </c>
      <c r="D25" s="591" t="s">
        <v>26</v>
      </c>
      <c r="E25" s="591" t="s">
        <v>153</v>
      </c>
      <c r="F25" s="592">
        <v>132</v>
      </c>
      <c r="G25" s="285">
        <f t="shared" si="0"/>
        <v>9.43</v>
      </c>
      <c r="H25" s="594">
        <v>37305.347916666666</v>
      </c>
      <c r="I25" s="595">
        <v>37305.63680555556</v>
      </c>
      <c r="J25" s="57">
        <f t="shared" si="1"/>
        <v>6.933333333407063</v>
      </c>
      <c r="K25" s="24">
        <f t="shared" si="2"/>
        <v>416</v>
      </c>
      <c r="L25" s="564" t="s">
        <v>163</v>
      </c>
      <c r="M25" s="566" t="str">
        <f t="shared" si="3"/>
        <v>--</v>
      </c>
      <c r="N25" s="597">
        <f t="shared" si="4"/>
        <v>40</v>
      </c>
      <c r="O25" s="598">
        <f t="shared" si="5"/>
        <v>261.39959999999996</v>
      </c>
      <c r="P25" s="599" t="str">
        <f t="shared" si="6"/>
        <v>--</v>
      </c>
      <c r="Q25" s="600" t="str">
        <f t="shared" si="7"/>
        <v>--</v>
      </c>
      <c r="R25" s="601" t="str">
        <f t="shared" si="8"/>
        <v>--</v>
      </c>
      <c r="S25" s="566" t="str">
        <f t="shared" si="9"/>
        <v>SI</v>
      </c>
      <c r="T25" s="60">
        <f t="shared" si="10"/>
        <v>261.39959999999996</v>
      </c>
      <c r="U25" s="112"/>
    </row>
    <row r="26" spans="2:21" s="15" customFormat="1" ht="16.5" customHeight="1">
      <c r="B26" s="108"/>
      <c r="C26" s="544" t="s">
        <v>152</v>
      </c>
      <c r="D26" s="591" t="s">
        <v>30</v>
      </c>
      <c r="E26" s="591" t="s">
        <v>155</v>
      </c>
      <c r="F26" s="592">
        <v>132</v>
      </c>
      <c r="G26" s="285">
        <f t="shared" si="0"/>
        <v>9.43</v>
      </c>
      <c r="H26" s="594">
        <v>37305.39166666667</v>
      </c>
      <c r="I26" s="595">
        <v>37305.620833333334</v>
      </c>
      <c r="J26" s="57">
        <f t="shared" si="1"/>
        <v>5.499999999941792</v>
      </c>
      <c r="K26" s="24">
        <f t="shared" si="2"/>
        <v>330</v>
      </c>
      <c r="L26" s="564" t="s">
        <v>163</v>
      </c>
      <c r="M26" s="566" t="str">
        <f t="shared" si="3"/>
        <v>--</v>
      </c>
      <c r="N26" s="597">
        <f t="shared" si="4"/>
        <v>40</v>
      </c>
      <c r="O26" s="598">
        <f t="shared" si="5"/>
        <v>207.46</v>
      </c>
      <c r="P26" s="599" t="str">
        <f t="shared" si="6"/>
        <v>--</v>
      </c>
      <c r="Q26" s="600" t="str">
        <f t="shared" si="7"/>
        <v>--</v>
      </c>
      <c r="R26" s="601" t="str">
        <f t="shared" si="8"/>
        <v>--</v>
      </c>
      <c r="S26" s="566" t="str">
        <f t="shared" si="9"/>
        <v>SI</v>
      </c>
      <c r="T26" s="60">
        <f t="shared" si="10"/>
        <v>207.46</v>
      </c>
      <c r="U26" s="112"/>
    </row>
    <row r="27" spans="2:21" s="15" customFormat="1" ht="16.5" customHeight="1">
      <c r="B27" s="108"/>
      <c r="C27" s="544" t="s">
        <v>154</v>
      </c>
      <c r="D27" s="591" t="s">
        <v>30</v>
      </c>
      <c r="E27" s="591" t="s">
        <v>155</v>
      </c>
      <c r="F27" s="592">
        <v>132</v>
      </c>
      <c r="G27" s="285">
        <f t="shared" si="0"/>
        <v>9.43</v>
      </c>
      <c r="H27" s="594">
        <v>37306.35</v>
      </c>
      <c r="I27" s="595">
        <v>37306.60763888889</v>
      </c>
      <c r="J27" s="57">
        <f t="shared" si="1"/>
        <v>6.183333333407063</v>
      </c>
      <c r="K27" s="24">
        <f t="shared" si="2"/>
        <v>371</v>
      </c>
      <c r="L27" s="564" t="s">
        <v>163</v>
      </c>
      <c r="M27" s="566" t="str">
        <f t="shared" si="3"/>
        <v>--</v>
      </c>
      <c r="N27" s="597">
        <f t="shared" si="4"/>
        <v>40</v>
      </c>
      <c r="O27" s="598">
        <f t="shared" si="5"/>
        <v>233.1096</v>
      </c>
      <c r="P27" s="599" t="str">
        <f t="shared" si="6"/>
        <v>--</v>
      </c>
      <c r="Q27" s="600" t="str">
        <f t="shared" si="7"/>
        <v>--</v>
      </c>
      <c r="R27" s="601" t="str">
        <f t="shared" si="8"/>
        <v>--</v>
      </c>
      <c r="S27" s="566" t="str">
        <f t="shared" si="9"/>
        <v>SI</v>
      </c>
      <c r="T27" s="60">
        <f t="shared" si="10"/>
        <v>233.1096</v>
      </c>
      <c r="U27" s="112"/>
    </row>
    <row r="28" spans="2:21" s="15" customFormat="1" ht="16.5" customHeight="1">
      <c r="B28" s="108"/>
      <c r="C28" s="544" t="s">
        <v>159</v>
      </c>
      <c r="D28" s="591" t="s">
        <v>26</v>
      </c>
      <c r="E28" s="591" t="s">
        <v>153</v>
      </c>
      <c r="F28" s="592">
        <v>132</v>
      </c>
      <c r="G28" s="285">
        <f t="shared" si="0"/>
        <v>9.43</v>
      </c>
      <c r="H28" s="594">
        <v>37306.36388888889</v>
      </c>
      <c r="I28" s="595">
        <v>37306.64027777778</v>
      </c>
      <c r="J28" s="57">
        <f t="shared" si="1"/>
        <v>6.633333333302289</v>
      </c>
      <c r="K28" s="24">
        <f t="shared" si="2"/>
        <v>398</v>
      </c>
      <c r="L28" s="564" t="s">
        <v>163</v>
      </c>
      <c r="M28" s="566" t="str">
        <f t="shared" si="3"/>
        <v>--</v>
      </c>
      <c r="N28" s="597">
        <f t="shared" si="4"/>
        <v>40</v>
      </c>
      <c r="O28" s="598">
        <f t="shared" si="5"/>
        <v>250.0836</v>
      </c>
      <c r="P28" s="599" t="str">
        <f t="shared" si="6"/>
        <v>--</v>
      </c>
      <c r="Q28" s="600" t="str">
        <f t="shared" si="7"/>
        <v>--</v>
      </c>
      <c r="R28" s="601" t="str">
        <f t="shared" si="8"/>
        <v>--</v>
      </c>
      <c r="S28" s="566" t="str">
        <f t="shared" si="9"/>
        <v>SI</v>
      </c>
      <c r="T28" s="60">
        <f t="shared" si="10"/>
        <v>250.0836</v>
      </c>
      <c r="U28" s="112"/>
    </row>
    <row r="29" spans="2:21" s="15" customFormat="1" ht="16.5" customHeight="1">
      <c r="B29" s="108"/>
      <c r="C29" s="544" t="s">
        <v>156</v>
      </c>
      <c r="D29" s="591" t="s">
        <v>26</v>
      </c>
      <c r="E29" s="591" t="s">
        <v>153</v>
      </c>
      <c r="F29" s="592">
        <v>132</v>
      </c>
      <c r="G29" s="285">
        <f t="shared" si="0"/>
        <v>9.43</v>
      </c>
      <c r="H29" s="594">
        <v>37307.35138888889</v>
      </c>
      <c r="I29" s="595">
        <v>37307.62777777778</v>
      </c>
      <c r="J29" s="57">
        <f t="shared" si="1"/>
        <v>6.633333333302289</v>
      </c>
      <c r="K29" s="24">
        <f t="shared" si="2"/>
        <v>398</v>
      </c>
      <c r="L29" s="564" t="s">
        <v>163</v>
      </c>
      <c r="M29" s="566" t="str">
        <f t="shared" si="3"/>
        <v>--</v>
      </c>
      <c r="N29" s="597">
        <f t="shared" si="4"/>
        <v>40</v>
      </c>
      <c r="O29" s="598">
        <f t="shared" si="5"/>
        <v>250.0836</v>
      </c>
      <c r="P29" s="599" t="str">
        <f t="shared" si="6"/>
        <v>--</v>
      </c>
      <c r="Q29" s="600" t="str">
        <f t="shared" si="7"/>
        <v>--</v>
      </c>
      <c r="R29" s="601" t="str">
        <f t="shared" si="8"/>
        <v>--</v>
      </c>
      <c r="S29" s="566" t="str">
        <f t="shared" si="9"/>
        <v>SI</v>
      </c>
      <c r="T29" s="60">
        <f t="shared" si="10"/>
        <v>250.0836</v>
      </c>
      <c r="U29" s="112"/>
    </row>
    <row r="30" spans="2:21" s="15" customFormat="1" ht="16.5" customHeight="1">
      <c r="B30" s="108"/>
      <c r="C30" s="544" t="s">
        <v>160</v>
      </c>
      <c r="D30" s="591" t="s">
        <v>26</v>
      </c>
      <c r="E30" s="591" t="s">
        <v>153</v>
      </c>
      <c r="F30" s="592">
        <v>132</v>
      </c>
      <c r="G30" s="285">
        <f t="shared" si="0"/>
        <v>9.43</v>
      </c>
      <c r="H30" s="594">
        <v>37308.35486111111</v>
      </c>
      <c r="I30" s="595">
        <v>37308.63402777778</v>
      </c>
      <c r="J30" s="57">
        <f t="shared" si="1"/>
        <v>6.7000000000116415</v>
      </c>
      <c r="K30" s="24">
        <f t="shared" si="2"/>
        <v>402</v>
      </c>
      <c r="L30" s="564" t="s">
        <v>163</v>
      </c>
      <c r="M30" s="566" t="str">
        <f t="shared" si="3"/>
        <v>--</v>
      </c>
      <c r="N30" s="597">
        <f>IF(F30=500,$F$15,IF(F30=220,$F$16,$F$17))</f>
        <v>40</v>
      </c>
      <c r="O30" s="598">
        <f>IF(L30="P",G30*N30*ROUND(K30/60,2)*0.1,"--")</f>
        <v>252.724</v>
      </c>
      <c r="P30" s="599" t="str">
        <f>IF(AND(L30="F",M30="NO"),G30*N30,"--")</f>
        <v>--</v>
      </c>
      <c r="Q30" s="600" t="str">
        <f>IF(L30="F",G30*N30*ROUND(K30/60,2),"--")</f>
        <v>--</v>
      </c>
      <c r="R30" s="601" t="str">
        <f>IF(L30="RF",G30*N30*ROUND(K30/60,2),"--")</f>
        <v>--</v>
      </c>
      <c r="S30" s="566" t="s">
        <v>164</v>
      </c>
      <c r="T30" s="60">
        <f t="shared" si="10"/>
        <v>252.724</v>
      </c>
      <c r="U30" s="112"/>
    </row>
    <row r="31" spans="2:21" s="15" customFormat="1" ht="16.5" customHeight="1">
      <c r="B31" s="108"/>
      <c r="C31" s="544" t="s">
        <v>161</v>
      </c>
      <c r="D31" s="591" t="s">
        <v>30</v>
      </c>
      <c r="E31" s="591" t="s">
        <v>155</v>
      </c>
      <c r="F31" s="592">
        <v>132</v>
      </c>
      <c r="G31" s="285">
        <f t="shared" si="0"/>
        <v>9.43</v>
      </c>
      <c r="H31" s="594">
        <v>37309.256944444445</v>
      </c>
      <c r="I31" s="595">
        <v>37309.59930555556</v>
      </c>
      <c r="J31" s="57">
        <f t="shared" si="1"/>
        <v>8.216666666732635</v>
      </c>
      <c r="K31" s="24">
        <f t="shared" si="2"/>
        <v>493</v>
      </c>
      <c r="L31" s="564" t="s">
        <v>163</v>
      </c>
      <c r="M31" s="566" t="str">
        <f t="shared" si="3"/>
        <v>--</v>
      </c>
      <c r="N31" s="597">
        <f t="shared" si="4"/>
        <v>40</v>
      </c>
      <c r="O31" s="598">
        <f t="shared" si="5"/>
        <v>310.05840000000006</v>
      </c>
      <c r="P31" s="599" t="str">
        <f t="shared" si="6"/>
        <v>--</v>
      </c>
      <c r="Q31" s="600" t="str">
        <f t="shared" si="7"/>
        <v>--</v>
      </c>
      <c r="R31" s="601" t="str">
        <f t="shared" si="8"/>
        <v>--</v>
      </c>
      <c r="S31" s="566" t="str">
        <f t="shared" si="9"/>
        <v>SI</v>
      </c>
      <c r="T31" s="60">
        <f t="shared" si="10"/>
        <v>310.05840000000006</v>
      </c>
      <c r="U31" s="112"/>
    </row>
    <row r="32" spans="2:21" s="15" customFormat="1" ht="16.5" customHeight="1">
      <c r="B32" s="108"/>
      <c r="C32" s="544" t="s">
        <v>162</v>
      </c>
      <c r="D32" s="591" t="s">
        <v>26</v>
      </c>
      <c r="E32" s="591" t="s">
        <v>153</v>
      </c>
      <c r="F32" s="592">
        <v>132</v>
      </c>
      <c r="G32" s="285">
        <f t="shared" si="0"/>
        <v>9.43</v>
      </c>
      <c r="H32" s="594">
        <v>37309.35833333333</v>
      </c>
      <c r="I32" s="595">
        <v>37309.63125</v>
      </c>
      <c r="J32" s="57">
        <f t="shared" si="1"/>
        <v>6.550000000046566</v>
      </c>
      <c r="K32" s="24">
        <f t="shared" si="2"/>
        <v>393</v>
      </c>
      <c r="L32" s="564" t="s">
        <v>163</v>
      </c>
      <c r="M32" s="566" t="str">
        <f t="shared" si="3"/>
        <v>--</v>
      </c>
      <c r="N32" s="597">
        <f t="shared" si="4"/>
        <v>40</v>
      </c>
      <c r="O32" s="598">
        <f t="shared" si="5"/>
        <v>247.066</v>
      </c>
      <c r="P32" s="599" t="str">
        <f t="shared" si="6"/>
        <v>--</v>
      </c>
      <c r="Q32" s="600" t="str">
        <f t="shared" si="7"/>
        <v>--</v>
      </c>
      <c r="R32" s="601" t="str">
        <f t="shared" si="8"/>
        <v>--</v>
      </c>
      <c r="S32" s="566" t="str">
        <f t="shared" si="9"/>
        <v>SI</v>
      </c>
      <c r="T32" s="60">
        <f t="shared" si="10"/>
        <v>247.066</v>
      </c>
      <c r="U32" s="112"/>
    </row>
    <row r="33" spans="2:21" s="15" customFormat="1" ht="16.5" customHeight="1">
      <c r="B33" s="108"/>
      <c r="C33" s="544"/>
      <c r="D33" s="591"/>
      <c r="E33" s="591"/>
      <c r="F33" s="592"/>
      <c r="G33" s="285">
        <f t="shared" si="0"/>
        <v>9.43</v>
      </c>
      <c r="H33" s="594"/>
      <c r="I33" s="595"/>
      <c r="J33" s="57">
        <f t="shared" si="1"/>
      </c>
      <c r="K33" s="24">
        <f t="shared" si="2"/>
      </c>
      <c r="L33" s="564"/>
      <c r="M33" s="566">
        <f t="shared" si="3"/>
      </c>
      <c r="N33" s="597">
        <f t="shared" si="4"/>
        <v>40</v>
      </c>
      <c r="O33" s="598" t="str">
        <f t="shared" si="5"/>
        <v>--</v>
      </c>
      <c r="P33" s="599" t="str">
        <f t="shared" si="6"/>
        <v>--</v>
      </c>
      <c r="Q33" s="600" t="str">
        <f t="shared" si="7"/>
        <v>--</v>
      </c>
      <c r="R33" s="601" t="str">
        <f t="shared" si="8"/>
        <v>--</v>
      </c>
      <c r="S33" s="566">
        <f t="shared" si="9"/>
      </c>
      <c r="T33" s="60">
        <f t="shared" si="10"/>
      </c>
      <c r="U33" s="112"/>
    </row>
    <row r="34" spans="2:21" s="15" customFormat="1" ht="16.5" customHeight="1">
      <c r="B34" s="108"/>
      <c r="C34" s="544"/>
      <c r="D34" s="591"/>
      <c r="E34" s="591"/>
      <c r="F34" s="592"/>
      <c r="G34" s="285">
        <f t="shared" si="0"/>
        <v>9.43</v>
      </c>
      <c r="H34" s="594"/>
      <c r="I34" s="595"/>
      <c r="J34" s="57">
        <f t="shared" si="1"/>
      </c>
      <c r="K34" s="24">
        <f t="shared" si="2"/>
      </c>
      <c r="L34" s="564"/>
      <c r="M34" s="566">
        <f t="shared" si="3"/>
      </c>
      <c r="N34" s="597">
        <f t="shared" si="4"/>
        <v>40</v>
      </c>
      <c r="O34" s="598" t="str">
        <f t="shared" si="5"/>
        <v>--</v>
      </c>
      <c r="P34" s="599" t="str">
        <f t="shared" si="6"/>
        <v>--</v>
      </c>
      <c r="Q34" s="600" t="str">
        <f t="shared" si="7"/>
        <v>--</v>
      </c>
      <c r="R34" s="601" t="str">
        <f t="shared" si="8"/>
        <v>--</v>
      </c>
      <c r="S34" s="566">
        <f t="shared" si="9"/>
      </c>
      <c r="T34" s="60">
        <f t="shared" si="10"/>
      </c>
      <c r="U34" s="112"/>
    </row>
    <row r="35" spans="2:21" s="15" customFormat="1" ht="16.5" customHeight="1">
      <c r="B35" s="108"/>
      <c r="C35" s="544"/>
      <c r="D35" s="591"/>
      <c r="E35" s="591"/>
      <c r="F35" s="592"/>
      <c r="G35" s="285">
        <f t="shared" si="0"/>
        <v>9.43</v>
      </c>
      <c r="H35" s="594"/>
      <c r="I35" s="595"/>
      <c r="J35" s="57">
        <f t="shared" si="1"/>
      </c>
      <c r="K35" s="24">
        <f t="shared" si="2"/>
      </c>
      <c r="L35" s="564"/>
      <c r="M35" s="566">
        <f t="shared" si="3"/>
      </c>
      <c r="N35" s="597">
        <f t="shared" si="4"/>
        <v>40</v>
      </c>
      <c r="O35" s="598" t="str">
        <f t="shared" si="5"/>
        <v>--</v>
      </c>
      <c r="P35" s="599" t="str">
        <f t="shared" si="6"/>
        <v>--</v>
      </c>
      <c r="Q35" s="600" t="str">
        <f t="shared" si="7"/>
        <v>--</v>
      </c>
      <c r="R35" s="601" t="str">
        <f t="shared" si="8"/>
        <v>--</v>
      </c>
      <c r="S35" s="566">
        <f t="shared" si="9"/>
      </c>
      <c r="T35" s="60">
        <f t="shared" si="10"/>
      </c>
      <c r="U35" s="112"/>
    </row>
    <row r="36" spans="2:21" s="15" customFormat="1" ht="16.5" customHeight="1">
      <c r="B36" s="108"/>
      <c r="C36" s="544"/>
      <c r="D36" s="591"/>
      <c r="E36" s="591"/>
      <c r="F36" s="592"/>
      <c r="G36" s="285">
        <f t="shared" si="0"/>
        <v>9.43</v>
      </c>
      <c r="H36" s="594"/>
      <c r="I36" s="595"/>
      <c r="J36" s="57">
        <f t="shared" si="1"/>
      </c>
      <c r="K36" s="24">
        <f t="shared" si="2"/>
      </c>
      <c r="L36" s="564"/>
      <c r="M36" s="566">
        <f t="shared" si="3"/>
      </c>
      <c r="N36" s="597">
        <f t="shared" si="4"/>
        <v>40</v>
      </c>
      <c r="O36" s="598" t="str">
        <f t="shared" si="5"/>
        <v>--</v>
      </c>
      <c r="P36" s="599" t="str">
        <f t="shared" si="6"/>
        <v>--</v>
      </c>
      <c r="Q36" s="600" t="str">
        <f t="shared" si="7"/>
        <v>--</v>
      </c>
      <c r="R36" s="601" t="str">
        <f t="shared" si="8"/>
        <v>--</v>
      </c>
      <c r="S36" s="566">
        <f t="shared" si="9"/>
      </c>
      <c r="T36" s="60">
        <f t="shared" si="10"/>
      </c>
      <c r="U36" s="112"/>
    </row>
    <row r="37" spans="2:21" s="15" customFormat="1" ht="16.5" customHeight="1">
      <c r="B37" s="108"/>
      <c r="C37" s="544"/>
      <c r="D37" s="591"/>
      <c r="E37" s="591"/>
      <c r="F37" s="592"/>
      <c r="G37" s="285">
        <f t="shared" si="0"/>
        <v>9.43</v>
      </c>
      <c r="H37" s="594"/>
      <c r="I37" s="595"/>
      <c r="J37" s="57">
        <f t="shared" si="1"/>
      </c>
      <c r="K37" s="24">
        <f t="shared" si="2"/>
      </c>
      <c r="L37" s="564"/>
      <c r="M37" s="566">
        <f t="shared" si="3"/>
      </c>
      <c r="N37" s="597">
        <f t="shared" si="4"/>
        <v>40</v>
      </c>
      <c r="O37" s="598" t="str">
        <f t="shared" si="5"/>
        <v>--</v>
      </c>
      <c r="P37" s="599" t="str">
        <f t="shared" si="6"/>
        <v>--</v>
      </c>
      <c r="Q37" s="600" t="str">
        <f t="shared" si="7"/>
        <v>--</v>
      </c>
      <c r="R37" s="601" t="str">
        <f t="shared" si="8"/>
        <v>--</v>
      </c>
      <c r="S37" s="566">
        <f t="shared" si="9"/>
      </c>
      <c r="T37" s="60">
        <f t="shared" si="10"/>
      </c>
      <c r="U37" s="112"/>
    </row>
    <row r="38" spans="2:21" s="15" customFormat="1" ht="16.5" customHeight="1">
      <c r="B38" s="108"/>
      <c r="C38" s="544"/>
      <c r="D38" s="591"/>
      <c r="E38" s="591"/>
      <c r="F38" s="592"/>
      <c r="G38" s="285">
        <f t="shared" si="0"/>
        <v>9.43</v>
      </c>
      <c r="H38" s="594"/>
      <c r="I38" s="595"/>
      <c r="J38" s="57">
        <f t="shared" si="1"/>
      </c>
      <c r="K38" s="24">
        <f t="shared" si="2"/>
      </c>
      <c r="L38" s="564"/>
      <c r="M38" s="566">
        <f t="shared" si="3"/>
      </c>
      <c r="N38" s="597">
        <f t="shared" si="4"/>
        <v>40</v>
      </c>
      <c r="O38" s="598" t="str">
        <f t="shared" si="5"/>
        <v>--</v>
      </c>
      <c r="P38" s="599" t="str">
        <f t="shared" si="6"/>
        <v>--</v>
      </c>
      <c r="Q38" s="600" t="str">
        <f t="shared" si="7"/>
        <v>--</v>
      </c>
      <c r="R38" s="601" t="str">
        <f t="shared" si="8"/>
        <v>--</v>
      </c>
      <c r="S38" s="566">
        <f t="shared" si="9"/>
      </c>
      <c r="T38" s="60">
        <f t="shared" si="10"/>
      </c>
      <c r="U38" s="112"/>
    </row>
    <row r="39" spans="2:21" s="15" customFormat="1" ht="16.5" customHeight="1">
      <c r="B39" s="108"/>
      <c r="C39" s="544"/>
      <c r="D39" s="591"/>
      <c r="E39" s="591"/>
      <c r="F39" s="592"/>
      <c r="G39" s="285">
        <f t="shared" si="0"/>
        <v>9.43</v>
      </c>
      <c r="H39" s="594"/>
      <c r="I39" s="595"/>
      <c r="J39" s="57">
        <f t="shared" si="1"/>
      </c>
      <c r="K39" s="24">
        <f t="shared" si="2"/>
      </c>
      <c r="L39" s="564"/>
      <c r="M39" s="566">
        <f t="shared" si="3"/>
      </c>
      <c r="N39" s="597">
        <f t="shared" si="4"/>
        <v>40</v>
      </c>
      <c r="O39" s="598" t="str">
        <f t="shared" si="5"/>
        <v>--</v>
      </c>
      <c r="P39" s="599" t="str">
        <f t="shared" si="6"/>
        <v>--</v>
      </c>
      <c r="Q39" s="600" t="str">
        <f t="shared" si="7"/>
        <v>--</v>
      </c>
      <c r="R39" s="601" t="str">
        <f t="shared" si="8"/>
        <v>--</v>
      </c>
      <c r="S39" s="566">
        <f t="shared" si="9"/>
      </c>
      <c r="T39" s="60">
        <f t="shared" si="10"/>
      </c>
      <c r="U39" s="112"/>
    </row>
    <row r="40" spans="2:21" s="15" customFormat="1" ht="16.5" customHeight="1">
      <c r="B40" s="108"/>
      <c r="C40" s="544"/>
      <c r="D40" s="591"/>
      <c r="E40" s="591"/>
      <c r="F40" s="592"/>
      <c r="G40" s="285">
        <f t="shared" si="0"/>
        <v>9.43</v>
      </c>
      <c r="H40" s="594"/>
      <c r="I40" s="595"/>
      <c r="J40" s="57">
        <f t="shared" si="1"/>
      </c>
      <c r="K40" s="24">
        <f t="shared" si="2"/>
      </c>
      <c r="L40" s="564"/>
      <c r="M40" s="566">
        <f t="shared" si="3"/>
      </c>
      <c r="N40" s="597">
        <f t="shared" si="4"/>
        <v>40</v>
      </c>
      <c r="O40" s="598" t="str">
        <f t="shared" si="5"/>
        <v>--</v>
      </c>
      <c r="P40" s="599" t="str">
        <f t="shared" si="6"/>
        <v>--</v>
      </c>
      <c r="Q40" s="600" t="str">
        <f t="shared" si="7"/>
        <v>--</v>
      </c>
      <c r="R40" s="601" t="str">
        <f t="shared" si="8"/>
        <v>--</v>
      </c>
      <c r="S40" s="566">
        <f t="shared" si="9"/>
      </c>
      <c r="T40" s="60">
        <f t="shared" si="10"/>
      </c>
      <c r="U40" s="112"/>
    </row>
    <row r="41" spans="2:21" s="15" customFormat="1" ht="16.5" customHeight="1">
      <c r="B41" s="108"/>
      <c r="C41" s="544"/>
      <c r="D41" s="591"/>
      <c r="E41" s="591"/>
      <c r="F41" s="592"/>
      <c r="G41" s="285">
        <f t="shared" si="0"/>
        <v>9.43</v>
      </c>
      <c r="H41" s="594"/>
      <c r="I41" s="595"/>
      <c r="J41" s="57">
        <f t="shared" si="1"/>
      </c>
      <c r="K41" s="24">
        <f t="shared" si="2"/>
      </c>
      <c r="L41" s="564"/>
      <c r="M41" s="566">
        <f t="shared" si="3"/>
      </c>
      <c r="N41" s="597">
        <f t="shared" si="4"/>
        <v>40</v>
      </c>
      <c r="O41" s="598" t="str">
        <f t="shared" si="5"/>
        <v>--</v>
      </c>
      <c r="P41" s="599" t="str">
        <f t="shared" si="6"/>
        <v>--</v>
      </c>
      <c r="Q41" s="600" t="str">
        <f t="shared" si="7"/>
        <v>--</v>
      </c>
      <c r="R41" s="601" t="str">
        <f t="shared" si="8"/>
        <v>--</v>
      </c>
      <c r="S41" s="566">
        <f t="shared" si="9"/>
      </c>
      <c r="T41" s="60">
        <f t="shared" si="10"/>
      </c>
      <c r="U41" s="112"/>
    </row>
    <row r="42" spans="2:21" s="15" customFormat="1" ht="16.5" customHeight="1" thickBot="1">
      <c r="B42" s="108"/>
      <c r="C42" s="553"/>
      <c r="D42" s="593"/>
      <c r="E42" s="593"/>
      <c r="F42" s="554"/>
      <c r="G42" s="286"/>
      <c r="H42" s="596"/>
      <c r="I42" s="596"/>
      <c r="J42" s="61"/>
      <c r="K42" s="61"/>
      <c r="L42" s="596"/>
      <c r="M42" s="563"/>
      <c r="N42" s="602"/>
      <c r="O42" s="603"/>
      <c r="P42" s="604"/>
      <c r="Q42" s="605"/>
      <c r="R42" s="606"/>
      <c r="S42" s="563"/>
      <c r="T42" s="746"/>
      <c r="U42" s="112"/>
    </row>
    <row r="43" spans="2:21" s="15" customFormat="1" ht="16.5" customHeight="1" thickBot="1" thickTop="1">
      <c r="B43" s="108"/>
      <c r="C43" s="224" t="s">
        <v>74</v>
      </c>
      <c r="D43" s="225" t="s">
        <v>75</v>
      </c>
      <c r="E43"/>
      <c r="F43" s="13"/>
      <c r="G43" s="13"/>
      <c r="H43" s="13"/>
      <c r="I43" s="13"/>
      <c r="J43" s="13"/>
      <c r="K43" s="13"/>
      <c r="L43" s="13"/>
      <c r="M43" s="13"/>
      <c r="N43" s="13"/>
      <c r="O43" s="377">
        <f>SUM(O20:O42)</f>
        <v>2953.476</v>
      </c>
      <c r="P43" s="384">
        <f>SUM(P20:P42)</f>
        <v>0</v>
      </c>
      <c r="Q43" s="385">
        <f>SUM(Q20:Q42)</f>
        <v>0</v>
      </c>
      <c r="R43" s="387">
        <f>SUM(R20:R42)</f>
        <v>0</v>
      </c>
      <c r="S43" s="62"/>
      <c r="T43" s="63">
        <f>ROUND(SUM(T20:T42),2)</f>
        <v>2953.48</v>
      </c>
      <c r="U43" s="112"/>
    </row>
    <row r="44" spans="2:21" s="228" customFormat="1" ht="13.5" thickTop="1">
      <c r="B44" s="229"/>
      <c r="C44" s="226"/>
      <c r="D44" s="227" t="s">
        <v>76</v>
      </c>
      <c r="E44"/>
      <c r="F44" s="239"/>
      <c r="G44" s="239"/>
      <c r="H44" s="239"/>
      <c r="I44" s="239"/>
      <c r="J44" s="239"/>
      <c r="K44" s="239"/>
      <c r="L44" s="239"/>
      <c r="M44" s="239"/>
      <c r="N44" s="239"/>
      <c r="O44" s="238"/>
      <c r="P44" s="238"/>
      <c r="Q44" s="238"/>
      <c r="R44" s="238"/>
      <c r="S44" s="238"/>
      <c r="T44" s="240"/>
      <c r="U44" s="241"/>
    </row>
    <row r="45" spans="2:21" s="15" customFormat="1" ht="16.5" customHeight="1" thickBot="1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</row>
    <row r="46" spans="21:23" ht="16.5" customHeight="1" thickTop="1">
      <c r="U46" s="4"/>
      <c r="V46" s="4"/>
      <c r="W46" s="4"/>
    </row>
    <row r="47" spans="21:23" ht="16.5" customHeight="1">
      <c r="U47" s="4"/>
      <c r="V47" s="4"/>
      <c r="W47" s="4"/>
    </row>
    <row r="48" spans="21:23" ht="16.5" customHeight="1">
      <c r="U48" s="4"/>
      <c r="V48" s="4"/>
      <c r="W48" s="4"/>
    </row>
    <row r="49" spans="21:23" ht="16.5" customHeight="1">
      <c r="U49" s="4"/>
      <c r="V49" s="4"/>
      <c r="W49" s="4"/>
    </row>
    <row r="50" spans="21:23" ht="16.5" customHeight="1">
      <c r="U50" s="4"/>
      <c r="V50" s="4"/>
      <c r="W50" s="4"/>
    </row>
    <row r="51" spans="4:23" ht="16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4:23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4:23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3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4:23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4:23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4:23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4:23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4:23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3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4:23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4:23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4:23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4:23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3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4:23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4:23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4:23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4:23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4:23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4:23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4:23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4:23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4:23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4:23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4:23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4:23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4:23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4:23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4:23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4:23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4:23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4:23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4:23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4:23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4:23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4:23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4:23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4:23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4:23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4:23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4:23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4:23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4:23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4:23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4:23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4:23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4:23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4:23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4:23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4:23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4:23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4:23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4:23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4:23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4:23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4:23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4:23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4:23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4:23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4:23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4:23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4:23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4:23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4:23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4:23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4:23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4:23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4:23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4:23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4:23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4:23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4:23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4:23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4:23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4:23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4:23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4:23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4:23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4:23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4:23" ht="16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4:23" ht="16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4:23" ht="16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4:23" ht="16.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W159"/>
  <sheetViews>
    <sheetView zoomScale="75" zoomScaleNormal="75" workbookViewId="0" topLeftCell="F26">
      <selection activeCell="S48" sqref="S48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6" customFormat="1" ht="26.25">
      <c r="A1" s="126"/>
      <c r="U1" s="531"/>
    </row>
    <row r="2" spans="1:21" s="76" customFormat="1" ht="26.25">
      <c r="A2" s="126"/>
      <c r="B2" s="77" t="str">
        <f>+'tot-0202'!B2</f>
        <v>ANEXO I a la Resolución ENRE N° 090/2003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="15" customFormat="1" ht="12.75">
      <c r="A3" s="48"/>
    </row>
    <row r="4" spans="1:2" s="83" customFormat="1" ht="11.25">
      <c r="A4" s="81" t="s">
        <v>31</v>
      </c>
      <c r="B4" s="157"/>
    </row>
    <row r="5" spans="1:2" s="83" customFormat="1" ht="11.25">
      <c r="A5" s="81" t="s">
        <v>32</v>
      </c>
      <c r="B5" s="157"/>
    </row>
    <row r="6" s="15" customFormat="1" ht="13.5" thickBot="1"/>
    <row r="7" spans="2:21" s="15" customFormat="1" ht="13.5" thickTop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69"/>
    </row>
    <row r="8" spans="2:21" s="9" customFormat="1" ht="20.25">
      <c r="B8" s="141"/>
      <c r="C8" s="10"/>
      <c r="D8" s="50" t="s">
        <v>47</v>
      </c>
      <c r="L8" s="161"/>
      <c r="M8" s="161"/>
      <c r="N8" s="33"/>
      <c r="O8" s="10"/>
      <c r="P8" s="10"/>
      <c r="Q8" s="10"/>
      <c r="R8" s="10"/>
      <c r="S8" s="10"/>
      <c r="T8" s="10"/>
      <c r="U8" s="178"/>
    </row>
    <row r="9" spans="2:21" s="15" customFormat="1" ht="12.75">
      <c r="B9" s="108"/>
      <c r="C9" s="1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3"/>
      <c r="Q9" s="13"/>
      <c r="R9" s="13"/>
      <c r="S9" s="13"/>
      <c r="T9" s="13"/>
      <c r="U9" s="112"/>
    </row>
    <row r="10" spans="2:21" s="9" customFormat="1" ht="20.25">
      <c r="B10" s="141"/>
      <c r="C10" s="10"/>
      <c r="D10" s="162" t="s">
        <v>84</v>
      </c>
      <c r="E10" s="34"/>
      <c r="F10" s="161"/>
      <c r="G10" s="179"/>
      <c r="I10" s="179"/>
      <c r="J10" s="179"/>
      <c r="K10" s="179"/>
      <c r="L10" s="179"/>
      <c r="M10" s="179"/>
      <c r="N10" s="179"/>
      <c r="O10" s="10"/>
      <c r="P10" s="10"/>
      <c r="Q10" s="10"/>
      <c r="R10" s="10"/>
      <c r="S10" s="10"/>
      <c r="T10" s="10"/>
      <c r="U10" s="178"/>
    </row>
    <row r="11" spans="2:21" s="15" customFormat="1" ht="13.5">
      <c r="B11" s="108"/>
      <c r="C11" s="13"/>
      <c r="D11" s="177"/>
      <c r="E11" s="177"/>
      <c r="F11" s="48"/>
      <c r="G11" s="170"/>
      <c r="H11" s="110"/>
      <c r="I11" s="170"/>
      <c r="J11" s="170"/>
      <c r="K11" s="170"/>
      <c r="L11" s="170"/>
      <c r="M11" s="170"/>
      <c r="N11" s="170"/>
      <c r="O11" s="13"/>
      <c r="P11" s="13"/>
      <c r="Q11" s="13"/>
      <c r="R11" s="13"/>
      <c r="S11" s="13"/>
      <c r="T11" s="13"/>
      <c r="U11" s="112"/>
    </row>
    <row r="12" spans="2:21" s="9" customFormat="1" ht="20.25">
      <c r="B12" s="141"/>
      <c r="C12" s="10"/>
      <c r="D12" s="162" t="s">
        <v>85</v>
      </c>
      <c r="E12" s="34"/>
      <c r="F12" s="161"/>
      <c r="G12" s="179"/>
      <c r="I12" s="179"/>
      <c r="J12" s="179"/>
      <c r="K12" s="179"/>
      <c r="L12" s="179"/>
      <c r="M12" s="179"/>
      <c r="N12" s="179"/>
      <c r="O12" s="10"/>
      <c r="P12" s="10"/>
      <c r="Q12" s="10"/>
      <c r="R12" s="10"/>
      <c r="S12" s="10"/>
      <c r="T12" s="10"/>
      <c r="U12" s="178"/>
    </row>
    <row r="13" spans="2:21" s="15" customFormat="1" ht="13.5">
      <c r="B13" s="108"/>
      <c r="C13" s="13"/>
      <c r="D13" s="177"/>
      <c r="E13" s="177"/>
      <c r="F13" s="48"/>
      <c r="G13" s="170"/>
      <c r="H13" s="110"/>
      <c r="I13" s="170"/>
      <c r="J13" s="170"/>
      <c r="K13" s="170"/>
      <c r="L13" s="170"/>
      <c r="M13" s="170"/>
      <c r="N13" s="170"/>
      <c r="O13" s="13"/>
      <c r="P13" s="13"/>
      <c r="Q13" s="13"/>
      <c r="R13" s="13"/>
      <c r="S13" s="13"/>
      <c r="T13" s="13"/>
      <c r="U13" s="112"/>
    </row>
    <row r="14" spans="2:21" s="15" customFormat="1" ht="19.5">
      <c r="B14" s="96" t="str">
        <f>+'tot-0202'!B14</f>
        <v>Desde el 01 al 28 de febrero de 2002</v>
      </c>
      <c r="C14" s="99"/>
      <c r="D14" s="99"/>
      <c r="E14" s="99"/>
      <c r="F14" s="99"/>
      <c r="G14" s="180"/>
      <c r="H14" s="180"/>
      <c r="I14" s="180"/>
      <c r="J14" s="180"/>
      <c r="K14" s="180"/>
      <c r="L14" s="180"/>
      <c r="M14" s="180"/>
      <c r="N14" s="180"/>
      <c r="O14" s="99"/>
      <c r="P14" s="99"/>
      <c r="Q14" s="99"/>
      <c r="R14" s="99"/>
      <c r="S14" s="99"/>
      <c r="T14" s="99"/>
      <c r="U14" s="181"/>
    </row>
    <row r="15" spans="2:21" s="15" customFormat="1" ht="14.25" thickBot="1">
      <c r="B15" s="182"/>
      <c r="C15" s="183"/>
      <c r="D15" s="183"/>
      <c r="E15" s="183"/>
      <c r="F15" s="183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5"/>
    </row>
    <row r="16" spans="2:21" s="15" customFormat="1" ht="15" thickBot="1" thickTop="1">
      <c r="B16" s="108"/>
      <c r="C16" s="13"/>
      <c r="D16" s="186"/>
      <c r="E16" s="186"/>
      <c r="F16" s="187" t="s">
        <v>86</v>
      </c>
      <c r="G16" s="13"/>
      <c r="H16" s="1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2"/>
    </row>
    <row r="17" spans="2:21" s="15" customFormat="1" ht="16.5" customHeight="1" thickBot="1" thickTop="1">
      <c r="B17" s="108"/>
      <c r="C17" s="13"/>
      <c r="D17" s="535" t="s">
        <v>87</v>
      </c>
      <c r="E17" s="536">
        <v>30.733</v>
      </c>
      <c r="F17" s="537">
        <v>200</v>
      </c>
      <c r="T17" s="133"/>
      <c r="U17" s="112"/>
    </row>
    <row r="18" spans="2:21" s="15" customFormat="1" ht="16.5" customHeight="1" thickBot="1" thickTop="1">
      <c r="B18" s="108"/>
      <c r="C18" s="13"/>
      <c r="D18" s="538" t="s">
        <v>88</v>
      </c>
      <c r="E18" s="539">
        <v>27.658</v>
      </c>
      <c r="F18" s="537">
        <v>100</v>
      </c>
      <c r="M18" s="13"/>
      <c r="N18" s="13"/>
      <c r="O18" s="13"/>
      <c r="P18" s="13"/>
      <c r="Q18" s="13"/>
      <c r="R18" s="13"/>
      <c r="S18" s="13"/>
      <c r="T18" s="13"/>
      <c r="U18" s="112"/>
    </row>
    <row r="19" spans="2:21" s="15" customFormat="1" ht="16.5" customHeight="1" thickBot="1" thickTop="1">
      <c r="B19" s="108"/>
      <c r="C19" s="13"/>
      <c r="D19" s="540" t="s">
        <v>89</v>
      </c>
      <c r="E19" s="539">
        <v>24.587</v>
      </c>
      <c r="F19" s="537">
        <v>40</v>
      </c>
      <c r="I19" s="532"/>
      <c r="J19" s="533"/>
      <c r="K19" s="13"/>
      <c r="M19" s="13"/>
      <c r="O19" s="13"/>
      <c r="P19" s="13"/>
      <c r="Q19" s="13"/>
      <c r="R19" s="13"/>
      <c r="S19" s="13"/>
      <c r="T19" s="13"/>
      <c r="U19" s="112"/>
    </row>
    <row r="20" spans="2:21" s="15" customFormat="1" ht="16.5" customHeight="1" thickBot="1" thickTop="1">
      <c r="B20" s="108"/>
      <c r="C20" s="20"/>
      <c r="D20" s="65"/>
      <c r="E20" s="65"/>
      <c r="F20" s="171"/>
      <c r="G20" s="172"/>
      <c r="H20" s="172"/>
      <c r="I20" s="172"/>
      <c r="J20" s="172"/>
      <c r="K20" s="172"/>
      <c r="L20" s="172"/>
      <c r="M20" s="172"/>
      <c r="N20" s="58"/>
      <c r="O20" s="173"/>
      <c r="P20" s="174"/>
      <c r="Q20" s="174"/>
      <c r="R20" s="174"/>
      <c r="S20" s="175"/>
      <c r="T20" s="176"/>
      <c r="U20" s="112"/>
    </row>
    <row r="21" spans="2:21" s="15" customFormat="1" ht="33.75" customHeight="1" thickBot="1" thickTop="1">
      <c r="B21" s="108"/>
      <c r="C21" s="148" t="s">
        <v>52</v>
      </c>
      <c r="D21" s="154" t="s">
        <v>80</v>
      </c>
      <c r="E21" s="152" t="s">
        <v>29</v>
      </c>
      <c r="F21" s="189" t="s">
        <v>53</v>
      </c>
      <c r="G21" s="284" t="s">
        <v>57</v>
      </c>
      <c r="H21" s="150" t="s">
        <v>58</v>
      </c>
      <c r="I21" s="152" t="s">
        <v>59</v>
      </c>
      <c r="J21" s="190" t="s">
        <v>60</v>
      </c>
      <c r="K21" s="190" t="s">
        <v>61</v>
      </c>
      <c r="L21" s="153" t="s">
        <v>62</v>
      </c>
      <c r="M21" s="151" t="s">
        <v>65</v>
      </c>
      <c r="N21" s="371" t="s">
        <v>56</v>
      </c>
      <c r="O21" s="369" t="s">
        <v>77</v>
      </c>
      <c r="P21" s="378" t="s">
        <v>90</v>
      </c>
      <c r="Q21" s="379"/>
      <c r="R21" s="388" t="s">
        <v>70</v>
      </c>
      <c r="S21" s="155" t="s">
        <v>72</v>
      </c>
      <c r="T21" s="167" t="s">
        <v>73</v>
      </c>
      <c r="U21" s="112"/>
    </row>
    <row r="22" spans="2:21" s="15" customFormat="1" ht="16.5" customHeight="1" hidden="1" thickTop="1">
      <c r="B22" s="108"/>
      <c r="C22" s="19"/>
      <c r="D22" s="52"/>
      <c r="E22" s="52"/>
      <c r="F22" s="52"/>
      <c r="G22" s="288"/>
      <c r="H22" s="52"/>
      <c r="I22" s="52"/>
      <c r="J22" s="52"/>
      <c r="K22" s="52"/>
      <c r="L22" s="52"/>
      <c r="M22" s="52"/>
      <c r="N22" s="373"/>
      <c r="O22" s="376"/>
      <c r="P22" s="380"/>
      <c r="Q22" s="381"/>
      <c r="R22" s="389"/>
      <c r="S22" s="52"/>
      <c r="T22" s="474"/>
      <c r="U22" s="112"/>
    </row>
    <row r="23" spans="2:21" s="15" customFormat="1" ht="16.5" customHeight="1" thickTop="1">
      <c r="B23" s="108"/>
      <c r="C23" s="19"/>
      <c r="D23" s="53"/>
      <c r="E23" s="53"/>
      <c r="F23" s="53"/>
      <c r="G23" s="289"/>
      <c r="H23" s="53"/>
      <c r="I23" s="53"/>
      <c r="J23" s="53"/>
      <c r="K23" s="53"/>
      <c r="L23" s="53"/>
      <c r="M23" s="53"/>
      <c r="N23" s="370"/>
      <c r="O23" s="374"/>
      <c r="P23" s="382"/>
      <c r="Q23" s="383"/>
      <c r="R23" s="386"/>
      <c r="S23" s="53"/>
      <c r="T23" s="191"/>
      <c r="U23" s="112"/>
    </row>
    <row r="24" spans="2:21" s="15" customFormat="1" ht="16.5" customHeight="1">
      <c r="B24" s="108"/>
      <c r="C24" s="544">
        <v>17</v>
      </c>
      <c r="D24" s="591" t="s">
        <v>17</v>
      </c>
      <c r="E24" s="591" t="s">
        <v>143</v>
      </c>
      <c r="F24" s="592">
        <v>500</v>
      </c>
      <c r="G24" s="285">
        <f aca="true" t="shared" si="0" ref="G24:G42">IF(F24=500,$E$17,IF(F24=220,$E$18,$E$19))</f>
        <v>30.733</v>
      </c>
      <c r="H24" s="594">
        <v>37303.336805555555</v>
      </c>
      <c r="I24" s="595">
        <v>37303.46666666667</v>
      </c>
      <c r="J24" s="57">
        <f aca="true" t="shared" si="1" ref="J24:J42">IF(D24="","",(I24-H24)*24)</f>
        <v>3.1166666666977108</v>
      </c>
      <c r="K24" s="24">
        <f aca="true" t="shared" si="2" ref="K24:K42">IF(D24="","",ROUND((I24-H24)*24*60,0))</f>
        <v>187</v>
      </c>
      <c r="L24" s="564" t="s">
        <v>163</v>
      </c>
      <c r="M24" s="566" t="str">
        <f aca="true" t="shared" si="3" ref="M24:M42">IF(D24="","",IF(L24="P","--","NO"))</f>
        <v>--</v>
      </c>
      <c r="N24" s="597">
        <f aca="true" t="shared" si="4" ref="N24:N42">IF(F24=500,$F$17,IF(F24=220,$F$18,$F$19))</f>
        <v>200</v>
      </c>
      <c r="O24" s="598">
        <f aca="true" t="shared" si="5" ref="O24:O42">IF(L24="P",G24*N24*ROUND(K24/60,2)*0.1,"--")</f>
        <v>1917.7392000000004</v>
      </c>
      <c r="P24" s="599" t="str">
        <f aca="true" t="shared" si="6" ref="P24:P42">IF(AND(L24="F",M24="NO"),G24*N24,"--")</f>
        <v>--</v>
      </c>
      <c r="Q24" s="600" t="str">
        <f aca="true" t="shared" si="7" ref="Q24:Q42">IF(L24="F",G24*N24*ROUND(K24/60,2),"--")</f>
        <v>--</v>
      </c>
      <c r="R24" s="601" t="str">
        <f aca="true" t="shared" si="8" ref="R24:R42">IF(L24="RF",G24*N24*ROUND(K24/60,2),"--")</f>
        <v>--</v>
      </c>
      <c r="S24" s="566" t="str">
        <f aca="true" t="shared" si="9" ref="S24:S42">IF(D24="","","SI")</f>
        <v>SI</v>
      </c>
      <c r="T24" s="60">
        <f aca="true" t="shared" si="10" ref="T24:T42">IF(D24="","",SUM(O24:R24)*IF(S24="SI",1,2))</f>
        <v>1917.7392000000004</v>
      </c>
      <c r="U24" s="112"/>
    </row>
    <row r="25" spans="2:21" s="15" customFormat="1" ht="16.5" customHeight="1">
      <c r="B25" s="108"/>
      <c r="C25" s="544"/>
      <c r="D25" s="591"/>
      <c r="E25" s="591"/>
      <c r="F25" s="592"/>
      <c r="G25" s="285">
        <f t="shared" si="0"/>
        <v>24.587</v>
      </c>
      <c r="H25" s="594"/>
      <c r="I25" s="595"/>
      <c r="J25" s="57">
        <f t="shared" si="1"/>
      </c>
      <c r="K25" s="24">
        <f t="shared" si="2"/>
      </c>
      <c r="L25" s="564"/>
      <c r="M25" s="566">
        <f t="shared" si="3"/>
      </c>
      <c r="N25" s="597">
        <f t="shared" si="4"/>
        <v>40</v>
      </c>
      <c r="O25" s="598" t="str">
        <f t="shared" si="5"/>
        <v>--</v>
      </c>
      <c r="P25" s="599" t="str">
        <f t="shared" si="6"/>
        <v>--</v>
      </c>
      <c r="Q25" s="600" t="str">
        <f t="shared" si="7"/>
        <v>--</v>
      </c>
      <c r="R25" s="601" t="str">
        <f t="shared" si="8"/>
        <v>--</v>
      </c>
      <c r="S25" s="566">
        <f t="shared" si="9"/>
      </c>
      <c r="T25" s="60">
        <f t="shared" si="10"/>
      </c>
      <c r="U25" s="112"/>
    </row>
    <row r="26" spans="2:21" s="15" customFormat="1" ht="16.5" customHeight="1">
      <c r="B26" s="108"/>
      <c r="C26" s="544"/>
      <c r="D26" s="591"/>
      <c r="E26" s="591"/>
      <c r="F26" s="592"/>
      <c r="G26" s="285">
        <f t="shared" si="0"/>
        <v>24.587</v>
      </c>
      <c r="H26" s="594"/>
      <c r="I26" s="595"/>
      <c r="J26" s="57">
        <f t="shared" si="1"/>
      </c>
      <c r="K26" s="24">
        <f t="shared" si="2"/>
      </c>
      <c r="L26" s="564"/>
      <c r="M26" s="566">
        <f t="shared" si="3"/>
      </c>
      <c r="N26" s="597">
        <f t="shared" si="4"/>
        <v>40</v>
      </c>
      <c r="O26" s="598" t="str">
        <f t="shared" si="5"/>
        <v>--</v>
      </c>
      <c r="P26" s="599" t="str">
        <f t="shared" si="6"/>
        <v>--</v>
      </c>
      <c r="Q26" s="600" t="str">
        <f t="shared" si="7"/>
        <v>--</v>
      </c>
      <c r="R26" s="601" t="str">
        <f t="shared" si="8"/>
        <v>--</v>
      </c>
      <c r="S26" s="566">
        <f t="shared" si="9"/>
      </c>
      <c r="T26" s="60">
        <f t="shared" si="10"/>
      </c>
      <c r="U26" s="112"/>
    </row>
    <row r="27" spans="2:21" s="15" customFormat="1" ht="16.5" customHeight="1">
      <c r="B27" s="108"/>
      <c r="C27" s="544"/>
      <c r="D27" s="591"/>
      <c r="E27" s="591"/>
      <c r="F27" s="592"/>
      <c r="G27" s="285">
        <f t="shared" si="0"/>
        <v>24.587</v>
      </c>
      <c r="H27" s="594"/>
      <c r="I27" s="595"/>
      <c r="J27" s="57">
        <f t="shared" si="1"/>
      </c>
      <c r="K27" s="24">
        <f t="shared" si="2"/>
      </c>
      <c r="L27" s="564"/>
      <c r="M27" s="566">
        <f t="shared" si="3"/>
      </c>
      <c r="N27" s="597">
        <f t="shared" si="4"/>
        <v>40</v>
      </c>
      <c r="O27" s="598" t="str">
        <f t="shared" si="5"/>
        <v>--</v>
      </c>
      <c r="P27" s="599" t="str">
        <f t="shared" si="6"/>
        <v>--</v>
      </c>
      <c r="Q27" s="600" t="str">
        <f t="shared" si="7"/>
        <v>--</v>
      </c>
      <c r="R27" s="601" t="str">
        <f t="shared" si="8"/>
        <v>--</v>
      </c>
      <c r="S27" s="566">
        <f t="shared" si="9"/>
      </c>
      <c r="T27" s="60">
        <f t="shared" si="10"/>
      </c>
      <c r="U27" s="112"/>
    </row>
    <row r="28" spans="2:21" s="15" customFormat="1" ht="16.5" customHeight="1">
      <c r="B28" s="108"/>
      <c r="C28" s="544"/>
      <c r="D28" s="591"/>
      <c r="E28" s="591"/>
      <c r="F28" s="592"/>
      <c r="G28" s="285">
        <f t="shared" si="0"/>
        <v>24.587</v>
      </c>
      <c r="H28" s="594"/>
      <c r="I28" s="595"/>
      <c r="J28" s="57">
        <f t="shared" si="1"/>
      </c>
      <c r="K28" s="24">
        <f t="shared" si="2"/>
      </c>
      <c r="L28" s="564"/>
      <c r="M28" s="566">
        <f t="shared" si="3"/>
      </c>
      <c r="N28" s="597">
        <f t="shared" si="4"/>
        <v>40</v>
      </c>
      <c r="O28" s="598" t="str">
        <f t="shared" si="5"/>
        <v>--</v>
      </c>
      <c r="P28" s="599" t="str">
        <f t="shared" si="6"/>
        <v>--</v>
      </c>
      <c r="Q28" s="600" t="str">
        <f t="shared" si="7"/>
        <v>--</v>
      </c>
      <c r="R28" s="601" t="str">
        <f t="shared" si="8"/>
        <v>--</v>
      </c>
      <c r="S28" s="566">
        <f t="shared" si="9"/>
      </c>
      <c r="T28" s="60">
        <f t="shared" si="10"/>
      </c>
      <c r="U28" s="112"/>
    </row>
    <row r="29" spans="2:21" s="15" customFormat="1" ht="16.5" customHeight="1">
      <c r="B29" s="108"/>
      <c r="C29" s="544"/>
      <c r="D29" s="591"/>
      <c r="E29" s="591"/>
      <c r="F29" s="592"/>
      <c r="G29" s="285">
        <f t="shared" si="0"/>
        <v>24.587</v>
      </c>
      <c r="H29" s="594"/>
      <c r="I29" s="595"/>
      <c r="J29" s="57">
        <f t="shared" si="1"/>
      </c>
      <c r="K29" s="24">
        <f t="shared" si="2"/>
      </c>
      <c r="L29" s="564"/>
      <c r="M29" s="566">
        <f t="shared" si="3"/>
      </c>
      <c r="N29" s="597">
        <f t="shared" si="4"/>
        <v>40</v>
      </c>
      <c r="O29" s="598" t="str">
        <f t="shared" si="5"/>
        <v>--</v>
      </c>
      <c r="P29" s="599" t="str">
        <f t="shared" si="6"/>
        <v>--</v>
      </c>
      <c r="Q29" s="600" t="str">
        <f t="shared" si="7"/>
        <v>--</v>
      </c>
      <c r="R29" s="601" t="str">
        <f t="shared" si="8"/>
        <v>--</v>
      </c>
      <c r="S29" s="566">
        <f t="shared" si="9"/>
      </c>
      <c r="T29" s="60">
        <f t="shared" si="10"/>
      </c>
      <c r="U29" s="112"/>
    </row>
    <row r="30" spans="2:21" s="15" customFormat="1" ht="16.5" customHeight="1">
      <c r="B30" s="108"/>
      <c r="C30" s="544"/>
      <c r="D30" s="591"/>
      <c r="E30" s="591"/>
      <c r="F30" s="592"/>
      <c r="G30" s="285">
        <f t="shared" si="0"/>
        <v>24.587</v>
      </c>
      <c r="H30" s="594"/>
      <c r="I30" s="595"/>
      <c r="J30" s="57">
        <f t="shared" si="1"/>
      </c>
      <c r="K30" s="24">
        <f t="shared" si="2"/>
      </c>
      <c r="L30" s="564"/>
      <c r="M30" s="566">
        <f t="shared" si="3"/>
      </c>
      <c r="N30" s="597">
        <f t="shared" si="4"/>
        <v>40</v>
      </c>
      <c r="O30" s="598" t="str">
        <f t="shared" si="5"/>
        <v>--</v>
      </c>
      <c r="P30" s="599" t="str">
        <f t="shared" si="6"/>
        <v>--</v>
      </c>
      <c r="Q30" s="600" t="str">
        <f t="shared" si="7"/>
        <v>--</v>
      </c>
      <c r="R30" s="601" t="str">
        <f t="shared" si="8"/>
        <v>--</v>
      </c>
      <c r="S30" s="566">
        <f t="shared" si="9"/>
      </c>
      <c r="T30" s="60">
        <f t="shared" si="10"/>
      </c>
      <c r="U30" s="112"/>
    </row>
    <row r="31" spans="2:21" s="15" customFormat="1" ht="16.5" customHeight="1">
      <c r="B31" s="108"/>
      <c r="C31" s="544"/>
      <c r="D31" s="591"/>
      <c r="E31" s="591"/>
      <c r="F31" s="592"/>
      <c r="G31" s="285">
        <f t="shared" si="0"/>
        <v>24.587</v>
      </c>
      <c r="H31" s="594"/>
      <c r="I31" s="595"/>
      <c r="J31" s="57">
        <f t="shared" si="1"/>
      </c>
      <c r="K31" s="24">
        <f t="shared" si="2"/>
      </c>
      <c r="L31" s="564"/>
      <c r="M31" s="566">
        <f t="shared" si="3"/>
      </c>
      <c r="N31" s="597">
        <f t="shared" si="4"/>
        <v>40</v>
      </c>
      <c r="O31" s="598" t="str">
        <f t="shared" si="5"/>
        <v>--</v>
      </c>
      <c r="P31" s="599" t="str">
        <f t="shared" si="6"/>
        <v>--</v>
      </c>
      <c r="Q31" s="600" t="str">
        <f t="shared" si="7"/>
        <v>--</v>
      </c>
      <c r="R31" s="601" t="str">
        <f t="shared" si="8"/>
        <v>--</v>
      </c>
      <c r="S31" s="566">
        <f t="shared" si="9"/>
      </c>
      <c r="T31" s="60">
        <f t="shared" si="10"/>
      </c>
      <c r="U31" s="112"/>
    </row>
    <row r="32" spans="2:21" s="15" customFormat="1" ht="16.5" customHeight="1">
      <c r="B32" s="108"/>
      <c r="C32" s="544"/>
      <c r="D32" s="591"/>
      <c r="E32" s="591"/>
      <c r="F32" s="592"/>
      <c r="G32" s="285">
        <f t="shared" si="0"/>
        <v>24.587</v>
      </c>
      <c r="H32" s="594"/>
      <c r="I32" s="595"/>
      <c r="J32" s="57">
        <f t="shared" si="1"/>
      </c>
      <c r="K32" s="24">
        <f t="shared" si="2"/>
      </c>
      <c r="L32" s="564"/>
      <c r="M32" s="566">
        <f t="shared" si="3"/>
      </c>
      <c r="N32" s="597">
        <f t="shared" si="4"/>
        <v>40</v>
      </c>
      <c r="O32" s="598" t="str">
        <f t="shared" si="5"/>
        <v>--</v>
      </c>
      <c r="P32" s="599" t="str">
        <f t="shared" si="6"/>
        <v>--</v>
      </c>
      <c r="Q32" s="600" t="str">
        <f t="shared" si="7"/>
        <v>--</v>
      </c>
      <c r="R32" s="601" t="str">
        <f t="shared" si="8"/>
        <v>--</v>
      </c>
      <c r="S32" s="566">
        <f t="shared" si="9"/>
      </c>
      <c r="T32" s="60">
        <f t="shared" si="10"/>
      </c>
      <c r="U32" s="112"/>
    </row>
    <row r="33" spans="2:21" s="15" customFormat="1" ht="16.5" customHeight="1">
      <c r="B33" s="108"/>
      <c r="C33" s="544"/>
      <c r="D33" s="591"/>
      <c r="E33" s="591"/>
      <c r="F33" s="592"/>
      <c r="G33" s="285">
        <f t="shared" si="0"/>
        <v>24.587</v>
      </c>
      <c r="H33" s="594"/>
      <c r="I33" s="595"/>
      <c r="J33" s="57">
        <f t="shared" si="1"/>
      </c>
      <c r="K33" s="24">
        <f t="shared" si="2"/>
      </c>
      <c r="L33" s="564"/>
      <c r="M33" s="566">
        <f t="shared" si="3"/>
      </c>
      <c r="N33" s="597">
        <f t="shared" si="4"/>
        <v>40</v>
      </c>
      <c r="O33" s="598" t="str">
        <f t="shared" si="5"/>
        <v>--</v>
      </c>
      <c r="P33" s="599" t="str">
        <f t="shared" si="6"/>
        <v>--</v>
      </c>
      <c r="Q33" s="600" t="str">
        <f t="shared" si="7"/>
        <v>--</v>
      </c>
      <c r="R33" s="601" t="str">
        <f t="shared" si="8"/>
        <v>--</v>
      </c>
      <c r="S33" s="566">
        <f t="shared" si="9"/>
      </c>
      <c r="T33" s="60">
        <f t="shared" si="10"/>
      </c>
      <c r="U33" s="112"/>
    </row>
    <row r="34" spans="2:21" s="15" customFormat="1" ht="16.5" customHeight="1">
      <c r="B34" s="108"/>
      <c r="C34" s="544"/>
      <c r="D34" s="591"/>
      <c r="E34" s="591"/>
      <c r="F34" s="592"/>
      <c r="G34" s="285">
        <f t="shared" si="0"/>
        <v>24.587</v>
      </c>
      <c r="H34" s="594"/>
      <c r="I34" s="595"/>
      <c r="J34" s="57">
        <f aca="true" t="shared" si="11" ref="J34:J40">IF(D34="","",(I34-H34)*24)</f>
      </c>
      <c r="K34" s="24">
        <f aca="true" t="shared" si="12" ref="K34:K40">IF(D34="","",ROUND((I34-H34)*24*60,0))</f>
      </c>
      <c r="L34" s="564"/>
      <c r="M34" s="566">
        <f aca="true" t="shared" si="13" ref="M34:M40">IF(D34="","",IF(L34="P","--","NO"))</f>
      </c>
      <c r="N34" s="597">
        <f aca="true" t="shared" si="14" ref="N34:N40">IF(F34=500,$F$17,IF(F34=220,$F$18,$F$19))</f>
        <v>40</v>
      </c>
      <c r="O34" s="598" t="str">
        <f aca="true" t="shared" si="15" ref="O34:O40">IF(L34="P",G34*N34*ROUND(K34/60,2)*0.1,"--")</f>
        <v>--</v>
      </c>
      <c r="P34" s="599" t="str">
        <f aca="true" t="shared" si="16" ref="P34:P40">IF(AND(L34="F",M34="NO"),G34*N34,"--")</f>
        <v>--</v>
      </c>
      <c r="Q34" s="600" t="str">
        <f aca="true" t="shared" si="17" ref="Q34:Q40">IF(L34="F",G34*N34*ROUND(K34/60,2),"--")</f>
        <v>--</v>
      </c>
      <c r="R34" s="601" t="str">
        <f aca="true" t="shared" si="18" ref="R34:R40">IF(L34="RF",G34*N34*ROUND(K34/60,2),"--")</f>
        <v>--</v>
      </c>
      <c r="S34" s="566">
        <f aca="true" t="shared" si="19" ref="S34:S40">IF(D34="","","SI")</f>
      </c>
      <c r="T34" s="60">
        <f aca="true" t="shared" si="20" ref="T34:T40">IF(D34="","",SUM(O34:R34)*IF(S34="SI",1,2))</f>
      </c>
      <c r="U34" s="112"/>
    </row>
    <row r="35" spans="2:21" s="15" customFormat="1" ht="16.5" customHeight="1">
      <c r="B35" s="108"/>
      <c r="C35" s="544"/>
      <c r="D35" s="591"/>
      <c r="E35" s="591"/>
      <c r="F35" s="592"/>
      <c r="G35" s="285">
        <f t="shared" si="0"/>
        <v>24.587</v>
      </c>
      <c r="H35" s="594"/>
      <c r="I35" s="595"/>
      <c r="J35" s="57">
        <f t="shared" si="11"/>
      </c>
      <c r="K35" s="24">
        <f t="shared" si="12"/>
      </c>
      <c r="L35" s="564"/>
      <c r="M35" s="566">
        <f t="shared" si="13"/>
      </c>
      <c r="N35" s="597">
        <f t="shared" si="14"/>
        <v>40</v>
      </c>
      <c r="O35" s="598" t="str">
        <f t="shared" si="15"/>
        <v>--</v>
      </c>
      <c r="P35" s="599" t="str">
        <f t="shared" si="16"/>
        <v>--</v>
      </c>
      <c r="Q35" s="600" t="str">
        <f t="shared" si="17"/>
        <v>--</v>
      </c>
      <c r="R35" s="601" t="str">
        <f t="shared" si="18"/>
        <v>--</v>
      </c>
      <c r="S35" s="566">
        <f t="shared" si="19"/>
      </c>
      <c r="T35" s="60">
        <f t="shared" si="20"/>
      </c>
      <c r="U35" s="112"/>
    </row>
    <row r="36" spans="2:21" s="15" customFormat="1" ht="16.5" customHeight="1">
      <c r="B36" s="108"/>
      <c r="C36" s="544"/>
      <c r="D36" s="591"/>
      <c r="E36" s="591"/>
      <c r="F36" s="592"/>
      <c r="G36" s="285">
        <f t="shared" si="0"/>
        <v>24.587</v>
      </c>
      <c r="H36" s="594"/>
      <c r="I36" s="595"/>
      <c r="J36" s="57">
        <f t="shared" si="11"/>
      </c>
      <c r="K36" s="24">
        <f t="shared" si="12"/>
      </c>
      <c r="L36" s="564"/>
      <c r="M36" s="566">
        <f t="shared" si="13"/>
      </c>
      <c r="N36" s="597">
        <f t="shared" si="14"/>
        <v>40</v>
      </c>
      <c r="O36" s="598" t="str">
        <f t="shared" si="15"/>
        <v>--</v>
      </c>
      <c r="P36" s="599" t="str">
        <f t="shared" si="16"/>
        <v>--</v>
      </c>
      <c r="Q36" s="600" t="str">
        <f t="shared" si="17"/>
        <v>--</v>
      </c>
      <c r="R36" s="601" t="str">
        <f t="shared" si="18"/>
        <v>--</v>
      </c>
      <c r="S36" s="566">
        <f t="shared" si="19"/>
      </c>
      <c r="T36" s="60">
        <f t="shared" si="20"/>
      </c>
      <c r="U36" s="112"/>
    </row>
    <row r="37" spans="2:21" s="15" customFormat="1" ht="16.5" customHeight="1">
      <c r="B37" s="108"/>
      <c r="C37" s="544"/>
      <c r="D37" s="591"/>
      <c r="E37" s="591"/>
      <c r="F37" s="592"/>
      <c r="G37" s="285">
        <f t="shared" si="0"/>
        <v>24.587</v>
      </c>
      <c r="H37" s="594"/>
      <c r="I37" s="595"/>
      <c r="J37" s="57">
        <f t="shared" si="11"/>
      </c>
      <c r="K37" s="24">
        <f t="shared" si="12"/>
      </c>
      <c r="L37" s="564"/>
      <c r="M37" s="566">
        <f t="shared" si="13"/>
      </c>
      <c r="N37" s="597">
        <f t="shared" si="14"/>
        <v>40</v>
      </c>
      <c r="O37" s="598" t="str">
        <f t="shared" si="15"/>
        <v>--</v>
      </c>
      <c r="P37" s="599" t="str">
        <f t="shared" si="16"/>
        <v>--</v>
      </c>
      <c r="Q37" s="600" t="str">
        <f t="shared" si="17"/>
        <v>--</v>
      </c>
      <c r="R37" s="601" t="str">
        <f t="shared" si="18"/>
        <v>--</v>
      </c>
      <c r="S37" s="566">
        <f t="shared" si="19"/>
      </c>
      <c r="T37" s="60">
        <f t="shared" si="20"/>
      </c>
      <c r="U37" s="112"/>
    </row>
    <row r="38" spans="2:21" s="15" customFormat="1" ht="16.5" customHeight="1">
      <c r="B38" s="108"/>
      <c r="C38" s="544"/>
      <c r="D38" s="591"/>
      <c r="E38" s="591"/>
      <c r="F38" s="592"/>
      <c r="G38" s="285">
        <f t="shared" si="0"/>
        <v>24.587</v>
      </c>
      <c r="H38" s="594"/>
      <c r="I38" s="595"/>
      <c r="J38" s="57">
        <f t="shared" si="11"/>
      </c>
      <c r="K38" s="24">
        <f t="shared" si="12"/>
      </c>
      <c r="L38" s="564"/>
      <c r="M38" s="566">
        <f t="shared" si="13"/>
      </c>
      <c r="N38" s="597">
        <f t="shared" si="14"/>
        <v>40</v>
      </c>
      <c r="O38" s="598" t="str">
        <f t="shared" si="15"/>
        <v>--</v>
      </c>
      <c r="P38" s="599" t="str">
        <f t="shared" si="16"/>
        <v>--</v>
      </c>
      <c r="Q38" s="600" t="str">
        <f t="shared" si="17"/>
        <v>--</v>
      </c>
      <c r="R38" s="601" t="str">
        <f t="shared" si="18"/>
        <v>--</v>
      </c>
      <c r="S38" s="566">
        <f t="shared" si="19"/>
      </c>
      <c r="T38" s="60">
        <f t="shared" si="20"/>
      </c>
      <c r="U38" s="112"/>
    </row>
    <row r="39" spans="2:21" s="15" customFormat="1" ht="16.5" customHeight="1">
      <c r="B39" s="108"/>
      <c r="C39" s="544"/>
      <c r="D39" s="591"/>
      <c r="E39" s="591"/>
      <c r="F39" s="592"/>
      <c r="G39" s="285">
        <f t="shared" si="0"/>
        <v>24.587</v>
      </c>
      <c r="H39" s="594"/>
      <c r="I39" s="595"/>
      <c r="J39" s="57">
        <f t="shared" si="11"/>
      </c>
      <c r="K39" s="24">
        <f t="shared" si="12"/>
      </c>
      <c r="L39" s="564"/>
      <c r="M39" s="566">
        <f t="shared" si="13"/>
      </c>
      <c r="N39" s="597">
        <f t="shared" si="14"/>
        <v>40</v>
      </c>
      <c r="O39" s="598" t="str">
        <f t="shared" si="15"/>
        <v>--</v>
      </c>
      <c r="P39" s="599" t="str">
        <f t="shared" si="16"/>
        <v>--</v>
      </c>
      <c r="Q39" s="600" t="str">
        <f t="shared" si="17"/>
        <v>--</v>
      </c>
      <c r="R39" s="601" t="str">
        <f t="shared" si="18"/>
        <v>--</v>
      </c>
      <c r="S39" s="566">
        <f t="shared" si="19"/>
      </c>
      <c r="T39" s="60">
        <f t="shared" si="20"/>
      </c>
      <c r="U39" s="112"/>
    </row>
    <row r="40" spans="2:21" s="15" customFormat="1" ht="16.5" customHeight="1">
      <c r="B40" s="108"/>
      <c r="C40" s="544"/>
      <c r="D40" s="591"/>
      <c r="E40" s="591"/>
      <c r="F40" s="592"/>
      <c r="G40" s="285">
        <f t="shared" si="0"/>
        <v>24.587</v>
      </c>
      <c r="H40" s="594"/>
      <c r="I40" s="595"/>
      <c r="J40" s="57">
        <f t="shared" si="11"/>
      </c>
      <c r="K40" s="24">
        <f t="shared" si="12"/>
      </c>
      <c r="L40" s="564"/>
      <c r="M40" s="566">
        <f t="shared" si="13"/>
      </c>
      <c r="N40" s="597">
        <f t="shared" si="14"/>
        <v>40</v>
      </c>
      <c r="O40" s="598" t="str">
        <f t="shared" si="15"/>
        <v>--</v>
      </c>
      <c r="P40" s="599" t="str">
        <f t="shared" si="16"/>
        <v>--</v>
      </c>
      <c r="Q40" s="600" t="str">
        <f t="shared" si="17"/>
        <v>--</v>
      </c>
      <c r="R40" s="601" t="str">
        <f t="shared" si="18"/>
        <v>--</v>
      </c>
      <c r="S40" s="566">
        <f t="shared" si="19"/>
      </c>
      <c r="T40" s="60">
        <f t="shared" si="20"/>
      </c>
      <c r="U40" s="112"/>
    </row>
    <row r="41" spans="2:21" s="15" customFormat="1" ht="16.5" customHeight="1">
      <c r="B41" s="108"/>
      <c r="C41" s="544"/>
      <c r="D41" s="591"/>
      <c r="E41" s="591"/>
      <c r="F41" s="592"/>
      <c r="G41" s="285">
        <f t="shared" si="0"/>
        <v>24.587</v>
      </c>
      <c r="H41" s="594"/>
      <c r="I41" s="595"/>
      <c r="J41" s="57">
        <f t="shared" si="1"/>
      </c>
      <c r="K41" s="24">
        <f t="shared" si="2"/>
      </c>
      <c r="L41" s="564"/>
      <c r="M41" s="566">
        <f t="shared" si="3"/>
      </c>
      <c r="N41" s="597">
        <f t="shared" si="4"/>
        <v>40</v>
      </c>
      <c r="O41" s="598" t="str">
        <f t="shared" si="5"/>
        <v>--</v>
      </c>
      <c r="P41" s="599" t="str">
        <f t="shared" si="6"/>
        <v>--</v>
      </c>
      <c r="Q41" s="600" t="str">
        <f t="shared" si="7"/>
        <v>--</v>
      </c>
      <c r="R41" s="601" t="str">
        <f t="shared" si="8"/>
        <v>--</v>
      </c>
      <c r="S41" s="566">
        <f t="shared" si="9"/>
      </c>
      <c r="T41" s="60">
        <f t="shared" si="10"/>
      </c>
      <c r="U41" s="112"/>
    </row>
    <row r="42" spans="2:21" s="15" customFormat="1" ht="16.5" customHeight="1">
      <c r="B42" s="108"/>
      <c r="C42" s="544"/>
      <c r="D42" s="591"/>
      <c r="E42" s="591"/>
      <c r="F42" s="592"/>
      <c r="G42" s="285">
        <f t="shared" si="0"/>
        <v>24.587</v>
      </c>
      <c r="H42" s="594"/>
      <c r="I42" s="595"/>
      <c r="J42" s="57">
        <f t="shared" si="1"/>
      </c>
      <c r="K42" s="24">
        <f t="shared" si="2"/>
      </c>
      <c r="L42" s="564"/>
      <c r="M42" s="566">
        <f t="shared" si="3"/>
      </c>
      <c r="N42" s="597">
        <f t="shared" si="4"/>
        <v>40</v>
      </c>
      <c r="O42" s="598" t="str">
        <f t="shared" si="5"/>
        <v>--</v>
      </c>
      <c r="P42" s="599" t="str">
        <f t="shared" si="6"/>
        <v>--</v>
      </c>
      <c r="Q42" s="600" t="str">
        <f t="shared" si="7"/>
        <v>--</v>
      </c>
      <c r="R42" s="601" t="str">
        <f t="shared" si="8"/>
        <v>--</v>
      </c>
      <c r="S42" s="566">
        <f t="shared" si="9"/>
      </c>
      <c r="T42" s="60">
        <f t="shared" si="10"/>
      </c>
      <c r="U42" s="112"/>
    </row>
    <row r="43" spans="2:21" s="15" customFormat="1" ht="16.5" customHeight="1" thickBot="1">
      <c r="B43" s="108"/>
      <c r="C43" s="553"/>
      <c r="D43" s="593"/>
      <c r="E43" s="593"/>
      <c r="F43" s="554"/>
      <c r="G43" s="286"/>
      <c r="H43" s="596"/>
      <c r="I43" s="596"/>
      <c r="J43" s="61"/>
      <c r="K43" s="61"/>
      <c r="L43" s="596"/>
      <c r="M43" s="563"/>
      <c r="N43" s="602"/>
      <c r="O43" s="603"/>
      <c r="P43" s="604"/>
      <c r="Q43" s="605"/>
      <c r="R43" s="606"/>
      <c r="S43" s="563"/>
      <c r="T43" s="192"/>
      <c r="U43" s="112"/>
    </row>
    <row r="44" spans="2:21" s="15" customFormat="1" ht="16.5" customHeight="1" thickBot="1" thickTop="1">
      <c r="B44" s="108"/>
      <c r="C44" s="224" t="s">
        <v>74</v>
      </c>
      <c r="D44" s="225" t="s">
        <v>75</v>
      </c>
      <c r="E44"/>
      <c r="F44" s="13"/>
      <c r="G44" s="13"/>
      <c r="H44" s="13"/>
      <c r="I44" s="13"/>
      <c r="J44" s="13"/>
      <c r="K44" s="13"/>
      <c r="L44" s="13"/>
      <c r="M44" s="13"/>
      <c r="N44" s="13"/>
      <c r="O44" s="377">
        <f>SUM(O22:O43)</f>
        <v>1917.7392000000004</v>
      </c>
      <c r="P44" s="384">
        <f>SUM(P22:P43)</f>
        <v>0</v>
      </c>
      <c r="Q44" s="385">
        <f>SUM(Q22:Q43)</f>
        <v>0</v>
      </c>
      <c r="R44" s="387">
        <f>SUM(R22:R43)</f>
        <v>0</v>
      </c>
      <c r="S44" s="62"/>
      <c r="T44" s="63">
        <f>ROUND(SUM(T22:T43),2)</f>
        <v>1917.74</v>
      </c>
      <c r="U44" s="112"/>
    </row>
    <row r="45" spans="2:21" s="228" customFormat="1" ht="13.5" thickTop="1">
      <c r="B45" s="229"/>
      <c r="C45" s="226"/>
      <c r="D45" s="227" t="s">
        <v>76</v>
      </c>
      <c r="E45"/>
      <c r="F45" s="239"/>
      <c r="G45" s="239"/>
      <c r="H45" s="239"/>
      <c r="I45" s="239"/>
      <c r="J45" s="239"/>
      <c r="K45" s="239"/>
      <c r="L45" s="239"/>
      <c r="M45" s="239"/>
      <c r="N45" s="239"/>
      <c r="O45" s="238"/>
      <c r="P45" s="238"/>
      <c r="Q45" s="238"/>
      <c r="R45" s="238"/>
      <c r="S45" s="238"/>
      <c r="T45" s="240"/>
      <c r="U45" s="241"/>
    </row>
    <row r="46" spans="2:21" s="15" customFormat="1" ht="16.5" customHeight="1" thickBot="1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</row>
    <row r="47" spans="21:23" ht="16.5" customHeight="1" thickTop="1">
      <c r="U47" s="4"/>
      <c r="V47" s="4"/>
      <c r="W47" s="4"/>
    </row>
    <row r="48" spans="21:23" ht="16.5" customHeight="1">
      <c r="U48" s="4"/>
      <c r="V48" s="4"/>
      <c r="W48" s="4"/>
    </row>
    <row r="49" spans="21:23" ht="16.5" customHeight="1">
      <c r="U49" s="4"/>
      <c r="V49" s="4"/>
      <c r="W49" s="4"/>
    </row>
    <row r="50" spans="21:23" ht="16.5" customHeight="1">
      <c r="U50" s="4"/>
      <c r="V50" s="4"/>
      <c r="W50" s="4"/>
    </row>
    <row r="51" spans="21:23" ht="16.5" customHeight="1">
      <c r="U51" s="4"/>
      <c r="V51" s="4"/>
      <c r="W51" s="4"/>
    </row>
    <row r="52" spans="4:23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4:23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3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4:23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4:23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4:23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4:23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4:23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3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4:23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4:23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4:23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4:23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3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4:23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4:23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4:23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4:23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4:23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4:23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4:23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4:23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4:23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4:23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4:23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4:23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4:23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4:23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4:23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4:23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4:23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4:23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4:23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4:23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4:23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4:23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4:23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4:23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4:23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4:23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4:23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4:23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4:23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4:23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4:23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4:23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4:23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4:23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4:23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4:23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4:23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4:23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4:23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4:23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4:23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4:23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4:23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4:23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4:23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4:23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4:23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4:23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4:23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4:23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4:23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4:23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4:23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4:23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4:23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4:23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4:23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4:23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4:23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4:23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4:23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4:23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4:23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4:23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4:23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4:23" ht="16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4:23" ht="16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4:23" ht="16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4:23" ht="16.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4:23" ht="16.5" customHeight="1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X158"/>
  <sheetViews>
    <sheetView zoomScale="75" zoomScaleNormal="75" workbookViewId="0" topLeftCell="E23">
      <selection activeCell="G39" sqref="G39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76" customFormat="1" ht="26.25">
      <c r="A1" s="126"/>
      <c r="V1" s="531"/>
    </row>
    <row r="2" spans="1:22" s="76" customFormat="1" ht="26.25">
      <c r="A2" s="126"/>
      <c r="B2" s="211" t="str">
        <f>+'tot-0202'!B2</f>
        <v>ANEXO I a la Resolución ENRE N° 090/2003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="15" customFormat="1" ht="12.75">
      <c r="A3" s="48"/>
    </row>
    <row r="4" spans="1:2" s="83" customFormat="1" ht="11.25">
      <c r="A4" s="81" t="s">
        <v>31</v>
      </c>
      <c r="B4" s="157"/>
    </row>
    <row r="5" spans="1:2" s="83" customFormat="1" ht="11.25">
      <c r="A5" s="81" t="s">
        <v>32</v>
      </c>
      <c r="B5" s="157"/>
    </row>
    <row r="6" s="15" customFormat="1" ht="13.5" thickBot="1"/>
    <row r="7" spans="2:22" s="15" customFormat="1" ht="13.5" thickTop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69"/>
    </row>
    <row r="8" spans="2:22" s="9" customFormat="1" ht="20.25">
      <c r="B8" s="141"/>
      <c r="D8" s="6" t="s">
        <v>92</v>
      </c>
      <c r="E8" s="64"/>
      <c r="F8" s="8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8"/>
      <c r="S8" s="8"/>
      <c r="T8" s="8"/>
      <c r="U8" s="8"/>
      <c r="V8" s="206"/>
    </row>
    <row r="9" spans="2:22" s="15" customFormat="1" ht="12.75">
      <c r="B9" s="10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12"/>
    </row>
    <row r="10" spans="2:22" s="9" customFormat="1" ht="20.25">
      <c r="B10" s="141"/>
      <c r="D10" s="142" t="s">
        <v>93</v>
      </c>
      <c r="F10" s="207"/>
      <c r="G10" s="208"/>
      <c r="H10" s="208"/>
      <c r="I10" s="208"/>
      <c r="J10" s="208"/>
      <c r="K10" s="208"/>
      <c r="L10" s="208"/>
      <c r="M10" s="208"/>
      <c r="N10" s="208"/>
      <c r="O10" s="208"/>
      <c r="P10" s="10"/>
      <c r="Q10" s="10"/>
      <c r="R10" s="10"/>
      <c r="S10" s="10"/>
      <c r="T10" s="10"/>
      <c r="U10" s="10"/>
      <c r="V10" s="178"/>
    </row>
    <row r="11" spans="2:22" s="15" customFormat="1" ht="16.5" customHeight="1">
      <c r="B11" s="108"/>
      <c r="C11" s="13"/>
      <c r="D11" s="195"/>
      <c r="F11" s="89"/>
      <c r="G11" s="132"/>
      <c r="H11" s="132"/>
      <c r="I11" s="132"/>
      <c r="J11" s="132"/>
      <c r="K11" s="132"/>
      <c r="L11" s="132"/>
      <c r="M11" s="132"/>
      <c r="N11" s="132"/>
      <c r="O11" s="132"/>
      <c r="P11" s="13"/>
      <c r="Q11" s="13"/>
      <c r="R11" s="13"/>
      <c r="S11" s="13"/>
      <c r="T11" s="13"/>
      <c r="U11" s="13"/>
      <c r="V11" s="112"/>
    </row>
    <row r="12" spans="2:22" s="9" customFormat="1" ht="20.25">
      <c r="B12" s="141"/>
      <c r="D12" s="142" t="s">
        <v>94</v>
      </c>
      <c r="F12" s="207"/>
      <c r="G12" s="208"/>
      <c r="H12" s="208"/>
      <c r="I12" s="208"/>
      <c r="J12" s="208"/>
      <c r="K12" s="208"/>
      <c r="L12" s="208"/>
      <c r="M12" s="208"/>
      <c r="N12" s="208"/>
      <c r="O12" s="208"/>
      <c r="P12" s="10"/>
      <c r="Q12" s="10"/>
      <c r="R12" s="10"/>
      <c r="S12" s="10"/>
      <c r="T12" s="10"/>
      <c r="U12" s="10"/>
      <c r="V12" s="178"/>
    </row>
    <row r="13" spans="2:22" s="15" customFormat="1" ht="16.5" customHeight="1">
      <c r="B13" s="108"/>
      <c r="C13" s="13"/>
      <c r="D13" s="195"/>
      <c r="F13" s="89"/>
      <c r="G13" s="132"/>
      <c r="H13" s="132"/>
      <c r="I13" s="132"/>
      <c r="J13" s="132"/>
      <c r="K13" s="132"/>
      <c r="L13" s="132"/>
      <c r="M13" s="132"/>
      <c r="N13" s="132"/>
      <c r="O13" s="132"/>
      <c r="P13" s="13"/>
      <c r="Q13" s="13"/>
      <c r="R13" s="13"/>
      <c r="S13" s="13"/>
      <c r="T13" s="13"/>
      <c r="U13" s="13"/>
      <c r="V13" s="112"/>
    </row>
    <row r="14" spans="2:22" s="14" customFormat="1" ht="16.5" customHeight="1">
      <c r="B14" s="158" t="str">
        <f>+'tot-0202'!B14</f>
        <v>Desde el 01 al 28 de febrero de 2002</v>
      </c>
      <c r="C14" s="144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144"/>
      <c r="Q14" s="144"/>
      <c r="R14" s="144"/>
      <c r="S14" s="144"/>
      <c r="T14" s="144"/>
      <c r="U14" s="144"/>
      <c r="V14" s="210"/>
    </row>
    <row r="15" spans="2:22" s="15" customFormat="1" ht="16.5" customHeight="1" thickBot="1">
      <c r="B15" s="108"/>
      <c r="C15" s="13"/>
      <c r="D15" s="13"/>
      <c r="E15" s="13"/>
      <c r="F15" s="13"/>
      <c r="G15" s="13"/>
      <c r="H15" s="13"/>
      <c r="I15" s="13"/>
      <c r="J15" s="13"/>
      <c r="K15" s="13"/>
      <c r="P15" s="13"/>
      <c r="Q15" s="13"/>
      <c r="R15" s="13"/>
      <c r="S15" s="13"/>
      <c r="T15" s="13"/>
      <c r="U15" s="13"/>
      <c r="V15" s="112"/>
    </row>
    <row r="16" spans="2:22" s="15" customFormat="1" ht="16.5" customHeight="1" thickBot="1" thickTop="1">
      <c r="B16" s="108"/>
      <c r="C16" s="13"/>
      <c r="D16" s="188" t="s">
        <v>78</v>
      </c>
      <c r="E16" s="212"/>
      <c r="F16" s="220">
        <v>0.154</v>
      </c>
      <c r="G16" s="186"/>
      <c r="H16"/>
      <c r="I16" s="13"/>
      <c r="J16" s="13"/>
      <c r="K16" s="13"/>
      <c r="L16" s="13"/>
      <c r="M16" s="13"/>
      <c r="O16" s="13"/>
      <c r="P16" s="13"/>
      <c r="Q16" s="13"/>
      <c r="R16" s="13"/>
      <c r="S16" s="13"/>
      <c r="T16" s="13"/>
      <c r="U16" s="13"/>
      <c r="V16" s="112"/>
    </row>
    <row r="17" spans="2:22" s="15" customFormat="1" ht="16.5" customHeight="1" thickBot="1" thickTop="1">
      <c r="B17" s="108"/>
      <c r="C17" s="13"/>
      <c r="D17" s="213" t="s">
        <v>79</v>
      </c>
      <c r="E17" s="214"/>
      <c r="F17" s="215">
        <v>20</v>
      </c>
      <c r="G17" s="186"/>
      <c r="H17"/>
      <c r="I17" s="532"/>
      <c r="J17" s="533"/>
      <c r="K17" s="13"/>
      <c r="L17" s="13"/>
      <c r="M17" s="13"/>
      <c r="O17" s="13"/>
      <c r="P17" s="13"/>
      <c r="Q17" s="13"/>
      <c r="R17" s="133"/>
      <c r="S17" s="133"/>
      <c r="T17" s="133"/>
      <c r="U17" s="133"/>
      <c r="V17" s="112"/>
    </row>
    <row r="18" spans="2:22" s="15" customFormat="1" ht="16.5" customHeight="1" thickBot="1" thickTop="1">
      <c r="B18" s="108"/>
      <c r="C18" s="2"/>
      <c r="D18" s="196"/>
      <c r="E18" s="197"/>
      <c r="F18" s="197"/>
      <c r="G18" s="30"/>
      <c r="H18" s="30"/>
      <c r="I18" s="30"/>
      <c r="J18" s="30"/>
      <c r="K18" s="30"/>
      <c r="L18" s="30"/>
      <c r="M18" s="30"/>
      <c r="N18" s="30"/>
      <c r="O18" s="198"/>
      <c r="P18" s="199"/>
      <c r="Q18" s="200"/>
      <c r="R18" s="200"/>
      <c r="S18" s="200"/>
      <c r="T18" s="201"/>
      <c r="U18" s="202"/>
      <c r="V18" s="112"/>
    </row>
    <row r="19" spans="2:22" s="15" customFormat="1" ht="33.75" customHeight="1" thickBot="1" thickTop="1">
      <c r="B19" s="108"/>
      <c r="C19" s="148" t="s">
        <v>52</v>
      </c>
      <c r="D19" s="154" t="s">
        <v>80</v>
      </c>
      <c r="E19" s="150" t="s">
        <v>29</v>
      </c>
      <c r="F19" s="216" t="s">
        <v>81</v>
      </c>
      <c r="G19" s="284" t="s">
        <v>57</v>
      </c>
      <c r="H19" s="150" t="s">
        <v>58</v>
      </c>
      <c r="I19" s="150" t="s">
        <v>59</v>
      </c>
      <c r="J19" s="154" t="s">
        <v>60</v>
      </c>
      <c r="K19" s="154" t="s">
        <v>61</v>
      </c>
      <c r="L19" s="153" t="s">
        <v>62</v>
      </c>
      <c r="M19" s="153" t="s">
        <v>63</v>
      </c>
      <c r="N19" s="150" t="s">
        <v>65</v>
      </c>
      <c r="O19" s="284" t="s">
        <v>56</v>
      </c>
      <c r="P19" s="390" t="s">
        <v>77</v>
      </c>
      <c r="Q19" s="394" t="s">
        <v>95</v>
      </c>
      <c r="R19" s="395"/>
      <c r="S19" s="402" t="s">
        <v>70</v>
      </c>
      <c r="T19" s="155" t="s">
        <v>72</v>
      </c>
      <c r="U19" s="217" t="s">
        <v>73</v>
      </c>
      <c r="V19" s="112"/>
    </row>
    <row r="20" spans="2:22" s="15" customFormat="1" ht="16.5" customHeight="1" hidden="1" thickTop="1">
      <c r="B20" s="108"/>
      <c r="C20" s="203"/>
      <c r="D20" s="204"/>
      <c r="E20" s="204"/>
      <c r="F20" s="204"/>
      <c r="G20" s="287"/>
      <c r="H20" s="205"/>
      <c r="I20" s="205"/>
      <c r="J20" s="203"/>
      <c r="K20" s="203"/>
      <c r="L20" s="204"/>
      <c r="M20" s="16"/>
      <c r="N20" s="203"/>
      <c r="O20" s="291"/>
      <c r="P20" s="391"/>
      <c r="Q20" s="396"/>
      <c r="R20" s="397"/>
      <c r="S20" s="403"/>
      <c r="T20" s="406"/>
      <c r="U20" s="416"/>
      <c r="V20" s="112"/>
    </row>
    <row r="21" spans="2:22" s="15" customFormat="1" ht="16.5" customHeight="1" thickTop="1">
      <c r="B21" s="108"/>
      <c r="C21" s="25"/>
      <c r="D21" s="67"/>
      <c r="E21" s="68"/>
      <c r="F21" s="69"/>
      <c r="G21" s="290"/>
      <c r="H21" s="71"/>
      <c r="I21" s="72"/>
      <c r="J21" s="73"/>
      <c r="K21" s="74"/>
      <c r="L21" s="75"/>
      <c r="M21" s="17"/>
      <c r="N21" s="70"/>
      <c r="O21" s="292"/>
      <c r="P21" s="392"/>
      <c r="Q21" s="398"/>
      <c r="R21" s="399"/>
      <c r="S21" s="404"/>
      <c r="T21" s="70"/>
      <c r="U21" s="218"/>
      <c r="V21" s="112"/>
    </row>
    <row r="22" spans="2:22" s="15" customFormat="1" ht="16.5" customHeight="1">
      <c r="B22" s="108"/>
      <c r="C22" s="544">
        <v>26</v>
      </c>
      <c r="D22" s="608" t="s">
        <v>11</v>
      </c>
      <c r="E22" s="591" t="s">
        <v>137</v>
      </c>
      <c r="F22" s="609">
        <v>150</v>
      </c>
      <c r="G22" s="471">
        <f aca="true" t="shared" si="0" ref="G22:G41">F22*$F$16</f>
        <v>23.1</v>
      </c>
      <c r="H22" s="594">
        <v>37288</v>
      </c>
      <c r="I22" s="562">
        <v>37299.399305555555</v>
      </c>
      <c r="J22" s="57">
        <f aca="true" t="shared" si="1" ref="J22:J41">IF(D22="","",(I22-H22)*24)</f>
        <v>273.58333333331393</v>
      </c>
      <c r="K22" s="24">
        <f aca="true" t="shared" si="2" ref="K22:K41">IF(D22="","",ROUND((I22-H22)*24*60,0))</f>
        <v>16415</v>
      </c>
      <c r="L22" s="564" t="s">
        <v>166</v>
      </c>
      <c r="M22" s="590" t="str">
        <f aca="true" t="shared" si="3" ref="M22:M41">IF(D22="","","--")</f>
        <v>--</v>
      </c>
      <c r="N22" s="566" t="str">
        <f aca="true" t="shared" si="4" ref="N22:N41">IF(D22="","",IF(OR(L22="P",L22="RP"),"--","NO"))</f>
        <v>NO</v>
      </c>
      <c r="O22" s="612">
        <f aca="true" t="shared" si="5" ref="O22:O41">IF(L22="P",$F$17/10,$F$17)</f>
        <v>20</v>
      </c>
      <c r="P22" s="613" t="str">
        <f aca="true" t="shared" si="6" ref="P22:P41">IF(L22="P",G22*O22*ROUND(K22/60,2),"--")</f>
        <v>--</v>
      </c>
      <c r="Q22" s="614" t="str">
        <f aca="true" t="shared" si="7" ref="Q22:Q41">IF(AND(L22="F",N22="NO"),G22*O22,"--")</f>
        <v>--</v>
      </c>
      <c r="R22" s="615" t="str">
        <f aca="true" t="shared" si="8" ref="R22:R41">IF(L22="F",G22*O22*ROUND(K22/60,2),"--")</f>
        <v>--</v>
      </c>
      <c r="S22" s="616">
        <f aca="true" t="shared" si="9" ref="S22:S41">IF(L22="RF",G22*O22*ROUND(K22/60,2),"--")</f>
        <v>126393.95999999999</v>
      </c>
      <c r="T22" s="566" t="str">
        <f aca="true" t="shared" si="10" ref="T22:T41">IF(D22="","","SI")</f>
        <v>SI</v>
      </c>
      <c r="U22" s="60">
        <f aca="true" t="shared" si="11" ref="U22:U41">IF(D22="","",SUM(P22:S22)*IF(T22="SI",1,2))</f>
        <v>126393.95999999999</v>
      </c>
      <c r="V22" s="112"/>
    </row>
    <row r="23" spans="2:22" s="15" customFormat="1" ht="16.5" customHeight="1">
      <c r="B23" s="108"/>
      <c r="C23" s="544">
        <v>27</v>
      </c>
      <c r="D23" s="608" t="s">
        <v>16</v>
      </c>
      <c r="E23" s="591" t="s">
        <v>138</v>
      </c>
      <c r="F23" s="609">
        <v>80</v>
      </c>
      <c r="G23" s="471">
        <f t="shared" si="0"/>
        <v>12.32</v>
      </c>
      <c r="H23" s="594">
        <v>37294.290972222225</v>
      </c>
      <c r="I23" s="562">
        <v>37294.53333333333</v>
      </c>
      <c r="J23" s="57">
        <f t="shared" si="1"/>
        <v>5.816666666592937</v>
      </c>
      <c r="K23" s="24">
        <f t="shared" si="2"/>
        <v>349</v>
      </c>
      <c r="L23" s="564" t="s">
        <v>163</v>
      </c>
      <c r="M23" s="590" t="str">
        <f t="shared" si="3"/>
        <v>--</v>
      </c>
      <c r="N23" s="566" t="str">
        <f t="shared" si="4"/>
        <v>--</v>
      </c>
      <c r="O23" s="612">
        <f t="shared" si="5"/>
        <v>2</v>
      </c>
      <c r="P23" s="613">
        <f t="shared" si="6"/>
        <v>143.40480000000002</v>
      </c>
      <c r="Q23" s="614" t="str">
        <f t="shared" si="7"/>
        <v>--</v>
      </c>
      <c r="R23" s="615" t="str">
        <f t="shared" si="8"/>
        <v>--</v>
      </c>
      <c r="S23" s="616" t="str">
        <f t="shared" si="9"/>
        <v>--</v>
      </c>
      <c r="T23" s="566" t="str">
        <f t="shared" si="10"/>
        <v>SI</v>
      </c>
      <c r="U23" s="60">
        <f t="shared" si="11"/>
        <v>143.40480000000002</v>
      </c>
      <c r="V23" s="112"/>
    </row>
    <row r="24" spans="2:22" s="15" customFormat="1" ht="16.5" customHeight="1">
      <c r="B24" s="108"/>
      <c r="C24" s="544"/>
      <c r="D24" s="608"/>
      <c r="E24" s="591"/>
      <c r="F24" s="609"/>
      <c r="G24" s="471">
        <f t="shared" si="0"/>
        <v>0</v>
      </c>
      <c r="H24" s="594"/>
      <c r="I24" s="562"/>
      <c r="J24" s="57">
        <f t="shared" si="1"/>
      </c>
      <c r="K24" s="24">
        <f t="shared" si="2"/>
      </c>
      <c r="L24" s="564"/>
      <c r="M24" s="590">
        <f t="shared" si="3"/>
      </c>
      <c r="N24" s="566">
        <f t="shared" si="4"/>
      </c>
      <c r="O24" s="612">
        <f t="shared" si="5"/>
        <v>20</v>
      </c>
      <c r="P24" s="613" t="str">
        <f t="shared" si="6"/>
        <v>--</v>
      </c>
      <c r="Q24" s="614" t="str">
        <f t="shared" si="7"/>
        <v>--</v>
      </c>
      <c r="R24" s="615" t="str">
        <f t="shared" si="8"/>
        <v>--</v>
      </c>
      <c r="S24" s="616" t="str">
        <f t="shared" si="9"/>
        <v>--</v>
      </c>
      <c r="T24" s="566">
        <f t="shared" si="10"/>
      </c>
      <c r="U24" s="60">
        <f t="shared" si="11"/>
      </c>
      <c r="V24" s="112"/>
    </row>
    <row r="25" spans="2:22" s="15" customFormat="1" ht="16.5" customHeight="1">
      <c r="B25" s="108"/>
      <c r="C25" s="544"/>
      <c r="D25" s="608"/>
      <c r="E25" s="591"/>
      <c r="F25" s="609"/>
      <c r="G25" s="471">
        <f t="shared" si="0"/>
        <v>0</v>
      </c>
      <c r="H25" s="594"/>
      <c r="I25" s="562"/>
      <c r="J25" s="57">
        <f t="shared" si="1"/>
      </c>
      <c r="K25" s="24">
        <f t="shared" si="2"/>
      </c>
      <c r="L25" s="564"/>
      <c r="M25" s="590">
        <f t="shared" si="3"/>
      </c>
      <c r="N25" s="566">
        <f t="shared" si="4"/>
      </c>
      <c r="O25" s="612">
        <f t="shared" si="5"/>
        <v>20</v>
      </c>
      <c r="P25" s="613" t="str">
        <f t="shared" si="6"/>
        <v>--</v>
      </c>
      <c r="Q25" s="614" t="str">
        <f t="shared" si="7"/>
        <v>--</v>
      </c>
      <c r="R25" s="615" t="str">
        <f t="shared" si="8"/>
        <v>--</v>
      </c>
      <c r="S25" s="616" t="str">
        <f t="shared" si="9"/>
        <v>--</v>
      </c>
      <c r="T25" s="566">
        <f t="shared" si="10"/>
      </c>
      <c r="U25" s="60">
        <f t="shared" si="11"/>
      </c>
      <c r="V25" s="193"/>
    </row>
    <row r="26" spans="2:22" s="15" customFormat="1" ht="16.5" customHeight="1">
      <c r="B26" s="108"/>
      <c r="C26" s="544"/>
      <c r="D26" s="608"/>
      <c r="E26" s="591"/>
      <c r="F26" s="609"/>
      <c r="G26" s="471">
        <f t="shared" si="0"/>
        <v>0</v>
      </c>
      <c r="H26" s="594"/>
      <c r="I26" s="562"/>
      <c r="J26" s="57">
        <f t="shared" si="1"/>
      </c>
      <c r="K26" s="24">
        <f t="shared" si="2"/>
      </c>
      <c r="L26" s="564"/>
      <c r="M26" s="590">
        <f t="shared" si="3"/>
      </c>
      <c r="N26" s="566">
        <f t="shared" si="4"/>
      </c>
      <c r="O26" s="612">
        <f t="shared" si="5"/>
        <v>20</v>
      </c>
      <c r="P26" s="613" t="str">
        <f t="shared" si="6"/>
        <v>--</v>
      </c>
      <c r="Q26" s="614" t="str">
        <f t="shared" si="7"/>
        <v>--</v>
      </c>
      <c r="R26" s="615" t="str">
        <f t="shared" si="8"/>
        <v>--</v>
      </c>
      <c r="S26" s="616" t="str">
        <f t="shared" si="9"/>
        <v>--</v>
      </c>
      <c r="T26" s="566">
        <f t="shared" si="10"/>
      </c>
      <c r="U26" s="60">
        <f t="shared" si="11"/>
      </c>
      <c r="V26" s="193"/>
    </row>
    <row r="27" spans="2:22" s="15" customFormat="1" ht="16.5" customHeight="1">
      <c r="B27" s="108"/>
      <c r="C27" s="544"/>
      <c r="D27" s="608"/>
      <c r="E27" s="591"/>
      <c r="F27" s="609"/>
      <c r="G27" s="471">
        <f t="shared" si="0"/>
        <v>0</v>
      </c>
      <c r="H27" s="594"/>
      <c r="I27" s="562"/>
      <c r="J27" s="57">
        <f t="shared" si="1"/>
      </c>
      <c r="K27" s="24">
        <f t="shared" si="2"/>
      </c>
      <c r="L27" s="564"/>
      <c r="M27" s="590">
        <f t="shared" si="3"/>
      </c>
      <c r="N27" s="566">
        <f t="shared" si="4"/>
      </c>
      <c r="O27" s="612">
        <f t="shared" si="5"/>
        <v>20</v>
      </c>
      <c r="P27" s="613" t="str">
        <f t="shared" si="6"/>
        <v>--</v>
      </c>
      <c r="Q27" s="614" t="str">
        <f t="shared" si="7"/>
        <v>--</v>
      </c>
      <c r="R27" s="615" t="str">
        <f t="shared" si="8"/>
        <v>--</v>
      </c>
      <c r="S27" s="616" t="str">
        <f t="shared" si="9"/>
        <v>--</v>
      </c>
      <c r="T27" s="566">
        <f t="shared" si="10"/>
      </c>
      <c r="U27" s="60">
        <f t="shared" si="11"/>
      </c>
      <c r="V27" s="193"/>
    </row>
    <row r="28" spans="2:22" s="15" customFormat="1" ht="16.5" customHeight="1">
      <c r="B28" s="108"/>
      <c r="C28" s="544"/>
      <c r="D28" s="608"/>
      <c r="E28" s="591"/>
      <c r="F28" s="609"/>
      <c r="G28" s="471">
        <f t="shared" si="0"/>
        <v>0</v>
      </c>
      <c r="H28" s="594"/>
      <c r="I28" s="562"/>
      <c r="J28" s="57">
        <f t="shared" si="1"/>
      </c>
      <c r="K28" s="24">
        <f t="shared" si="2"/>
      </c>
      <c r="L28" s="564"/>
      <c r="M28" s="590">
        <f t="shared" si="3"/>
      </c>
      <c r="N28" s="566">
        <f t="shared" si="4"/>
      </c>
      <c r="O28" s="612">
        <f t="shared" si="5"/>
        <v>20</v>
      </c>
      <c r="P28" s="613" t="str">
        <f t="shared" si="6"/>
        <v>--</v>
      </c>
      <c r="Q28" s="614" t="str">
        <f t="shared" si="7"/>
        <v>--</v>
      </c>
      <c r="R28" s="615" t="str">
        <f t="shared" si="8"/>
        <v>--</v>
      </c>
      <c r="S28" s="616" t="str">
        <f t="shared" si="9"/>
        <v>--</v>
      </c>
      <c r="T28" s="566">
        <f t="shared" si="10"/>
      </c>
      <c r="U28" s="60">
        <f t="shared" si="11"/>
      </c>
      <c r="V28" s="193"/>
    </row>
    <row r="29" spans="2:22" s="15" customFormat="1" ht="16.5" customHeight="1">
      <c r="B29" s="108"/>
      <c r="C29" s="544"/>
      <c r="D29" s="608"/>
      <c r="E29" s="591"/>
      <c r="F29" s="609"/>
      <c r="G29" s="471">
        <f t="shared" si="0"/>
        <v>0</v>
      </c>
      <c r="H29" s="594"/>
      <c r="I29" s="562"/>
      <c r="J29" s="57">
        <f t="shared" si="1"/>
      </c>
      <c r="K29" s="24">
        <f t="shared" si="2"/>
      </c>
      <c r="L29" s="564"/>
      <c r="M29" s="590">
        <f t="shared" si="3"/>
      </c>
      <c r="N29" s="566">
        <f t="shared" si="4"/>
      </c>
      <c r="O29" s="612">
        <f t="shared" si="5"/>
        <v>20</v>
      </c>
      <c r="P29" s="613" t="str">
        <f t="shared" si="6"/>
        <v>--</v>
      </c>
      <c r="Q29" s="614" t="str">
        <f t="shared" si="7"/>
        <v>--</v>
      </c>
      <c r="R29" s="615" t="str">
        <f t="shared" si="8"/>
        <v>--</v>
      </c>
      <c r="S29" s="616" t="str">
        <f t="shared" si="9"/>
        <v>--</v>
      </c>
      <c r="T29" s="566">
        <f t="shared" si="10"/>
      </c>
      <c r="U29" s="60">
        <f t="shared" si="11"/>
      </c>
      <c r="V29" s="193"/>
    </row>
    <row r="30" spans="2:22" s="15" customFormat="1" ht="16.5" customHeight="1">
      <c r="B30" s="108"/>
      <c r="C30" s="544"/>
      <c r="D30" s="608"/>
      <c r="E30" s="591"/>
      <c r="F30" s="609"/>
      <c r="G30" s="471">
        <f t="shared" si="0"/>
        <v>0</v>
      </c>
      <c r="H30" s="594"/>
      <c r="I30" s="562"/>
      <c r="J30" s="57">
        <f t="shared" si="1"/>
      </c>
      <c r="K30" s="24">
        <f t="shared" si="2"/>
      </c>
      <c r="L30" s="564"/>
      <c r="M30" s="590">
        <f t="shared" si="3"/>
      </c>
      <c r="N30" s="566">
        <f t="shared" si="4"/>
      </c>
      <c r="O30" s="612">
        <f t="shared" si="5"/>
        <v>20</v>
      </c>
      <c r="P30" s="613" t="str">
        <f t="shared" si="6"/>
        <v>--</v>
      </c>
      <c r="Q30" s="614" t="str">
        <f t="shared" si="7"/>
        <v>--</v>
      </c>
      <c r="R30" s="615" t="str">
        <f t="shared" si="8"/>
        <v>--</v>
      </c>
      <c r="S30" s="616" t="str">
        <f t="shared" si="9"/>
        <v>--</v>
      </c>
      <c r="T30" s="566">
        <f t="shared" si="10"/>
      </c>
      <c r="U30" s="60">
        <f t="shared" si="11"/>
      </c>
      <c r="V30" s="193"/>
    </row>
    <row r="31" spans="2:22" s="15" customFormat="1" ht="16.5" customHeight="1">
      <c r="B31" s="108"/>
      <c r="C31" s="544"/>
      <c r="D31" s="608"/>
      <c r="E31" s="591"/>
      <c r="F31" s="609"/>
      <c r="G31" s="471">
        <f t="shared" si="0"/>
        <v>0</v>
      </c>
      <c r="H31" s="594"/>
      <c r="I31" s="562"/>
      <c r="J31" s="57">
        <f t="shared" si="1"/>
      </c>
      <c r="K31" s="24">
        <f t="shared" si="2"/>
      </c>
      <c r="L31" s="564"/>
      <c r="M31" s="590">
        <f t="shared" si="3"/>
      </c>
      <c r="N31" s="566">
        <f t="shared" si="4"/>
      </c>
      <c r="O31" s="612">
        <f t="shared" si="5"/>
        <v>20</v>
      </c>
      <c r="P31" s="613" t="str">
        <f t="shared" si="6"/>
        <v>--</v>
      </c>
      <c r="Q31" s="614" t="str">
        <f t="shared" si="7"/>
        <v>--</v>
      </c>
      <c r="R31" s="615" t="str">
        <f t="shared" si="8"/>
        <v>--</v>
      </c>
      <c r="S31" s="616" t="str">
        <f t="shared" si="9"/>
        <v>--</v>
      </c>
      <c r="T31" s="566">
        <f t="shared" si="10"/>
      </c>
      <c r="U31" s="60">
        <f t="shared" si="11"/>
      </c>
      <c r="V31" s="112"/>
    </row>
    <row r="32" spans="2:22" s="15" customFormat="1" ht="16.5" customHeight="1">
      <c r="B32" s="108"/>
      <c r="C32" s="544"/>
      <c r="D32" s="608"/>
      <c r="E32" s="591"/>
      <c r="F32" s="609"/>
      <c r="G32" s="471">
        <f t="shared" si="0"/>
        <v>0</v>
      </c>
      <c r="H32" s="594"/>
      <c r="I32" s="562"/>
      <c r="J32" s="57">
        <f t="shared" si="1"/>
      </c>
      <c r="K32" s="24">
        <f t="shared" si="2"/>
      </c>
      <c r="L32" s="564"/>
      <c r="M32" s="590">
        <f t="shared" si="3"/>
      </c>
      <c r="N32" s="566">
        <f t="shared" si="4"/>
      </c>
      <c r="O32" s="612">
        <f t="shared" si="5"/>
        <v>20</v>
      </c>
      <c r="P32" s="613" t="str">
        <f t="shared" si="6"/>
        <v>--</v>
      </c>
      <c r="Q32" s="614" t="str">
        <f t="shared" si="7"/>
        <v>--</v>
      </c>
      <c r="R32" s="615" t="str">
        <f t="shared" si="8"/>
        <v>--</v>
      </c>
      <c r="S32" s="616" t="str">
        <f t="shared" si="9"/>
        <v>--</v>
      </c>
      <c r="T32" s="566">
        <f t="shared" si="10"/>
      </c>
      <c r="U32" s="60">
        <f t="shared" si="11"/>
      </c>
      <c r="V32" s="112"/>
    </row>
    <row r="33" spans="2:22" s="15" customFormat="1" ht="16.5" customHeight="1">
      <c r="B33" s="108"/>
      <c r="C33" s="544"/>
      <c r="D33" s="608"/>
      <c r="E33" s="591"/>
      <c r="F33" s="609"/>
      <c r="G33" s="471">
        <f t="shared" si="0"/>
        <v>0</v>
      </c>
      <c r="H33" s="594"/>
      <c r="I33" s="562"/>
      <c r="J33" s="57">
        <f t="shared" si="1"/>
      </c>
      <c r="K33" s="24">
        <f t="shared" si="2"/>
      </c>
      <c r="L33" s="564"/>
      <c r="M33" s="590">
        <f t="shared" si="3"/>
      </c>
      <c r="N33" s="566">
        <f t="shared" si="4"/>
      </c>
      <c r="O33" s="612">
        <f t="shared" si="5"/>
        <v>20</v>
      </c>
      <c r="P33" s="613" t="str">
        <f t="shared" si="6"/>
        <v>--</v>
      </c>
      <c r="Q33" s="614" t="str">
        <f t="shared" si="7"/>
        <v>--</v>
      </c>
      <c r="R33" s="615" t="str">
        <f t="shared" si="8"/>
        <v>--</v>
      </c>
      <c r="S33" s="616" t="str">
        <f t="shared" si="9"/>
        <v>--</v>
      </c>
      <c r="T33" s="566">
        <f t="shared" si="10"/>
      </c>
      <c r="U33" s="60">
        <f t="shared" si="11"/>
      </c>
      <c r="V33" s="112"/>
    </row>
    <row r="34" spans="2:22" s="15" customFormat="1" ht="16.5" customHeight="1">
      <c r="B34" s="108"/>
      <c r="C34" s="544"/>
      <c r="D34" s="608"/>
      <c r="E34" s="591"/>
      <c r="F34" s="609"/>
      <c r="G34" s="471">
        <f t="shared" si="0"/>
        <v>0</v>
      </c>
      <c r="H34" s="594"/>
      <c r="I34" s="562"/>
      <c r="J34" s="57">
        <f t="shared" si="1"/>
      </c>
      <c r="K34" s="24">
        <f t="shared" si="2"/>
      </c>
      <c r="L34" s="564"/>
      <c r="M34" s="590">
        <f t="shared" si="3"/>
      </c>
      <c r="N34" s="566">
        <f t="shared" si="4"/>
      </c>
      <c r="O34" s="612">
        <f t="shared" si="5"/>
        <v>20</v>
      </c>
      <c r="P34" s="613" t="str">
        <f t="shared" si="6"/>
        <v>--</v>
      </c>
      <c r="Q34" s="614" t="str">
        <f t="shared" si="7"/>
        <v>--</v>
      </c>
      <c r="R34" s="615" t="str">
        <f t="shared" si="8"/>
        <v>--</v>
      </c>
      <c r="S34" s="616" t="str">
        <f t="shared" si="9"/>
        <v>--</v>
      </c>
      <c r="T34" s="566">
        <f t="shared" si="10"/>
      </c>
      <c r="U34" s="60">
        <f t="shared" si="11"/>
      </c>
      <c r="V34" s="112"/>
    </row>
    <row r="35" spans="2:22" s="15" customFormat="1" ht="16.5" customHeight="1">
      <c r="B35" s="108"/>
      <c r="C35" s="544"/>
      <c r="D35" s="608"/>
      <c r="E35" s="591"/>
      <c r="F35" s="609"/>
      <c r="G35" s="471">
        <f t="shared" si="0"/>
        <v>0</v>
      </c>
      <c r="H35" s="594"/>
      <c r="I35" s="562"/>
      <c r="J35" s="57">
        <f t="shared" si="1"/>
      </c>
      <c r="K35" s="24">
        <f t="shared" si="2"/>
      </c>
      <c r="L35" s="564"/>
      <c r="M35" s="590">
        <f t="shared" si="3"/>
      </c>
      <c r="N35" s="566">
        <f t="shared" si="4"/>
      </c>
      <c r="O35" s="612">
        <f t="shared" si="5"/>
        <v>20</v>
      </c>
      <c r="P35" s="613" t="str">
        <f t="shared" si="6"/>
        <v>--</v>
      </c>
      <c r="Q35" s="614" t="str">
        <f t="shared" si="7"/>
        <v>--</v>
      </c>
      <c r="R35" s="615" t="str">
        <f t="shared" si="8"/>
        <v>--</v>
      </c>
      <c r="S35" s="616" t="str">
        <f t="shared" si="9"/>
        <v>--</v>
      </c>
      <c r="T35" s="566">
        <f t="shared" si="10"/>
      </c>
      <c r="U35" s="60">
        <f t="shared" si="11"/>
      </c>
      <c r="V35" s="112"/>
    </row>
    <row r="36" spans="2:22" s="15" customFormat="1" ht="16.5" customHeight="1">
      <c r="B36" s="108"/>
      <c r="C36" s="544"/>
      <c r="D36" s="608"/>
      <c r="E36" s="591"/>
      <c r="F36" s="609"/>
      <c r="G36" s="471">
        <f t="shared" si="0"/>
        <v>0</v>
      </c>
      <c r="H36" s="594"/>
      <c r="I36" s="562"/>
      <c r="J36" s="57">
        <f t="shared" si="1"/>
      </c>
      <c r="K36" s="24">
        <f t="shared" si="2"/>
      </c>
      <c r="L36" s="564"/>
      <c r="M36" s="590">
        <f t="shared" si="3"/>
      </c>
      <c r="N36" s="566">
        <f t="shared" si="4"/>
      </c>
      <c r="O36" s="612">
        <f t="shared" si="5"/>
        <v>20</v>
      </c>
      <c r="P36" s="613" t="str">
        <f t="shared" si="6"/>
        <v>--</v>
      </c>
      <c r="Q36" s="614" t="str">
        <f t="shared" si="7"/>
        <v>--</v>
      </c>
      <c r="R36" s="615" t="str">
        <f t="shared" si="8"/>
        <v>--</v>
      </c>
      <c r="S36" s="616" t="str">
        <f t="shared" si="9"/>
        <v>--</v>
      </c>
      <c r="T36" s="566">
        <f t="shared" si="10"/>
      </c>
      <c r="U36" s="60">
        <f t="shared" si="11"/>
      </c>
      <c r="V36" s="112"/>
    </row>
    <row r="37" spans="2:22" s="15" customFormat="1" ht="16.5" customHeight="1">
      <c r="B37" s="108"/>
      <c r="C37" s="544"/>
      <c r="D37" s="608"/>
      <c r="E37" s="591"/>
      <c r="F37" s="609"/>
      <c r="G37" s="471">
        <f t="shared" si="0"/>
        <v>0</v>
      </c>
      <c r="H37" s="594"/>
      <c r="I37" s="562"/>
      <c r="J37" s="57">
        <f t="shared" si="1"/>
      </c>
      <c r="K37" s="24">
        <f t="shared" si="2"/>
      </c>
      <c r="L37" s="564"/>
      <c r="M37" s="590">
        <f t="shared" si="3"/>
      </c>
      <c r="N37" s="566">
        <f t="shared" si="4"/>
      </c>
      <c r="O37" s="612">
        <f t="shared" si="5"/>
        <v>20</v>
      </c>
      <c r="P37" s="613" t="str">
        <f t="shared" si="6"/>
        <v>--</v>
      </c>
      <c r="Q37" s="614" t="str">
        <f t="shared" si="7"/>
        <v>--</v>
      </c>
      <c r="R37" s="615" t="str">
        <f t="shared" si="8"/>
        <v>--</v>
      </c>
      <c r="S37" s="616" t="str">
        <f t="shared" si="9"/>
        <v>--</v>
      </c>
      <c r="T37" s="566">
        <f t="shared" si="10"/>
      </c>
      <c r="U37" s="60">
        <f t="shared" si="11"/>
      </c>
      <c r="V37" s="112"/>
    </row>
    <row r="38" spans="2:22" s="15" customFormat="1" ht="16.5" customHeight="1">
      <c r="B38" s="108"/>
      <c r="C38" s="544"/>
      <c r="D38" s="608"/>
      <c r="E38" s="591"/>
      <c r="F38" s="609"/>
      <c r="G38" s="471">
        <f t="shared" si="0"/>
        <v>0</v>
      </c>
      <c r="H38" s="594"/>
      <c r="I38" s="562"/>
      <c r="J38" s="57">
        <f t="shared" si="1"/>
      </c>
      <c r="K38" s="24">
        <f t="shared" si="2"/>
      </c>
      <c r="L38" s="564"/>
      <c r="M38" s="590">
        <f t="shared" si="3"/>
      </c>
      <c r="N38" s="566">
        <f t="shared" si="4"/>
      </c>
      <c r="O38" s="612">
        <f t="shared" si="5"/>
        <v>20</v>
      </c>
      <c r="P38" s="613" t="str">
        <f t="shared" si="6"/>
        <v>--</v>
      </c>
      <c r="Q38" s="614" t="str">
        <f t="shared" si="7"/>
        <v>--</v>
      </c>
      <c r="R38" s="615" t="str">
        <f t="shared" si="8"/>
        <v>--</v>
      </c>
      <c r="S38" s="616" t="str">
        <f t="shared" si="9"/>
        <v>--</v>
      </c>
      <c r="T38" s="566">
        <f t="shared" si="10"/>
      </c>
      <c r="U38" s="60">
        <f t="shared" si="11"/>
      </c>
      <c r="V38" s="112"/>
    </row>
    <row r="39" spans="2:22" s="15" customFormat="1" ht="16.5" customHeight="1">
      <c r="B39" s="108"/>
      <c r="C39" s="544"/>
      <c r="D39" s="608"/>
      <c r="E39" s="591"/>
      <c r="F39" s="609"/>
      <c r="G39" s="471">
        <f t="shared" si="0"/>
        <v>0</v>
      </c>
      <c r="H39" s="594"/>
      <c r="I39" s="562"/>
      <c r="J39" s="57">
        <f t="shared" si="1"/>
      </c>
      <c r="K39" s="24">
        <f t="shared" si="2"/>
      </c>
      <c r="L39" s="564"/>
      <c r="M39" s="590">
        <f t="shared" si="3"/>
      </c>
      <c r="N39" s="566">
        <f t="shared" si="4"/>
      </c>
      <c r="O39" s="612">
        <f t="shared" si="5"/>
        <v>20</v>
      </c>
      <c r="P39" s="613" t="str">
        <f t="shared" si="6"/>
        <v>--</v>
      </c>
      <c r="Q39" s="614" t="str">
        <f t="shared" si="7"/>
        <v>--</v>
      </c>
      <c r="R39" s="615" t="str">
        <f t="shared" si="8"/>
        <v>--</v>
      </c>
      <c r="S39" s="616" t="str">
        <f t="shared" si="9"/>
        <v>--</v>
      </c>
      <c r="T39" s="566">
        <f t="shared" si="10"/>
      </c>
      <c r="U39" s="60">
        <f t="shared" si="11"/>
      </c>
      <c r="V39" s="112"/>
    </row>
    <row r="40" spans="2:22" s="15" customFormat="1" ht="16.5" customHeight="1">
      <c r="B40" s="108"/>
      <c r="C40" s="544"/>
      <c r="D40" s="608"/>
      <c r="E40" s="591"/>
      <c r="F40" s="609"/>
      <c r="G40" s="471">
        <f t="shared" si="0"/>
        <v>0</v>
      </c>
      <c r="H40" s="594"/>
      <c r="I40" s="562"/>
      <c r="J40" s="57">
        <f t="shared" si="1"/>
      </c>
      <c r="K40" s="24">
        <f t="shared" si="2"/>
      </c>
      <c r="L40" s="564"/>
      <c r="M40" s="590">
        <f t="shared" si="3"/>
      </c>
      <c r="N40" s="566">
        <f t="shared" si="4"/>
      </c>
      <c r="O40" s="612">
        <f t="shared" si="5"/>
        <v>20</v>
      </c>
      <c r="P40" s="613" t="str">
        <f t="shared" si="6"/>
        <v>--</v>
      </c>
      <c r="Q40" s="614" t="str">
        <f t="shared" si="7"/>
        <v>--</v>
      </c>
      <c r="R40" s="615" t="str">
        <f t="shared" si="8"/>
        <v>--</v>
      </c>
      <c r="S40" s="616" t="str">
        <f t="shared" si="9"/>
        <v>--</v>
      </c>
      <c r="T40" s="566">
        <f t="shared" si="10"/>
      </c>
      <c r="U40" s="60">
        <f t="shared" si="11"/>
      </c>
      <c r="V40" s="112"/>
    </row>
    <row r="41" spans="2:22" s="15" customFormat="1" ht="16.5" customHeight="1">
      <c r="B41" s="108"/>
      <c r="C41" s="544"/>
      <c r="D41" s="608"/>
      <c r="E41" s="591"/>
      <c r="F41" s="609"/>
      <c r="G41" s="471">
        <f t="shared" si="0"/>
        <v>0</v>
      </c>
      <c r="H41" s="594"/>
      <c r="I41" s="562"/>
      <c r="J41" s="57">
        <f t="shared" si="1"/>
      </c>
      <c r="K41" s="24">
        <f t="shared" si="2"/>
      </c>
      <c r="L41" s="564"/>
      <c r="M41" s="590">
        <f t="shared" si="3"/>
      </c>
      <c r="N41" s="566">
        <f t="shared" si="4"/>
      </c>
      <c r="O41" s="612">
        <f t="shared" si="5"/>
        <v>20</v>
      </c>
      <c r="P41" s="613" t="str">
        <f t="shared" si="6"/>
        <v>--</v>
      </c>
      <c r="Q41" s="614" t="str">
        <f t="shared" si="7"/>
        <v>--</v>
      </c>
      <c r="R41" s="615" t="str">
        <f t="shared" si="8"/>
        <v>--</v>
      </c>
      <c r="S41" s="616" t="str">
        <f t="shared" si="9"/>
        <v>--</v>
      </c>
      <c r="T41" s="566">
        <f t="shared" si="10"/>
      </c>
      <c r="U41" s="60">
        <f t="shared" si="11"/>
      </c>
      <c r="V41" s="112"/>
    </row>
    <row r="42" spans="2:22" s="15" customFormat="1" ht="16.5" customHeight="1" thickBot="1">
      <c r="B42" s="108"/>
      <c r="C42" s="553"/>
      <c r="D42" s="610"/>
      <c r="E42" s="593"/>
      <c r="F42" s="611"/>
      <c r="G42" s="286"/>
      <c r="H42" s="596"/>
      <c r="I42" s="596"/>
      <c r="J42" s="61"/>
      <c r="K42" s="61"/>
      <c r="L42" s="596"/>
      <c r="M42" s="578"/>
      <c r="N42" s="563"/>
      <c r="O42" s="617"/>
      <c r="P42" s="618"/>
      <c r="Q42" s="619"/>
      <c r="R42" s="620"/>
      <c r="S42" s="621"/>
      <c r="T42" s="563"/>
      <c r="U42" s="219"/>
      <c r="V42" s="112"/>
    </row>
    <row r="43" spans="2:22" s="15" customFormat="1" ht="16.5" customHeight="1" thickBot="1" thickTop="1">
      <c r="B43" s="108"/>
      <c r="C43" s="224" t="s">
        <v>74</v>
      </c>
      <c r="D43" s="225" t="s">
        <v>75</v>
      </c>
      <c r="G43" s="13"/>
      <c r="H43" s="13"/>
      <c r="I43" s="13"/>
      <c r="J43" s="13"/>
      <c r="K43" s="13"/>
      <c r="L43" s="13"/>
      <c r="M43" s="13"/>
      <c r="N43" s="13"/>
      <c r="O43" s="13"/>
      <c r="P43" s="393">
        <f>SUM(P20:P42)</f>
        <v>143.40480000000002</v>
      </c>
      <c r="Q43" s="400">
        <f>SUM(Q20:Q42)</f>
        <v>0</v>
      </c>
      <c r="R43" s="401">
        <f>SUM(R20:R42)</f>
        <v>0</v>
      </c>
      <c r="S43" s="405">
        <f>SUM(S20:S42)</f>
        <v>126393.95999999999</v>
      </c>
      <c r="U43" s="63">
        <f>ROUND(SUM(U20:U42),2)</f>
        <v>126537.36</v>
      </c>
      <c r="V43" s="194"/>
    </row>
    <row r="44" spans="2:22" s="228" customFormat="1" ht="9.75" thickTop="1">
      <c r="B44" s="229"/>
      <c r="C44" s="226"/>
      <c r="D44" s="227" t="s">
        <v>76</v>
      </c>
      <c r="G44" s="239"/>
      <c r="H44" s="239"/>
      <c r="I44" s="239"/>
      <c r="J44" s="239"/>
      <c r="K44" s="239"/>
      <c r="L44" s="239"/>
      <c r="M44" s="239"/>
      <c r="N44" s="239"/>
      <c r="O44" s="239"/>
      <c r="P44" s="238"/>
      <c r="Q44" s="238"/>
      <c r="R44" s="238"/>
      <c r="S44" s="238"/>
      <c r="U44" s="240"/>
      <c r="V44" s="241"/>
    </row>
    <row r="45" spans="2:22" s="15" customFormat="1" ht="16.5" customHeight="1" thickBot="1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9"/>
    </row>
    <row r="46" spans="4:24" ht="16.5" customHeight="1" thickTop="1">
      <c r="D46" s="5"/>
      <c r="E46" s="5"/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4:24" ht="16.5" customHeight="1">
      <c r="D47" s="5"/>
      <c r="E47" s="5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4:24" ht="16.5" customHeight="1">
      <c r="D48" s="5"/>
      <c r="E48" s="5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4:24" ht="16.5" customHeight="1">
      <c r="D49" s="5"/>
      <c r="E49" s="5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ht="16.5" customHeight="1">
      <c r="D50" s="5"/>
      <c r="E50" s="5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6.5" customHeight="1">
      <c r="D51" s="5"/>
      <c r="E51" s="5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4:24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4:24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4:24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4:24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4:24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4:24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4:24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4:24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4:24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4:24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4:24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4:24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4:24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4:24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4:24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4:24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4:24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4:24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4:24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4:24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4:24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4:24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4:24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4:24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4:24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4:24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4:24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4:24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4:24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4:24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4:24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4:24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4:24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4:24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4:24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4:24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4:24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4:24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4:24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4:24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4:24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4:24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4:24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4:24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4:24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4:24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4:24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4:24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4:24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4:24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4:24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4:24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4:24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4:24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4:24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4:24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4:24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4:24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4:24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4:24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4:24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4:24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4:24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4:24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4:24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4:24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4:24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4:24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4:24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4:24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4:24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4:24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4:24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4:24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4:24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4:24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4:24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4:24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4:24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4:24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4:24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4:24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4:24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4:24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4:24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4:24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4:24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4:24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4:24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4:24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4:24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4:24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4:24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4:24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4:24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4:24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4:24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4:24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4:24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4:24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4:24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4:24" ht="16.5" customHeight="1">
      <c r="D153" s="4"/>
      <c r="E153" s="4"/>
      <c r="F153" s="4"/>
      <c r="W153" s="4"/>
      <c r="X153" s="4"/>
    </row>
    <row r="154" spans="4:6" ht="16.5" customHeight="1">
      <c r="D154" s="4"/>
      <c r="E154" s="4"/>
      <c r="F154" s="4"/>
    </row>
    <row r="155" spans="4:6" ht="16.5" customHeight="1">
      <c r="D155" s="4"/>
      <c r="E155" s="4"/>
      <c r="F155" s="4"/>
    </row>
    <row r="156" spans="4:6" ht="16.5" customHeight="1">
      <c r="D156" s="4"/>
      <c r="E156" s="4"/>
      <c r="F156" s="4"/>
    </row>
    <row r="157" spans="4:6" ht="16.5" customHeight="1">
      <c r="D157" s="4"/>
      <c r="E157" s="4"/>
      <c r="F157" s="4"/>
    </row>
    <row r="158" spans="4:6" ht="16.5" customHeight="1">
      <c r="D158" s="4"/>
      <c r="E158" s="4"/>
      <c r="F158" s="4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2"/>
  <sheetViews>
    <sheetView zoomScale="75" zoomScaleNormal="75" workbookViewId="0" topLeftCell="B31">
      <selection activeCell="M21" sqref="M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8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531"/>
      <c r="AD1" s="479"/>
    </row>
    <row r="2" spans="1:23" ht="27" customHeight="1">
      <c r="A2" s="4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30" s="483" customFormat="1" ht="30.75">
      <c r="A3" s="480"/>
      <c r="B3" s="481" t="str">
        <f>+'tot-0202'!B2</f>
        <v>ANEXO I a la Resolución ENRE N° 090/2003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AB3" s="482"/>
      <c r="AC3" s="482"/>
      <c r="AD3" s="482"/>
    </row>
    <row r="4" spans="1:2" s="83" customFormat="1" ht="11.25">
      <c r="A4" s="489" t="s">
        <v>31</v>
      </c>
      <c r="B4" s="501"/>
    </row>
    <row r="5" spans="1:2" s="83" customFormat="1" ht="12" thickBot="1">
      <c r="A5" s="489" t="s">
        <v>32</v>
      </c>
      <c r="B5" s="489"/>
    </row>
    <row r="6" spans="1:23" ht="16.5" customHeight="1" thickTop="1">
      <c r="A6" s="15"/>
      <c r="B6" s="127"/>
      <c r="C6" s="128"/>
      <c r="D6" s="128"/>
      <c r="E6" s="129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30"/>
    </row>
    <row r="7" spans="1:23" ht="20.25">
      <c r="A7" s="15"/>
      <c r="B7" s="108"/>
      <c r="C7" s="13"/>
      <c r="D7" s="6" t="s">
        <v>97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42"/>
      <c r="Q7" s="242"/>
      <c r="R7" s="13"/>
      <c r="S7" s="13"/>
      <c r="T7" s="13"/>
      <c r="U7" s="13"/>
      <c r="V7" s="13"/>
      <c r="W7" s="131"/>
    </row>
    <row r="8" spans="1:23" ht="16.5" customHeight="1">
      <c r="A8" s="15"/>
      <c r="B8" s="10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1"/>
    </row>
    <row r="9" spans="2:23" s="14" customFormat="1" ht="20.25">
      <c r="B9" s="103"/>
      <c r="C9" s="102"/>
      <c r="D9" s="6" t="s">
        <v>98</v>
      </c>
      <c r="E9" s="102"/>
      <c r="F9" s="102"/>
      <c r="G9" s="102"/>
      <c r="H9" s="102"/>
      <c r="N9" s="102"/>
      <c r="O9" s="102"/>
      <c r="P9" s="293"/>
      <c r="Q9" s="293"/>
      <c r="R9" s="102"/>
      <c r="S9" s="102"/>
      <c r="T9" s="102"/>
      <c r="U9" s="102"/>
      <c r="V9" s="102"/>
      <c r="W9" s="294"/>
    </row>
    <row r="10" spans="1:23" ht="16.5" customHeight="1">
      <c r="A10" s="15"/>
      <c r="B10" s="10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1"/>
    </row>
    <row r="11" spans="2:23" s="14" customFormat="1" ht="20.25">
      <c r="B11" s="103"/>
      <c r="C11" s="102"/>
      <c r="D11" s="6" t="s">
        <v>167</v>
      </c>
      <c r="E11" s="102"/>
      <c r="F11" s="102"/>
      <c r="G11" s="102"/>
      <c r="H11" s="102"/>
      <c r="N11" s="102"/>
      <c r="O11" s="102"/>
      <c r="P11" s="293"/>
      <c r="Q11" s="293"/>
      <c r="R11" s="102"/>
      <c r="S11" s="102"/>
      <c r="T11" s="102"/>
      <c r="U11" s="102"/>
      <c r="V11" s="102"/>
      <c r="W11" s="294"/>
    </row>
    <row r="12" spans="1:23" ht="16.5" customHeight="1">
      <c r="A12" s="15"/>
      <c r="B12" s="108"/>
      <c r="C12" s="13"/>
      <c r="D12" s="13"/>
      <c r="E12" s="15"/>
      <c r="F12" s="15"/>
      <c r="G12" s="15"/>
      <c r="H12" s="15"/>
      <c r="I12" s="132"/>
      <c r="J12" s="132"/>
      <c r="K12" s="132"/>
      <c r="L12" s="132"/>
      <c r="M12" s="132"/>
      <c r="N12" s="132"/>
      <c r="O12" s="132"/>
      <c r="P12" s="132"/>
      <c r="Q12" s="132"/>
      <c r="R12" s="13"/>
      <c r="S12" s="13"/>
      <c r="T12" s="13"/>
      <c r="U12" s="13"/>
      <c r="V12" s="13"/>
      <c r="W12" s="131"/>
    </row>
    <row r="13" spans="2:23" s="14" customFormat="1" ht="19.5">
      <c r="B13" s="96" t="str">
        <f>+'tot-0202'!B14</f>
        <v>Desde el 01 al 28 de febrero de 2002</v>
      </c>
      <c r="C13" s="97"/>
      <c r="D13" s="99"/>
      <c r="E13" s="99"/>
      <c r="F13" s="99"/>
      <c r="G13" s="99"/>
      <c r="H13" s="99"/>
      <c r="I13" s="100"/>
      <c r="J13" s="3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295"/>
      <c r="V13" s="295"/>
      <c r="W13" s="101"/>
    </row>
    <row r="14" spans="1:23" ht="16.5" customHeight="1">
      <c r="A14" s="15"/>
      <c r="B14" s="108"/>
      <c r="C14" s="13"/>
      <c r="D14" s="13"/>
      <c r="E14" s="2"/>
      <c r="F14" s="2"/>
      <c r="G14" s="13"/>
      <c r="H14" s="13"/>
      <c r="I14" s="13"/>
      <c r="J14" s="243"/>
      <c r="K14" s="13"/>
      <c r="L14" s="13"/>
      <c r="M14" s="13"/>
      <c r="N14" s="15"/>
      <c r="O14" s="15"/>
      <c r="P14" s="13"/>
      <c r="Q14" s="13"/>
      <c r="R14" s="13"/>
      <c r="S14" s="13"/>
      <c r="T14" s="13"/>
      <c r="U14" s="13"/>
      <c r="V14" s="13"/>
      <c r="W14" s="131"/>
    </row>
    <row r="15" spans="1:23" ht="16.5" customHeight="1">
      <c r="A15" s="15"/>
      <c r="B15" s="108"/>
      <c r="C15" s="13"/>
      <c r="D15" s="13"/>
      <c r="E15" s="2"/>
      <c r="F15" s="2"/>
      <c r="G15" s="13"/>
      <c r="H15" s="13"/>
      <c r="I15" s="244"/>
      <c r="J15" s="13"/>
      <c r="K15" s="11"/>
      <c r="M15" s="13"/>
      <c r="N15" s="15"/>
      <c r="O15" s="15"/>
      <c r="P15" s="13"/>
      <c r="Q15" s="13"/>
      <c r="R15" s="13"/>
      <c r="S15" s="13"/>
      <c r="T15" s="13"/>
      <c r="U15" s="13"/>
      <c r="V15" s="13"/>
      <c r="W15" s="131"/>
    </row>
    <row r="16" spans="1:23" ht="16.5" customHeight="1">
      <c r="A16" s="15"/>
      <c r="B16" s="108"/>
      <c r="C16" s="13"/>
      <c r="D16" s="13"/>
      <c r="E16" s="2"/>
      <c r="F16" s="2"/>
      <c r="G16" s="13"/>
      <c r="H16" s="13"/>
      <c r="I16" s="244"/>
      <c r="J16" s="13"/>
      <c r="K16" s="11"/>
      <c r="M16" s="13"/>
      <c r="N16" s="15"/>
      <c r="O16" s="15"/>
      <c r="P16" s="13"/>
      <c r="Q16" s="13"/>
      <c r="R16" s="13"/>
      <c r="S16" s="13"/>
      <c r="T16" s="13"/>
      <c r="U16" s="13"/>
      <c r="V16" s="13"/>
      <c r="W16" s="131"/>
    </row>
    <row r="17" spans="1:23" ht="16.5" customHeight="1" thickBot="1">
      <c r="A17" s="15"/>
      <c r="B17" s="108"/>
      <c r="C17" s="451" t="s">
        <v>99</v>
      </c>
      <c r="D17" s="12" t="s">
        <v>100</v>
      </c>
      <c r="E17" s="2"/>
      <c r="F17" s="2"/>
      <c r="G17" s="13"/>
      <c r="H17" s="13"/>
      <c r="I17" s="13"/>
      <c r="J17" s="243"/>
      <c r="K17" s="13"/>
      <c r="L17" s="13"/>
      <c r="M17" s="13"/>
      <c r="N17" s="15"/>
      <c r="O17" s="15"/>
      <c r="P17" s="13"/>
      <c r="Q17" s="13"/>
      <c r="R17" s="13"/>
      <c r="S17" s="13"/>
      <c r="T17" s="13"/>
      <c r="U17" s="13"/>
      <c r="V17" s="13"/>
      <c r="W17" s="131"/>
    </row>
    <row r="18" spans="2:23" s="90" customFormat="1" ht="16.5" customHeight="1" thickBot="1">
      <c r="B18" s="253"/>
      <c r="C18" s="92"/>
      <c r="D18" s="425"/>
      <c r="E18" s="426"/>
      <c r="F18" s="248"/>
      <c r="G18" s="92"/>
      <c r="H18" s="92"/>
      <c r="I18" s="92"/>
      <c r="J18" s="444"/>
      <c r="K18" s="92"/>
      <c r="L18" s="92"/>
      <c r="M18" s="92"/>
      <c r="N18" s="502" t="s">
        <v>56</v>
      </c>
      <c r="P18" s="92"/>
      <c r="Q18" s="92"/>
      <c r="R18" s="92"/>
      <c r="S18" s="92"/>
      <c r="T18" s="92"/>
      <c r="U18" s="92"/>
      <c r="V18" s="92"/>
      <c r="W18" s="445"/>
    </row>
    <row r="19" spans="2:23" s="90" customFormat="1" ht="16.5" customHeight="1">
      <c r="B19" s="253"/>
      <c r="C19" s="92"/>
      <c r="E19" s="427" t="s">
        <v>101</v>
      </c>
      <c r="F19" s="428">
        <v>0.025</v>
      </c>
      <c r="G19" s="473"/>
      <c r="H19" s="92"/>
      <c r="I19" s="532"/>
      <c r="J19" s="533"/>
      <c r="K19" s="496" t="s">
        <v>139</v>
      </c>
      <c r="L19" s="497"/>
      <c r="M19" s="541">
        <v>30.733</v>
      </c>
      <c r="N19" s="542">
        <v>200</v>
      </c>
      <c r="R19" s="92"/>
      <c r="S19" s="92"/>
      <c r="T19" s="92"/>
      <c r="U19" s="92"/>
      <c r="V19" s="92"/>
      <c r="W19" s="445"/>
    </row>
    <row r="20" spans="2:23" s="90" customFormat="1" ht="16.5" customHeight="1">
      <c r="B20" s="253"/>
      <c r="C20" s="92"/>
      <c r="E20" s="425" t="s">
        <v>103</v>
      </c>
      <c r="F20" s="92">
        <f>MID(B13,16,2)*24</f>
        <v>672</v>
      </c>
      <c r="G20" s="92" t="s">
        <v>104</v>
      </c>
      <c r="H20" s="92"/>
      <c r="I20" s="92"/>
      <c r="J20" s="92"/>
      <c r="K20" s="491" t="s">
        <v>88</v>
      </c>
      <c r="L20" s="490"/>
      <c r="M20" s="492">
        <v>27.658</v>
      </c>
      <c r="N20" s="503">
        <v>100</v>
      </c>
      <c r="O20" s="92"/>
      <c r="P20" s="446"/>
      <c r="Q20" s="92"/>
      <c r="R20" s="92"/>
      <c r="S20" s="92"/>
      <c r="T20" s="92"/>
      <c r="U20" s="92"/>
      <c r="V20" s="92"/>
      <c r="W20" s="445"/>
    </row>
    <row r="21" spans="2:23" s="90" customFormat="1" ht="16.5" customHeight="1" thickBot="1">
      <c r="B21" s="253"/>
      <c r="C21" s="92"/>
      <c r="E21" s="425" t="s">
        <v>124</v>
      </c>
      <c r="F21" s="92">
        <v>0.154</v>
      </c>
      <c r="G21" s="90" t="s">
        <v>102</v>
      </c>
      <c r="H21" s="92"/>
      <c r="I21" s="92"/>
      <c r="J21" s="92"/>
      <c r="K21" s="493" t="s">
        <v>140</v>
      </c>
      <c r="L21" s="494"/>
      <c r="M21" s="495">
        <v>24.587</v>
      </c>
      <c r="N21" s="504">
        <v>40</v>
      </c>
      <c r="O21" s="92"/>
      <c r="P21" s="446"/>
      <c r="Q21" s="92"/>
      <c r="R21" s="92"/>
      <c r="S21" s="92"/>
      <c r="T21" s="92"/>
      <c r="U21" s="92"/>
      <c r="V21" s="92"/>
      <c r="W21" s="445"/>
    </row>
    <row r="22" spans="2:23" s="90" customFormat="1" ht="16.5" customHeight="1">
      <c r="B22" s="253"/>
      <c r="C22" s="92"/>
      <c r="D22" s="92"/>
      <c r="E22" s="250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445"/>
    </row>
    <row r="23" spans="1:23" ht="16.5" customHeight="1">
      <c r="A23" s="15"/>
      <c r="B23" s="108"/>
      <c r="C23" s="451" t="s">
        <v>105</v>
      </c>
      <c r="D23" s="91" t="s">
        <v>106</v>
      </c>
      <c r="I23" s="13"/>
      <c r="J23" s="90"/>
      <c r="O23" s="13"/>
      <c r="P23" s="13"/>
      <c r="Q23" s="13"/>
      <c r="R23" s="13"/>
      <c r="S23" s="13"/>
      <c r="T23" s="13"/>
      <c r="V23" s="13"/>
      <c r="W23" s="131"/>
    </row>
    <row r="24" spans="1:23" ht="10.5" customHeight="1" thickBot="1">
      <c r="A24" s="15"/>
      <c r="B24" s="108"/>
      <c r="C24" s="2"/>
      <c r="D24" s="91"/>
      <c r="I24" s="13"/>
      <c r="J24" s="90"/>
      <c r="O24" s="13"/>
      <c r="P24" s="13"/>
      <c r="Q24" s="13"/>
      <c r="R24" s="13"/>
      <c r="S24" s="13"/>
      <c r="T24" s="13"/>
      <c r="V24" s="13"/>
      <c r="W24" s="131"/>
    </row>
    <row r="25" spans="2:23" s="90" customFormat="1" ht="16.5" customHeight="1" thickBot="1" thickTop="1">
      <c r="B25" s="253"/>
      <c r="C25" s="248"/>
      <c r="D25"/>
      <c r="E25"/>
      <c r="F25"/>
      <c r="G25"/>
      <c r="H25"/>
      <c r="I25" s="484" t="s">
        <v>107</v>
      </c>
      <c r="J25" s="505">
        <f>+J63*F19</f>
        <v>14335.3224</v>
      </c>
      <c r="L25"/>
      <c r="S25"/>
      <c r="T25"/>
      <c r="U25"/>
      <c r="W25" s="445"/>
    </row>
    <row r="26" spans="2:23" s="90" customFormat="1" ht="11.25" customHeight="1" thickTop="1">
      <c r="B26" s="253"/>
      <c r="C26" s="248"/>
      <c r="D26" s="92"/>
      <c r="E26" s="250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/>
      <c r="W26" s="445"/>
    </row>
    <row r="27" spans="1:23" ht="16.5" customHeight="1">
      <c r="A27" s="15"/>
      <c r="B27" s="108"/>
      <c r="C27" s="451" t="s">
        <v>108</v>
      </c>
      <c r="D27" s="91" t="s">
        <v>109</v>
      </c>
      <c r="E27" s="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1"/>
    </row>
    <row r="28" spans="1:23" ht="13.5" customHeight="1" thickBot="1">
      <c r="A28" s="90"/>
      <c r="B28" s="108"/>
      <c r="C28" s="248"/>
      <c r="D28" s="248"/>
      <c r="E28" s="249"/>
      <c r="F28" s="250"/>
      <c r="G28" s="246"/>
      <c r="H28" s="246"/>
      <c r="I28" s="251"/>
      <c r="J28" s="251"/>
      <c r="K28" s="251"/>
      <c r="L28" s="251"/>
      <c r="M28" s="251"/>
      <c r="N28" s="251"/>
      <c r="O28" s="252"/>
      <c r="P28" s="251"/>
      <c r="Q28" s="251"/>
      <c r="R28" s="506"/>
      <c r="S28" s="507"/>
      <c r="T28" s="508"/>
      <c r="U28" s="508"/>
      <c r="V28" s="508"/>
      <c r="W28" s="136"/>
    </row>
    <row r="29" spans="1:26" s="15" customFormat="1" ht="33.75" customHeight="1" thickBot="1" thickTop="1">
      <c r="A29" s="48"/>
      <c r="B29" s="159"/>
      <c r="C29" s="163" t="s">
        <v>52</v>
      </c>
      <c r="D29" s="165" t="s">
        <v>80</v>
      </c>
      <c r="E29" s="164" t="s">
        <v>29</v>
      </c>
      <c r="F29" s="166" t="s">
        <v>81</v>
      </c>
      <c r="G29" s="167" t="s">
        <v>53</v>
      </c>
      <c r="H29" s="284" t="s">
        <v>57</v>
      </c>
      <c r="I29" s="164" t="s">
        <v>58</v>
      </c>
      <c r="J29" s="164" t="s">
        <v>59</v>
      </c>
      <c r="K29" s="165" t="s">
        <v>82</v>
      </c>
      <c r="L29" s="165" t="s">
        <v>61</v>
      </c>
      <c r="M29" s="153" t="s">
        <v>96</v>
      </c>
      <c r="N29" s="164" t="s">
        <v>65</v>
      </c>
      <c r="O29" s="485" t="s">
        <v>83</v>
      </c>
      <c r="P29" s="284" t="s">
        <v>110</v>
      </c>
      <c r="Q29" s="437" t="s">
        <v>66</v>
      </c>
      <c r="R29" s="429" t="s">
        <v>111</v>
      </c>
      <c r="S29" s="430"/>
      <c r="T29" s="440" t="s">
        <v>70</v>
      </c>
      <c r="U29" s="155" t="s">
        <v>72</v>
      </c>
      <c r="V29" s="167" t="s">
        <v>73</v>
      </c>
      <c r="W29" s="131"/>
      <c r="Y29"/>
      <c r="Z29"/>
    </row>
    <row r="30" spans="1:23" ht="16.5" customHeight="1" thickTop="1">
      <c r="A30" s="15"/>
      <c r="B30" s="108"/>
      <c r="C30" s="35"/>
      <c r="D30" s="35"/>
      <c r="E30" s="35"/>
      <c r="F30" s="35"/>
      <c r="G30" s="296"/>
      <c r="H30" s="412"/>
      <c r="I30" s="35"/>
      <c r="J30" s="35"/>
      <c r="K30" s="35"/>
      <c r="L30" s="35"/>
      <c r="M30" s="35"/>
      <c r="N30" s="297"/>
      <c r="O30" s="509"/>
      <c r="P30" s="441"/>
      <c r="Q30" s="442"/>
      <c r="R30" s="431"/>
      <c r="S30" s="432"/>
      <c r="T30" s="443"/>
      <c r="U30" s="297"/>
      <c r="V30" s="298"/>
      <c r="W30" s="131"/>
    </row>
    <row r="31" spans="1:23" ht="16.5" customHeight="1">
      <c r="A31" s="15"/>
      <c r="B31" s="108"/>
      <c r="C31" s="35"/>
      <c r="D31" s="36"/>
      <c r="E31" s="37"/>
      <c r="F31" s="38"/>
      <c r="G31" s="39"/>
      <c r="H31" s="413">
        <f>F31*$F$21</f>
        <v>0</v>
      </c>
      <c r="I31" s="41"/>
      <c r="J31" s="41"/>
      <c r="K31" s="42">
        <f>IF(D31="","",(J31-I31)*24)</f>
      </c>
      <c r="L31" s="43">
        <f>IF(D31="","",(J31-I31)*24*60)</f>
      </c>
      <c r="M31" s="40"/>
      <c r="N31" s="44">
        <f>IF(D31="","",IF(OR(M31="P",M31="RP"),"--","NO"))</f>
      </c>
      <c r="O31" s="510">
        <f>IF(D31="","","NO")</f>
      </c>
      <c r="P31" s="407">
        <f>200*IF(O31="SI",1,0.1)*IF(M31="P",0.1,1)</f>
        <v>20</v>
      </c>
      <c r="Q31" s="438" t="str">
        <f>IF(M31="P",H31*P31*ROUND(L31/60,2),"--")</f>
        <v>--</v>
      </c>
      <c r="R31" s="433" t="str">
        <f>IF(AND(M31="F",N31="NO"),H31*P31,"--")</f>
        <v>--</v>
      </c>
      <c r="S31" s="434" t="str">
        <f>IF(M31="F",H31*P31*ROUND(L31/60,2),"--")</f>
        <v>--</v>
      </c>
      <c r="T31" s="386" t="str">
        <f>IF(M31="RF",H31*P31*ROUND(L31/60,2),"--")</f>
        <v>--</v>
      </c>
      <c r="U31" s="45">
        <f>IF(D31="","","SI")</f>
      </c>
      <c r="V31" s="168">
        <f>IF(D31="","",SUM(Q31:T31)*IF(U31="SI",1,2))</f>
      </c>
      <c r="W31" s="136"/>
    </row>
    <row r="32" spans="1:23" ht="16.5" customHeight="1" thickBot="1">
      <c r="A32" s="90"/>
      <c r="B32" s="108"/>
      <c r="C32" s="46"/>
      <c r="D32" s="299"/>
      <c r="E32" s="300"/>
      <c r="F32" s="301"/>
      <c r="G32" s="302"/>
      <c r="H32" s="414"/>
      <c r="I32" s="303"/>
      <c r="J32" s="304"/>
      <c r="K32" s="305"/>
      <c r="L32" s="306"/>
      <c r="M32" s="47"/>
      <c r="N32" s="26"/>
      <c r="O32" s="511"/>
      <c r="P32" s="408"/>
      <c r="Q32" s="439"/>
      <c r="R32" s="435"/>
      <c r="S32" s="436"/>
      <c r="T32" s="410"/>
      <c r="U32" s="307"/>
      <c r="V32" s="308"/>
      <c r="W32" s="136"/>
    </row>
    <row r="33" spans="1:23" ht="16.5" customHeight="1" thickBot="1" thickTop="1">
      <c r="A33" s="90"/>
      <c r="B33" s="108"/>
      <c r="C33" s="160"/>
      <c r="D33" s="1"/>
      <c r="E33" s="1"/>
      <c r="F33" s="198"/>
      <c r="G33" s="309"/>
      <c r="H33" s="310"/>
      <c r="I33" s="311"/>
      <c r="J33" s="312"/>
      <c r="K33" s="313"/>
      <c r="L33" s="314"/>
      <c r="M33" s="310"/>
      <c r="N33" s="315"/>
      <c r="O33" s="30"/>
      <c r="P33" s="316"/>
      <c r="Q33" s="317"/>
      <c r="R33" s="318"/>
      <c r="S33" s="318"/>
      <c r="T33" s="318"/>
      <c r="U33" s="279"/>
      <c r="V33" s="319">
        <f>SUM(V30:V32)</f>
        <v>0</v>
      </c>
      <c r="W33" s="136"/>
    </row>
    <row r="34" spans="1:23" ht="16.5" customHeight="1" thickBot="1" thickTop="1">
      <c r="A34" s="90"/>
      <c r="B34" s="108"/>
      <c r="C34" s="160"/>
      <c r="D34" s="1"/>
      <c r="E34" s="1"/>
      <c r="F34" s="198"/>
      <c r="G34" s="309"/>
      <c r="H34" s="310"/>
      <c r="I34" s="311"/>
      <c r="L34" s="314"/>
      <c r="M34" s="310"/>
      <c r="N34" s="486"/>
      <c r="O34" s="487"/>
      <c r="P34" s="316"/>
      <c r="Q34" s="317"/>
      <c r="R34" s="318"/>
      <c r="S34" s="318"/>
      <c r="T34" s="318"/>
      <c r="U34" s="279"/>
      <c r="V34" s="279"/>
      <c r="W34" s="136"/>
    </row>
    <row r="35" spans="2:23" s="15" customFormat="1" ht="33.75" customHeight="1" thickBot="1" thickTop="1">
      <c r="B35" s="108"/>
      <c r="C35" s="148" t="s">
        <v>52</v>
      </c>
      <c r="D35" s="154" t="s">
        <v>80</v>
      </c>
      <c r="E35" s="748" t="s">
        <v>29</v>
      </c>
      <c r="F35" s="752"/>
      <c r="G35" s="155" t="s">
        <v>53</v>
      </c>
      <c r="H35" s="284" t="s">
        <v>57</v>
      </c>
      <c r="I35" s="150" t="s">
        <v>58</v>
      </c>
      <c r="J35" s="152" t="s">
        <v>59</v>
      </c>
      <c r="K35" s="190" t="s">
        <v>60</v>
      </c>
      <c r="L35" s="190" t="s">
        <v>61</v>
      </c>
      <c r="M35" s="153" t="s">
        <v>62</v>
      </c>
      <c r="N35" s="748" t="s">
        <v>65</v>
      </c>
      <c r="O35" s="749"/>
      <c r="P35" s="371" t="s">
        <v>56</v>
      </c>
      <c r="Q35" s="369" t="s">
        <v>77</v>
      </c>
      <c r="R35" s="378" t="s">
        <v>90</v>
      </c>
      <c r="S35" s="379"/>
      <c r="T35" s="388" t="s">
        <v>70</v>
      </c>
      <c r="U35" s="155" t="s">
        <v>72</v>
      </c>
      <c r="V35" s="167" t="s">
        <v>73</v>
      </c>
      <c r="W35" s="112"/>
    </row>
    <row r="36" spans="2:23" s="15" customFormat="1" ht="16.5" customHeight="1" thickTop="1">
      <c r="B36" s="108"/>
      <c r="C36" s="19"/>
      <c r="D36" s="53"/>
      <c r="E36" s="753"/>
      <c r="F36" s="754"/>
      <c r="G36" s="53"/>
      <c r="H36" s="289"/>
      <c r="I36" s="53"/>
      <c r="J36" s="53"/>
      <c r="K36" s="53"/>
      <c r="L36" s="53"/>
      <c r="M36" s="53"/>
      <c r="N36" s="53"/>
      <c r="O36" s="512"/>
      <c r="P36" s="370"/>
      <c r="Q36" s="374"/>
      <c r="R36" s="382"/>
      <c r="S36" s="383"/>
      <c r="T36" s="386"/>
      <c r="U36" s="53"/>
      <c r="V36" s="191"/>
      <c r="W36" s="112"/>
    </row>
    <row r="37" spans="2:23" s="15" customFormat="1" ht="16.5" customHeight="1">
      <c r="B37" s="108"/>
      <c r="C37" s="19" t="s">
        <v>149</v>
      </c>
      <c r="D37" s="53" t="s">
        <v>26</v>
      </c>
      <c r="E37" s="755" t="s">
        <v>148</v>
      </c>
      <c r="F37" s="756"/>
      <c r="G37" s="54">
        <v>132</v>
      </c>
      <c r="H37" s="285">
        <f>IF(G37=500,$M$19,IF(G37=220,$M$20,$M$21))</f>
        <v>24.587</v>
      </c>
      <c r="I37" s="55">
        <v>37292.38402777778</v>
      </c>
      <c r="J37" s="56">
        <v>37292.63888888889</v>
      </c>
      <c r="K37" s="57">
        <f>IF(D37="","",(J37-I37)*24)</f>
        <v>6.116666666697711</v>
      </c>
      <c r="L37" s="24">
        <f>IF(D37="","",ROUND((J37-I37)*24*60,0))</f>
        <v>367</v>
      </c>
      <c r="M37" s="564" t="s">
        <v>163</v>
      </c>
      <c r="N37" s="750" t="str">
        <f>IF(D37="","",IF(OR(M37="P",M37="RP"),"--","NO"))</f>
        <v>--</v>
      </c>
      <c r="O37" s="751"/>
      <c r="P37" s="372">
        <f>IF(G37=500,$N$19,IF(G37=220,$N$20,$N$21))</f>
        <v>40</v>
      </c>
      <c r="Q37" s="375">
        <f>IF(M37="P",H37*P37*ROUND(L37/60,2)*0.1,"--")</f>
        <v>601.88976</v>
      </c>
      <c r="R37" s="382" t="str">
        <f>IF(AND(M37="F",N37="NO"),H37*P37,"--")</f>
        <v>--</v>
      </c>
      <c r="S37" s="383" t="str">
        <f>IF(M37="F",H37*P37*ROUND(L37/60,2),"--")</f>
        <v>--</v>
      </c>
      <c r="T37" s="386" t="str">
        <f>IF(M37="RF",H37*P37*ROUND(L37/60,2),"--")</f>
        <v>--</v>
      </c>
      <c r="U37" s="59" t="str">
        <f>IF(D37="","","SI")</f>
        <v>SI</v>
      </c>
      <c r="V37" s="60">
        <f>IF(D37="","",SUM(Q37:T37)*IF(U37="SI",1,2))</f>
        <v>601.88976</v>
      </c>
      <c r="W37" s="112"/>
    </row>
    <row r="38" spans="2:23" s="15" customFormat="1" ht="16.5" customHeight="1">
      <c r="B38" s="108"/>
      <c r="C38" s="19" t="s">
        <v>150</v>
      </c>
      <c r="D38" s="53" t="s">
        <v>26</v>
      </c>
      <c r="E38" s="755" t="s">
        <v>148</v>
      </c>
      <c r="F38" s="756"/>
      <c r="G38" s="54">
        <v>132</v>
      </c>
      <c r="H38" s="285">
        <f>IF(G38=500,$M$19,IF(G38=220,$M$20,$M$21))</f>
        <v>24.587</v>
      </c>
      <c r="I38" s="55">
        <v>37293.384722222225</v>
      </c>
      <c r="J38" s="56">
        <v>37293.65069444444</v>
      </c>
      <c r="K38" s="57">
        <f>IF(D38="","",(J38-I38)*24)</f>
        <v>6.383333333185874</v>
      </c>
      <c r="L38" s="24">
        <f>IF(D38="","",ROUND((J38-I38)*24*60,0))</f>
        <v>383</v>
      </c>
      <c r="M38" s="564" t="s">
        <v>163</v>
      </c>
      <c r="N38" s="750" t="str">
        <f>IF(D38="","",IF(OR(M38="P",M38="RP"),"--","NO"))</f>
        <v>--</v>
      </c>
      <c r="O38" s="751"/>
      <c r="P38" s="372">
        <f>IF(G38=500,$N$19,IF(G38=220,$N$20,$N$21))</f>
        <v>40</v>
      </c>
      <c r="Q38" s="375">
        <f>IF(M38="P",H38*P38*ROUND(L38/60,2)*0.1,"--")</f>
        <v>627.46024</v>
      </c>
      <c r="R38" s="382" t="str">
        <f>IF(AND(M38="F",N38="NO"),H38*P38,"--")</f>
        <v>--</v>
      </c>
      <c r="S38" s="383" t="str">
        <f>IF(M38="F",H38*P38*ROUND(L38/60,2),"--")</f>
        <v>--</v>
      </c>
      <c r="T38" s="386" t="str">
        <f>IF(M38="RF",H38*P38*ROUND(L38/60,2),"--")</f>
        <v>--</v>
      </c>
      <c r="U38" s="59" t="str">
        <f>IF(D38="","","SI")</f>
        <v>SI</v>
      </c>
      <c r="V38" s="60">
        <f>IF(D38="","",SUM(Q38:T38)*IF(U38="SI",1,2))</f>
        <v>627.46024</v>
      </c>
      <c r="W38" s="112"/>
    </row>
    <row r="39" spans="2:23" s="15" customFormat="1" ht="16.5" customHeight="1">
      <c r="B39" s="108"/>
      <c r="C39" s="19" t="s">
        <v>157</v>
      </c>
      <c r="D39" s="53" t="s">
        <v>26</v>
      </c>
      <c r="E39" s="755" t="s">
        <v>148</v>
      </c>
      <c r="F39" s="756"/>
      <c r="G39" s="54">
        <v>132</v>
      </c>
      <c r="H39" s="285">
        <f aca="true" t="shared" si="0" ref="H39:H48">IF(G39=500,$M$19,IF(G39=220,$M$20,$M$21))</f>
        <v>24.587</v>
      </c>
      <c r="I39" s="55">
        <v>37294.36111111111</v>
      </c>
      <c r="J39" s="56">
        <v>37294.63125</v>
      </c>
      <c r="K39" s="57">
        <f aca="true" t="shared" si="1" ref="K39:K48">IF(D39="","",(J39-I39)*24)</f>
        <v>6.483333333337214</v>
      </c>
      <c r="L39" s="24">
        <f aca="true" t="shared" si="2" ref="L39:L48">IF(D39="","",ROUND((J39-I39)*24*60,0))</f>
        <v>389</v>
      </c>
      <c r="M39" s="564" t="s">
        <v>163</v>
      </c>
      <c r="N39" s="750" t="str">
        <f aca="true" t="shared" si="3" ref="N39:N48">IF(D39="","",IF(OR(M39="P",M39="RP"),"--","NO"))</f>
        <v>--</v>
      </c>
      <c r="O39" s="751"/>
      <c r="P39" s="372">
        <f aca="true" t="shared" si="4" ref="P39:P48">IF(G39=500,$N$19,IF(G39=220,$N$20,$N$21))</f>
        <v>40</v>
      </c>
      <c r="Q39" s="375">
        <f aca="true" t="shared" si="5" ref="Q39:Q48">IF(M39="P",H39*P39*ROUND(L39/60,2)*0.1,"--")</f>
        <v>637.2950400000001</v>
      </c>
      <c r="R39" s="382" t="str">
        <f aca="true" t="shared" si="6" ref="R39:R48">IF(AND(M39="F",N39="NO"),H39*P39,"--")</f>
        <v>--</v>
      </c>
      <c r="S39" s="383" t="str">
        <f aca="true" t="shared" si="7" ref="S39:S48">IF(M39="F",H39*P39*ROUND(L39/60,2),"--")</f>
        <v>--</v>
      </c>
      <c r="T39" s="386" t="str">
        <f aca="true" t="shared" si="8" ref="T39:T48">IF(M39="RF",H39*P39*ROUND(L39/60,2),"--")</f>
        <v>--</v>
      </c>
      <c r="U39" s="59" t="str">
        <f aca="true" t="shared" si="9" ref="U39:U48">IF(D39="","","SI")</f>
        <v>SI</v>
      </c>
      <c r="V39" s="60">
        <f aca="true" t="shared" si="10" ref="V39:V48">IF(D39="","",SUM(Q39:T39)*IF(U39="SI",1,2))</f>
        <v>637.2950400000001</v>
      </c>
      <c r="W39" s="112"/>
    </row>
    <row r="40" spans="2:23" s="15" customFormat="1" ht="16.5" customHeight="1">
      <c r="B40" s="108"/>
      <c r="C40" s="19" t="s">
        <v>151</v>
      </c>
      <c r="D40" s="53" t="s">
        <v>26</v>
      </c>
      <c r="E40" s="755" t="s">
        <v>148</v>
      </c>
      <c r="F40" s="756"/>
      <c r="G40" s="54">
        <v>132</v>
      </c>
      <c r="H40" s="285">
        <f t="shared" si="0"/>
        <v>24.587</v>
      </c>
      <c r="I40" s="55">
        <v>37295.36875</v>
      </c>
      <c r="J40" s="56">
        <v>37295.618055555555</v>
      </c>
      <c r="K40" s="57">
        <f t="shared" si="1"/>
        <v>5.983333333279006</v>
      </c>
      <c r="L40" s="24">
        <f t="shared" si="2"/>
        <v>359</v>
      </c>
      <c r="M40" s="564" t="s">
        <v>163</v>
      </c>
      <c r="N40" s="750" t="str">
        <f t="shared" si="3"/>
        <v>--</v>
      </c>
      <c r="O40" s="751"/>
      <c r="P40" s="372">
        <f t="shared" si="4"/>
        <v>40</v>
      </c>
      <c r="Q40" s="375">
        <f t="shared" si="5"/>
        <v>588.1210400000001</v>
      </c>
      <c r="R40" s="382" t="str">
        <f t="shared" si="6"/>
        <v>--</v>
      </c>
      <c r="S40" s="383" t="str">
        <f t="shared" si="7"/>
        <v>--</v>
      </c>
      <c r="T40" s="386" t="str">
        <f t="shared" si="8"/>
        <v>--</v>
      </c>
      <c r="U40" s="59" t="str">
        <f t="shared" si="9"/>
        <v>SI</v>
      </c>
      <c r="V40" s="60">
        <f t="shared" si="10"/>
        <v>588.1210400000001</v>
      </c>
      <c r="W40" s="112"/>
    </row>
    <row r="41" spans="2:23" s="15" customFormat="1" ht="16.5" customHeight="1">
      <c r="B41" s="108"/>
      <c r="C41" s="19" t="s">
        <v>158</v>
      </c>
      <c r="D41" s="53" t="s">
        <v>26</v>
      </c>
      <c r="E41" s="755" t="s">
        <v>153</v>
      </c>
      <c r="F41" s="756"/>
      <c r="G41" s="54">
        <v>132</v>
      </c>
      <c r="H41" s="285">
        <f t="shared" si="0"/>
        <v>24.587</v>
      </c>
      <c r="I41" s="55">
        <v>37305.347916666666</v>
      </c>
      <c r="J41" s="56">
        <v>37305.63680555556</v>
      </c>
      <c r="K41" s="57">
        <f t="shared" si="1"/>
        <v>6.933333333407063</v>
      </c>
      <c r="L41" s="24">
        <f t="shared" si="2"/>
        <v>416</v>
      </c>
      <c r="M41" s="564" t="s">
        <v>163</v>
      </c>
      <c r="N41" s="750" t="str">
        <f t="shared" si="3"/>
        <v>--</v>
      </c>
      <c r="O41" s="751"/>
      <c r="P41" s="372">
        <f t="shared" si="4"/>
        <v>40</v>
      </c>
      <c r="Q41" s="375">
        <f t="shared" si="5"/>
        <v>681.55164</v>
      </c>
      <c r="R41" s="382" t="str">
        <f t="shared" si="6"/>
        <v>--</v>
      </c>
      <c r="S41" s="383" t="str">
        <f t="shared" si="7"/>
        <v>--</v>
      </c>
      <c r="T41" s="386" t="str">
        <f t="shared" si="8"/>
        <v>--</v>
      </c>
      <c r="U41" s="59" t="str">
        <f t="shared" si="9"/>
        <v>SI</v>
      </c>
      <c r="V41" s="60">
        <f t="shared" si="10"/>
        <v>681.55164</v>
      </c>
      <c r="W41" s="112"/>
    </row>
    <row r="42" spans="2:23" s="15" customFormat="1" ht="16.5" customHeight="1">
      <c r="B42" s="108"/>
      <c r="C42" s="19" t="s">
        <v>152</v>
      </c>
      <c r="D42" s="53" t="s">
        <v>30</v>
      </c>
      <c r="E42" s="755" t="s">
        <v>155</v>
      </c>
      <c r="F42" s="756"/>
      <c r="G42" s="54">
        <v>132</v>
      </c>
      <c r="H42" s="285">
        <f t="shared" si="0"/>
        <v>24.587</v>
      </c>
      <c r="I42" s="55">
        <v>37305.39166666667</v>
      </c>
      <c r="J42" s="56">
        <v>37305.620833333334</v>
      </c>
      <c r="K42" s="57">
        <f t="shared" si="1"/>
        <v>5.499999999941792</v>
      </c>
      <c r="L42" s="24">
        <f t="shared" si="2"/>
        <v>330</v>
      </c>
      <c r="M42" s="564" t="s">
        <v>163</v>
      </c>
      <c r="N42" s="750" t="str">
        <f t="shared" si="3"/>
        <v>--</v>
      </c>
      <c r="O42" s="751"/>
      <c r="P42" s="372">
        <f t="shared" si="4"/>
        <v>40</v>
      </c>
      <c r="Q42" s="375">
        <f t="shared" si="5"/>
        <v>540.9140000000001</v>
      </c>
      <c r="R42" s="382" t="str">
        <f t="shared" si="6"/>
        <v>--</v>
      </c>
      <c r="S42" s="383" t="str">
        <f t="shared" si="7"/>
        <v>--</v>
      </c>
      <c r="T42" s="386" t="str">
        <f t="shared" si="8"/>
        <v>--</v>
      </c>
      <c r="U42" s="59" t="str">
        <f t="shared" si="9"/>
        <v>SI</v>
      </c>
      <c r="V42" s="60">
        <f t="shared" si="10"/>
        <v>540.9140000000001</v>
      </c>
      <c r="W42" s="112"/>
    </row>
    <row r="43" spans="2:23" s="15" customFormat="1" ht="16.5" customHeight="1">
      <c r="B43" s="108"/>
      <c r="C43" s="19" t="s">
        <v>154</v>
      </c>
      <c r="D43" s="53" t="s">
        <v>30</v>
      </c>
      <c r="E43" s="755" t="s">
        <v>155</v>
      </c>
      <c r="F43" s="756"/>
      <c r="G43" s="54">
        <v>132</v>
      </c>
      <c r="H43" s="285">
        <f t="shared" si="0"/>
        <v>24.587</v>
      </c>
      <c r="I43" s="55">
        <v>37306.35</v>
      </c>
      <c r="J43" s="56">
        <v>37306.60763888889</v>
      </c>
      <c r="K43" s="57">
        <f t="shared" si="1"/>
        <v>6.183333333407063</v>
      </c>
      <c r="L43" s="24">
        <f t="shared" si="2"/>
        <v>371</v>
      </c>
      <c r="M43" s="564" t="s">
        <v>163</v>
      </c>
      <c r="N43" s="750" t="str">
        <f t="shared" si="3"/>
        <v>--</v>
      </c>
      <c r="O43" s="751"/>
      <c r="P43" s="372">
        <f t="shared" si="4"/>
        <v>40</v>
      </c>
      <c r="Q43" s="375">
        <f t="shared" si="5"/>
        <v>607.79064</v>
      </c>
      <c r="R43" s="382" t="str">
        <f t="shared" si="6"/>
        <v>--</v>
      </c>
      <c r="S43" s="383" t="str">
        <f t="shared" si="7"/>
        <v>--</v>
      </c>
      <c r="T43" s="386" t="str">
        <f t="shared" si="8"/>
        <v>--</v>
      </c>
      <c r="U43" s="59" t="str">
        <f t="shared" si="9"/>
        <v>SI</v>
      </c>
      <c r="V43" s="60">
        <f t="shared" si="10"/>
        <v>607.79064</v>
      </c>
      <c r="W43" s="112"/>
    </row>
    <row r="44" spans="2:23" s="15" customFormat="1" ht="16.5" customHeight="1">
      <c r="B44" s="108"/>
      <c r="C44" s="19" t="s">
        <v>159</v>
      </c>
      <c r="D44" s="53" t="s">
        <v>26</v>
      </c>
      <c r="E44" s="755" t="s">
        <v>153</v>
      </c>
      <c r="F44" s="756"/>
      <c r="G44" s="54">
        <v>132</v>
      </c>
      <c r="H44" s="285">
        <f t="shared" si="0"/>
        <v>24.587</v>
      </c>
      <c r="I44" s="55">
        <v>37306.36388888889</v>
      </c>
      <c r="J44" s="56">
        <v>37306.64027777778</v>
      </c>
      <c r="K44" s="57">
        <f t="shared" si="1"/>
        <v>6.633333333302289</v>
      </c>
      <c r="L44" s="24">
        <f t="shared" si="2"/>
        <v>398</v>
      </c>
      <c r="M44" s="564" t="s">
        <v>163</v>
      </c>
      <c r="N44" s="750" t="str">
        <f t="shared" si="3"/>
        <v>--</v>
      </c>
      <c r="O44" s="751"/>
      <c r="P44" s="372">
        <f t="shared" si="4"/>
        <v>40</v>
      </c>
      <c r="Q44" s="375">
        <f t="shared" si="5"/>
        <v>652.04724</v>
      </c>
      <c r="R44" s="382" t="str">
        <f t="shared" si="6"/>
        <v>--</v>
      </c>
      <c r="S44" s="383" t="str">
        <f t="shared" si="7"/>
        <v>--</v>
      </c>
      <c r="T44" s="386" t="str">
        <f t="shared" si="8"/>
        <v>--</v>
      </c>
      <c r="U44" s="59" t="str">
        <f t="shared" si="9"/>
        <v>SI</v>
      </c>
      <c r="V44" s="60">
        <f t="shared" si="10"/>
        <v>652.04724</v>
      </c>
      <c r="W44" s="112"/>
    </row>
    <row r="45" spans="2:23" s="15" customFormat="1" ht="16.5" customHeight="1">
      <c r="B45" s="108"/>
      <c r="C45" s="19" t="s">
        <v>156</v>
      </c>
      <c r="D45" s="53" t="s">
        <v>26</v>
      </c>
      <c r="E45" s="755" t="s">
        <v>153</v>
      </c>
      <c r="F45" s="756"/>
      <c r="G45" s="54">
        <v>132</v>
      </c>
      <c r="H45" s="285">
        <f t="shared" si="0"/>
        <v>24.587</v>
      </c>
      <c r="I45" s="55">
        <v>37307.35138888889</v>
      </c>
      <c r="J45" s="56">
        <v>37307.62777777778</v>
      </c>
      <c r="K45" s="57">
        <f t="shared" si="1"/>
        <v>6.633333333302289</v>
      </c>
      <c r="L45" s="24">
        <f t="shared" si="2"/>
        <v>398</v>
      </c>
      <c r="M45" s="564" t="s">
        <v>163</v>
      </c>
      <c r="N45" s="750" t="str">
        <f t="shared" si="3"/>
        <v>--</v>
      </c>
      <c r="O45" s="751"/>
      <c r="P45" s="372">
        <f t="shared" si="4"/>
        <v>40</v>
      </c>
      <c r="Q45" s="375">
        <f t="shared" si="5"/>
        <v>652.04724</v>
      </c>
      <c r="R45" s="382" t="str">
        <f t="shared" si="6"/>
        <v>--</v>
      </c>
      <c r="S45" s="383" t="str">
        <f t="shared" si="7"/>
        <v>--</v>
      </c>
      <c r="T45" s="386" t="str">
        <f t="shared" si="8"/>
        <v>--</v>
      </c>
      <c r="U45" s="59" t="str">
        <f t="shared" si="9"/>
        <v>SI</v>
      </c>
      <c r="V45" s="60">
        <f t="shared" si="10"/>
        <v>652.04724</v>
      </c>
      <c r="W45" s="112"/>
    </row>
    <row r="46" spans="2:23" s="15" customFormat="1" ht="16.5" customHeight="1">
      <c r="B46" s="108"/>
      <c r="C46" s="19" t="s">
        <v>160</v>
      </c>
      <c r="D46" s="53" t="s">
        <v>26</v>
      </c>
      <c r="E46" s="755" t="s">
        <v>153</v>
      </c>
      <c r="F46" s="756"/>
      <c r="G46" s="54">
        <v>132</v>
      </c>
      <c r="H46" s="285">
        <f t="shared" si="0"/>
        <v>24.587</v>
      </c>
      <c r="I46" s="55">
        <v>37308.35486111111</v>
      </c>
      <c r="J46" s="56">
        <v>37308.63402777778</v>
      </c>
      <c r="K46" s="57">
        <f t="shared" si="1"/>
        <v>6.7000000000116415</v>
      </c>
      <c r="L46" s="24">
        <f t="shared" si="2"/>
        <v>402</v>
      </c>
      <c r="M46" s="564" t="s">
        <v>163</v>
      </c>
      <c r="N46" s="750" t="str">
        <f t="shared" si="3"/>
        <v>--</v>
      </c>
      <c r="O46" s="751"/>
      <c r="P46" s="372">
        <f t="shared" si="4"/>
        <v>40</v>
      </c>
      <c r="Q46" s="375">
        <f t="shared" si="5"/>
        <v>658.9316000000001</v>
      </c>
      <c r="R46" s="382" t="str">
        <f t="shared" si="6"/>
        <v>--</v>
      </c>
      <c r="S46" s="383" t="str">
        <f t="shared" si="7"/>
        <v>--</v>
      </c>
      <c r="T46" s="386" t="str">
        <f t="shared" si="8"/>
        <v>--</v>
      </c>
      <c r="U46" s="59" t="str">
        <f t="shared" si="9"/>
        <v>SI</v>
      </c>
      <c r="V46" s="60">
        <f t="shared" si="10"/>
        <v>658.9316000000001</v>
      </c>
      <c r="W46" s="112"/>
    </row>
    <row r="47" spans="2:23" s="15" customFormat="1" ht="16.5" customHeight="1">
      <c r="B47" s="108"/>
      <c r="C47" s="19" t="s">
        <v>161</v>
      </c>
      <c r="D47" s="53" t="s">
        <v>30</v>
      </c>
      <c r="E47" s="755" t="s">
        <v>155</v>
      </c>
      <c r="F47" s="756"/>
      <c r="G47" s="54">
        <v>132</v>
      </c>
      <c r="H47" s="285">
        <f t="shared" si="0"/>
        <v>24.587</v>
      </c>
      <c r="I47" s="55">
        <v>37309.256944444445</v>
      </c>
      <c r="J47" s="56">
        <v>37309.59930555556</v>
      </c>
      <c r="K47" s="57">
        <f t="shared" si="1"/>
        <v>8.216666666732635</v>
      </c>
      <c r="L47" s="24">
        <f t="shared" si="2"/>
        <v>493</v>
      </c>
      <c r="M47" s="564" t="s">
        <v>163</v>
      </c>
      <c r="N47" s="750" t="str">
        <f t="shared" si="3"/>
        <v>--</v>
      </c>
      <c r="O47" s="751"/>
      <c r="P47" s="372">
        <f t="shared" si="4"/>
        <v>40</v>
      </c>
      <c r="Q47" s="375">
        <f t="shared" si="5"/>
        <v>808.4205600000001</v>
      </c>
      <c r="R47" s="382" t="str">
        <f t="shared" si="6"/>
        <v>--</v>
      </c>
      <c r="S47" s="383" t="str">
        <f t="shared" si="7"/>
        <v>--</v>
      </c>
      <c r="T47" s="386" t="str">
        <f t="shared" si="8"/>
        <v>--</v>
      </c>
      <c r="U47" s="59" t="str">
        <f t="shared" si="9"/>
        <v>SI</v>
      </c>
      <c r="V47" s="60">
        <f t="shared" si="10"/>
        <v>808.4205600000001</v>
      </c>
      <c r="W47" s="112"/>
    </row>
    <row r="48" spans="2:23" s="15" customFormat="1" ht="16.5" customHeight="1">
      <c r="B48" s="108"/>
      <c r="C48" s="19" t="s">
        <v>162</v>
      </c>
      <c r="D48" s="53" t="s">
        <v>26</v>
      </c>
      <c r="E48" s="755" t="s">
        <v>153</v>
      </c>
      <c r="F48" s="756"/>
      <c r="G48" s="54">
        <v>132</v>
      </c>
      <c r="H48" s="285">
        <f t="shared" si="0"/>
        <v>24.587</v>
      </c>
      <c r="I48" s="55">
        <v>37309.35833333333</v>
      </c>
      <c r="J48" s="56">
        <v>37309.63125</v>
      </c>
      <c r="K48" s="57">
        <f t="shared" si="1"/>
        <v>6.550000000046566</v>
      </c>
      <c r="L48" s="24">
        <f t="shared" si="2"/>
        <v>393</v>
      </c>
      <c r="M48" s="564" t="s">
        <v>163</v>
      </c>
      <c r="N48" s="750" t="str">
        <f t="shared" si="3"/>
        <v>--</v>
      </c>
      <c r="O48" s="751"/>
      <c r="P48" s="372">
        <f t="shared" si="4"/>
        <v>40</v>
      </c>
      <c r="Q48" s="375">
        <f t="shared" si="5"/>
        <v>644.1794</v>
      </c>
      <c r="R48" s="382" t="str">
        <f t="shared" si="6"/>
        <v>--</v>
      </c>
      <c r="S48" s="383" t="str">
        <f t="shared" si="7"/>
        <v>--</v>
      </c>
      <c r="T48" s="386" t="str">
        <f t="shared" si="8"/>
        <v>--</v>
      </c>
      <c r="U48" s="59" t="str">
        <f t="shared" si="9"/>
        <v>SI</v>
      </c>
      <c r="V48" s="60">
        <f t="shared" si="10"/>
        <v>644.1794</v>
      </c>
      <c r="W48" s="112"/>
    </row>
    <row r="49" spans="2:28" s="15" customFormat="1" ht="16.5" customHeight="1" thickBot="1">
      <c r="B49" s="108"/>
      <c r="C49" s="513"/>
      <c r="D49" s="514"/>
      <c r="E49" s="514"/>
      <c r="F49" s="515"/>
      <c r="G49" s="516"/>
      <c r="H49" s="517"/>
      <c r="I49" s="518"/>
      <c r="J49" s="519"/>
      <c r="K49" s="520"/>
      <c r="L49" s="521"/>
      <c r="M49" s="522"/>
      <c r="N49" s="523"/>
      <c r="O49" s="522"/>
      <c r="P49" s="524"/>
      <c r="Q49" s="525"/>
      <c r="R49" s="526"/>
      <c r="S49" s="527"/>
      <c r="T49" s="528"/>
      <c r="U49" s="529"/>
      <c r="V49" s="530"/>
      <c r="W49" s="112"/>
      <c r="X49"/>
      <c r="Y49"/>
      <c r="Z49"/>
      <c r="AA49"/>
      <c r="AB49"/>
    </row>
    <row r="50" spans="1:23" ht="17.25" thickBot="1" thickTop="1">
      <c r="A50" s="90"/>
      <c r="B50" s="253"/>
      <c r="C50" s="248"/>
      <c r="D50" s="254"/>
      <c r="E50" s="255"/>
      <c r="F50" s="256"/>
      <c r="G50" s="257"/>
      <c r="H50" s="257"/>
      <c r="I50" s="255"/>
      <c r="J50" s="245"/>
      <c r="K50" s="245"/>
      <c r="L50" s="255"/>
      <c r="M50" s="255"/>
      <c r="N50" s="255"/>
      <c r="O50" s="258"/>
      <c r="P50" s="255"/>
      <c r="Q50" s="255"/>
      <c r="R50" s="259"/>
      <c r="S50" s="260"/>
      <c r="T50" s="260"/>
      <c r="U50" s="261"/>
      <c r="V50" s="319">
        <f>SUM(V37:V49)</f>
        <v>7700.6484</v>
      </c>
      <c r="W50" s="263"/>
    </row>
    <row r="51" spans="1:23" ht="17.25" thickBot="1" thickTop="1">
      <c r="A51" s="90"/>
      <c r="B51" s="253"/>
      <c r="C51" s="248"/>
      <c r="D51" s="254"/>
      <c r="E51" s="255"/>
      <c r="F51" s="256"/>
      <c r="G51" s="257"/>
      <c r="H51" s="257"/>
      <c r="I51" s="484" t="s">
        <v>112</v>
      </c>
      <c r="J51" s="505">
        <f>+V50+V33</f>
        <v>7700.6484</v>
      </c>
      <c r="L51" s="255"/>
      <c r="M51" s="255"/>
      <c r="N51" s="255"/>
      <c r="O51" s="258"/>
      <c r="P51" s="255"/>
      <c r="Q51" s="255"/>
      <c r="R51" s="259"/>
      <c r="S51" s="260"/>
      <c r="T51" s="260"/>
      <c r="U51" s="261"/>
      <c r="W51" s="263"/>
    </row>
    <row r="52" spans="1:23" ht="13.5" customHeight="1" thickTop="1">
      <c r="A52" s="90"/>
      <c r="B52" s="253"/>
      <c r="C52" s="248"/>
      <c r="D52" s="254"/>
      <c r="E52" s="255"/>
      <c r="F52" s="256"/>
      <c r="G52" s="257"/>
      <c r="H52" s="257"/>
      <c r="I52" s="255"/>
      <c r="J52" s="245"/>
      <c r="K52" s="245"/>
      <c r="L52" s="255"/>
      <c r="M52" s="255"/>
      <c r="N52" s="255"/>
      <c r="O52" s="258"/>
      <c r="P52" s="255"/>
      <c r="Q52" s="255"/>
      <c r="R52" s="259"/>
      <c r="S52" s="260"/>
      <c r="T52" s="260"/>
      <c r="U52" s="261"/>
      <c r="W52" s="263"/>
    </row>
    <row r="53" spans="1:23" ht="16.5" customHeight="1">
      <c r="A53" s="90"/>
      <c r="B53" s="253"/>
      <c r="C53" s="264" t="s">
        <v>113</v>
      </c>
      <c r="D53" s="265" t="s">
        <v>114</v>
      </c>
      <c r="E53" s="255"/>
      <c r="F53" s="256"/>
      <c r="G53" s="257"/>
      <c r="H53" s="257"/>
      <c r="I53" s="255"/>
      <c r="J53" s="245"/>
      <c r="K53" s="245"/>
      <c r="L53" s="255"/>
      <c r="M53" s="255"/>
      <c r="N53" s="255"/>
      <c r="O53" s="258"/>
      <c r="P53" s="255"/>
      <c r="Q53" s="255"/>
      <c r="R53" s="259"/>
      <c r="S53" s="260"/>
      <c r="T53" s="260"/>
      <c r="U53" s="261"/>
      <c r="W53" s="263"/>
    </row>
    <row r="54" spans="1:23" ht="16.5" customHeight="1">
      <c r="A54" s="90"/>
      <c r="B54" s="253"/>
      <c r="C54" s="264"/>
      <c r="D54" s="254"/>
      <c r="E54" s="255"/>
      <c r="F54" s="256"/>
      <c r="G54" s="257"/>
      <c r="H54" s="257"/>
      <c r="I54" s="255"/>
      <c r="J54" s="245"/>
      <c r="K54" s="245"/>
      <c r="L54" s="255"/>
      <c r="M54" s="255"/>
      <c r="N54" s="255"/>
      <c r="O54" s="258"/>
      <c r="P54" s="255"/>
      <c r="Q54" s="255"/>
      <c r="R54" s="255"/>
      <c r="S54" s="259"/>
      <c r="T54" s="260"/>
      <c r="W54" s="263"/>
    </row>
    <row r="55" spans="2:23" s="90" customFormat="1" ht="16.5" customHeight="1">
      <c r="B55" s="253"/>
      <c r="C55" s="248"/>
      <c r="D55" s="273" t="s">
        <v>116</v>
      </c>
      <c r="E55" s="251" t="s">
        <v>117</v>
      </c>
      <c r="F55" s="251" t="s">
        <v>115</v>
      </c>
      <c r="G55" s="454" t="s">
        <v>118</v>
      </c>
      <c r="H55"/>
      <c r="I55" s="475"/>
      <c r="J55" s="269" t="s">
        <v>119</v>
      </c>
      <c r="K55" s="269"/>
      <c r="L55" s="251" t="s">
        <v>115</v>
      </c>
      <c r="M55" t="s">
        <v>125</v>
      </c>
      <c r="O55" s="454" t="s">
        <v>126</v>
      </c>
      <c r="P55"/>
      <c r="Q55" s="268"/>
      <c r="R55" s="268"/>
      <c r="S55" s="92"/>
      <c r="T55"/>
      <c r="U55"/>
      <c r="V55"/>
      <c r="W55" s="263"/>
    </row>
    <row r="56" spans="2:23" s="90" customFormat="1" ht="16.5" customHeight="1">
      <c r="B56" s="253"/>
      <c r="C56" s="248"/>
      <c r="D56" s="476" t="s">
        <v>127</v>
      </c>
      <c r="E56" s="476">
        <v>300</v>
      </c>
      <c r="F56" s="498">
        <v>500</v>
      </c>
      <c r="G56" s="757">
        <f>+E56*$F$20*$F$21</f>
        <v>31046.399999999998</v>
      </c>
      <c r="H56" s="757"/>
      <c r="I56" s="757"/>
      <c r="J56" s="499" t="s">
        <v>128</v>
      </c>
      <c r="K56" s="499"/>
      <c r="L56" s="476">
        <v>500</v>
      </c>
      <c r="M56" s="476">
        <v>2</v>
      </c>
      <c r="O56" s="757">
        <f>+M56*$F$20*$M$19</f>
        <v>41305.152</v>
      </c>
      <c r="P56" s="757"/>
      <c r="Q56" s="757"/>
      <c r="R56" s="757"/>
      <c r="S56" s="757"/>
      <c r="T56" s="757"/>
      <c r="U56" s="757"/>
      <c r="V56"/>
      <c r="W56" s="263"/>
    </row>
    <row r="57" spans="2:23" s="90" customFormat="1" ht="16.5" customHeight="1">
      <c r="B57" s="253"/>
      <c r="C57" s="248"/>
      <c r="D57" s="476" t="s">
        <v>129</v>
      </c>
      <c r="E57" s="478">
        <v>150</v>
      </c>
      <c r="F57" s="498">
        <v>500</v>
      </c>
      <c r="G57" s="757">
        <f>+E57*$F$20*$F$21</f>
        <v>15523.199999999999</v>
      </c>
      <c r="H57" s="757"/>
      <c r="I57" s="757"/>
      <c r="J57" s="499" t="s">
        <v>128</v>
      </c>
      <c r="K57" s="499"/>
      <c r="L57" s="476">
        <v>132</v>
      </c>
      <c r="M57" s="476">
        <v>7</v>
      </c>
      <c r="O57" s="757">
        <f>+M57*$F$20*$M$19</f>
        <v>144568.032</v>
      </c>
      <c r="P57" s="757"/>
      <c r="Q57" s="757"/>
      <c r="R57" s="757"/>
      <c r="S57" s="757"/>
      <c r="T57" s="757"/>
      <c r="U57" s="757"/>
      <c r="V57"/>
      <c r="W57" s="263"/>
    </row>
    <row r="58" spans="2:23" s="90" customFormat="1" ht="16.5" customHeight="1">
      <c r="B58" s="253"/>
      <c r="C58" s="248"/>
      <c r="D58" s="477" t="s">
        <v>130</v>
      </c>
      <c r="E58" s="478">
        <v>300</v>
      </c>
      <c r="F58" s="498">
        <v>500</v>
      </c>
      <c r="G58" s="757">
        <f>+E58*$F$20*$F$21</f>
        <v>31046.399999999998</v>
      </c>
      <c r="H58" s="757"/>
      <c r="I58" s="757"/>
      <c r="J58" s="499" t="s">
        <v>131</v>
      </c>
      <c r="K58" s="499"/>
      <c r="L58" s="476">
        <v>132</v>
      </c>
      <c r="M58" s="476">
        <v>7</v>
      </c>
      <c r="O58" s="757">
        <f>+M58*$F$20*$M$19</f>
        <v>144568.032</v>
      </c>
      <c r="P58" s="757"/>
      <c r="Q58" s="757"/>
      <c r="R58" s="757"/>
      <c r="S58" s="757"/>
      <c r="T58" s="757"/>
      <c r="U58" s="757"/>
      <c r="V58"/>
      <c r="W58" s="263"/>
    </row>
    <row r="59" spans="1:23" ht="16.5" customHeight="1">
      <c r="A59" s="90"/>
      <c r="B59" s="253"/>
      <c r="C59" s="248"/>
      <c r="D59" s="477" t="s">
        <v>132</v>
      </c>
      <c r="E59" s="478">
        <v>300</v>
      </c>
      <c r="F59" s="498">
        <v>500</v>
      </c>
      <c r="G59" s="757">
        <f>+E59*$F$20*$F$21</f>
        <v>31046.399999999998</v>
      </c>
      <c r="H59" s="757"/>
      <c r="I59" s="757"/>
      <c r="J59" s="499" t="s">
        <v>133</v>
      </c>
      <c r="K59" s="499"/>
      <c r="L59" s="476">
        <v>132</v>
      </c>
      <c r="M59" s="476">
        <v>5</v>
      </c>
      <c r="O59" s="758">
        <f>+M59*$F$20*$M$19</f>
        <v>103262.88</v>
      </c>
      <c r="P59" s="758"/>
      <c r="Q59" s="758"/>
      <c r="R59" s="758"/>
      <c r="S59" s="758"/>
      <c r="T59" s="758"/>
      <c r="U59" s="758"/>
      <c r="W59" s="263"/>
    </row>
    <row r="60" spans="1:23" ht="16.5" customHeight="1">
      <c r="A60" s="90"/>
      <c r="B60" s="253"/>
      <c r="C60" s="248"/>
      <c r="D60" s="477" t="s">
        <v>134</v>
      </c>
      <c r="E60" s="478">
        <v>300</v>
      </c>
      <c r="F60" s="498">
        <v>500</v>
      </c>
      <c r="G60" s="758">
        <f>+E60*$F$20*$F$21</f>
        <v>31046.399999999998</v>
      </c>
      <c r="H60" s="758"/>
      <c r="I60" s="758"/>
      <c r="M60" s="476"/>
      <c r="O60" s="757">
        <f>SUM(O56:P59)</f>
        <v>433704.096</v>
      </c>
      <c r="P60" s="757"/>
      <c r="Q60" s="757"/>
      <c r="R60" s="757"/>
      <c r="S60" s="757"/>
      <c r="T60" s="757"/>
      <c r="U60" s="757"/>
      <c r="W60" s="263"/>
    </row>
    <row r="61" spans="1:23" ht="16.5" customHeight="1">
      <c r="A61" s="90"/>
      <c r="B61" s="253"/>
      <c r="C61" s="248"/>
      <c r="D61" s="477"/>
      <c r="E61" s="478"/>
      <c r="F61" s="498"/>
      <c r="G61" s="757">
        <f>SUM(G56:G60)</f>
        <v>139708.8</v>
      </c>
      <c r="H61" s="757"/>
      <c r="I61" s="757"/>
      <c r="M61" s="476"/>
      <c r="N61" s="475"/>
      <c r="O61" s="475"/>
      <c r="P61" s="262"/>
      <c r="Q61" s="262"/>
      <c r="R61" s="262"/>
      <c r="S61" s="262"/>
      <c r="W61" s="263"/>
    </row>
    <row r="62" spans="1:23" ht="16.5" customHeight="1" thickBot="1">
      <c r="A62" s="90"/>
      <c r="B62" s="253"/>
      <c r="C62" s="248"/>
      <c r="D62" s="273"/>
      <c r="E62" s="411"/>
      <c r="F62" s="411"/>
      <c r="G62" s="251"/>
      <c r="I62" s="266"/>
      <c r="J62" s="454"/>
      <c r="L62" s="453"/>
      <c r="M62" s="266"/>
      <c r="N62" s="267"/>
      <c r="O62" s="268"/>
      <c r="P62" s="268"/>
      <c r="Q62" s="268"/>
      <c r="R62" s="268"/>
      <c r="S62" s="268"/>
      <c r="W62" s="263"/>
    </row>
    <row r="63" spans="1:23" ht="16.5" customHeight="1" thickBot="1" thickTop="1">
      <c r="A63" s="90"/>
      <c r="B63" s="253"/>
      <c r="C63" s="248"/>
      <c r="D63" s="251"/>
      <c r="E63" s="500"/>
      <c r="F63" s="500"/>
      <c r="G63" s="320"/>
      <c r="H63" s="3"/>
      <c r="I63" s="484" t="s">
        <v>135</v>
      </c>
      <c r="J63" s="505">
        <f>+G61+O60</f>
        <v>573412.896</v>
      </c>
      <c r="L63" s="450"/>
      <c r="M63" s="3"/>
      <c r="N63" s="452"/>
      <c r="O63" s="262"/>
      <c r="P63" s="262"/>
      <c r="Q63" s="262"/>
      <c r="R63" s="262"/>
      <c r="S63" s="262"/>
      <c r="W63" s="263"/>
    </row>
    <row r="64" spans="1:23" ht="16.5" customHeight="1" thickTop="1">
      <c r="A64" s="90"/>
      <c r="B64" s="253"/>
      <c r="C64" s="248"/>
      <c r="D64" s="245"/>
      <c r="E64" s="247"/>
      <c r="F64" s="251"/>
      <c r="G64" s="251"/>
      <c r="H64" s="252"/>
      <c r="J64" s="251"/>
      <c r="L64" s="270"/>
      <c r="M64" s="267"/>
      <c r="N64" s="267"/>
      <c r="O64" s="268"/>
      <c r="P64" s="268"/>
      <c r="Q64" s="268"/>
      <c r="R64" s="268"/>
      <c r="S64" s="268"/>
      <c r="W64" s="263"/>
    </row>
    <row r="65" spans="2:23" ht="16.5" customHeight="1">
      <c r="B65" s="253"/>
      <c r="C65" s="264" t="s">
        <v>120</v>
      </c>
      <c r="D65" s="271" t="s">
        <v>121</v>
      </c>
      <c r="E65" s="251"/>
      <c r="F65" s="272"/>
      <c r="G65" s="246"/>
      <c r="H65" s="245"/>
      <c r="I65" s="245"/>
      <c r="J65" s="245"/>
      <c r="K65" s="251"/>
      <c r="L65" s="251"/>
      <c r="M65" s="245"/>
      <c r="N65" s="251"/>
      <c r="O65" s="245"/>
      <c r="P65" s="245"/>
      <c r="Q65" s="245"/>
      <c r="R65" s="245"/>
      <c r="S65" s="245"/>
      <c r="T65" s="245"/>
      <c r="U65" s="245"/>
      <c r="W65" s="263"/>
    </row>
    <row r="66" spans="2:23" s="90" customFormat="1" ht="16.5" customHeight="1">
      <c r="B66" s="253"/>
      <c r="C66" s="248"/>
      <c r="D66" s="273" t="s">
        <v>122</v>
      </c>
      <c r="E66" s="274">
        <f>10*J51*J25/J63</f>
        <v>1925.1621</v>
      </c>
      <c r="G66" s="246"/>
      <c r="L66" s="251"/>
      <c r="N66" s="251"/>
      <c r="O66" s="252"/>
      <c r="V66"/>
      <c r="W66" s="263"/>
    </row>
    <row r="67" spans="2:23" s="90" customFormat="1" ht="12.75" customHeight="1">
      <c r="B67" s="253"/>
      <c r="C67" s="248"/>
      <c r="E67" s="449"/>
      <c r="F67" s="250"/>
      <c r="G67" s="246"/>
      <c r="J67" s="246"/>
      <c r="K67" s="276"/>
      <c r="L67" s="251"/>
      <c r="M67" s="251"/>
      <c r="N67" s="251"/>
      <c r="O67" s="252"/>
      <c r="P67" s="251"/>
      <c r="Q67" s="251"/>
      <c r="R67" s="447"/>
      <c r="S67" s="447"/>
      <c r="T67" s="447"/>
      <c r="U67" s="448"/>
      <c r="V67"/>
      <c r="W67" s="263"/>
    </row>
    <row r="68" spans="2:23" ht="16.5" customHeight="1">
      <c r="B68" s="253"/>
      <c r="C68" s="248"/>
      <c r="D68" s="277" t="s">
        <v>141</v>
      </c>
      <c r="E68" s="275"/>
      <c r="F68" s="250"/>
      <c r="G68" s="246"/>
      <c r="H68" s="245"/>
      <c r="I68" s="245"/>
      <c r="N68" s="251"/>
      <c r="O68" s="252"/>
      <c r="P68" s="251"/>
      <c r="Q68" s="251"/>
      <c r="R68" s="266"/>
      <c r="S68" s="266"/>
      <c r="T68" s="266"/>
      <c r="U68" s="267"/>
      <c r="W68" s="263"/>
    </row>
    <row r="69" spans="2:23" ht="13.5" customHeight="1" thickBot="1">
      <c r="B69" s="253"/>
      <c r="C69" s="248"/>
      <c r="D69" s="277"/>
      <c r="E69" s="275"/>
      <c r="F69" s="250"/>
      <c r="G69" s="246"/>
      <c r="H69" s="245"/>
      <c r="I69" s="245"/>
      <c r="N69" s="251"/>
      <c r="O69" s="252"/>
      <c r="P69" s="251"/>
      <c r="Q69" s="251"/>
      <c r="R69" s="266"/>
      <c r="S69" s="266"/>
      <c r="T69" s="266"/>
      <c r="U69" s="267"/>
      <c r="W69" s="263"/>
    </row>
    <row r="70" spans="2:23" s="461" customFormat="1" ht="21" thickBot="1" thickTop="1">
      <c r="B70" s="455"/>
      <c r="C70" s="456"/>
      <c r="D70" s="457"/>
      <c r="E70" s="458"/>
      <c r="F70" s="459"/>
      <c r="G70" s="460"/>
      <c r="I70" s="462" t="s">
        <v>123</v>
      </c>
      <c r="J70" s="463">
        <f>IF(E66&gt;3*J25,J25*3,E66)</f>
        <v>1925.1621</v>
      </c>
      <c r="M70" s="464"/>
      <c r="N70" s="464"/>
      <c r="O70" s="465"/>
      <c r="P70" s="464"/>
      <c r="Q70" s="464"/>
      <c r="R70" s="466"/>
      <c r="S70" s="466"/>
      <c r="T70" s="466"/>
      <c r="U70" s="467"/>
      <c r="V70"/>
      <c r="W70" s="468"/>
    </row>
    <row r="71" spans="2:23" ht="16.5" customHeight="1" thickBot="1" thickTop="1">
      <c r="B71" s="115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280"/>
      <c r="W71" s="278"/>
    </row>
    <row r="72" spans="2:23" ht="16.5" customHeight="1" thickTop="1">
      <c r="B72" s="11"/>
      <c r="C72" s="488"/>
      <c r="W72" s="11"/>
    </row>
  </sheetData>
  <sheetProtection password="CC12"/>
  <mergeCells count="38">
    <mergeCell ref="E48:F48"/>
    <mergeCell ref="N48:O48"/>
    <mergeCell ref="E46:F46"/>
    <mergeCell ref="N46:O46"/>
    <mergeCell ref="E47:F47"/>
    <mergeCell ref="N47:O47"/>
    <mergeCell ref="N43:O43"/>
    <mergeCell ref="E44:F44"/>
    <mergeCell ref="N44:O44"/>
    <mergeCell ref="E45:F45"/>
    <mergeCell ref="N45:O45"/>
    <mergeCell ref="G60:I60"/>
    <mergeCell ref="G61:I61"/>
    <mergeCell ref="G56:I56"/>
    <mergeCell ref="G57:I57"/>
    <mergeCell ref="G58:I58"/>
    <mergeCell ref="G59:I59"/>
    <mergeCell ref="O59:U59"/>
    <mergeCell ref="O60:U60"/>
    <mergeCell ref="O57:U57"/>
    <mergeCell ref="O58:U58"/>
    <mergeCell ref="N41:O41"/>
    <mergeCell ref="O56:U56"/>
    <mergeCell ref="E39:F39"/>
    <mergeCell ref="N39:O39"/>
    <mergeCell ref="E40:F40"/>
    <mergeCell ref="N40:O40"/>
    <mergeCell ref="E41:F41"/>
    <mergeCell ref="E42:F42"/>
    <mergeCell ref="N42:O42"/>
    <mergeCell ref="E43:F43"/>
    <mergeCell ref="N35:O35"/>
    <mergeCell ref="N37:O37"/>
    <mergeCell ref="N38:O38"/>
    <mergeCell ref="E35:F35"/>
    <mergeCell ref="E36:F36"/>
    <mergeCell ref="E37:F37"/>
    <mergeCell ref="E38:F3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9" r:id="rId2"/>
  <headerFooter alignWithMargins="0">
    <oddFooter>&amp;L&amp;"Times New Roman,Normal"&amp;5&amp;F  - TRANSPORTE de ENERGÍA ELÉCTRICA - AJF/PJL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4">
    <pageSetUpPr fitToPage="1"/>
  </sheetPr>
  <dimension ref="A1:AD54"/>
  <sheetViews>
    <sheetView zoomScale="75" zoomScaleNormal="75" workbookViewId="0" topLeftCell="E43">
      <selection activeCell="G30" sqref="G30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8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531"/>
      <c r="AD1" s="479"/>
    </row>
    <row r="2" spans="1:23" ht="27" customHeight="1">
      <c r="A2" s="4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30" s="483" customFormat="1" ht="30.75">
      <c r="A3" s="480"/>
      <c r="B3" s="481" t="str">
        <f>'tot-0202'!B2</f>
        <v>ANEXO I a la Resolución ENRE N° 090/2003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AB3" s="482"/>
      <c r="AC3" s="482"/>
      <c r="AD3" s="482"/>
    </row>
    <row r="4" spans="1:2" s="83" customFormat="1" ht="11.25">
      <c r="A4" s="489" t="s">
        <v>31</v>
      </c>
      <c r="B4" s="501"/>
    </row>
    <row r="5" spans="1:2" s="83" customFormat="1" ht="12" thickBot="1">
      <c r="A5" s="489" t="s">
        <v>32</v>
      </c>
      <c r="B5" s="489"/>
    </row>
    <row r="6" spans="1:23" ht="16.5" customHeight="1" thickTop="1">
      <c r="A6" s="15"/>
      <c r="B6" s="127"/>
      <c r="C6" s="128"/>
      <c r="D6" s="128"/>
      <c r="E6" s="129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30"/>
    </row>
    <row r="7" spans="1:23" ht="20.25">
      <c r="A7" s="15"/>
      <c r="B7" s="108"/>
      <c r="C7" s="13"/>
      <c r="D7" s="6" t="s">
        <v>97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42"/>
      <c r="Q7" s="242"/>
      <c r="R7" s="13"/>
      <c r="S7" s="13"/>
      <c r="T7" s="13"/>
      <c r="U7" s="13"/>
      <c r="V7" s="13"/>
      <c r="W7" s="131"/>
    </row>
    <row r="8" spans="1:23" ht="16.5" customHeight="1">
      <c r="A8" s="15"/>
      <c r="B8" s="10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1"/>
    </row>
    <row r="9" spans="2:23" s="14" customFormat="1" ht="20.25">
      <c r="B9" s="103"/>
      <c r="C9" s="102"/>
      <c r="D9" s="6" t="s">
        <v>98</v>
      </c>
      <c r="E9" s="102"/>
      <c r="F9" s="102"/>
      <c r="G9" s="102"/>
      <c r="H9" s="102"/>
      <c r="N9" s="102"/>
      <c r="O9" s="102"/>
      <c r="P9" s="293"/>
      <c r="Q9" s="293"/>
      <c r="R9" s="102"/>
      <c r="S9" s="102"/>
      <c r="T9" s="102"/>
      <c r="U9" s="102"/>
      <c r="V9" s="102"/>
      <c r="W9" s="294"/>
    </row>
    <row r="10" spans="1:23" ht="16.5" customHeight="1">
      <c r="A10" s="15"/>
      <c r="B10" s="10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1"/>
    </row>
    <row r="11" spans="2:23" s="14" customFormat="1" ht="20.25">
      <c r="B11" s="103"/>
      <c r="C11" s="102"/>
      <c r="D11" s="6" t="s">
        <v>181</v>
      </c>
      <c r="E11" s="102"/>
      <c r="F11" s="102"/>
      <c r="G11" s="102"/>
      <c r="H11" s="102"/>
      <c r="N11" s="102"/>
      <c r="O11" s="102"/>
      <c r="P11" s="293"/>
      <c r="Q11" s="293"/>
      <c r="R11" s="102"/>
      <c r="S11" s="102"/>
      <c r="T11" s="102"/>
      <c r="U11" s="102"/>
      <c r="V11" s="102"/>
      <c r="W11" s="294"/>
    </row>
    <row r="12" spans="1:23" ht="16.5" customHeight="1">
      <c r="A12" s="15"/>
      <c r="B12" s="108"/>
      <c r="C12" s="13"/>
      <c r="D12" s="13"/>
      <c r="E12" s="15"/>
      <c r="F12" s="15"/>
      <c r="G12" s="15"/>
      <c r="H12" s="15"/>
      <c r="I12" s="132"/>
      <c r="J12" s="132"/>
      <c r="K12" s="132"/>
      <c r="L12" s="132"/>
      <c r="M12" s="132"/>
      <c r="N12" s="132"/>
      <c r="O12" s="132"/>
      <c r="P12" s="132"/>
      <c r="Q12" s="132"/>
      <c r="R12" s="13"/>
      <c r="S12" s="13"/>
      <c r="T12" s="13"/>
      <c r="U12" s="13"/>
      <c r="V12" s="13"/>
      <c r="W12" s="131"/>
    </row>
    <row r="13" spans="2:23" s="14" customFormat="1" ht="19.5">
      <c r="B13" s="96" t="str">
        <f>'tot-0202'!B14</f>
        <v>Desde el 01 al 28 de febrero de 2002</v>
      </c>
      <c r="C13" s="97"/>
      <c r="D13" s="99"/>
      <c r="E13" s="99"/>
      <c r="F13" s="99"/>
      <c r="G13" s="99"/>
      <c r="H13" s="99"/>
      <c r="I13" s="100"/>
      <c r="J13" s="3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295"/>
      <c r="V13" s="295"/>
      <c r="W13" s="101"/>
    </row>
    <row r="14" spans="1:23" ht="16.5" customHeight="1">
      <c r="A14" s="15"/>
      <c r="B14" s="108"/>
      <c r="C14" s="13"/>
      <c r="D14" s="13"/>
      <c r="E14" s="2"/>
      <c r="F14" s="2"/>
      <c r="G14" s="13"/>
      <c r="H14" s="13"/>
      <c r="I14" s="13"/>
      <c r="J14" s="243"/>
      <c r="K14" s="13"/>
      <c r="L14" s="13"/>
      <c r="M14" s="13"/>
      <c r="N14" s="15"/>
      <c r="O14" s="15"/>
      <c r="P14" s="13"/>
      <c r="Q14" s="13"/>
      <c r="R14" s="13"/>
      <c r="S14" s="13"/>
      <c r="T14" s="13"/>
      <c r="U14" s="13"/>
      <c r="V14" s="13"/>
      <c r="W14" s="131"/>
    </row>
    <row r="15" spans="1:23" ht="16.5" customHeight="1">
      <c r="A15" s="15"/>
      <c r="B15" s="108"/>
      <c r="C15" s="13"/>
      <c r="D15" s="13"/>
      <c r="E15" s="2"/>
      <c r="F15" s="2"/>
      <c r="G15" s="13"/>
      <c r="H15" s="13"/>
      <c r="I15" s="244"/>
      <c r="J15" s="13"/>
      <c r="K15" s="11"/>
      <c r="M15" s="13"/>
      <c r="N15" s="15"/>
      <c r="O15" s="15"/>
      <c r="P15" s="13"/>
      <c r="Q15" s="13"/>
      <c r="R15" s="13"/>
      <c r="S15" s="13"/>
      <c r="T15" s="13"/>
      <c r="U15" s="13"/>
      <c r="V15" s="13"/>
      <c r="W15" s="131"/>
    </row>
    <row r="16" spans="1:23" ht="16.5" customHeight="1">
      <c r="A16" s="15"/>
      <c r="B16" s="108"/>
      <c r="C16" s="13"/>
      <c r="D16" s="13"/>
      <c r="E16" s="2"/>
      <c r="F16" s="2"/>
      <c r="G16" s="13"/>
      <c r="H16" s="13"/>
      <c r="I16" s="244"/>
      <c r="J16" s="13"/>
      <c r="K16" s="11"/>
      <c r="M16" s="13"/>
      <c r="N16" s="15"/>
      <c r="O16" s="15"/>
      <c r="P16" s="13"/>
      <c r="Q16" s="13"/>
      <c r="R16" s="13"/>
      <c r="S16" s="13"/>
      <c r="T16" s="13"/>
      <c r="U16" s="13"/>
      <c r="V16" s="13"/>
      <c r="W16" s="131"/>
    </row>
    <row r="17" spans="1:23" ht="16.5" customHeight="1" thickBot="1">
      <c r="A17" s="15"/>
      <c r="B17" s="108"/>
      <c r="C17" s="451" t="s">
        <v>99</v>
      </c>
      <c r="D17" s="12" t="s">
        <v>100</v>
      </c>
      <c r="E17" s="2"/>
      <c r="F17" s="2"/>
      <c r="G17" s="13"/>
      <c r="H17" s="13"/>
      <c r="I17" s="13"/>
      <c r="J17" s="243"/>
      <c r="K17" s="13"/>
      <c r="L17" s="13"/>
      <c r="M17" s="13"/>
      <c r="N17" s="15"/>
      <c r="O17" s="15"/>
      <c r="P17" s="13"/>
      <c r="Q17" s="13"/>
      <c r="R17" s="13"/>
      <c r="S17" s="13"/>
      <c r="T17" s="13"/>
      <c r="U17" s="13"/>
      <c r="V17" s="13"/>
      <c r="W17" s="131"/>
    </row>
    <row r="18" spans="2:23" s="90" customFormat="1" ht="16.5" customHeight="1" thickBot="1">
      <c r="B18" s="253"/>
      <c r="C18" s="92"/>
      <c r="D18" s="425"/>
      <c r="E18" s="426"/>
      <c r="F18" s="248"/>
      <c r="G18" s="92"/>
      <c r="H18" s="92"/>
      <c r="I18" s="92"/>
      <c r="J18" s="444"/>
      <c r="K18" s="92"/>
      <c r="L18" s="92"/>
      <c r="M18" s="92"/>
      <c r="N18" s="502" t="s">
        <v>56</v>
      </c>
      <c r="P18" s="92"/>
      <c r="Q18" s="92"/>
      <c r="R18" s="92"/>
      <c r="S18" s="92"/>
      <c r="T18" s="92"/>
      <c r="U18" s="92"/>
      <c r="V18" s="92"/>
      <c r="W18" s="445"/>
    </row>
    <row r="19" spans="2:23" s="90" customFormat="1" ht="16.5" customHeight="1" thickBot="1">
      <c r="B19" s="253"/>
      <c r="C19" s="92"/>
      <c r="E19" s="427" t="s">
        <v>101</v>
      </c>
      <c r="F19" s="428">
        <v>0.025</v>
      </c>
      <c r="G19" s="473"/>
      <c r="H19" s="92"/>
      <c r="I19" s="532"/>
      <c r="J19" s="533"/>
      <c r="K19" s="686" t="s">
        <v>139</v>
      </c>
      <c r="L19" s="687"/>
      <c r="M19" s="688">
        <f>'SU (TIBA)'!M19</f>
        <v>30.733</v>
      </c>
      <c r="N19" s="689">
        <v>200</v>
      </c>
      <c r="R19" s="92"/>
      <c r="S19" s="92"/>
      <c r="T19" s="92"/>
      <c r="U19" s="92"/>
      <c r="V19" s="92"/>
      <c r="W19" s="445"/>
    </row>
    <row r="20" spans="2:23" s="90" customFormat="1" ht="16.5" customHeight="1">
      <c r="B20" s="253"/>
      <c r="C20" s="92"/>
      <c r="E20" s="425" t="s">
        <v>103</v>
      </c>
      <c r="F20" s="92">
        <f>MID(B13,16,2)*24</f>
        <v>672</v>
      </c>
      <c r="G20" s="92" t="s">
        <v>104</v>
      </c>
      <c r="H20" s="92"/>
      <c r="I20" s="92"/>
      <c r="J20" s="92"/>
      <c r="K20" s="92"/>
      <c r="L20" s="92"/>
      <c r="M20" s="92"/>
      <c r="N20" s="92"/>
      <c r="O20" s="92"/>
      <c r="P20" s="446"/>
      <c r="Q20" s="92"/>
      <c r="R20" s="92"/>
      <c r="S20" s="92"/>
      <c r="T20" s="92"/>
      <c r="U20" s="92"/>
      <c r="V20" s="92"/>
      <c r="W20" s="445"/>
    </row>
    <row r="21" spans="2:23" s="90" customFormat="1" ht="16.5" customHeight="1">
      <c r="B21" s="253"/>
      <c r="C21" s="92"/>
      <c r="E21" s="425" t="s">
        <v>124</v>
      </c>
      <c r="F21" s="92">
        <v>0.151</v>
      </c>
      <c r="G21" s="90" t="s">
        <v>102</v>
      </c>
      <c r="H21" s="92"/>
      <c r="I21" s="92"/>
      <c r="J21" s="92"/>
      <c r="K21" s="92"/>
      <c r="L21" s="92"/>
      <c r="M21" s="92"/>
      <c r="N21" s="92"/>
      <c r="O21" s="92"/>
      <c r="P21" s="446"/>
      <c r="Q21" s="92"/>
      <c r="R21" s="92"/>
      <c r="S21" s="92"/>
      <c r="T21" s="92"/>
      <c r="U21" s="92"/>
      <c r="V21" s="92"/>
      <c r="W21" s="445"/>
    </row>
    <row r="22" spans="2:23" s="90" customFormat="1" ht="16.5" customHeight="1">
      <c r="B22" s="253"/>
      <c r="C22" s="92"/>
      <c r="D22" s="92"/>
      <c r="E22" s="250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445"/>
    </row>
    <row r="23" spans="1:23" ht="16.5" customHeight="1">
      <c r="A23" s="15"/>
      <c r="B23" s="108"/>
      <c r="C23" s="451" t="s">
        <v>105</v>
      </c>
      <c r="D23" s="91" t="s">
        <v>106</v>
      </c>
      <c r="I23" s="13"/>
      <c r="J23" s="90"/>
      <c r="O23" s="13"/>
      <c r="P23" s="13"/>
      <c r="Q23" s="13"/>
      <c r="R23" s="13"/>
      <c r="S23" s="13"/>
      <c r="T23" s="13"/>
      <c r="V23" s="13"/>
      <c r="W23" s="131"/>
    </row>
    <row r="24" spans="1:23" ht="10.5" customHeight="1" thickBot="1">
      <c r="A24" s="15"/>
      <c r="B24" s="108"/>
      <c r="C24" s="2"/>
      <c r="D24" s="91"/>
      <c r="I24" s="13"/>
      <c r="J24" s="90"/>
      <c r="O24" s="13"/>
      <c r="P24" s="13"/>
      <c r="Q24" s="13"/>
      <c r="R24" s="13"/>
      <c r="S24" s="13"/>
      <c r="T24" s="13"/>
      <c r="V24" s="13"/>
      <c r="W24" s="131"/>
    </row>
    <row r="25" spans="2:23" s="90" customFormat="1" ht="16.5" customHeight="1" thickBot="1" thickTop="1">
      <c r="B25" s="253"/>
      <c r="C25" s="248"/>
      <c r="D25"/>
      <c r="E25"/>
      <c r="F25"/>
      <c r="G25"/>
      <c r="H25"/>
      <c r="I25" s="484" t="s">
        <v>107</v>
      </c>
      <c r="J25" s="505">
        <f>+J45*F19</f>
        <v>516.3144000000001</v>
      </c>
      <c r="L25"/>
      <c r="S25"/>
      <c r="T25"/>
      <c r="U25"/>
      <c r="W25" s="445"/>
    </row>
    <row r="26" spans="2:23" s="90" customFormat="1" ht="11.25" customHeight="1" thickTop="1">
      <c r="B26" s="253"/>
      <c r="C26" s="248"/>
      <c r="D26" s="92"/>
      <c r="E26" s="250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/>
      <c r="W26" s="445"/>
    </row>
    <row r="27" spans="1:23" ht="16.5" customHeight="1">
      <c r="A27" s="15"/>
      <c r="B27" s="108"/>
      <c r="C27" s="451" t="s">
        <v>108</v>
      </c>
      <c r="D27" s="91" t="s">
        <v>109</v>
      </c>
      <c r="E27" s="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1"/>
    </row>
    <row r="28" spans="1:23" ht="13.5" customHeight="1" thickBot="1">
      <c r="A28" s="90"/>
      <c r="B28" s="108"/>
      <c r="C28" s="248"/>
      <c r="D28" s="248"/>
      <c r="E28" s="249"/>
      <c r="F28" s="250"/>
      <c r="G28" s="246"/>
      <c r="H28" s="246"/>
      <c r="I28" s="251"/>
      <c r="J28" s="251"/>
      <c r="K28" s="251"/>
      <c r="L28" s="251"/>
      <c r="M28" s="251"/>
      <c r="N28" s="251"/>
      <c r="O28" s="252"/>
      <c r="P28" s="251"/>
      <c r="Q28" s="251"/>
      <c r="R28" s="506"/>
      <c r="S28" s="507"/>
      <c r="T28" s="508"/>
      <c r="U28" s="315"/>
      <c r="V28" s="315"/>
      <c r="W28" s="136"/>
    </row>
    <row r="29" spans="1:23" ht="16.5" customHeight="1" thickTop="1">
      <c r="A29" s="90"/>
      <c r="B29" s="108"/>
      <c r="C29" s="160"/>
      <c r="D29" s="1"/>
      <c r="E29" s="1"/>
      <c r="F29" s="198"/>
      <c r="G29" s="309"/>
      <c r="H29" s="310"/>
      <c r="I29" s="311"/>
      <c r="J29" s="312"/>
      <c r="K29" s="313"/>
      <c r="L29" s="314"/>
      <c r="M29" s="310"/>
      <c r="N29" s="315"/>
      <c r="O29" s="30"/>
      <c r="P29" s="316"/>
      <c r="Q29" s="317"/>
      <c r="R29" s="318"/>
      <c r="S29" s="318"/>
      <c r="T29" s="318"/>
      <c r="U29" s="315"/>
      <c r="V29" s="315"/>
      <c r="W29" s="136"/>
    </row>
    <row r="30" spans="1:16" ht="15">
      <c r="A30" s="11"/>
      <c r="B30" s="691"/>
      <c r="C30" s="692"/>
      <c r="D30" s="693" t="s">
        <v>182</v>
      </c>
      <c r="E30" s="692"/>
      <c r="F30" s="694"/>
      <c r="G30" s="692"/>
      <c r="H30" s="695"/>
      <c r="I30" s="696"/>
      <c r="J30" s="692"/>
      <c r="K30" s="697"/>
      <c r="M30" s="692"/>
      <c r="N30" s="692"/>
      <c r="O30" s="692"/>
      <c r="P30" s="698"/>
    </row>
    <row r="31" spans="1:16" ht="15">
      <c r="A31" s="11"/>
      <c r="B31" s="691"/>
      <c r="C31" s="692"/>
      <c r="D31" s="692"/>
      <c r="E31" s="692"/>
      <c r="F31" s="694"/>
      <c r="G31" s="692"/>
      <c r="H31" s="695"/>
      <c r="I31" s="696"/>
      <c r="J31" s="692"/>
      <c r="K31" s="697"/>
      <c r="M31" s="692"/>
      <c r="N31" s="692"/>
      <c r="O31" s="692"/>
      <c r="P31" s="698"/>
    </row>
    <row r="32" spans="1:16" ht="15">
      <c r="A32" s="11"/>
      <c r="B32" s="691"/>
      <c r="C32" s="692"/>
      <c r="D32" s="692"/>
      <c r="E32" s="692"/>
      <c r="F32" s="694" t="s">
        <v>183</v>
      </c>
      <c r="G32" s="692"/>
      <c r="H32" s="695"/>
      <c r="I32" s="747">
        <f>'tot-0202'!I26</f>
        <v>1917.74</v>
      </c>
      <c r="J32" s="692"/>
      <c r="K32" s="697" t="s">
        <v>185</v>
      </c>
      <c r="M32" s="692"/>
      <c r="N32" s="692"/>
      <c r="O32" s="692"/>
      <c r="P32" s="698"/>
    </row>
    <row r="33" spans="1:23" ht="16.5" customHeight="1" thickBot="1">
      <c r="A33" s="90"/>
      <c r="B33" s="108"/>
      <c r="C33" s="160"/>
      <c r="D33" s="1"/>
      <c r="E33" s="1"/>
      <c r="F33" s="198"/>
      <c r="G33" s="309"/>
      <c r="H33" s="310"/>
      <c r="I33" s="311"/>
      <c r="L33" s="314"/>
      <c r="M33" s="310"/>
      <c r="N33" s="486"/>
      <c r="O33" s="487"/>
      <c r="P33" s="316"/>
      <c r="Q33" s="317"/>
      <c r="R33" s="318"/>
      <c r="S33" s="318"/>
      <c r="T33" s="318"/>
      <c r="U33" s="279"/>
      <c r="V33" s="279"/>
      <c r="W33" s="136"/>
    </row>
    <row r="34" spans="1:23" ht="17.25" thickBot="1" thickTop="1">
      <c r="A34" s="90"/>
      <c r="B34" s="253"/>
      <c r="C34" s="248"/>
      <c r="D34" s="254"/>
      <c r="E34" s="255"/>
      <c r="F34" s="256"/>
      <c r="G34" s="257"/>
      <c r="H34" s="257"/>
      <c r="I34" s="255"/>
      <c r="J34" s="245"/>
      <c r="K34" s="245"/>
      <c r="L34" s="255"/>
      <c r="M34" s="255"/>
      <c r="N34" s="255"/>
      <c r="O34" s="258"/>
      <c r="P34" s="255"/>
      <c r="Q34" s="255"/>
      <c r="R34" s="259"/>
      <c r="S34" s="260"/>
      <c r="T34" s="260"/>
      <c r="U34" s="261"/>
      <c r="V34" s="319" t="e">
        <f>SUM(#REF!)</f>
        <v>#REF!</v>
      </c>
      <c r="W34" s="263"/>
    </row>
    <row r="35" spans="1:23" ht="17.25" thickBot="1" thickTop="1">
      <c r="A35" s="90"/>
      <c r="B35" s="253"/>
      <c r="C35" s="248"/>
      <c r="D35" s="254"/>
      <c r="E35" s="255"/>
      <c r="F35" s="256"/>
      <c r="G35" s="257"/>
      <c r="H35" s="257"/>
      <c r="I35" s="484" t="s">
        <v>112</v>
      </c>
      <c r="J35" s="505">
        <f>I32</f>
        <v>1917.74</v>
      </c>
      <c r="L35" s="255"/>
      <c r="M35" s="255"/>
      <c r="N35" s="255"/>
      <c r="O35" s="258"/>
      <c r="P35" s="255"/>
      <c r="Q35" s="255"/>
      <c r="R35" s="259"/>
      <c r="S35" s="260"/>
      <c r="T35" s="260"/>
      <c r="U35" s="261"/>
      <c r="W35" s="263"/>
    </row>
    <row r="36" spans="1:23" ht="13.5" customHeight="1" thickTop="1">
      <c r="A36" s="90"/>
      <c r="B36" s="253"/>
      <c r="C36" s="248"/>
      <c r="D36" s="254"/>
      <c r="E36" s="255"/>
      <c r="F36" s="256"/>
      <c r="G36" s="257"/>
      <c r="H36" s="257"/>
      <c r="I36" s="255"/>
      <c r="J36" s="245"/>
      <c r="K36" s="245"/>
      <c r="L36" s="255"/>
      <c r="M36" s="255"/>
      <c r="N36" s="255"/>
      <c r="O36" s="258"/>
      <c r="P36" s="255"/>
      <c r="Q36" s="255"/>
      <c r="R36" s="259"/>
      <c r="S36" s="260"/>
      <c r="T36" s="260"/>
      <c r="U36" s="261"/>
      <c r="W36" s="263"/>
    </row>
    <row r="37" spans="1:23" ht="16.5" customHeight="1">
      <c r="A37" s="90"/>
      <c r="B37" s="253"/>
      <c r="C37" s="264" t="s">
        <v>113</v>
      </c>
      <c r="D37" s="265" t="s">
        <v>114</v>
      </c>
      <c r="E37" s="255"/>
      <c r="F37" s="256"/>
      <c r="G37" s="257"/>
      <c r="H37" s="257"/>
      <c r="I37" s="255"/>
      <c r="J37" s="245"/>
      <c r="K37" s="245"/>
      <c r="L37" s="255"/>
      <c r="M37" s="255"/>
      <c r="N37" s="255"/>
      <c r="O37" s="258"/>
      <c r="P37" s="255"/>
      <c r="Q37" s="255"/>
      <c r="R37" s="259"/>
      <c r="S37" s="260"/>
      <c r="T37" s="260"/>
      <c r="U37" s="261"/>
      <c r="W37" s="263"/>
    </row>
    <row r="38" spans="1:23" ht="16.5" customHeight="1">
      <c r="A38" s="90"/>
      <c r="B38" s="253"/>
      <c r="C38" s="264"/>
      <c r="D38" s="254"/>
      <c r="E38" s="255"/>
      <c r="F38" s="256"/>
      <c r="G38" s="257"/>
      <c r="H38" s="257"/>
      <c r="I38" s="255"/>
      <c r="J38" s="245"/>
      <c r="K38" s="245"/>
      <c r="L38" s="255"/>
      <c r="M38" s="255"/>
      <c r="N38" s="255"/>
      <c r="O38" s="258"/>
      <c r="P38" s="255"/>
      <c r="Q38" s="255"/>
      <c r="R38" s="255"/>
      <c r="S38" s="259"/>
      <c r="T38" s="260"/>
      <c r="W38" s="263"/>
    </row>
    <row r="39" spans="2:23" s="90" customFormat="1" ht="16.5" customHeight="1">
      <c r="B39" s="253"/>
      <c r="C39" s="248"/>
      <c r="D39" s="273"/>
      <c r="E39" s="269" t="s">
        <v>119</v>
      </c>
      <c r="F39" s="251" t="s">
        <v>115</v>
      </c>
      <c r="G39" t="s">
        <v>125</v>
      </c>
      <c r="H39" s="478"/>
      <c r="I39" s="760" t="s">
        <v>126</v>
      </c>
      <c r="J39" s="760"/>
      <c r="K39" s="498"/>
      <c r="L39" s="498"/>
      <c r="M39" s="498"/>
      <c r="O39" s="454"/>
      <c r="P39"/>
      <c r="Q39" s="268"/>
      <c r="R39" s="268"/>
      <c r="S39" s="92"/>
      <c r="T39"/>
      <c r="U39"/>
      <c r="V39"/>
      <c r="W39" s="263"/>
    </row>
    <row r="40" spans="2:23" s="90" customFormat="1" ht="16.5" customHeight="1">
      <c r="B40" s="253"/>
      <c r="C40" s="248"/>
      <c r="D40" s="476"/>
      <c r="E40" s="499" t="s">
        <v>179</v>
      </c>
      <c r="F40" s="476">
        <v>500</v>
      </c>
      <c r="G40" s="476">
        <v>1</v>
      </c>
      <c r="H40" s="478"/>
      <c r="I40" s="759">
        <f>G40*$F$20*$M$19</f>
        <v>20652.576</v>
      </c>
      <c r="J40" s="759"/>
      <c r="K40" s="498"/>
      <c r="L40" s="498"/>
      <c r="M40" s="498"/>
      <c r="O40" s="757"/>
      <c r="P40" s="757"/>
      <c r="Q40" s="757"/>
      <c r="R40" s="757"/>
      <c r="S40" s="757"/>
      <c r="T40" s="757"/>
      <c r="U40" s="757"/>
      <c r="V40"/>
      <c r="W40" s="263"/>
    </row>
    <row r="41" spans="2:23" s="90" customFormat="1" ht="16.5" customHeight="1">
      <c r="B41" s="253"/>
      <c r="C41" s="248"/>
      <c r="D41" s="476"/>
      <c r="E41" s="478"/>
      <c r="F41" s="498"/>
      <c r="G41" s="478"/>
      <c r="H41" s="478"/>
      <c r="I41" s="478"/>
      <c r="J41" s="498"/>
      <c r="K41" s="498"/>
      <c r="L41" s="498"/>
      <c r="M41" s="498"/>
      <c r="O41" s="757"/>
      <c r="P41" s="757"/>
      <c r="Q41" s="757"/>
      <c r="R41" s="757"/>
      <c r="S41" s="757"/>
      <c r="T41" s="757"/>
      <c r="U41" s="757"/>
      <c r="V41"/>
      <c r="W41" s="263"/>
    </row>
    <row r="42" spans="2:23" s="90" customFormat="1" ht="16.5" customHeight="1">
      <c r="B42" s="253"/>
      <c r="C42" s="248"/>
      <c r="D42" s="477"/>
      <c r="E42" s="478"/>
      <c r="F42" s="498"/>
      <c r="G42" s="478"/>
      <c r="H42" s="478"/>
      <c r="I42" s="478"/>
      <c r="J42" s="498"/>
      <c r="K42" s="498"/>
      <c r="L42" s="498"/>
      <c r="M42" s="498"/>
      <c r="O42" s="757"/>
      <c r="P42" s="757"/>
      <c r="Q42" s="757"/>
      <c r="R42" s="757"/>
      <c r="S42" s="757"/>
      <c r="T42" s="757"/>
      <c r="U42" s="757"/>
      <c r="V42"/>
      <c r="W42" s="263"/>
    </row>
    <row r="43" spans="1:23" ht="16.5" customHeight="1">
      <c r="A43" s="90"/>
      <c r="B43" s="253"/>
      <c r="C43" s="248"/>
      <c r="D43" s="477"/>
      <c r="E43" s="478"/>
      <c r="F43" s="498"/>
      <c r="G43" s="478"/>
      <c r="H43" s="478"/>
      <c r="I43" s="478"/>
      <c r="M43" s="476"/>
      <c r="N43" s="475"/>
      <c r="O43" s="475"/>
      <c r="P43" s="262"/>
      <c r="Q43" s="262"/>
      <c r="R43" s="262"/>
      <c r="S43" s="262"/>
      <c r="W43" s="263"/>
    </row>
    <row r="44" spans="1:23" ht="16.5" customHeight="1" thickBot="1">
      <c r="A44" s="90"/>
      <c r="B44" s="253"/>
      <c r="C44" s="248"/>
      <c r="D44" s="273"/>
      <c r="E44" s="411"/>
      <c r="F44" s="411"/>
      <c r="G44" s="251"/>
      <c r="I44" s="266"/>
      <c r="J44" s="454"/>
      <c r="L44" s="453"/>
      <c r="M44" s="266"/>
      <c r="N44" s="267"/>
      <c r="O44" s="268"/>
      <c r="P44" s="268"/>
      <c r="Q44" s="268"/>
      <c r="R44" s="268"/>
      <c r="S44" s="268"/>
      <c r="W44" s="263"/>
    </row>
    <row r="45" spans="1:23" ht="16.5" customHeight="1" thickBot="1" thickTop="1">
      <c r="A45" s="90"/>
      <c r="B45" s="253"/>
      <c r="C45" s="248"/>
      <c r="D45" s="251"/>
      <c r="E45" s="500"/>
      <c r="F45" s="500"/>
      <c r="G45" s="320"/>
      <c r="H45" s="3"/>
      <c r="I45" s="484" t="s">
        <v>135</v>
      </c>
      <c r="J45" s="505">
        <f>I40</f>
        <v>20652.576</v>
      </c>
      <c r="L45" s="450"/>
      <c r="M45" s="3"/>
      <c r="N45" s="452"/>
      <c r="O45" s="262"/>
      <c r="P45" s="262"/>
      <c r="Q45" s="262"/>
      <c r="R45" s="262"/>
      <c r="S45" s="262"/>
      <c r="W45" s="263"/>
    </row>
    <row r="46" spans="1:23" ht="16.5" customHeight="1" thickTop="1">
      <c r="A46" s="90"/>
      <c r="B46" s="253"/>
      <c r="C46" s="248"/>
      <c r="D46" s="245"/>
      <c r="E46" s="247"/>
      <c r="F46" s="251"/>
      <c r="G46" s="251"/>
      <c r="H46" s="252"/>
      <c r="J46" s="251"/>
      <c r="L46" s="270"/>
      <c r="M46" s="267"/>
      <c r="N46" s="267"/>
      <c r="O46" s="268"/>
      <c r="P46" s="268"/>
      <c r="Q46" s="268"/>
      <c r="R46" s="268"/>
      <c r="S46" s="268"/>
      <c r="W46" s="263"/>
    </row>
    <row r="47" spans="2:23" ht="16.5" customHeight="1">
      <c r="B47" s="253"/>
      <c r="C47" s="264" t="s">
        <v>120</v>
      </c>
      <c r="D47" s="271" t="s">
        <v>121</v>
      </c>
      <c r="E47" s="251"/>
      <c r="F47" s="272"/>
      <c r="G47" s="246"/>
      <c r="H47" s="245"/>
      <c r="I47" s="245"/>
      <c r="J47" s="245"/>
      <c r="K47" s="251"/>
      <c r="L47" s="251"/>
      <c r="M47" s="245"/>
      <c r="N47" s="251"/>
      <c r="O47" s="245"/>
      <c r="P47" s="245"/>
      <c r="Q47" s="245"/>
      <c r="R47" s="245"/>
      <c r="S47" s="245"/>
      <c r="T47" s="245"/>
      <c r="U47" s="245"/>
      <c r="W47" s="263"/>
    </row>
    <row r="48" spans="2:23" s="90" customFormat="1" ht="16.5" customHeight="1">
      <c r="B48" s="253"/>
      <c r="C48" s="248"/>
      <c r="D48" s="273" t="s">
        <v>122</v>
      </c>
      <c r="E48" s="274">
        <f>10*J35*J25/J45</f>
        <v>479.4350000000001</v>
      </c>
      <c r="G48" s="246"/>
      <c r="L48" s="251"/>
      <c r="N48" s="251"/>
      <c r="O48" s="252"/>
      <c r="V48"/>
      <c r="W48" s="263"/>
    </row>
    <row r="49" spans="2:23" s="90" customFormat="1" ht="12.75" customHeight="1">
      <c r="B49" s="253"/>
      <c r="C49" s="248"/>
      <c r="E49" s="449"/>
      <c r="F49" s="250"/>
      <c r="G49" s="246"/>
      <c r="J49" s="246"/>
      <c r="K49" s="276"/>
      <c r="L49" s="251"/>
      <c r="M49" s="251"/>
      <c r="N49" s="251"/>
      <c r="O49" s="252"/>
      <c r="P49" s="251"/>
      <c r="Q49" s="251"/>
      <c r="R49" s="447"/>
      <c r="S49" s="447"/>
      <c r="T49" s="447"/>
      <c r="U49" s="448"/>
      <c r="V49"/>
      <c r="W49" s="263"/>
    </row>
    <row r="50" spans="2:23" ht="16.5" customHeight="1">
      <c r="B50" s="253"/>
      <c r="C50" s="248"/>
      <c r="D50" s="277" t="s">
        <v>180</v>
      </c>
      <c r="E50" s="275"/>
      <c r="F50" s="250"/>
      <c r="G50" s="246"/>
      <c r="H50" s="245"/>
      <c r="I50" s="245"/>
      <c r="N50" s="251"/>
      <c r="O50" s="252"/>
      <c r="P50" s="251"/>
      <c r="Q50" s="251"/>
      <c r="R50" s="266"/>
      <c r="S50" s="266"/>
      <c r="T50" s="266"/>
      <c r="U50" s="267"/>
      <c r="W50" s="263"/>
    </row>
    <row r="51" spans="2:23" ht="13.5" customHeight="1" thickBot="1">
      <c r="B51" s="253"/>
      <c r="C51" s="248"/>
      <c r="D51" s="277"/>
      <c r="E51" s="275"/>
      <c r="F51" s="250"/>
      <c r="G51" s="246"/>
      <c r="H51" s="245"/>
      <c r="I51" s="245"/>
      <c r="N51" s="251"/>
      <c r="O51" s="252"/>
      <c r="P51" s="251"/>
      <c r="Q51" s="251"/>
      <c r="R51" s="266"/>
      <c r="S51" s="266"/>
      <c r="T51" s="266"/>
      <c r="U51" s="267"/>
      <c r="W51" s="263"/>
    </row>
    <row r="52" spans="2:23" s="461" customFormat="1" ht="21" thickBot="1" thickTop="1">
      <c r="B52" s="455"/>
      <c r="C52" s="456"/>
      <c r="D52" s="457"/>
      <c r="E52" s="458"/>
      <c r="F52" s="459"/>
      <c r="G52" s="460"/>
      <c r="I52" s="462" t="s">
        <v>123</v>
      </c>
      <c r="J52" s="463">
        <f>IF(E48&gt;3*J25,J25*3,E48)</f>
        <v>479.4350000000001</v>
      </c>
      <c r="M52" s="464"/>
      <c r="N52" s="464"/>
      <c r="O52" s="465"/>
      <c r="P52" s="464"/>
      <c r="Q52" s="464"/>
      <c r="R52" s="466"/>
      <c r="S52" s="466"/>
      <c r="T52" s="466"/>
      <c r="U52" s="467"/>
      <c r="V52"/>
      <c r="W52" s="468"/>
    </row>
    <row r="53" spans="2:23" ht="16.5" customHeight="1" thickBot="1" thickTop="1">
      <c r="B53" s="115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280"/>
      <c r="W53" s="278"/>
    </row>
    <row r="54" spans="2:23" ht="16.5" customHeight="1" thickTop="1">
      <c r="B54" s="11"/>
      <c r="C54" s="488"/>
      <c r="W54" s="11"/>
    </row>
  </sheetData>
  <sheetProtection password="CC12"/>
  <mergeCells count="5">
    <mergeCell ref="I40:J40"/>
    <mergeCell ref="I39:J39"/>
    <mergeCell ref="O41:U41"/>
    <mergeCell ref="O42:U42"/>
    <mergeCell ref="O40:U4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JLlorens</cp:lastModifiedBy>
  <cp:lastPrinted>2002-12-20T17:09:52Z</cp:lastPrinted>
  <dcterms:created xsi:type="dcterms:W3CDTF">1998-04-21T14:28:46Z</dcterms:created>
  <dcterms:modified xsi:type="dcterms:W3CDTF">2003-02-13T12:18:45Z</dcterms:modified>
  <cp:category/>
  <cp:version/>
  <cp:contentType/>
  <cp:contentStatus/>
</cp:coreProperties>
</file>