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7005" tabRatio="603" firstSheet="10" activeTab="0"/>
  </bookViews>
  <sheets>
    <sheet name="tot-9911" sheetId="1" r:id="rId1"/>
    <sheet name="LI-9911" sheetId="2" r:id="rId2"/>
    <sheet name="LI-9911 (2)" sheetId="3" r:id="rId3"/>
    <sheet name="Res 142-94 Torres" sheetId="4" r:id="rId4"/>
    <sheet name="LIN-YACY (2)" sheetId="5" r:id="rId5"/>
    <sheet name="LIN-LITSA (2)" sheetId="6" r:id="rId6"/>
    <sheet name="TR-9911" sheetId="7" r:id="rId7"/>
    <sheet name="SA-9911" sheetId="8" r:id="rId8"/>
    <sheet name="SA-9911 (2)" sheetId="9" r:id="rId9"/>
    <sheet name="SALIDA-TIBA (2)" sheetId="10" r:id="rId10"/>
    <sheet name="RE-9911" sheetId="11" r:id="rId11"/>
    <sheet name="RE-9911 (2)" sheetId="12" r:id="rId12"/>
    <sheet name="SU (YACYLEC)" sheetId="13" r:id="rId13"/>
    <sheet name="SU (LITSA)" sheetId="14" r:id="rId14"/>
    <sheet name="SU (TIBA)" sheetId="15" r:id="rId15"/>
    <sheet name="TRANSENER" sheetId="16" r:id="rId16"/>
  </sheets>
  <externalReferences>
    <externalReference r:id="rId19"/>
  </externalReferences>
  <definedNames>
    <definedName name="_xlnm.Print_Area" localSheetId="1">'LI-9911'!$A$1:$AD$47</definedName>
    <definedName name="_xlnm.Print_Area" localSheetId="2">'LI-9911 (2)'!$A$1:$AD$47</definedName>
    <definedName name="_xlnm.Print_Area" localSheetId="5">'LIN-LITSA (2)'!$A$1:$AE$41</definedName>
    <definedName name="_xlnm.Print_Area" localSheetId="4">'LIN-YACY (2)'!$A$1:$V$40</definedName>
    <definedName name="_xlnm.Print_Area" localSheetId="10">'RE-9911'!$A$1:$V$45</definedName>
    <definedName name="_xlnm.Print_Area" localSheetId="11">'RE-9911 (2)'!$A$1:$V$45</definedName>
    <definedName name="_xlnm.Print_Area" localSheetId="3">'Res 142-94 Torres'!$A$1:$T$42</definedName>
    <definedName name="_xlnm.Print_Area" localSheetId="7">'SA-9911'!$A$1:$U$48</definedName>
    <definedName name="_xlnm.Print_Area" localSheetId="8">'SA-9911 (2)'!$A$1:$U$48</definedName>
    <definedName name="_xlnm.Print_Area" localSheetId="9">'SALIDA-TIBA (2)'!$A$1:$U$43</definedName>
    <definedName name="_xlnm.Print_Area" localSheetId="13">'SU (LITSA)'!$A$1:$AD$68</definedName>
    <definedName name="_xlnm.Print_Area" localSheetId="14">'SU (TIBA)'!$A$1:$W$71</definedName>
    <definedName name="_xlnm.Print_Area" localSheetId="12">'SU (YACYLEC)'!$A$1:$AD$63</definedName>
    <definedName name="_xlnm.Print_Area" localSheetId="0">'tot-9911'!$A$1:$L$38</definedName>
    <definedName name="_xlnm.Print_Area" localSheetId="6">'TR-9911'!$A$1:$AB$45</definedName>
    <definedName name="_xlnm.Print_Area" localSheetId="15">'TRANSENER'!$A$1:$U$91</definedName>
  </definedNames>
  <calcPr fullCalcOnLoad="1"/>
</workbook>
</file>

<file path=xl/sharedStrings.xml><?xml version="1.0" encoding="utf-8"?>
<sst xmlns="http://schemas.openxmlformats.org/spreadsheetml/2006/main" count="1066" uniqueCount="311">
  <si>
    <t>SISTEMA DE TRANSPORTE DE ENERGÍA ELÉCTRICA EN ALTA TENSIÓN</t>
  </si>
  <si>
    <t>TRANSENER S.A.</t>
  </si>
  <si>
    <t>C</t>
  </si>
  <si>
    <t>ALMAFUERTE - ROSARIO OESTE</t>
  </si>
  <si>
    <t>B</t>
  </si>
  <si>
    <t>CERR. de la CTA - P.BAND. (A3)</t>
  </si>
  <si>
    <t>CHOCON - C.H. CHOCON 1</t>
  </si>
  <si>
    <t>CHOCON - C.H. CHOCON 3</t>
  </si>
  <si>
    <t>A</t>
  </si>
  <si>
    <t>EL BRACHO - RECREO(5)</t>
  </si>
  <si>
    <t>EZEIZA - HENDERSON 2</t>
  </si>
  <si>
    <t>EZEIZA - RODRIGUEZ 1</t>
  </si>
  <si>
    <t>EZEIZA - HENDERSON 1</t>
  </si>
  <si>
    <t>GRAL. RODRIGUEZ - ROSARIO OESTE</t>
  </si>
  <si>
    <t>PUELCHES - HENDERSON 2 (B2)</t>
  </si>
  <si>
    <t>RAMALLO - VILLA LIA  1</t>
  </si>
  <si>
    <t>RAMALLO - VILLA LIA  2</t>
  </si>
  <si>
    <t>RECREO - MALVINAS ARG.</t>
  </si>
  <si>
    <t>ROSARIO OESTE - SANTO TOME</t>
  </si>
  <si>
    <t>SALTO GRANDE - SANTO TOME</t>
  </si>
  <si>
    <t>RINCON - SALTO GRANDE</t>
  </si>
  <si>
    <t>ALICURA</t>
  </si>
  <si>
    <t>TRAFO 9</t>
  </si>
  <si>
    <t>500/132</t>
  </si>
  <si>
    <t>ALMAFUERTE</t>
  </si>
  <si>
    <t>TRAFO 1</t>
  </si>
  <si>
    <t>TRAFO 2</t>
  </si>
  <si>
    <t>220/132</t>
  </si>
  <si>
    <t>CHOCON OESTE</t>
  </si>
  <si>
    <t>TRAFO 8</t>
  </si>
  <si>
    <t>CHOELE CHOEL</t>
  </si>
  <si>
    <t>AUTOTRAFO 5</t>
  </si>
  <si>
    <t>EL BRACHO</t>
  </si>
  <si>
    <t>EZEIZA</t>
  </si>
  <si>
    <t>TRAFO 3</t>
  </si>
  <si>
    <t>500/220/132</t>
  </si>
  <si>
    <t>GRAN MENDOZA</t>
  </si>
  <si>
    <t>AUTOTRAFO</t>
  </si>
  <si>
    <t>MALVINAS ARGENTINAS</t>
  </si>
  <si>
    <t>PLANICIE BANDERITA</t>
  </si>
  <si>
    <t>PUELCHES</t>
  </si>
  <si>
    <t>AUTOTRAFO 1</t>
  </si>
  <si>
    <t>RAMALLO</t>
  </si>
  <si>
    <t>RESISTENCIA</t>
  </si>
  <si>
    <t>ROSARIO OESTE</t>
  </si>
  <si>
    <t>SANTO TOME</t>
  </si>
  <si>
    <t>BAHÍA BLANCA 500</t>
  </si>
  <si>
    <t>OLAVARRÍA 500</t>
  </si>
  <si>
    <t>CAMPANA 500</t>
  </si>
  <si>
    <t>ABASTO</t>
  </si>
  <si>
    <t xml:space="preserve"> SALIDA TRAFO 2</t>
  </si>
  <si>
    <t>SALIDA LINEA A BARILOCHE</t>
  </si>
  <si>
    <t>SALIDA LINEA A SAN M. DE LOS ANDES</t>
  </si>
  <si>
    <t>SALIDA TRAFO MAQ. 3</t>
  </si>
  <si>
    <t>SALIDA TRAFO MAQ. 4</t>
  </si>
  <si>
    <t>SALIDA LINEA PILAR 1</t>
  </si>
  <si>
    <t>SALIDA LÍNEA A C.T.S. MIGUEL</t>
  </si>
  <si>
    <t>SALIDA LÍNEA A C.T. AVE FÉNIX</t>
  </si>
  <si>
    <t>GRAL. RODRIGUEZ</t>
  </si>
  <si>
    <t>SALIDA TRAFO 2 500/220</t>
  </si>
  <si>
    <t>SALIDA TRAFO 4 500/220</t>
  </si>
  <si>
    <t>SALIDA LINEA GRAL. SAN MARTIN</t>
  </si>
  <si>
    <t>SALIDA LINEA NORTE 1</t>
  </si>
  <si>
    <t>P. BANDERITA</t>
  </si>
  <si>
    <t>SALIDA LINEA A PLYA PCIE. BANDERITA</t>
  </si>
  <si>
    <t xml:space="preserve"> SALIDA TRAFO MAQ. 1 Y 2</t>
  </si>
  <si>
    <t xml:space="preserve"> SALIDA LINEA GRAL. ACHA</t>
  </si>
  <si>
    <t>SALIDA LINEA SAN CARLOS</t>
  </si>
  <si>
    <t>SALIDA LINEA STA. FE OESTE 1</t>
  </si>
  <si>
    <t>VILLA LIA</t>
  </si>
  <si>
    <t>SALIDA TRAFO 220/132/13,2</t>
  </si>
  <si>
    <t>SALIDA A MAQ. GENELBA 1</t>
  </si>
  <si>
    <t>SALIDA A MAQ. GENELBA 2</t>
  </si>
  <si>
    <t>SALIDA A MAQ. GENELBA 3</t>
  </si>
  <si>
    <t>LÍNEA A CTPL Máq 29</t>
  </si>
  <si>
    <t>LÍNEA A TANDIL</t>
  </si>
  <si>
    <t>LÍNEA A CAMPANA</t>
  </si>
  <si>
    <t>EQUIPO</t>
  </si>
  <si>
    <t xml:space="preserve">EZEIZA </t>
  </si>
  <si>
    <t>CS1</t>
  </si>
  <si>
    <t>CS2</t>
  </si>
  <si>
    <t>CS3</t>
  </si>
  <si>
    <t>CS4</t>
  </si>
  <si>
    <t>CS5</t>
  </si>
  <si>
    <t>CS6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</si>
  <si>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</si>
  <si>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</si>
  <si>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</si>
  <si>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</si>
  <si>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</si>
  <si>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</si>
  <si>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LITSA</t>
  </si>
  <si>
    <t>2.-</t>
  </si>
  <si>
    <t>CONEXIÓN</t>
  </si>
  <si>
    <t>Transportista Independiente TIBA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</si>
  <si>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</si>
  <si>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</si>
  <si>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</si>
  <si>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</si>
  <si>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</si>
  <si>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</si>
  <si>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</si>
  <si>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</si>
  <si>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</si>
  <si>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</si>
  <si>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</si>
  <si>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</si>
  <si>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</si>
  <si>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</si>
  <si>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</si>
  <si>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</si>
  <si>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</si>
  <si>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</si>
  <si>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</si>
  <si>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</si>
  <si>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</si>
  <si>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</si>
  <si>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</si>
  <si>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</si>
  <si>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</si>
  <si>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</si>
  <si>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</si>
  <si>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</si>
  <si>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</si>
  <si>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</si>
  <si>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</si>
  <si>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</si>
  <si>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</si>
  <si>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</si>
  <si>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</si>
  <si>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</si>
  <si>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</si>
  <si>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 xml:space="preserve">$/km-h : LINEAS 500 kV </t>
  </si>
  <si>
    <t xml:space="preserve">$/km-h : LINEAS 220 kV </t>
  </si>
  <si>
    <t>REDUCC.
RESTANTE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</si>
  <si>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</si>
  <si>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</si>
  <si>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</si>
  <si>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</si>
  <si>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</si>
  <si>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</si>
  <si>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Multiplicador =</t>
  </si>
  <si>
    <t>PENALIZACION FORZADA
Por Salida      1ras 5 hs.     hs. Restantes</t>
  </si>
  <si>
    <t>PENAL.REDUC. A LA CAP. DE TRANSP.
Por Salida        1ras hs.      hs. Restantes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</si>
  <si>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</si>
  <si>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</si>
  <si>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</si>
  <si>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</si>
  <si>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</si>
  <si>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</si>
  <si>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</si>
  <si>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</si>
  <si>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</si>
  <si>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</si>
  <si>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</si>
  <si>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</si>
  <si>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</si>
  <si>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</si>
  <si>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</si>
  <si>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</si>
  <si>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</si>
  <si>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</si>
  <si>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</si>
  <si>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</si>
  <si>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</si>
  <si>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</si>
  <si>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</si>
  <si>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SI</t>
  </si>
  <si>
    <t>RIO GRANDE - LUJAN</t>
  </si>
  <si>
    <t>RESISTENCIA - PASO DE LA PATRIA</t>
  </si>
  <si>
    <t>SALIDA LINEA ESPERANZA</t>
  </si>
  <si>
    <t>R2L5CL</t>
  </si>
  <si>
    <t>R1B5PU</t>
  </si>
  <si>
    <t>R1L5RS</t>
  </si>
  <si>
    <t>R3L5RO</t>
  </si>
  <si>
    <t>R2L5ST</t>
  </si>
  <si>
    <t>SALIDA LINEA F. L. BELTRÁN</t>
  </si>
  <si>
    <r>
      <t>P - PROGRAMADA                    RP - REDUCCIÓN PROGRAMADA                    RR - REDUCCIÓN RESTANTE ( proveniente de horas anteriores )                   (</t>
    </r>
    <r>
      <rPr>
        <sz val="7"/>
        <rFont val="Symbol"/>
        <family val="1"/>
      </rPr>
      <t>Ä</t>
    </r>
    <r>
      <rPr>
        <sz val="7"/>
        <rFont val="Courier New"/>
        <family val="3"/>
      </rPr>
      <t>) X - ESTÍMULO A LA EFICIENCIA</t>
    </r>
  </si>
  <si>
    <t>Factor X =</t>
  </si>
  <si>
    <r>
      <t xml:space="preserve"> (</t>
    </r>
    <r>
      <rPr>
        <sz val="10"/>
        <rFont val="Symbol"/>
        <family val="1"/>
      </rPr>
      <t>Ä</t>
    </r>
    <r>
      <rPr>
        <sz val="10"/>
        <rFont val="Times New Roman"/>
        <family val="1"/>
      </rPr>
      <t>)</t>
    </r>
  </si>
  <si>
    <t>AGUA DEL CAJON - CHOCON OESTE</t>
  </si>
  <si>
    <t>ABASTO - OLAVARRIA 1</t>
  </si>
  <si>
    <t>Transporte de la hoja 1/2</t>
  </si>
  <si>
    <t>Desde el 01 al 30 de noviembre de 1999</t>
  </si>
  <si>
    <t>II</t>
  </si>
  <si>
    <t>I</t>
  </si>
  <si>
    <t>III</t>
  </si>
  <si>
    <t>IV</t>
  </si>
  <si>
    <t>V</t>
  </si>
  <si>
    <t>VI</t>
  </si>
  <si>
    <t>VII</t>
  </si>
  <si>
    <t>VIII</t>
  </si>
  <si>
    <t>XI</t>
  </si>
  <si>
    <t>LÍNEA A G. CHAVES</t>
  </si>
  <si>
    <t>IX</t>
  </si>
  <si>
    <t>X</t>
  </si>
  <si>
    <t>F</t>
  </si>
  <si>
    <t>P</t>
  </si>
  <si>
    <t>SALIDA TRAFO 2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</si>
  <si>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</si>
  <si>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</si>
  <si>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</si>
  <si>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</si>
  <si>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</si>
  <si>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</si>
  <si>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</si>
  <si>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 km</t>
  </si>
  <si>
    <t>SALIDA A SANTA CATALINA</t>
  </si>
  <si>
    <t>SALIDA A FORMOSA</t>
  </si>
  <si>
    <t>*</t>
  </si>
  <si>
    <t>**</t>
  </si>
  <si>
    <t>Transporte de la hoja 1/3</t>
  </si>
  <si>
    <t xml:space="preserve">Del Documento de Calidad de Servicio de Transporte de "TRANSNEA S.A."  </t>
  </si>
  <si>
    <t xml:space="preserve">Del Documento de Calidad de Servicio de Transporte de "TRANSNOA S.A."  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</si>
  <si>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</si>
  <si>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</si>
  <si>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</si>
  <si>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</si>
  <si>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</si>
  <si>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</si>
  <si>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</si>
  <si>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</si>
  <si>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Valor Mensual del Canon                        =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</si>
  <si>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</si>
  <si>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</si>
  <si>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</si>
  <si>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</si>
  <si>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</si>
  <si>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</si>
  <si>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</si>
  <si>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Tipo 
Sal.</t>
  </si>
  <si>
    <t>K (P;ENS)</t>
  </si>
  <si>
    <t>PENALIZAC. FORZADA
Por Salida    hs. Restantes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</si>
  <si>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</si>
  <si>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</si>
  <si>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</si>
  <si>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</si>
  <si>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</si>
  <si>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</si>
  <si>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</si>
  <si>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</si>
  <si>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</si>
  <si>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 S.A.</t>
  </si>
  <si>
    <t>SANCIÓN =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</si>
  <si>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</si>
  <si>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</si>
  <si>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</si>
  <si>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</si>
  <si>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</si>
  <si>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</si>
  <si>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</si>
  <si>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t>4.2.- Transportista Independiente L.I.T.S.A.</t>
  </si>
  <si>
    <t>Remuneración TRANSFORMADOR    =</t>
  </si>
  <si>
    <t>$/MVA</t>
  </si>
  <si>
    <t>Remuneración SALIDA 132 kV             =</t>
  </si>
  <si>
    <t>$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</si>
  <si>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</si>
  <si>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</si>
  <si>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</si>
  <si>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</si>
  <si>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</si>
  <si>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E.T.</t>
  </si>
  <si>
    <t>SALIDA</t>
  </si>
  <si>
    <t>Rincón</t>
  </si>
  <si>
    <t>Ituzaingó, Ita Ibate, Virasoro</t>
  </si>
  <si>
    <t>TOTAL A PENALIZAR A TRANSENER S.A POR SUPERVISIÓN A L.I.T.S.A.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</si>
  <si>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</si>
  <si>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</si>
  <si>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t>4.3.- Transportista Independiente  T.I.B.A.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</si>
  <si>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</si>
  <si>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</si>
  <si>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</si>
  <si>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</si>
  <si>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</si>
  <si>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</si>
  <si>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</si>
  <si>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</si>
  <si>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</si>
  <si>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</si>
  <si>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</si>
  <si>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</si>
  <si>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</si>
  <si>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TOTAL A PENALIZAR A TRANSENER S.A POR SUPERVISIÓN A T.I.B.A.</t>
  </si>
  <si>
    <r>
      <t>RM</t>
    </r>
    <r>
      <rPr>
        <sz val="12"/>
        <rFont val="Times New Roman"/>
        <family val="1"/>
      </rPr>
      <t xml:space="preserve"> por Cargos de Conexión</t>
    </r>
  </si>
  <si>
    <t>1.3.- Transportista Independiente L.I.T.S.A.</t>
  </si>
  <si>
    <t>Transformación</t>
  </si>
  <si>
    <t>Atentados Res. ENRE N° 142/94</t>
  </si>
  <si>
    <t>N° de
Torres</t>
  </si>
  <si>
    <t>Mtos.
Ti</t>
  </si>
  <si>
    <t>Td</t>
  </si>
  <si>
    <t>Tr</t>
  </si>
  <si>
    <t>Ts</t>
  </si>
  <si>
    <t>Te</t>
  </si>
  <si>
    <t>Penalizaciones a aplicar por indisponibilidad de líneas originada en atentados (Res.ENRE N° 142/94)...............................</t>
  </si>
  <si>
    <t>Ti = Tiempo de indisponibilidad</t>
  </si>
  <si>
    <t>TOTAL LÍNEAS</t>
  </si>
  <si>
    <t>Td = Tiempo de detección, aislamiento y movilización</t>
  </si>
  <si>
    <t>Tr = Tiempo de reparación</t>
  </si>
  <si>
    <t>Ts = Tiempo estándar</t>
  </si>
  <si>
    <t>Te = Tiempo excedente en tiempo estándar</t>
  </si>
  <si>
    <r>
      <t xml:space="preserve">SANCIÓN
</t>
    </r>
    <r>
      <rPr>
        <b/>
        <sz val="11"/>
        <rFont val="MS Sans Serif"/>
        <family val="0"/>
      </rPr>
      <t>en Ts</t>
    </r>
  </si>
  <si>
    <r>
      <t xml:space="preserve">SANCIÓN
</t>
    </r>
    <r>
      <rPr>
        <b/>
        <sz val="11"/>
        <rFont val="MS Sans Serif"/>
        <family val="0"/>
      </rPr>
      <t>en Te</t>
    </r>
  </si>
  <si>
    <r>
      <t xml:space="preserve">SANCIÓN
</t>
    </r>
    <r>
      <rPr>
        <b/>
        <sz val="11"/>
        <rFont val="MS Sans Serif"/>
        <family val="0"/>
      </rPr>
      <t>TOTAL</t>
    </r>
  </si>
  <si>
    <t>Líneas propias</t>
  </si>
  <si>
    <t>1.1.1.- Equipamiento propio</t>
  </si>
  <si>
    <t>1.1.2.- Atentados al Sistema de Transporte en Alta Tensíon - Res. ENRE N° 142/94</t>
  </si>
  <si>
    <t>Caída de Torres</t>
  </si>
  <si>
    <t>TOTAL DE PENALIZACIONES A APLICAR</t>
  </si>
  <si>
    <t>Correspondiente al mes de noviembre de 1999</t>
  </si>
  <si>
    <r>
      <t xml:space="preserve"> (</t>
    </r>
    <r>
      <rPr>
        <sz val="10"/>
        <rFont val="Symbol"/>
        <family val="1"/>
      </rPr>
      <t>Ä</t>
    </r>
    <r>
      <rPr>
        <sz val="10"/>
        <rFont val="Times New Roman"/>
        <family val="1"/>
      </rPr>
      <t>) FACTOR DE EFICIENCIA</t>
    </r>
  </si>
  <si>
    <t>ANEXO I A LA RESOLUCION ENRE N° 320/2000</t>
  </si>
</sst>
</file>

<file path=xl/styles.xml><?xml version="1.0" encoding="utf-8"?>
<styleSheet xmlns="http://schemas.openxmlformats.org/spreadsheetml/2006/main">
  <numFmts count="9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\$\ #,##0.00,_);\(\$\ #,##0.00,\)"/>
    <numFmt numFmtId="199" formatCode="&quot;$&quot;\ #,##0.000;&quot;$&quot;\ \-#,##0.000"/>
    <numFmt numFmtId="200" formatCode="#,##0.0"/>
    <numFmt numFmtId="201" formatCode="0.00000"/>
    <numFmt numFmtId="202" formatCode="0.000_)"/>
    <numFmt numFmtId="203" formatCode="0.000"/>
    <numFmt numFmtId="204" formatCode="&quot;$&quot;#,##0.00\ ;&quot;$&quot;\-#,##0.00\ "/>
    <numFmt numFmtId="205" formatCode="0.0%"/>
    <numFmt numFmtId="206" formatCode="&quot;$&quot;\ #,##0;\-&quot;$&quot;\ #,##0"/>
    <numFmt numFmtId="207" formatCode="&quot;$&quot;\ #,##0;[Red]\-&quot;$&quot;\ #,##0"/>
    <numFmt numFmtId="208" formatCode="&quot;$&quot;\ #,##0.00;\-&quot;$&quot;\ #,##0.00"/>
    <numFmt numFmtId="209" formatCode="&quot;$&quot;\ #,##0.00;[Red]\-&quot;$&quot;\ #,##0.00"/>
    <numFmt numFmtId="210" formatCode="_-&quot;$&quot;\ * #,##0_-;\-&quot;$&quot;\ * #,##0_-;_-&quot;$&quot;\ * &quot;-&quot;_-;_-@_-"/>
    <numFmt numFmtId="211" formatCode="_-* #,##0_-;\-* #,##0_-;_-* &quot;-&quot;_-;_-@_-"/>
    <numFmt numFmtId="212" formatCode="_-&quot;$&quot;\ * #,##0.00_-;\-&quot;$&quot;\ * #,##0.00_-;_-&quot;$&quot;\ * &quot;-&quot;??_-;_-@_-"/>
    <numFmt numFmtId="213" formatCode="_-* #,##0.00_-;\-* #,##0.00_-;_-* &quot;-&quot;??_-;_-@_-"/>
    <numFmt numFmtId="214" formatCode="dd\-mmm\-yy_)"/>
    <numFmt numFmtId="215" formatCode="#,##0.0_);\(#,##0.0\)"/>
    <numFmt numFmtId="216" formatCode="&quot;$&quot;#,##0.00;&quot;$&quot;\-#,##0.00"/>
    <numFmt numFmtId="217" formatCode="&quot;$&quot;\ #,##0.000;[Red]&quot;$&quot;\ \-#,##0.000"/>
    <numFmt numFmtId="218" formatCode="&quot;$&quot;\ #,##0.0000;[Red]&quot;$&quot;\ \-#,##0.0000"/>
    <numFmt numFmtId="219" formatCode="&quot;$&quot;\ #,##0.00000;[Red]&quot;$&quot;\ \-#,##0.00000"/>
    <numFmt numFmtId="220" formatCode="&quot;$&quot;\ #,##0.0;[Red]&quot;$&quot;\ \-#,##0.0"/>
    <numFmt numFmtId="221" formatCode="&quot;$&quot;\ #,##0.00;&quot;$&quot;\ \-#,##0.000"/>
    <numFmt numFmtId="222" formatCode="#,##0&quot;Pts&quot;_);\(#,##0&quot;Pts&quot;\)"/>
    <numFmt numFmtId="223" formatCode="#,##0&quot;Pts&quot;_);[Red]\(#,##0&quot;Pts&quot;\)"/>
    <numFmt numFmtId="224" formatCode="#,##0.00&quot;Pts&quot;_);\(#,##0.00&quot;Pts&quot;\)"/>
    <numFmt numFmtId="225" formatCode="#,##0.00&quot;Pts&quot;_);[Red]\(#,##0.00&quot;Pts&quot;\)"/>
    <numFmt numFmtId="226" formatCode="_ * #,##0_)&quot;Pts&quot;_ ;_ * \(#,##0\)&quot;Pts&quot;_ ;_ * &quot;-&quot;_)&quot;Pts&quot;_ ;_ @_ "/>
    <numFmt numFmtId="227" formatCode="_ * #,##0_)_P_t_s_ ;_ * \(#,##0\)_P_t_s_ ;_ * &quot;-&quot;_)_P_t_s_ ;_ @_ "/>
    <numFmt numFmtId="228" formatCode="_ * #,##0.00_)&quot;Pts&quot;_ ;_ * \(#,##0.00\)&quot;Pts&quot;_ ;_ * &quot;-&quot;??_)&quot;Pts&quot;_ ;_ @_ "/>
    <numFmt numFmtId="229" formatCode="_ * #,##0.00_)_P_t_s_ ;_ * \(#,##0.00\)_P_t_s_ ;_ * &quot;-&quot;??_)_P_t_s_ ;_ @_ "/>
    <numFmt numFmtId="230" formatCode="\2.\5%"/>
    <numFmt numFmtId="231" formatCode=".00%"/>
    <numFmt numFmtId="232" formatCode="&quot;$&quot;#,##0.00"/>
    <numFmt numFmtId="233" formatCode="#.\-"/>
    <numFmt numFmtId="234" formatCode="#.#.\-"/>
    <numFmt numFmtId="235" formatCode="0.0000_)"/>
    <numFmt numFmtId="236" formatCode="#&quot;.&quot;#&quot;.-&quot;"/>
    <numFmt numFmtId="237" formatCode="#&quot;.&quot;#&quot;.&quot;#&quot;.-&quot;"/>
    <numFmt numFmtId="238" formatCode="#&quot; x &quot;"/>
    <numFmt numFmtId="239" formatCode="0.000000"/>
    <numFmt numFmtId="240" formatCode="0.0\ \k\V"/>
    <numFmt numFmtId="241" formatCode="0.0\ &quot;km&quot;"/>
    <numFmt numFmtId="242" formatCode="#\ &quot;km&quot;"/>
    <numFmt numFmtId="243" formatCode="0.00\ &quot;km&quot;"/>
    <numFmt numFmtId="244" formatCode="0.00\ &quot;MVA&quot;"/>
    <numFmt numFmtId="245" formatCode="#,###,\-"/>
    <numFmt numFmtId="246" formatCode="&quot;$&quot;\ #,##0.0;&quot;$&quot;\ \-#,##0.0"/>
    <numFmt numFmtId="247" formatCode="0.000000_)"/>
    <numFmt numFmtId="248" formatCode="0.00000_)"/>
    <numFmt numFmtId="249" formatCode="\$\ #,##0.0,_);\(\$\ #,##0.0,\)"/>
    <numFmt numFmtId="250" formatCode="\$\ #,##0.000,_);\(\$\ #,##0.000,\)"/>
    <numFmt numFmtId="251" formatCode="\$\ #,##0.0000,_);\(\$\ #,##0.0000,\)"/>
    <numFmt numFmtId="252" formatCode="\$\ #,##0.00000,_);\(\$\ #,##0.00000,\)"/>
  </numFmts>
  <fonts count="1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i/>
      <u val="single"/>
      <sz val="16"/>
      <name val="Times New Roman"/>
      <family val="1"/>
    </font>
    <font>
      <sz val="7"/>
      <name val="MS Sans Serif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52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1"/>
      <color indexed="13"/>
      <name val="MS Sans Serif"/>
      <family val="2"/>
    </font>
    <font>
      <b/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7"/>
      <name val="Symbol"/>
      <family val="1"/>
    </font>
    <font>
      <sz val="10"/>
      <name val="Symbol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2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Times New Roman"/>
      <family val="1"/>
    </font>
    <font>
      <b/>
      <sz val="11"/>
      <name val="MS Sans Serif"/>
      <family val="0"/>
    </font>
    <font>
      <sz val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</fills>
  <borders count="79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9" fontId="4" fillId="0" borderId="1" xfId="0" applyNumberFormat="1" applyFont="1" applyBorder="1" applyAlignment="1" applyProtection="1">
      <alignment horizontal="center"/>
      <protection/>
    </xf>
    <xf numFmtId="188" fontId="4" fillId="0" borderId="2" xfId="0" applyNumberFormat="1" applyFont="1" applyBorder="1" applyAlignment="1" applyProtection="1">
      <alignment horizontal="center"/>
      <protection/>
    </xf>
    <xf numFmtId="192" fontId="4" fillId="0" borderId="1" xfId="0" applyNumberFormat="1" applyFont="1" applyBorder="1" applyAlignment="1" applyProtection="1">
      <alignment horizontal="center"/>
      <protection/>
    </xf>
    <xf numFmtId="22" fontId="4" fillId="0" borderId="4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88" fontId="4" fillId="2" borderId="1" xfId="0" applyNumberFormat="1" applyFont="1" applyFill="1" applyBorder="1" applyAlignment="1" applyProtection="1" quotePrefix="1">
      <alignment horizontal="center"/>
      <protection/>
    </xf>
    <xf numFmtId="192" fontId="4" fillId="0" borderId="2" xfId="0" applyNumberFormat="1" applyFont="1" applyBorder="1" applyAlignment="1" applyProtection="1">
      <alignment horizontal="center"/>
      <protection/>
    </xf>
    <xf numFmtId="202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88" fontId="4" fillId="0" borderId="1" xfId="0" applyNumberFormat="1" applyFont="1" applyFill="1" applyBorder="1" applyAlignment="1" applyProtection="1" quotePrefix="1">
      <alignment horizontal="center"/>
      <protection/>
    </xf>
    <xf numFmtId="22" fontId="4" fillId="0" borderId="5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8" fontId="5" fillId="0" borderId="7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189" fontId="4" fillId="0" borderId="7" xfId="0" applyNumberFormat="1" applyFont="1" applyBorder="1" applyAlignment="1" applyProtection="1">
      <alignment horizontal="center"/>
      <protection/>
    </xf>
    <xf numFmtId="192" fontId="4" fillId="0" borderId="7" xfId="0" applyNumberFormat="1" applyFont="1" applyBorder="1" applyAlignment="1" applyProtection="1">
      <alignment horizontal="center"/>
      <protection/>
    </xf>
    <xf numFmtId="202" fontId="4" fillId="0" borderId="7" xfId="0" applyNumberFormat="1" applyFont="1" applyBorder="1" applyAlignment="1" applyProtection="1" quotePrefix="1">
      <alignment horizontal="center"/>
      <protection/>
    </xf>
    <xf numFmtId="4" fontId="5" fillId="0" borderId="7" xfId="0" applyNumberFormat="1" applyFont="1" applyBorder="1" applyAlignment="1" applyProtection="1">
      <alignment horizontal="center"/>
      <protection/>
    </xf>
    <xf numFmtId="2" fontId="16" fillId="0" borderId="8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88" fontId="5" fillId="0" borderId="0" xfId="0" applyNumberFormat="1" applyFont="1" applyBorder="1" applyAlignment="1" applyProtection="1">
      <alignment horizontal="center"/>
      <protection/>
    </xf>
    <xf numFmtId="189" fontId="4" fillId="0" borderId="0" xfId="0" applyNumberFormat="1" applyFont="1" applyBorder="1" applyAlignment="1" applyProtection="1">
      <alignment horizontal="center"/>
      <protection/>
    </xf>
    <xf numFmtId="192" fontId="4" fillId="0" borderId="0" xfId="0" applyNumberFormat="1" applyFont="1" applyBorder="1" applyAlignment="1" applyProtection="1">
      <alignment horizontal="center"/>
      <protection/>
    </xf>
    <xf numFmtId="202" fontId="4" fillId="0" borderId="0" xfId="0" applyNumberFormat="1" applyFont="1" applyBorder="1" applyAlignment="1" applyProtection="1" quotePrefix="1">
      <alignment horizontal="center"/>
      <protection/>
    </xf>
    <xf numFmtId="2" fontId="15" fillId="0" borderId="9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188" fontId="4" fillId="0" borderId="6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88" fontId="4" fillId="0" borderId="6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 quotePrefix="1">
      <alignment horizontal="center"/>
      <protection/>
    </xf>
    <xf numFmtId="192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92" fontId="4" fillId="0" borderId="1" xfId="0" applyNumberFormat="1" applyFont="1" applyBorder="1" applyAlignment="1" applyProtection="1" quotePrefix="1">
      <alignment horizontal="center"/>
      <protection/>
    </xf>
    <xf numFmtId="192" fontId="4" fillId="0" borderId="2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7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 quotePrefix="1">
      <alignment horizontal="center"/>
      <protection/>
    </xf>
    <xf numFmtId="188" fontId="5" fillId="0" borderId="12" xfId="0" applyNumberFormat="1" applyFont="1" applyFill="1" applyBorder="1" applyAlignment="1" applyProtection="1">
      <alignment horizontal="center"/>
      <protection/>
    </xf>
    <xf numFmtId="192" fontId="4" fillId="0" borderId="7" xfId="0" applyNumberFormat="1" applyFont="1" applyFill="1" applyBorder="1" applyAlignment="1" applyProtection="1">
      <alignment horizontal="center"/>
      <protection/>
    </xf>
    <xf numFmtId="38" fontId="4" fillId="0" borderId="7" xfId="0" applyNumberFormat="1" applyFont="1" applyFill="1" applyBorder="1" applyAlignment="1" applyProtection="1">
      <alignment horizontal="center"/>
      <protection/>
    </xf>
    <xf numFmtId="188" fontId="4" fillId="0" borderId="7" xfId="0" applyNumberFormat="1" applyFont="1" applyFill="1" applyBorder="1" applyAlignment="1" applyProtection="1" quotePrefix="1">
      <alignment horizontal="center"/>
      <protection/>
    </xf>
    <xf numFmtId="192" fontId="4" fillId="0" borderId="13" xfId="0" applyNumberFormat="1" applyFont="1" applyFill="1" applyBorder="1" applyAlignment="1" applyProtection="1">
      <alignment horizontal="center"/>
      <protection/>
    </xf>
    <xf numFmtId="192" fontId="19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188" fontId="5" fillId="0" borderId="1" xfId="0" applyNumberFormat="1" applyFont="1" applyBorder="1" applyAlignment="1" applyProtection="1" quotePrefix="1">
      <alignment horizontal="center"/>
      <protection/>
    </xf>
    <xf numFmtId="22" fontId="4" fillId="0" borderId="14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88" fontId="4" fillId="0" borderId="3" xfId="0" applyNumberFormat="1" applyFont="1" applyBorder="1" applyAlignment="1" applyProtection="1">
      <alignment horizontal="center"/>
      <protection/>
    </xf>
    <xf numFmtId="192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0" fontId="6" fillId="0" borderId="15" xfId="0" applyFont="1" applyBorder="1" applyAlignment="1" applyProtection="1">
      <alignment horizontal="center"/>
      <protection/>
    </xf>
    <xf numFmtId="192" fontId="4" fillId="0" borderId="13" xfId="0" applyNumberFormat="1" applyFont="1" applyBorder="1" applyAlignment="1" applyProtection="1">
      <alignment horizontal="center"/>
      <protection/>
    </xf>
    <xf numFmtId="192" fontId="4" fillId="0" borderId="7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166" fontId="12" fillId="0" borderId="1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166" fontId="12" fillId="0" borderId="18" xfId="0" applyNumberFormat="1" applyFont="1" applyFill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92" fontId="4" fillId="0" borderId="6" xfId="0" applyNumberFormat="1" applyFont="1" applyBorder="1" applyAlignment="1" applyProtection="1">
      <alignment horizontal="center"/>
      <protection/>
    </xf>
    <xf numFmtId="22" fontId="4" fillId="0" borderId="20" xfId="0" applyNumberFormat="1" applyFont="1" applyBorder="1" applyAlignment="1">
      <alignment horizontal="center"/>
    </xf>
    <xf numFmtId="22" fontId="4" fillId="0" borderId="19" xfId="0" applyNumberFormat="1" applyFont="1" applyBorder="1" applyAlignment="1" applyProtection="1">
      <alignment horizontal="center"/>
      <protection/>
    </xf>
    <xf numFmtId="2" fontId="4" fillId="0" borderId="6" xfId="0" applyNumberFormat="1" applyFont="1" applyFill="1" applyBorder="1" applyAlignment="1" applyProtection="1" quotePrefix="1">
      <alignment horizontal="center"/>
      <protection/>
    </xf>
    <xf numFmtId="188" fontId="4" fillId="0" borderId="6" xfId="0" applyNumberFormat="1" applyFont="1" applyFill="1" applyBorder="1" applyAlignment="1" applyProtection="1" quotePrefix="1">
      <alignment horizontal="center"/>
      <protection/>
    </xf>
    <xf numFmtId="192" fontId="4" fillId="0" borderId="10" xfId="0" applyNumberFormat="1" applyFont="1" applyBorder="1" applyAlignment="1" applyProtection="1">
      <alignment horizontal="center"/>
      <protection/>
    </xf>
    <xf numFmtId="166" fontId="12" fillId="0" borderId="18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5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166" fontId="31" fillId="0" borderId="0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9" xfId="0" applyNumberFormat="1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166" fontId="29" fillId="0" borderId="0" xfId="0" applyNumberFormat="1" applyFont="1" applyBorder="1" applyAlignment="1">
      <alignment/>
    </xf>
    <xf numFmtId="192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5" xfId="0" applyFont="1" applyFill="1" applyBorder="1" applyAlignment="1">
      <alignment horizontal="centerContinuous"/>
    </xf>
    <xf numFmtId="0" fontId="0" fillId="0" borderId="26" xfId="0" applyFont="1" applyBorder="1" applyAlignment="1" applyProtection="1">
      <alignment horizontal="center"/>
      <protection/>
    </xf>
    <xf numFmtId="0" fontId="33" fillId="0" borderId="18" xfId="0" applyFont="1" applyBorder="1" applyAlignment="1">
      <alignment horizontal="center" vertical="center"/>
    </xf>
    <xf numFmtId="0" fontId="33" fillId="0" borderId="31" xfId="0" applyFont="1" applyBorder="1" applyAlignment="1" applyProtection="1">
      <alignment horizontal="center" vertical="center"/>
      <protection/>
    </xf>
    <xf numFmtId="192" fontId="33" fillId="0" borderId="18" xfId="0" applyNumberFormat="1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188" fontId="33" fillId="0" borderId="27" xfId="0" applyNumberFormat="1" applyFont="1" applyBorder="1" applyAlignment="1" applyProtection="1">
      <alignment horizontal="center" vertical="center" wrapText="1"/>
      <protection/>
    </xf>
    <xf numFmtId="0" fontId="33" fillId="0" borderId="32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4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4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5" xfId="0" applyFont="1" applyFill="1" applyBorder="1" applyAlignment="1">
      <alignment horizontal="centerContinuous"/>
    </xf>
    <xf numFmtId="0" fontId="0" fillId="0" borderId="26" xfId="0" applyFont="1" applyFill="1" applyBorder="1" applyAlignment="1" applyProtection="1" quotePrefix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188" fontId="0" fillId="0" borderId="27" xfId="0" applyNumberFormat="1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6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 quotePrefix="1">
      <alignment horizontal="center" vertical="center" wrapText="1"/>
      <protection/>
    </xf>
    <xf numFmtId="0" fontId="33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92" fontId="35" fillId="0" borderId="3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88" fontId="5" fillId="0" borderId="3" xfId="0" applyNumberFormat="1" applyFont="1" applyBorder="1" applyAlignment="1" applyProtection="1">
      <alignment horizontal="center"/>
      <protection/>
    </xf>
    <xf numFmtId="192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92" fontId="5" fillId="0" borderId="3" xfId="0" applyNumberFormat="1" applyFont="1" applyBorder="1" applyAlignment="1" applyProtection="1" quotePrefix="1">
      <alignment horizontal="center"/>
      <protection/>
    </xf>
    <xf numFmtId="192" fontId="4" fillId="0" borderId="3" xfId="0" applyNumberFormat="1" applyFont="1" applyBorder="1" applyAlignment="1">
      <alignment horizontal="center"/>
    </xf>
    <xf numFmtId="192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5" xfId="0" applyFont="1" applyBorder="1" applyAlignment="1">
      <alignment horizontal="centerContinuous"/>
    </xf>
    <xf numFmtId="0" fontId="32" fillId="0" borderId="24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33" fillId="0" borderId="32" xfId="0" applyFont="1" applyBorder="1" applyAlignment="1">
      <alignment horizontal="center" vertical="center" wrapText="1"/>
    </xf>
    <xf numFmtId="0" fontId="33" fillId="0" borderId="27" xfId="0" applyFont="1" applyBorder="1" applyAlignment="1" applyProtection="1">
      <alignment horizontal="center" vertical="center" wrapText="1"/>
      <protection/>
    </xf>
    <xf numFmtId="192" fontId="18" fillId="0" borderId="1" xfId="0" applyNumberFormat="1" applyFont="1" applyFill="1" applyBorder="1" applyAlignment="1">
      <alignment horizontal="center"/>
    </xf>
    <xf numFmtId="166" fontId="35" fillId="0" borderId="8" xfId="0" applyNumberFormat="1" applyFont="1" applyFill="1" applyBorder="1" applyAlignment="1">
      <alignment horizontal="right"/>
    </xf>
    <xf numFmtId="2" fontId="4" fillId="0" borderId="34" xfId="0" applyNumberFormat="1" applyFont="1" applyFill="1" applyBorder="1" applyAlignment="1" applyProtection="1" quotePrefix="1">
      <alignment horizontal="center"/>
      <protection/>
    </xf>
    <xf numFmtId="0" fontId="4" fillId="0" borderId="35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88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 applyProtection="1" quotePrefix="1">
      <alignment horizontal="center"/>
      <protection/>
    </xf>
    <xf numFmtId="192" fontId="5" fillId="0" borderId="0" xfId="0" applyNumberFormat="1" applyFont="1" applyBorder="1" applyAlignment="1" applyProtection="1">
      <alignment horizontal="center"/>
      <protection/>
    </xf>
    <xf numFmtId="192" fontId="22" fillId="0" borderId="0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0" fillId="0" borderId="25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5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 quotePrefix="1">
      <alignment horizontal="left"/>
      <protection/>
    </xf>
    <xf numFmtId="0" fontId="0" fillId="0" borderId="32" xfId="0" applyFont="1" applyBorder="1" applyAlignment="1" applyProtection="1">
      <alignment horizontal="center"/>
      <protection/>
    </xf>
    <xf numFmtId="188" fontId="0" fillId="0" borderId="27" xfId="0" applyNumberFormat="1" applyFont="1" applyBorder="1" applyAlignment="1" applyProtection="1">
      <alignment horizontal="center"/>
      <protection/>
    </xf>
    <xf numFmtId="0" fontId="33" fillId="0" borderId="18" xfId="0" applyFont="1" applyBorder="1" applyAlignment="1" applyProtection="1" quotePrefix="1">
      <alignment horizontal="center" vertical="center" wrapText="1"/>
      <protection/>
    </xf>
    <xf numFmtId="0" fontId="38" fillId="0" borderId="18" xfId="0" applyFont="1" applyFill="1" applyBorder="1" applyAlignment="1">
      <alignment horizontal="center" vertical="center" wrapText="1"/>
    </xf>
    <xf numFmtId="192" fontId="18" fillId="0" borderId="6" xfId="0" applyNumberFormat="1" applyFont="1" applyFill="1" applyBorder="1" applyAlignment="1">
      <alignment horizontal="center"/>
    </xf>
    <xf numFmtId="192" fontId="18" fillId="0" borderId="8" xfId="0" applyNumberFormat="1" applyFont="1" applyFill="1" applyBorder="1" applyAlignment="1">
      <alignment horizontal="center"/>
    </xf>
    <xf numFmtId="203" fontId="0" fillId="0" borderId="27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41" fillId="0" borderId="39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quotePrefix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4" xfId="0" applyFont="1" applyBorder="1" applyAlignment="1">
      <alignment/>
    </xf>
    <xf numFmtId="188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89" fontId="41" fillId="0" borderId="0" xfId="0" applyNumberFormat="1" applyFont="1" applyBorder="1" applyAlignment="1" applyProtection="1">
      <alignment horizontal="center"/>
      <protection/>
    </xf>
    <xf numFmtId="192" fontId="41" fillId="0" borderId="0" xfId="0" applyNumberFormat="1" applyFont="1" applyBorder="1" applyAlignment="1" applyProtection="1">
      <alignment horizontal="center"/>
      <protection/>
    </xf>
    <xf numFmtId="202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166" fontId="46" fillId="0" borderId="0" xfId="0" applyNumberFormat="1" applyFont="1" applyFill="1" applyBorder="1" applyAlignment="1" applyProtection="1">
      <alignment horizontal="right"/>
      <protection/>
    </xf>
    <xf numFmtId="4" fontId="41" fillId="0" borderId="25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4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166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/>
    </xf>
    <xf numFmtId="0" fontId="41" fillId="0" borderId="0" xfId="0" applyFont="1" applyBorder="1" applyAlignment="1">
      <alignment/>
    </xf>
    <xf numFmtId="166" fontId="46" fillId="0" borderId="0" xfId="0" applyNumberFormat="1" applyFont="1" applyFill="1" applyBorder="1" applyAlignment="1">
      <alignment horizontal="right"/>
    </xf>
    <xf numFmtId="0" fontId="41" fillId="0" borderId="25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4" fillId="0" borderId="2" xfId="0" applyFont="1" applyBorder="1" applyAlignment="1" quotePrefix="1">
      <alignment horizontal="center"/>
    </xf>
    <xf numFmtId="0" fontId="8" fillId="0" borderId="0" xfId="0" applyFont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5" xfId="0" applyFont="1" applyFill="1" applyBorder="1" applyAlignment="1">
      <alignment horizontal="centerContinuous"/>
    </xf>
    <xf numFmtId="0" fontId="17" fillId="0" borderId="0" xfId="0" applyFont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0" fillId="0" borderId="24" xfId="0" applyFont="1" applyBorder="1" applyAlignment="1">
      <alignment horizontal="centerContinuous"/>
    </xf>
    <xf numFmtId="22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192" fontId="4" fillId="2" borderId="7" xfId="0" applyNumberFormat="1" applyFont="1" applyFill="1" applyBorder="1" applyAlignment="1" applyProtection="1">
      <alignment horizontal="center"/>
      <protection/>
    </xf>
    <xf numFmtId="192" fontId="19" fillId="2" borderId="7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202" fontId="4" fillId="0" borderId="0" xfId="0" applyNumberFormat="1" applyFont="1" applyBorder="1" applyAlignment="1" applyProtection="1" quotePrefix="1">
      <alignment horizontal="center"/>
      <protection/>
    </xf>
    <xf numFmtId="192" fontId="4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24" xfId="0" applyFont="1" applyBorder="1" applyAlignment="1">
      <alignment/>
    </xf>
    <xf numFmtId="202" fontId="41" fillId="0" borderId="0" xfId="0" applyNumberFormat="1" applyFont="1" applyBorder="1" applyAlignment="1" applyProtection="1" quotePrefix="1">
      <alignment horizontal="center"/>
      <protection/>
    </xf>
    <xf numFmtId="192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 applyProtection="1">
      <alignment horizontal="center"/>
      <protection/>
    </xf>
    <xf numFmtId="192" fontId="41" fillId="0" borderId="0" xfId="0" applyNumberFormat="1" applyFont="1" applyFill="1" applyBorder="1" applyAlignment="1">
      <alignment horizontal="center"/>
    </xf>
    <xf numFmtId="4" fontId="51" fillId="0" borderId="25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56" fillId="3" borderId="26" xfId="0" applyFont="1" applyFill="1" applyBorder="1" applyAlignment="1" applyProtection="1">
      <alignment horizontal="centerContinuous" vertical="center" wrapText="1"/>
      <protection/>
    </xf>
    <xf numFmtId="0" fontId="57" fillId="3" borderId="32" xfId="0" applyFont="1" applyFill="1" applyBorder="1" applyAlignment="1">
      <alignment horizontal="centerContinuous"/>
    </xf>
    <xf numFmtId="0" fontId="56" fillId="3" borderId="27" xfId="0" applyFont="1" applyFill="1" applyBorder="1" applyAlignment="1">
      <alignment horizontal="centerContinuous" vertical="center"/>
    </xf>
    <xf numFmtId="0" fontId="58" fillId="3" borderId="18" xfId="0" applyFont="1" applyFill="1" applyBorder="1" applyAlignment="1" applyProtection="1">
      <alignment horizontal="center" vertical="center"/>
      <protection/>
    </xf>
    <xf numFmtId="192" fontId="59" fillId="3" borderId="1" xfId="0" applyNumberFormat="1" applyFont="1" applyFill="1" applyBorder="1" applyAlignment="1" applyProtection="1">
      <alignment horizontal="center"/>
      <protection/>
    </xf>
    <xf numFmtId="0" fontId="59" fillId="3" borderId="7" xfId="0" applyFont="1" applyFill="1" applyBorder="1" applyAlignment="1" applyProtection="1">
      <alignment horizontal="center"/>
      <protection/>
    </xf>
    <xf numFmtId="192" fontId="59" fillId="3" borderId="7" xfId="0" applyNumberFormat="1" applyFont="1" applyFill="1" applyBorder="1" applyAlignment="1" applyProtection="1">
      <alignment horizontal="center"/>
      <protection/>
    </xf>
    <xf numFmtId="4" fontId="4" fillId="0" borderId="7" xfId="0" applyNumberFormat="1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59" fillId="3" borderId="36" xfId="0" applyFont="1" applyFill="1" applyBorder="1" applyAlignment="1">
      <alignment horizontal="center"/>
    </xf>
    <xf numFmtId="0" fontId="59" fillId="3" borderId="6" xfId="0" applyFont="1" applyFill="1" applyBorder="1" applyAlignment="1">
      <alignment horizontal="center"/>
    </xf>
    <xf numFmtId="0" fontId="59" fillId="3" borderId="1" xfId="0" applyFont="1" applyFill="1" applyBorder="1" applyAlignment="1" applyProtection="1">
      <alignment horizontal="center"/>
      <protection/>
    </xf>
    <xf numFmtId="0" fontId="59" fillId="3" borderId="5" xfId="0" applyFont="1" applyFill="1" applyBorder="1" applyAlignment="1" applyProtection="1">
      <alignment horizontal="center"/>
      <protection/>
    </xf>
    <xf numFmtId="188" fontId="59" fillId="3" borderId="3" xfId="0" applyNumberFormat="1" applyFont="1" applyFill="1" applyBorder="1" applyAlignment="1" applyProtection="1">
      <alignment horizontal="center"/>
      <protection/>
    </xf>
    <xf numFmtId="188" fontId="59" fillId="3" borderId="17" xfId="0" applyNumberFormat="1" applyFont="1" applyFill="1" applyBorder="1" applyAlignment="1" applyProtection="1">
      <alignment horizontal="center"/>
      <protection/>
    </xf>
    <xf numFmtId="192" fontId="59" fillId="3" borderId="6" xfId="0" applyNumberFormat="1" applyFont="1" applyFill="1" applyBorder="1" applyAlignment="1" applyProtection="1">
      <alignment horizontal="center"/>
      <protection/>
    </xf>
    <xf numFmtId="0" fontId="59" fillId="3" borderId="0" xfId="0" applyFont="1" applyFill="1" applyBorder="1" applyAlignment="1">
      <alignment horizontal="center"/>
    </xf>
    <xf numFmtId="188" fontId="59" fillId="3" borderId="4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14" fillId="0" borderId="25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33" fillId="0" borderId="18" xfId="44" applyFont="1" applyBorder="1" applyAlignment="1">
      <alignment horizontal="center" vertical="center"/>
      <protection/>
    </xf>
    <xf numFmtId="202" fontId="4" fillId="0" borderId="1" xfId="0" applyNumberFormat="1" applyFont="1" applyBorder="1" applyAlignment="1" applyProtection="1" quotePrefix="1">
      <alignment horizontal="center"/>
      <protection/>
    </xf>
    <xf numFmtId="0" fontId="64" fillId="4" borderId="1" xfId="0" applyFont="1" applyFill="1" applyBorder="1" applyAlignment="1">
      <alignment/>
    </xf>
    <xf numFmtId="2" fontId="64" fillId="4" borderId="7" xfId="0" applyNumberFormat="1" applyFont="1" applyFill="1" applyBorder="1" applyAlignment="1" applyProtection="1">
      <alignment horizontal="center"/>
      <protection/>
    </xf>
    <xf numFmtId="0" fontId="63" fillId="4" borderId="18" xfId="0" applyFont="1" applyFill="1" applyBorder="1" applyAlignment="1">
      <alignment horizontal="center" vertical="center" wrapText="1"/>
    </xf>
    <xf numFmtId="2" fontId="65" fillId="4" borderId="1" xfId="0" applyNumberFormat="1" applyFont="1" applyFill="1" applyBorder="1" applyAlignment="1" applyProtection="1">
      <alignment horizontal="center"/>
      <protection/>
    </xf>
    <xf numFmtId="0" fontId="64" fillId="4" borderId="42" xfId="0" applyFont="1" applyFill="1" applyBorder="1" applyAlignment="1">
      <alignment/>
    </xf>
    <xf numFmtId="0" fontId="52" fillId="5" borderId="2" xfId="0" applyFont="1" applyFill="1" applyBorder="1" applyAlignment="1">
      <alignment/>
    </xf>
    <xf numFmtId="2" fontId="53" fillId="5" borderId="2" xfId="0" applyNumberFormat="1" applyFont="1" applyFill="1" applyBorder="1" applyAlignment="1" applyProtection="1">
      <alignment horizontal="center"/>
      <protection/>
    </xf>
    <xf numFmtId="2" fontId="53" fillId="5" borderId="7" xfId="0" applyNumberFormat="1" applyFont="1" applyFill="1" applyBorder="1" applyAlignment="1" applyProtection="1">
      <alignment horizontal="center"/>
      <protection/>
    </xf>
    <xf numFmtId="0" fontId="55" fillId="5" borderId="18" xfId="0" applyFont="1" applyFill="1" applyBorder="1" applyAlignment="1">
      <alignment horizontal="center" vertical="center" wrapText="1"/>
    </xf>
    <xf numFmtId="0" fontId="52" fillId="5" borderId="42" xfId="0" applyFont="1" applyFill="1" applyBorder="1" applyAlignment="1">
      <alignment/>
    </xf>
    <xf numFmtId="192" fontId="5" fillId="3" borderId="43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192" fontId="54" fillId="3" borderId="43" xfId="0" applyNumberFormat="1" applyFont="1" applyFill="1" applyBorder="1" applyAlignment="1" applyProtection="1" quotePrefix="1">
      <alignment horizontal="center"/>
      <protection/>
    </xf>
    <xf numFmtId="4" fontId="54" fillId="3" borderId="2" xfId="0" applyNumberFormat="1" applyFont="1" applyFill="1" applyBorder="1" applyAlignment="1" applyProtection="1">
      <alignment horizontal="center"/>
      <protection/>
    </xf>
    <xf numFmtId="192" fontId="54" fillId="3" borderId="44" xfId="0" applyNumberFormat="1" applyFont="1" applyFill="1" applyBorder="1" applyAlignment="1" applyProtection="1" quotePrefix="1">
      <alignment horizontal="center"/>
      <protection/>
    </xf>
    <xf numFmtId="192" fontId="54" fillId="3" borderId="45" xfId="0" applyNumberFormat="1" applyFont="1" applyFill="1" applyBorder="1" applyAlignment="1" applyProtection="1" quotePrefix="1">
      <alignment horizontal="center"/>
      <protection/>
    </xf>
    <xf numFmtId="4" fontId="54" fillId="3" borderId="46" xfId="0" applyNumberFormat="1" applyFont="1" applyFill="1" applyBorder="1" applyAlignment="1" applyProtection="1">
      <alignment horizontal="center"/>
      <protection/>
    </xf>
    <xf numFmtId="0" fontId="66" fillId="6" borderId="26" xfId="0" applyFont="1" applyFill="1" applyBorder="1" applyAlignment="1">
      <alignment horizontal="centerContinuous" vertical="center" wrapText="1"/>
    </xf>
    <xf numFmtId="0" fontId="67" fillId="6" borderId="32" xfId="0" applyFont="1" applyFill="1" applyBorder="1" applyAlignment="1">
      <alignment horizontal="centerContinuous"/>
    </xf>
    <xf numFmtId="0" fontId="66" fillId="6" borderId="27" xfId="0" applyFont="1" applyFill="1" applyBorder="1" applyAlignment="1">
      <alignment horizontal="centerContinuous" vertical="center"/>
    </xf>
    <xf numFmtId="192" fontId="68" fillId="6" borderId="43" xfId="0" applyNumberFormat="1" applyFont="1" applyFill="1" applyBorder="1" applyAlignment="1" applyProtection="1" quotePrefix="1">
      <alignment horizontal="center"/>
      <protection/>
    </xf>
    <xf numFmtId="4" fontId="68" fillId="6" borderId="2" xfId="0" applyNumberFormat="1" applyFont="1" applyFill="1" applyBorder="1" applyAlignment="1" applyProtection="1">
      <alignment horizontal="center"/>
      <protection/>
    </xf>
    <xf numFmtId="192" fontId="69" fillId="6" borderId="43" xfId="0" applyNumberFormat="1" applyFont="1" applyFill="1" applyBorder="1" applyAlignment="1" applyProtection="1" quotePrefix="1">
      <alignment horizontal="center"/>
      <protection/>
    </xf>
    <xf numFmtId="4" fontId="69" fillId="6" borderId="2" xfId="0" applyNumberFormat="1" applyFont="1" applyFill="1" applyBorder="1" applyAlignment="1" applyProtection="1">
      <alignment horizontal="center"/>
      <protection/>
    </xf>
    <xf numFmtId="192" fontId="69" fillId="6" borderId="44" xfId="0" applyNumberFormat="1" applyFont="1" applyFill="1" applyBorder="1" applyAlignment="1" applyProtection="1" quotePrefix="1">
      <alignment horizontal="center"/>
      <protection/>
    </xf>
    <xf numFmtId="192" fontId="69" fillId="6" borderId="45" xfId="0" applyNumberFormat="1" applyFont="1" applyFill="1" applyBorder="1" applyAlignment="1" applyProtection="1" quotePrefix="1">
      <alignment horizontal="center"/>
      <protection/>
    </xf>
    <xf numFmtId="4" fontId="69" fillId="6" borderId="46" xfId="0" applyNumberFormat="1" applyFont="1" applyFill="1" applyBorder="1" applyAlignment="1" applyProtection="1">
      <alignment horizontal="center"/>
      <protection/>
    </xf>
    <xf numFmtId="0" fontId="4" fillId="3" borderId="47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68" fillId="6" borderId="47" xfId="0" applyFont="1" applyFill="1" applyBorder="1" applyAlignment="1">
      <alignment/>
    </xf>
    <xf numFmtId="0" fontId="68" fillId="6" borderId="48" xfId="0" applyFont="1" applyFill="1" applyBorder="1" applyAlignment="1">
      <alignment/>
    </xf>
    <xf numFmtId="0" fontId="68" fillId="6" borderId="49" xfId="0" applyFont="1" applyFill="1" applyBorder="1" applyAlignment="1">
      <alignment/>
    </xf>
    <xf numFmtId="192" fontId="68" fillId="6" borderId="14" xfId="0" applyNumberFormat="1" applyFont="1" applyFill="1" applyBorder="1" applyAlignment="1" applyProtection="1" quotePrefix="1">
      <alignment horizontal="center"/>
      <protection/>
    </xf>
    <xf numFmtId="192" fontId="69" fillId="6" borderId="14" xfId="0" applyNumberFormat="1" applyFont="1" applyFill="1" applyBorder="1" applyAlignment="1" applyProtection="1" quotePrefix="1">
      <alignment horizontal="center"/>
      <protection/>
    </xf>
    <xf numFmtId="192" fontId="5" fillId="3" borderId="14" xfId="0" applyNumberFormat="1" applyFont="1" applyFill="1" applyBorder="1" applyAlignment="1" applyProtection="1" quotePrefix="1">
      <alignment horizontal="center"/>
      <protection/>
    </xf>
    <xf numFmtId="192" fontId="54" fillId="3" borderId="14" xfId="0" applyNumberFormat="1" applyFont="1" applyFill="1" applyBorder="1" applyAlignment="1" applyProtection="1" quotePrefix="1">
      <alignment horizontal="center"/>
      <protection/>
    </xf>
    <xf numFmtId="4" fontId="5" fillId="0" borderId="1" xfId="0" applyNumberFormat="1" applyFont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71" fillId="7" borderId="42" xfId="0" applyFont="1" applyFill="1" applyBorder="1" applyAlignment="1">
      <alignment/>
    </xf>
    <xf numFmtId="4" fontId="71" fillId="7" borderId="1" xfId="0" applyNumberFormat="1" applyFont="1" applyFill="1" applyBorder="1" applyAlignment="1" applyProtection="1">
      <alignment horizontal="center"/>
      <protection/>
    </xf>
    <xf numFmtId="4" fontId="72" fillId="7" borderId="1" xfId="0" applyNumberFormat="1" applyFont="1" applyFill="1" applyBorder="1" applyAlignment="1" applyProtection="1">
      <alignment horizontal="center"/>
      <protection/>
    </xf>
    <xf numFmtId="4" fontId="72" fillId="7" borderId="7" xfId="0" applyNumberFormat="1" applyFont="1" applyFill="1" applyBorder="1" applyAlignment="1" applyProtection="1">
      <alignment horizontal="center"/>
      <protection/>
    </xf>
    <xf numFmtId="0" fontId="70" fillId="7" borderId="18" xfId="0" applyFont="1" applyFill="1" applyBorder="1" applyAlignment="1">
      <alignment horizontal="center" vertical="center" wrapText="1"/>
    </xf>
    <xf numFmtId="0" fontId="73" fillId="8" borderId="18" xfId="0" applyFont="1" applyFill="1" applyBorder="1" applyAlignment="1">
      <alignment horizontal="center" vertical="center" wrapText="1"/>
    </xf>
    <xf numFmtId="0" fontId="74" fillId="8" borderId="42" xfId="0" applyFont="1" applyFill="1" applyBorder="1" applyAlignment="1">
      <alignment/>
    </xf>
    <xf numFmtId="4" fontId="74" fillId="8" borderId="1" xfId="0" applyNumberFormat="1" applyFont="1" applyFill="1" applyBorder="1" applyAlignment="1" applyProtection="1">
      <alignment horizontal="center"/>
      <protection/>
    </xf>
    <xf numFmtId="4" fontId="75" fillId="8" borderId="1" xfId="0" applyNumberFormat="1" applyFont="1" applyFill="1" applyBorder="1" applyAlignment="1" applyProtection="1">
      <alignment horizontal="center"/>
      <protection/>
    </xf>
    <xf numFmtId="4" fontId="75" fillId="8" borderId="7" xfId="0" applyNumberFormat="1" applyFont="1" applyFill="1" applyBorder="1" applyAlignment="1" applyProtection="1">
      <alignment horizontal="center"/>
      <protection/>
    </xf>
    <xf numFmtId="2" fontId="65" fillId="4" borderId="18" xfId="0" applyNumberFormat="1" applyFont="1" applyFill="1" applyBorder="1" applyAlignment="1" applyProtection="1">
      <alignment horizontal="center"/>
      <protection/>
    </xf>
    <xf numFmtId="2" fontId="53" fillId="5" borderId="18" xfId="0" applyNumberFormat="1" applyFont="1" applyFill="1" applyBorder="1" applyAlignment="1" applyProtection="1">
      <alignment horizontal="center"/>
      <protection/>
    </xf>
    <xf numFmtId="2" fontId="54" fillId="3" borderId="18" xfId="0" applyNumberFormat="1" applyFont="1" applyFill="1" applyBorder="1" applyAlignment="1" applyProtection="1">
      <alignment horizontal="center"/>
      <protection/>
    </xf>
    <xf numFmtId="2" fontId="69" fillId="6" borderId="18" xfId="0" applyNumberFormat="1" applyFont="1" applyFill="1" applyBorder="1" applyAlignment="1" applyProtection="1">
      <alignment horizontal="center"/>
      <protection/>
    </xf>
    <xf numFmtId="2" fontId="72" fillId="7" borderId="18" xfId="0" applyNumberFormat="1" applyFont="1" applyFill="1" applyBorder="1" applyAlignment="1" applyProtection="1">
      <alignment horizontal="center"/>
      <protection/>
    </xf>
    <xf numFmtId="2" fontId="75" fillId="8" borderId="18" xfId="0" applyNumberFormat="1" applyFont="1" applyFill="1" applyBorder="1" applyAlignment="1" applyProtection="1">
      <alignment horizontal="center"/>
      <protection/>
    </xf>
    <xf numFmtId="0" fontId="77" fillId="9" borderId="1" xfId="0" applyFont="1" applyFill="1" applyBorder="1" applyAlignment="1">
      <alignment/>
    </xf>
    <xf numFmtId="0" fontId="77" fillId="9" borderId="7" xfId="0" applyFont="1" applyFill="1" applyBorder="1" applyAlignment="1" applyProtection="1">
      <alignment horizontal="center"/>
      <protection/>
    </xf>
    <xf numFmtId="0" fontId="78" fillId="10" borderId="18" xfId="0" applyFont="1" applyFill="1" applyBorder="1" applyAlignment="1" applyProtection="1">
      <alignment horizontal="center" vertical="center"/>
      <protection/>
    </xf>
    <xf numFmtId="0" fontId="79" fillId="10" borderId="1" xfId="0" applyFont="1" applyFill="1" applyBorder="1" applyAlignment="1">
      <alignment/>
    </xf>
    <xf numFmtId="188" fontId="33" fillId="0" borderId="18" xfId="0" applyNumberFormat="1" applyFont="1" applyBorder="1" applyAlignment="1" applyProtection="1">
      <alignment horizontal="center" vertical="center" wrapText="1"/>
      <protection/>
    </xf>
    <xf numFmtId="192" fontId="76" fillId="9" borderId="18" xfId="0" applyNumberFormat="1" applyFont="1" applyFill="1" applyBorder="1" applyAlignment="1" applyProtection="1">
      <alignment horizontal="center" vertical="center"/>
      <protection/>
    </xf>
    <xf numFmtId="188" fontId="4" fillId="0" borderId="1" xfId="0" applyNumberFormat="1" applyFont="1" applyBorder="1" applyAlignment="1" applyProtection="1">
      <alignment horizontal="center"/>
      <protection/>
    </xf>
    <xf numFmtId="0" fontId="77" fillId="9" borderId="1" xfId="0" applyFont="1" applyFill="1" applyBorder="1" applyAlignment="1" applyProtection="1">
      <alignment horizontal="center"/>
      <protection/>
    </xf>
    <xf numFmtId="0" fontId="77" fillId="9" borderId="42" xfId="0" applyFont="1" applyFill="1" applyBorder="1" applyAlignment="1">
      <alignment/>
    </xf>
    <xf numFmtId="0" fontId="79" fillId="10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192" fontId="58" fillId="3" borderId="18" xfId="0" applyNumberFormat="1" applyFont="1" applyFill="1" applyBorder="1" applyAlignment="1" applyProtection="1">
      <alignment horizontal="center" vertical="center"/>
      <protection/>
    </xf>
    <xf numFmtId="0" fontId="59" fillId="3" borderId="42" xfId="0" applyFont="1" applyFill="1" applyBorder="1" applyAlignment="1">
      <alignment/>
    </xf>
    <xf numFmtId="0" fontId="38" fillId="11" borderId="18" xfId="0" applyFont="1" applyFill="1" applyBorder="1" applyAlignment="1" applyProtection="1">
      <alignment horizontal="center" vertical="center"/>
      <protection/>
    </xf>
    <xf numFmtId="0" fontId="22" fillId="11" borderId="42" xfId="0" applyFont="1" applyFill="1" applyBorder="1" applyAlignment="1">
      <alignment/>
    </xf>
    <xf numFmtId="192" fontId="22" fillId="11" borderId="7" xfId="0" applyNumberFormat="1" applyFont="1" applyFill="1" applyBorder="1" applyAlignment="1" applyProtection="1">
      <alignment horizontal="center"/>
      <protection/>
    </xf>
    <xf numFmtId="0" fontId="81" fillId="10" borderId="42" xfId="0" applyFont="1" applyFill="1" applyBorder="1" applyAlignment="1">
      <alignment/>
    </xf>
    <xf numFmtId="2" fontId="81" fillId="10" borderId="7" xfId="0" applyNumberFormat="1" applyFont="1" applyFill="1" applyBorder="1" applyAlignment="1" applyProtection="1">
      <alignment horizontal="center"/>
      <protection/>
    </xf>
    <xf numFmtId="2" fontId="81" fillId="10" borderId="18" xfId="0" applyNumberFormat="1" applyFont="1" applyFill="1" applyBorder="1" applyAlignment="1" applyProtection="1">
      <alignment horizontal="center"/>
      <protection/>
    </xf>
    <xf numFmtId="0" fontId="80" fillId="10" borderId="18" xfId="0" applyFont="1" applyFill="1" applyBorder="1" applyAlignment="1">
      <alignment horizontal="center" vertical="center" wrapText="1"/>
    </xf>
    <xf numFmtId="2" fontId="81" fillId="10" borderId="1" xfId="0" applyNumberFormat="1" applyFont="1" applyFill="1" applyBorder="1" applyAlignment="1" applyProtection="1">
      <alignment horizontal="center"/>
      <protection/>
    </xf>
    <xf numFmtId="0" fontId="55" fillId="5" borderId="27" xfId="0" applyFont="1" applyFill="1" applyBorder="1" applyAlignment="1">
      <alignment horizontal="center" vertical="center" wrapText="1"/>
    </xf>
    <xf numFmtId="0" fontId="53" fillId="5" borderId="42" xfId="0" applyFont="1" applyFill="1" applyBorder="1" applyAlignment="1">
      <alignment/>
    </xf>
    <xf numFmtId="2" fontId="53" fillId="5" borderId="2" xfId="0" applyNumberFormat="1" applyFont="1" applyFill="1" applyBorder="1" applyAlignment="1" applyProtection="1">
      <alignment horizontal="center"/>
      <protection/>
    </xf>
    <xf numFmtId="2" fontId="53" fillId="5" borderId="7" xfId="0" applyNumberFormat="1" applyFont="1" applyFill="1" applyBorder="1" applyAlignment="1" applyProtection="1">
      <alignment horizontal="center"/>
      <protection/>
    </xf>
    <xf numFmtId="2" fontId="53" fillId="5" borderId="18" xfId="0" applyNumberFormat="1" applyFont="1" applyFill="1" applyBorder="1" applyAlignment="1" applyProtection="1">
      <alignment horizontal="center"/>
      <protection/>
    </xf>
    <xf numFmtId="192" fontId="54" fillId="3" borderId="47" xfId="0" applyNumberFormat="1" applyFont="1" applyFill="1" applyBorder="1" applyAlignment="1" applyProtection="1" quotePrefix="1">
      <alignment horizontal="center"/>
      <protection/>
    </xf>
    <xf numFmtId="192" fontId="54" fillId="3" borderId="50" xfId="0" applyNumberFormat="1" applyFont="1" applyFill="1" applyBorder="1" applyAlignment="1" applyProtection="1" quotePrefix="1">
      <alignment horizontal="center"/>
      <protection/>
    </xf>
    <xf numFmtId="4" fontId="54" fillId="3" borderId="40" xfId="0" applyNumberFormat="1" applyFont="1" applyFill="1" applyBorder="1" applyAlignment="1" applyProtection="1">
      <alignment horizontal="center"/>
      <protection/>
    </xf>
    <xf numFmtId="2" fontId="54" fillId="3" borderId="51" xfId="0" applyNumberFormat="1" applyFont="1" applyFill="1" applyBorder="1" applyAlignment="1" applyProtection="1">
      <alignment horizontal="center"/>
      <protection/>
    </xf>
    <xf numFmtId="2" fontId="54" fillId="3" borderId="52" xfId="0" applyNumberFormat="1" applyFont="1" applyFill="1" applyBorder="1" applyAlignment="1" applyProtection="1">
      <alignment horizontal="center"/>
      <protection/>
    </xf>
    <xf numFmtId="2" fontId="54" fillId="3" borderId="53" xfId="0" applyNumberFormat="1" applyFont="1" applyFill="1" applyBorder="1" applyAlignment="1" applyProtection="1">
      <alignment horizontal="center"/>
      <protection/>
    </xf>
    <xf numFmtId="0" fontId="60" fillId="12" borderId="26" xfId="0" applyFont="1" applyFill="1" applyBorder="1" applyAlignment="1">
      <alignment horizontal="centerContinuous" vertical="center" wrapText="1"/>
    </xf>
    <xf numFmtId="0" fontId="61" fillId="12" borderId="32" xfId="0" applyFont="1" applyFill="1" applyBorder="1" applyAlignment="1">
      <alignment horizontal="centerContinuous"/>
    </xf>
    <xf numFmtId="0" fontId="60" fillId="12" borderId="27" xfId="0" applyFont="1" applyFill="1" applyBorder="1" applyAlignment="1">
      <alignment horizontal="centerContinuous" vertical="center"/>
    </xf>
    <xf numFmtId="192" fontId="62" fillId="12" borderId="50" xfId="0" applyNumberFormat="1" applyFont="1" applyFill="1" applyBorder="1" applyAlignment="1" applyProtection="1" quotePrefix="1">
      <alignment horizontal="center"/>
      <protection/>
    </xf>
    <xf numFmtId="4" fontId="62" fillId="12" borderId="40" xfId="0" applyNumberFormat="1" applyFont="1" applyFill="1" applyBorder="1" applyAlignment="1" applyProtection="1">
      <alignment horizontal="center"/>
      <protection/>
    </xf>
    <xf numFmtId="192" fontId="62" fillId="12" borderId="43" xfId="0" applyNumberFormat="1" applyFont="1" applyFill="1" applyBorder="1" applyAlignment="1" applyProtection="1" quotePrefix="1">
      <alignment horizontal="center"/>
      <protection/>
    </xf>
    <xf numFmtId="4" fontId="62" fillId="12" borderId="2" xfId="0" applyNumberFormat="1" applyFont="1" applyFill="1" applyBorder="1" applyAlignment="1" applyProtection="1">
      <alignment horizontal="center"/>
      <protection/>
    </xf>
    <xf numFmtId="202" fontId="62" fillId="12" borderId="43" xfId="0" applyNumberFormat="1" applyFont="1" applyFill="1" applyBorder="1" applyAlignment="1" applyProtection="1" quotePrefix="1">
      <alignment horizontal="center"/>
      <protection/>
    </xf>
    <xf numFmtId="192" fontId="62" fillId="12" borderId="44" xfId="0" applyNumberFormat="1" applyFont="1" applyFill="1" applyBorder="1" applyAlignment="1" applyProtection="1" quotePrefix="1">
      <alignment horizontal="center"/>
      <protection/>
    </xf>
    <xf numFmtId="192" fontId="62" fillId="12" borderId="45" xfId="0" applyNumberFormat="1" applyFont="1" applyFill="1" applyBorder="1" applyAlignment="1" applyProtection="1" quotePrefix="1">
      <alignment horizontal="center"/>
      <protection/>
    </xf>
    <xf numFmtId="4" fontId="62" fillId="12" borderId="46" xfId="0" applyNumberFormat="1" applyFont="1" applyFill="1" applyBorder="1" applyAlignment="1" applyProtection="1">
      <alignment horizontal="center"/>
      <protection/>
    </xf>
    <xf numFmtId="2" fontId="62" fillId="12" borderId="51" xfId="0" applyNumberFormat="1" applyFont="1" applyFill="1" applyBorder="1" applyAlignment="1" applyProtection="1">
      <alignment horizontal="center"/>
      <protection/>
    </xf>
    <xf numFmtId="2" fontId="62" fillId="12" borderId="52" xfId="0" applyNumberFormat="1" applyFont="1" applyFill="1" applyBorder="1" applyAlignment="1" applyProtection="1">
      <alignment horizontal="center"/>
      <protection/>
    </xf>
    <xf numFmtId="2" fontId="62" fillId="12" borderId="53" xfId="0" applyNumberFormat="1" applyFont="1" applyFill="1" applyBorder="1" applyAlignment="1" applyProtection="1">
      <alignment horizontal="center"/>
      <protection/>
    </xf>
    <xf numFmtId="0" fontId="82" fillId="13" borderId="18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/>
      <protection/>
    </xf>
    <xf numFmtId="4" fontId="35" fillId="13" borderId="1" xfId="0" applyNumberFormat="1" applyFont="1" applyFill="1" applyBorder="1" applyAlignment="1">
      <alignment horizontal="right"/>
    </xf>
    <xf numFmtId="2" fontId="35" fillId="13" borderId="7" xfId="0" applyNumberFormat="1" applyFont="1" applyFill="1" applyBorder="1" applyAlignment="1">
      <alignment horizontal="right"/>
    </xf>
    <xf numFmtId="0" fontId="59" fillId="3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88" fontId="4" fillId="0" borderId="54" xfId="0" applyNumberFormat="1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>
      <alignment horizontal="center"/>
    </xf>
    <xf numFmtId="0" fontId="80" fillId="14" borderId="18" xfId="0" applyFont="1" applyFill="1" applyBorder="1" applyAlignment="1" applyProtection="1">
      <alignment horizontal="center" vertical="center"/>
      <protection/>
    </xf>
    <xf numFmtId="0" fontId="84" fillId="14" borderId="54" xfId="0" applyFont="1" applyFill="1" applyBorder="1" applyAlignment="1">
      <alignment horizontal="center"/>
    </xf>
    <xf numFmtId="0" fontId="84" fillId="14" borderId="6" xfId="0" applyFont="1" applyFill="1" applyBorder="1" applyAlignment="1">
      <alignment horizontal="center"/>
    </xf>
    <xf numFmtId="188" fontId="84" fillId="14" borderId="1" xfId="0" applyNumberFormat="1" applyFont="1" applyFill="1" applyBorder="1" applyAlignment="1" applyProtection="1">
      <alignment horizontal="center"/>
      <protection/>
    </xf>
    <xf numFmtId="188" fontId="84" fillId="14" borderId="7" xfId="0" applyNumberFormat="1" applyFont="1" applyFill="1" applyBorder="1" applyAlignment="1" applyProtection="1">
      <alignment horizontal="center"/>
      <protection/>
    </xf>
    <xf numFmtId="0" fontId="85" fillId="7" borderId="18" xfId="0" applyFont="1" applyFill="1" applyBorder="1" applyAlignment="1">
      <alignment horizontal="center" vertical="center" wrapText="1"/>
    </xf>
    <xf numFmtId="0" fontId="86" fillId="7" borderId="54" xfId="0" applyFont="1" applyFill="1" applyBorder="1" applyAlignment="1">
      <alignment horizontal="center"/>
    </xf>
    <xf numFmtId="0" fontId="86" fillId="7" borderId="6" xfId="0" applyFont="1" applyFill="1" applyBorder="1" applyAlignment="1">
      <alignment horizontal="center"/>
    </xf>
    <xf numFmtId="2" fontId="86" fillId="7" borderId="1" xfId="0" applyNumberFormat="1" applyFont="1" applyFill="1" applyBorder="1" applyAlignment="1">
      <alignment horizontal="center"/>
    </xf>
    <xf numFmtId="2" fontId="86" fillId="7" borderId="7" xfId="0" applyNumberFormat="1" applyFont="1" applyFill="1" applyBorder="1" applyAlignment="1">
      <alignment horizontal="center"/>
    </xf>
    <xf numFmtId="4" fontId="86" fillId="7" borderId="18" xfId="0" applyNumberFormat="1" applyFont="1" applyFill="1" applyBorder="1" applyAlignment="1">
      <alignment horizontal="center"/>
    </xf>
    <xf numFmtId="0" fontId="87" fillId="5" borderId="18" xfId="0" applyFont="1" applyFill="1" applyBorder="1" applyAlignment="1">
      <alignment horizontal="center" vertical="center" wrapText="1"/>
    </xf>
    <xf numFmtId="0" fontId="88" fillId="5" borderId="54" xfId="0" applyFont="1" applyFill="1" applyBorder="1" applyAlignment="1">
      <alignment horizontal="center"/>
    </xf>
    <xf numFmtId="0" fontId="88" fillId="5" borderId="6" xfId="0" applyFont="1" applyFill="1" applyBorder="1" applyAlignment="1">
      <alignment horizontal="center"/>
    </xf>
    <xf numFmtId="2" fontId="88" fillId="5" borderId="1" xfId="0" applyNumberFormat="1" applyFont="1" applyFill="1" applyBorder="1" applyAlignment="1">
      <alignment horizontal="center"/>
    </xf>
    <xf numFmtId="2" fontId="88" fillId="5" borderId="7" xfId="0" applyNumberFormat="1" applyFont="1" applyFill="1" applyBorder="1" applyAlignment="1">
      <alignment horizontal="center"/>
    </xf>
    <xf numFmtId="4" fontId="88" fillId="5" borderId="18" xfId="0" applyNumberFormat="1" applyFont="1" applyFill="1" applyBorder="1" applyAlignment="1">
      <alignment horizontal="center"/>
    </xf>
    <xf numFmtId="0" fontId="54" fillId="3" borderId="47" xfId="0" applyFont="1" applyFill="1" applyBorder="1" applyAlignment="1">
      <alignment horizontal="center"/>
    </xf>
    <xf numFmtId="0" fontId="54" fillId="3" borderId="49" xfId="0" applyFont="1" applyFill="1" applyBorder="1" applyAlignment="1">
      <alignment horizontal="center"/>
    </xf>
    <xf numFmtId="0" fontId="54" fillId="3" borderId="20" xfId="0" applyFont="1" applyFill="1" applyBorder="1" applyAlignment="1">
      <alignment horizontal="center"/>
    </xf>
    <xf numFmtId="0" fontId="54" fillId="3" borderId="11" xfId="0" applyFont="1" applyFill="1" applyBorder="1" applyAlignment="1">
      <alignment horizontal="center"/>
    </xf>
    <xf numFmtId="192" fontId="54" fillId="3" borderId="20" xfId="0" applyNumberFormat="1" applyFont="1" applyFill="1" applyBorder="1" applyAlignment="1" applyProtection="1" quotePrefix="1">
      <alignment horizontal="center"/>
      <protection/>
    </xf>
    <xf numFmtId="192" fontId="54" fillId="3" borderId="11" xfId="0" applyNumberFormat="1" applyFont="1" applyFill="1" applyBorder="1" applyAlignment="1" applyProtection="1" quotePrefix="1">
      <alignment horizontal="center"/>
      <protection/>
    </xf>
    <xf numFmtId="192" fontId="54" fillId="3" borderId="56" xfId="0" applyNumberFormat="1" applyFont="1" applyFill="1" applyBorder="1" applyAlignment="1" applyProtection="1" quotePrefix="1">
      <alignment horizontal="center"/>
      <protection/>
    </xf>
    <xf numFmtId="192" fontId="54" fillId="3" borderId="57" xfId="0" applyNumberFormat="1" applyFont="1" applyFill="1" applyBorder="1" applyAlignment="1" applyProtection="1" quotePrefix="1">
      <alignment horizontal="center"/>
      <protection/>
    </xf>
    <xf numFmtId="4" fontId="54" fillId="3" borderId="51" xfId="0" applyNumberFormat="1" applyFont="1" applyFill="1" applyBorder="1" applyAlignment="1">
      <alignment horizontal="center"/>
    </xf>
    <xf numFmtId="4" fontId="54" fillId="3" borderId="27" xfId="0" applyNumberFormat="1" applyFont="1" applyFill="1" applyBorder="1" applyAlignment="1">
      <alignment horizontal="center"/>
    </xf>
    <xf numFmtId="0" fontId="89" fillId="11" borderId="26" xfId="0" applyFont="1" applyFill="1" applyBorder="1" applyAlignment="1" applyProtection="1">
      <alignment horizontal="centerContinuous" vertical="center" wrapText="1"/>
      <protection/>
    </xf>
    <xf numFmtId="0" fontId="89" fillId="11" borderId="27" xfId="0" applyFont="1" applyFill="1" applyBorder="1" applyAlignment="1">
      <alignment horizontal="centerContinuous" vertical="center"/>
    </xf>
    <xf numFmtId="0" fontId="90" fillId="11" borderId="58" xfId="0" applyFont="1" applyFill="1" applyBorder="1" applyAlignment="1">
      <alignment horizontal="center"/>
    </xf>
    <xf numFmtId="0" fontId="90" fillId="11" borderId="59" xfId="0" applyFont="1" applyFill="1" applyBorder="1" applyAlignment="1">
      <alignment horizontal="center"/>
    </xf>
    <xf numFmtId="0" fontId="90" fillId="11" borderId="20" xfId="0" applyFont="1" applyFill="1" applyBorder="1" applyAlignment="1">
      <alignment horizontal="center"/>
    </xf>
    <xf numFmtId="0" fontId="90" fillId="11" borderId="11" xfId="0" applyFont="1" applyFill="1" applyBorder="1" applyAlignment="1">
      <alignment horizontal="center"/>
    </xf>
    <xf numFmtId="192" fontId="90" fillId="11" borderId="20" xfId="0" applyNumberFormat="1" applyFont="1" applyFill="1" applyBorder="1" applyAlignment="1" applyProtection="1" quotePrefix="1">
      <alignment horizontal="center"/>
      <protection/>
    </xf>
    <xf numFmtId="192" fontId="90" fillId="11" borderId="11" xfId="0" applyNumberFormat="1" applyFont="1" applyFill="1" applyBorder="1" applyAlignment="1" applyProtection="1" quotePrefix="1">
      <alignment horizontal="center"/>
      <protection/>
    </xf>
    <xf numFmtId="192" fontId="90" fillId="11" borderId="44" xfId="0" applyNumberFormat="1" applyFont="1" applyFill="1" applyBorder="1" applyAlignment="1" applyProtection="1" quotePrefix="1">
      <alignment horizontal="center"/>
      <protection/>
    </xf>
    <xf numFmtId="192" fontId="90" fillId="11" borderId="46" xfId="0" applyNumberFormat="1" applyFont="1" applyFill="1" applyBorder="1" applyAlignment="1" applyProtection="1" quotePrefix="1">
      <alignment horizontal="center"/>
      <protection/>
    </xf>
    <xf numFmtId="4" fontId="90" fillId="11" borderId="51" xfId="0" applyNumberFormat="1" applyFont="1" applyFill="1" applyBorder="1" applyAlignment="1">
      <alignment horizontal="center"/>
    </xf>
    <xf numFmtId="4" fontId="90" fillId="11" borderId="53" xfId="0" applyNumberFormat="1" applyFont="1" applyFill="1" applyBorder="1" applyAlignment="1">
      <alignment horizontal="center"/>
    </xf>
    <xf numFmtId="0" fontId="89" fillId="11" borderId="18" xfId="0" applyFont="1" applyFill="1" applyBorder="1" applyAlignment="1">
      <alignment horizontal="center" vertical="center" wrapText="1"/>
    </xf>
    <xf numFmtId="0" fontId="63" fillId="15" borderId="18" xfId="0" applyFont="1" applyFill="1" applyBorder="1" applyAlignment="1">
      <alignment horizontal="center" vertical="center" wrapText="1"/>
    </xf>
    <xf numFmtId="0" fontId="65" fillId="15" borderId="54" xfId="0" applyFont="1" applyFill="1" applyBorder="1" applyAlignment="1">
      <alignment horizontal="center"/>
    </xf>
    <xf numFmtId="0" fontId="65" fillId="15" borderId="6" xfId="0" applyFont="1" applyFill="1" applyBorder="1" applyAlignment="1">
      <alignment horizontal="center"/>
    </xf>
    <xf numFmtId="192" fontId="65" fillId="15" borderId="1" xfId="0" applyNumberFormat="1" applyFont="1" applyFill="1" applyBorder="1" applyAlignment="1" applyProtection="1" quotePrefix="1">
      <alignment horizontal="center"/>
      <protection/>
    </xf>
    <xf numFmtId="192" fontId="65" fillId="15" borderId="7" xfId="0" applyNumberFormat="1" applyFont="1" applyFill="1" applyBorder="1" applyAlignment="1" applyProtection="1" quotePrefix="1">
      <alignment horizontal="center"/>
      <protection/>
    </xf>
    <xf numFmtId="0" fontId="91" fillId="7" borderId="18" xfId="0" applyFont="1" applyFill="1" applyBorder="1" applyAlignment="1">
      <alignment horizontal="center" vertical="center" wrapText="1"/>
    </xf>
    <xf numFmtId="0" fontId="92" fillId="7" borderId="54" xfId="0" applyFont="1" applyFill="1" applyBorder="1" applyAlignment="1">
      <alignment horizontal="center"/>
    </xf>
    <xf numFmtId="0" fontId="92" fillId="7" borderId="6" xfId="0" applyFont="1" applyFill="1" applyBorder="1" applyAlignment="1">
      <alignment horizontal="center"/>
    </xf>
    <xf numFmtId="192" fontId="92" fillId="7" borderId="6" xfId="0" applyNumberFormat="1" applyFont="1" applyFill="1" applyBorder="1" applyAlignment="1" applyProtection="1" quotePrefix="1">
      <alignment horizontal="center"/>
      <protection/>
    </xf>
    <xf numFmtId="192" fontId="92" fillId="7" borderId="7" xfId="0" applyNumberFormat="1" applyFont="1" applyFill="1" applyBorder="1" applyAlignment="1" applyProtection="1" quotePrefix="1">
      <alignment horizontal="center"/>
      <protection/>
    </xf>
    <xf numFmtId="0" fontId="84" fillId="10" borderId="1" xfId="0" applyFont="1" applyFill="1" applyBorder="1" applyAlignment="1" applyProtection="1">
      <alignment horizontal="center"/>
      <protection/>
    </xf>
    <xf numFmtId="0" fontId="80" fillId="10" borderId="18" xfId="0" applyFont="1" applyFill="1" applyBorder="1" applyAlignment="1" applyProtection="1">
      <alignment horizontal="center" vertical="center"/>
      <protection/>
    </xf>
    <xf numFmtId="188" fontId="84" fillId="10" borderId="1" xfId="0" applyNumberFormat="1" applyFont="1" applyFill="1" applyBorder="1" applyAlignment="1" applyProtection="1">
      <alignment horizontal="center"/>
      <protection/>
    </xf>
    <xf numFmtId="188" fontId="84" fillId="10" borderId="7" xfId="0" applyNumberFormat="1" applyFont="1" applyFill="1" applyBorder="1" applyAlignment="1" applyProtection="1">
      <alignment horizontal="center"/>
      <protection/>
    </xf>
    <xf numFmtId="0" fontId="84" fillId="10" borderId="42" xfId="0" applyFont="1" applyFill="1" applyBorder="1" applyAlignment="1" applyProtection="1">
      <alignment horizontal="center"/>
      <protection/>
    </xf>
    <xf numFmtId="0" fontId="90" fillId="11" borderId="1" xfId="0" applyFont="1" applyFill="1" applyBorder="1" applyAlignment="1" applyProtection="1">
      <alignment horizontal="center"/>
      <protection/>
    </xf>
    <xf numFmtId="2" fontId="90" fillId="11" borderId="1" xfId="0" applyNumberFormat="1" applyFont="1" applyFill="1" applyBorder="1" applyAlignment="1">
      <alignment horizontal="center"/>
    </xf>
    <xf numFmtId="2" fontId="90" fillId="11" borderId="7" xfId="0" applyNumberFormat="1" applyFont="1" applyFill="1" applyBorder="1" applyAlignment="1">
      <alignment horizontal="center"/>
    </xf>
    <xf numFmtId="0" fontId="90" fillId="11" borderId="42" xfId="0" applyFont="1" applyFill="1" applyBorder="1" applyAlignment="1" applyProtection="1">
      <alignment horizontal="center"/>
      <protection/>
    </xf>
    <xf numFmtId="4" fontId="90" fillId="11" borderId="18" xfId="0" applyNumberFormat="1" applyFont="1" applyFill="1" applyBorder="1" applyAlignment="1">
      <alignment horizontal="center"/>
    </xf>
    <xf numFmtId="0" fontId="55" fillId="5" borderId="26" xfId="0" applyFont="1" applyFill="1" applyBorder="1" applyAlignment="1" applyProtection="1">
      <alignment horizontal="centerContinuous" vertical="center" wrapText="1"/>
      <protection/>
    </xf>
    <xf numFmtId="0" fontId="55" fillId="5" borderId="27" xfId="0" applyFont="1" applyFill="1" applyBorder="1" applyAlignment="1">
      <alignment horizontal="centerContinuous" vertical="center"/>
    </xf>
    <xf numFmtId="192" fontId="53" fillId="5" borderId="47" xfId="0" applyNumberFormat="1" applyFont="1" applyFill="1" applyBorder="1" applyAlignment="1" applyProtection="1" quotePrefix="1">
      <alignment horizontal="center"/>
      <protection/>
    </xf>
    <xf numFmtId="192" fontId="53" fillId="5" borderId="49" xfId="0" applyNumberFormat="1" applyFont="1" applyFill="1" applyBorder="1" applyAlignment="1" applyProtection="1" quotePrefix="1">
      <alignment horizontal="center"/>
      <protection/>
    </xf>
    <xf numFmtId="192" fontId="53" fillId="5" borderId="14" xfId="0" applyNumberFormat="1" applyFont="1" applyFill="1" applyBorder="1" applyAlignment="1" applyProtection="1" quotePrefix="1">
      <alignment horizontal="center"/>
      <protection/>
    </xf>
    <xf numFmtId="192" fontId="53" fillId="5" borderId="60" xfId="0" applyNumberFormat="1" applyFont="1" applyFill="1" applyBorder="1" applyAlignment="1" applyProtection="1" quotePrefix="1">
      <alignment horizontal="center"/>
      <protection/>
    </xf>
    <xf numFmtId="192" fontId="53" fillId="5" borderId="44" xfId="0" applyNumberFormat="1" applyFont="1" applyFill="1" applyBorder="1" applyAlignment="1" applyProtection="1" quotePrefix="1">
      <alignment horizontal="center"/>
      <protection/>
    </xf>
    <xf numFmtId="192" fontId="53" fillId="5" borderId="46" xfId="0" applyNumberFormat="1" applyFont="1" applyFill="1" applyBorder="1" applyAlignment="1" applyProtection="1" quotePrefix="1">
      <alignment horizontal="center"/>
      <protection/>
    </xf>
    <xf numFmtId="4" fontId="53" fillId="5" borderId="51" xfId="0" applyNumberFormat="1" applyFont="1" applyFill="1" applyBorder="1" applyAlignment="1">
      <alignment horizontal="center"/>
    </xf>
    <xf numFmtId="4" fontId="53" fillId="5" borderId="53" xfId="0" applyNumberFormat="1" applyFont="1" applyFill="1" applyBorder="1" applyAlignment="1">
      <alignment horizontal="center"/>
    </xf>
    <xf numFmtId="192" fontId="81" fillId="4" borderId="1" xfId="0" applyNumberFormat="1" applyFont="1" applyFill="1" applyBorder="1" applyAlignment="1" applyProtection="1" quotePrefix="1">
      <alignment horizontal="center"/>
      <protection/>
    </xf>
    <xf numFmtId="192" fontId="81" fillId="4" borderId="7" xfId="0" applyNumberFormat="1" applyFont="1" applyFill="1" applyBorder="1" applyAlignment="1" applyProtection="1" quotePrefix="1">
      <alignment horizontal="center"/>
      <protection/>
    </xf>
    <xf numFmtId="4" fontId="81" fillId="4" borderId="18" xfId="0" applyNumberFormat="1" applyFont="1" applyFill="1" applyBorder="1" applyAlignment="1">
      <alignment horizontal="center"/>
    </xf>
    <xf numFmtId="0" fontId="80" fillId="4" borderId="18" xfId="0" applyFont="1" applyFill="1" applyBorder="1" applyAlignment="1">
      <alignment horizontal="center" vertical="center" wrapText="1"/>
    </xf>
    <xf numFmtId="192" fontId="81" fillId="4" borderId="42" xfId="0" applyNumberFormat="1" applyFont="1" applyFill="1" applyBorder="1" applyAlignment="1" applyProtection="1" quotePrefix="1">
      <alignment horizontal="center"/>
      <protection/>
    </xf>
    <xf numFmtId="0" fontId="38" fillId="7" borderId="18" xfId="0" applyFont="1" applyFill="1" applyBorder="1" applyAlignment="1">
      <alignment horizontal="center" vertical="center" wrapText="1"/>
    </xf>
    <xf numFmtId="0" fontId="93" fillId="7" borderId="54" xfId="0" applyFont="1" applyFill="1" applyBorder="1" applyAlignment="1">
      <alignment horizontal="center"/>
    </xf>
    <xf numFmtId="2" fontId="93" fillId="7" borderId="6" xfId="0" applyNumberFormat="1" applyFont="1" applyFill="1" applyBorder="1" applyAlignment="1">
      <alignment horizontal="center"/>
    </xf>
    <xf numFmtId="2" fontId="93" fillId="7" borderId="1" xfId="0" applyNumberFormat="1" applyFont="1" applyFill="1" applyBorder="1" applyAlignment="1">
      <alignment horizontal="center"/>
    </xf>
    <xf numFmtId="2" fontId="93" fillId="7" borderId="7" xfId="0" applyNumberFormat="1" applyFont="1" applyFill="1" applyBorder="1" applyAlignment="1">
      <alignment horizontal="center"/>
    </xf>
    <xf numFmtId="4" fontId="93" fillId="7" borderId="18" xfId="0" applyNumberFormat="1" applyFont="1" applyFill="1" applyBorder="1" applyAlignment="1">
      <alignment horizontal="center"/>
    </xf>
    <xf numFmtId="0" fontId="63" fillId="16" borderId="26" xfId="0" applyFont="1" applyFill="1" applyBorder="1" applyAlignment="1" applyProtection="1">
      <alignment horizontal="centerContinuous" vertical="center" wrapText="1"/>
      <protection/>
    </xf>
    <xf numFmtId="0" fontId="63" fillId="16" borderId="27" xfId="0" applyFont="1" applyFill="1" applyBorder="1" applyAlignment="1">
      <alignment horizontal="centerContinuous" vertical="center"/>
    </xf>
    <xf numFmtId="0" fontId="65" fillId="16" borderId="47" xfId="0" applyFont="1" applyFill="1" applyBorder="1" applyAlignment="1">
      <alignment horizontal="center"/>
    </xf>
    <xf numFmtId="0" fontId="65" fillId="16" borderId="49" xfId="0" applyFont="1" applyFill="1" applyBorder="1" applyAlignment="1">
      <alignment horizontal="center"/>
    </xf>
    <xf numFmtId="192" fontId="65" fillId="16" borderId="20" xfId="0" applyNumberFormat="1" applyFont="1" applyFill="1" applyBorder="1" applyAlignment="1" applyProtection="1" quotePrefix="1">
      <alignment horizontal="center"/>
      <protection/>
    </xf>
    <xf numFmtId="192" fontId="65" fillId="16" borderId="11" xfId="0" applyNumberFormat="1" applyFont="1" applyFill="1" applyBorder="1" applyAlignment="1" applyProtection="1" quotePrefix="1">
      <alignment horizontal="center"/>
      <protection/>
    </xf>
    <xf numFmtId="192" fontId="65" fillId="16" borderId="56" xfId="0" applyNumberFormat="1" applyFont="1" applyFill="1" applyBorder="1" applyAlignment="1" applyProtection="1" quotePrefix="1">
      <alignment horizontal="center"/>
      <protection/>
    </xf>
    <xf numFmtId="192" fontId="65" fillId="16" borderId="57" xfId="0" applyNumberFormat="1" applyFont="1" applyFill="1" applyBorder="1" applyAlignment="1" applyProtection="1" quotePrefix="1">
      <alignment horizontal="center"/>
      <protection/>
    </xf>
    <xf numFmtId="4" fontId="65" fillId="16" borderId="51" xfId="0" applyNumberFormat="1" applyFont="1" applyFill="1" applyBorder="1" applyAlignment="1">
      <alignment horizontal="center"/>
    </xf>
    <xf numFmtId="4" fontId="65" fillId="16" borderId="27" xfId="0" applyNumberFormat="1" applyFont="1" applyFill="1" applyBorder="1" applyAlignment="1">
      <alignment horizontal="center"/>
    </xf>
    <xf numFmtId="0" fontId="66" fillId="5" borderId="18" xfId="0" applyFont="1" applyFill="1" applyBorder="1" applyAlignment="1">
      <alignment horizontal="center" vertical="center" wrapText="1"/>
    </xf>
    <xf numFmtId="0" fontId="69" fillId="5" borderId="54" xfId="0" applyFont="1" applyFill="1" applyBorder="1" applyAlignment="1">
      <alignment horizontal="center"/>
    </xf>
    <xf numFmtId="192" fontId="69" fillId="5" borderId="6" xfId="0" applyNumberFormat="1" applyFont="1" applyFill="1" applyBorder="1" applyAlignment="1" applyProtection="1" quotePrefix="1">
      <alignment horizontal="center"/>
      <protection/>
    </xf>
    <xf numFmtId="192" fontId="69" fillId="5" borderId="7" xfId="0" applyNumberFormat="1" applyFont="1" applyFill="1" applyBorder="1" applyAlignment="1" applyProtection="1" quotePrefix="1">
      <alignment horizontal="center"/>
      <protection/>
    </xf>
    <xf numFmtId="4" fontId="69" fillId="5" borderId="18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192" fontId="4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/>
    </xf>
    <xf numFmtId="4" fontId="65" fillId="15" borderId="18" xfId="0" applyNumberFormat="1" applyFont="1" applyFill="1" applyBorder="1" applyAlignment="1">
      <alignment horizontal="center"/>
    </xf>
    <xf numFmtId="4" fontId="92" fillId="7" borderId="18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166" fontId="8" fillId="0" borderId="32" xfId="0" applyNumberFormat="1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38" fillId="11" borderId="18" xfId="0" applyFont="1" applyFill="1" applyBorder="1" applyAlignment="1" applyProtection="1">
      <alignment horizontal="center" vertical="center" wrapText="1"/>
      <protection/>
    </xf>
    <xf numFmtId="0" fontId="22" fillId="11" borderId="42" xfId="0" applyFont="1" applyFill="1" applyBorder="1" applyAlignment="1">
      <alignment horizontal="center"/>
    </xf>
    <xf numFmtId="2" fontId="93" fillId="11" borderId="1" xfId="0" applyNumberFormat="1" applyFont="1" applyFill="1" applyBorder="1" applyAlignment="1" applyProtection="1">
      <alignment horizontal="center"/>
      <protection/>
    </xf>
    <xf numFmtId="2" fontId="22" fillId="11" borderId="7" xfId="0" applyNumberFormat="1" applyFont="1" applyFill="1" applyBorder="1" applyAlignment="1" applyProtection="1">
      <alignment horizontal="center"/>
      <protection/>
    </xf>
    <xf numFmtId="0" fontId="84" fillId="10" borderId="42" xfId="0" applyFont="1" applyFill="1" applyBorder="1" applyAlignment="1">
      <alignment horizontal="center"/>
    </xf>
    <xf numFmtId="2" fontId="84" fillId="10" borderId="7" xfId="0" applyNumberFormat="1" applyFont="1" applyFill="1" applyBorder="1" applyAlignment="1" applyProtection="1">
      <alignment horizontal="center"/>
      <protection/>
    </xf>
    <xf numFmtId="0" fontId="80" fillId="4" borderId="26" xfId="0" applyFont="1" applyFill="1" applyBorder="1" applyAlignment="1" applyProtection="1">
      <alignment horizontal="centerContinuous" vertical="center" wrapText="1"/>
      <protection/>
    </xf>
    <xf numFmtId="0" fontId="80" fillId="4" borderId="27" xfId="0" applyFont="1" applyFill="1" applyBorder="1" applyAlignment="1" applyProtection="1">
      <alignment horizontal="centerContinuous" vertical="center" wrapText="1"/>
      <protection/>
    </xf>
    <xf numFmtId="0" fontId="84" fillId="4" borderId="47" xfId="0" applyFont="1" applyFill="1" applyBorder="1" applyAlignment="1">
      <alignment horizontal="center"/>
    </xf>
    <xf numFmtId="0" fontId="84" fillId="4" borderId="49" xfId="0" applyFont="1" applyFill="1" applyBorder="1" applyAlignment="1" applyProtection="1">
      <alignment horizontal="center"/>
      <protection/>
    </xf>
    <xf numFmtId="192" fontId="81" fillId="4" borderId="14" xfId="0" applyNumberFormat="1" applyFont="1" applyFill="1" applyBorder="1" applyAlignment="1" applyProtection="1" quotePrefix="1">
      <alignment horizontal="center"/>
      <protection/>
    </xf>
    <xf numFmtId="192" fontId="81" fillId="4" borderId="2" xfId="0" applyNumberFormat="1" applyFont="1" applyFill="1" applyBorder="1" applyAlignment="1" applyProtection="1" quotePrefix="1">
      <alignment horizontal="center"/>
      <protection/>
    </xf>
    <xf numFmtId="192" fontId="84" fillId="4" borderId="44" xfId="0" applyNumberFormat="1" applyFont="1" applyFill="1" applyBorder="1" applyAlignment="1" applyProtection="1" quotePrefix="1">
      <alignment horizontal="center"/>
      <protection/>
    </xf>
    <xf numFmtId="192" fontId="84" fillId="4" borderId="13" xfId="0" applyNumberFormat="1" applyFont="1" applyFill="1" applyBorder="1" applyAlignment="1" applyProtection="1" quotePrefix="1">
      <alignment horizontal="center"/>
      <protection/>
    </xf>
    <xf numFmtId="0" fontId="55" fillId="5" borderId="27" xfId="0" applyFont="1" applyFill="1" applyBorder="1" applyAlignment="1" applyProtection="1">
      <alignment horizontal="centerContinuous" vertical="center" wrapText="1"/>
      <protection/>
    </xf>
    <xf numFmtId="0" fontId="52" fillId="5" borderId="47" xfId="0" applyFont="1" applyFill="1" applyBorder="1" applyAlignment="1">
      <alignment horizontal="left"/>
    </xf>
    <xf numFmtId="0" fontId="52" fillId="5" borderId="40" xfId="0" applyFont="1" applyFill="1" applyBorder="1" applyAlignment="1">
      <alignment horizontal="left"/>
    </xf>
    <xf numFmtId="192" fontId="53" fillId="5" borderId="2" xfId="0" applyNumberFormat="1" applyFont="1" applyFill="1" applyBorder="1" applyAlignment="1" applyProtection="1" quotePrefix="1">
      <alignment horizontal="center"/>
      <protection/>
    </xf>
    <xf numFmtId="4" fontId="52" fillId="5" borderId="44" xfId="0" applyNumberFormat="1" applyFont="1" applyFill="1" applyBorder="1" applyAlignment="1" applyProtection="1">
      <alignment horizontal="center"/>
      <protection/>
    </xf>
    <xf numFmtId="4" fontId="52" fillId="5" borderId="13" xfId="0" applyNumberFormat="1" applyFont="1" applyFill="1" applyBorder="1" applyAlignment="1" applyProtection="1">
      <alignment horizontal="center"/>
      <protection/>
    </xf>
    <xf numFmtId="2" fontId="93" fillId="11" borderId="18" xfId="0" applyNumberFormat="1" applyFont="1" applyFill="1" applyBorder="1" applyAlignment="1" applyProtection="1">
      <alignment horizontal="center"/>
      <protection/>
    </xf>
    <xf numFmtId="192" fontId="81" fillId="4" borderId="18" xfId="0" applyNumberFormat="1" applyFont="1" applyFill="1" applyBorder="1" applyAlignment="1" applyProtection="1" quotePrefix="1">
      <alignment horizontal="center"/>
      <protection/>
    </xf>
    <xf numFmtId="4" fontId="53" fillId="5" borderId="18" xfId="0" applyNumberFormat="1" applyFont="1" applyFill="1" applyBorder="1" applyAlignment="1" applyProtection="1">
      <alignment horizontal="center"/>
      <protection/>
    </xf>
    <xf numFmtId="0" fontId="80" fillId="7" borderId="18" xfId="0" applyFont="1" applyFill="1" applyBorder="1" applyAlignment="1" applyProtection="1">
      <alignment horizontal="centerContinuous" vertical="center" wrapText="1"/>
      <protection/>
    </xf>
    <xf numFmtId="0" fontId="84" fillId="7" borderId="42" xfId="0" applyFont="1" applyFill="1" applyBorder="1" applyAlignment="1">
      <alignment horizontal="left"/>
    </xf>
    <xf numFmtId="192" fontId="81" fillId="7" borderId="1" xfId="0" applyNumberFormat="1" applyFont="1" applyFill="1" applyBorder="1" applyAlignment="1" applyProtection="1" quotePrefix="1">
      <alignment horizontal="center"/>
      <protection/>
    </xf>
    <xf numFmtId="4" fontId="84" fillId="7" borderId="7" xfId="0" applyNumberFormat="1" applyFont="1" applyFill="1" applyBorder="1" applyAlignment="1" applyProtection="1">
      <alignment horizontal="center"/>
      <protection/>
    </xf>
    <xf numFmtId="4" fontId="81" fillId="7" borderId="18" xfId="0" applyNumberFormat="1" applyFont="1" applyFill="1" applyBorder="1" applyAlignment="1" applyProtection="1">
      <alignment horizontal="center"/>
      <protection/>
    </xf>
    <xf numFmtId="0" fontId="80" fillId="17" borderId="18" xfId="0" applyFont="1" applyFill="1" applyBorder="1" applyAlignment="1" applyProtection="1">
      <alignment horizontal="centerContinuous" vertical="center" wrapText="1"/>
      <protection/>
    </xf>
    <xf numFmtId="0" fontId="84" fillId="17" borderId="42" xfId="0" applyFont="1" applyFill="1" applyBorder="1" applyAlignment="1">
      <alignment horizontal="left"/>
    </xf>
    <xf numFmtId="192" fontId="81" fillId="17" borderId="1" xfId="0" applyNumberFormat="1" applyFont="1" applyFill="1" applyBorder="1" applyAlignment="1" applyProtection="1" quotePrefix="1">
      <alignment horizontal="center"/>
      <protection/>
    </xf>
    <xf numFmtId="4" fontId="84" fillId="17" borderId="7" xfId="0" applyNumberFormat="1" applyFont="1" applyFill="1" applyBorder="1" applyAlignment="1" applyProtection="1">
      <alignment horizontal="center"/>
      <protection/>
    </xf>
    <xf numFmtId="4" fontId="81" fillId="17" borderId="18" xfId="0" applyNumberFormat="1" applyFont="1" applyFill="1" applyBorder="1" applyAlignment="1" applyProtection="1">
      <alignment horizontal="center"/>
      <protection/>
    </xf>
    <xf numFmtId="166" fontId="16" fillId="0" borderId="42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16" fillId="0" borderId="42" xfId="0" applyNumberFormat="1" applyFont="1" applyBorder="1" applyAlignment="1">
      <alignment horizontal="center"/>
    </xf>
    <xf numFmtId="166" fontId="35" fillId="13" borderId="42" xfId="0" applyNumberFormat="1" applyFont="1" applyFill="1" applyBorder="1" applyAlignment="1">
      <alignment/>
    </xf>
    <xf numFmtId="166" fontId="18" fillId="0" borderId="54" xfId="0" applyNumberFormat="1" applyFont="1" applyFill="1" applyBorder="1" applyAlignment="1">
      <alignment horizontal="center"/>
    </xf>
    <xf numFmtId="236" fontId="13" fillId="0" borderId="0" xfId="0" applyNumberFormat="1" applyFont="1" applyBorder="1" applyAlignment="1">
      <alignment horizontal="right"/>
    </xf>
    <xf numFmtId="237" fontId="29" fillId="0" borderId="22" xfId="0" applyNumberFormat="1" applyFont="1" applyBorder="1" applyAlignment="1">
      <alignment/>
    </xf>
    <xf numFmtId="237" fontId="11" fillId="0" borderId="0" xfId="0" applyNumberFormat="1" applyFont="1" applyBorder="1" applyAlignment="1">
      <alignment horizontal="centerContinuous"/>
    </xf>
    <xf numFmtId="237" fontId="14" fillId="0" borderId="0" xfId="0" applyNumberFormat="1" applyFont="1" applyBorder="1" applyAlignment="1">
      <alignment/>
    </xf>
    <xf numFmtId="237" fontId="13" fillId="0" borderId="0" xfId="0" applyNumberFormat="1" applyFont="1" applyBorder="1" applyAlignment="1">
      <alignment/>
    </xf>
    <xf numFmtId="237" fontId="4" fillId="0" borderId="0" xfId="0" applyNumberFormat="1" applyFont="1" applyBorder="1" applyAlignment="1">
      <alignment/>
    </xf>
    <xf numFmtId="237" fontId="13" fillId="0" borderId="0" xfId="0" applyNumberFormat="1" applyFont="1" applyBorder="1" applyAlignment="1">
      <alignment horizontal="right"/>
    </xf>
    <xf numFmtId="236" fontId="13" fillId="0" borderId="0" xfId="0" applyNumberFormat="1" applyFont="1" applyBorder="1" applyAlignment="1">
      <alignment horizontal="left"/>
    </xf>
    <xf numFmtId="203" fontId="0" fillId="0" borderId="26" xfId="0" applyNumberFormat="1" applyFont="1" applyBorder="1" applyAlignment="1">
      <alignment horizontal="centerContinuous"/>
    </xf>
    <xf numFmtId="203" fontId="79" fillId="10" borderId="1" xfId="0" applyNumberFormat="1" applyFont="1" applyFill="1" applyBorder="1" applyAlignment="1" applyProtection="1">
      <alignment horizontal="center"/>
      <protection/>
    </xf>
    <xf numFmtId="203" fontId="79" fillId="10" borderId="7" xfId="0" applyNumberFormat="1" applyFont="1" applyFill="1" applyBorder="1" applyAlignment="1" applyProtection="1">
      <alignment horizontal="center"/>
      <protection/>
    </xf>
    <xf numFmtId="203" fontId="22" fillId="11" borderId="1" xfId="0" applyNumberFormat="1" applyFont="1" applyFill="1" applyBorder="1" applyAlignment="1" applyProtection="1">
      <alignment horizontal="center"/>
      <protection/>
    </xf>
    <xf numFmtId="203" fontId="59" fillId="3" borderId="1" xfId="0" applyNumberFormat="1" applyFont="1" applyFill="1" applyBorder="1" applyAlignment="1" applyProtection="1">
      <alignment horizontal="center"/>
      <protection/>
    </xf>
    <xf numFmtId="203" fontId="0" fillId="0" borderId="27" xfId="0" applyNumberFormat="1" applyFont="1" applyBorder="1" applyAlignment="1" applyProtection="1">
      <alignment horizontal="center"/>
      <protection/>
    </xf>
    <xf numFmtId="166" fontId="16" fillId="0" borderId="55" xfId="0" applyNumberFormat="1" applyFont="1" applyFill="1" applyBorder="1" applyAlignment="1">
      <alignment/>
    </xf>
    <xf numFmtId="166" fontId="36" fillId="0" borderId="1" xfId="0" applyNumberFormat="1" applyFont="1" applyBorder="1" applyAlignment="1" applyProtection="1">
      <alignment/>
      <protection/>
    </xf>
    <xf numFmtId="0" fontId="94" fillId="0" borderId="0" xfId="0" applyFont="1" applyAlignment="1">
      <alignment horizontal="right" vertical="top"/>
    </xf>
    <xf numFmtId="0" fontId="94" fillId="0" borderId="0" xfId="0" applyFont="1" applyFill="1" applyAlignment="1">
      <alignment horizontal="right" vertical="top"/>
    </xf>
    <xf numFmtId="203" fontId="0" fillId="0" borderId="18" xfId="0" applyNumberFormat="1" applyFont="1" applyBorder="1" applyAlignment="1">
      <alignment horizontal="centerContinuous"/>
    </xf>
    <xf numFmtId="166" fontId="12" fillId="0" borderId="16" xfId="0" applyNumberFormat="1" applyFont="1" applyFill="1" applyBorder="1" applyAlignment="1" applyProtection="1">
      <alignment horizontal="right"/>
      <protection/>
    </xf>
    <xf numFmtId="166" fontId="21" fillId="0" borderId="16" xfId="0" applyNumberFormat="1" applyFont="1" applyFill="1" applyBorder="1" applyAlignment="1">
      <alignment horizontal="right"/>
    </xf>
    <xf numFmtId="22" fontId="6" fillId="0" borderId="5" xfId="0" applyNumberFormat="1" applyFont="1" applyBorder="1" applyAlignment="1" applyProtection="1">
      <alignment horizontal="center"/>
      <protection/>
    </xf>
    <xf numFmtId="0" fontId="97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Continuous"/>
    </xf>
    <xf numFmtId="0" fontId="99" fillId="0" borderId="0" xfId="0" applyFont="1" applyAlignment="1">
      <alignment horizontal="centerContinuous"/>
    </xf>
    <xf numFmtId="0" fontId="98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/>
    </xf>
    <xf numFmtId="0" fontId="29" fillId="0" borderId="21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5" xfId="0" applyFont="1" applyBorder="1" applyAlignment="1">
      <alignment horizontal="centerContinuous"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7" fontId="33" fillId="0" borderId="18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0" fillId="0" borderId="24" xfId="0" applyFont="1" applyBorder="1" applyAlignment="1">
      <alignment vertical="center"/>
    </xf>
    <xf numFmtId="0" fontId="100" fillId="0" borderId="5" xfId="0" applyFont="1" applyBorder="1" applyAlignment="1">
      <alignment vertical="center"/>
    </xf>
    <xf numFmtId="0" fontId="100" fillId="0" borderId="1" xfId="0" applyFont="1" applyBorder="1" applyAlignment="1">
      <alignment vertical="center"/>
    </xf>
    <xf numFmtId="0" fontId="100" fillId="0" borderId="54" xfId="0" applyFont="1" applyBorder="1" applyAlignment="1">
      <alignment vertical="center"/>
    </xf>
    <xf numFmtId="0" fontId="100" fillId="0" borderId="25" xfId="0" applyFont="1" applyBorder="1" applyAlignment="1">
      <alignment vertical="center"/>
    </xf>
    <xf numFmtId="0" fontId="100" fillId="1" borderId="14" xfId="0" applyFont="1" applyFill="1" applyBorder="1" applyAlignment="1">
      <alignment horizontal="center" vertical="center"/>
    </xf>
    <xf numFmtId="0" fontId="100" fillId="1" borderId="1" xfId="0" applyFont="1" applyFill="1" applyBorder="1" applyAlignment="1">
      <alignment horizontal="center" vertical="center"/>
    </xf>
    <xf numFmtId="0" fontId="100" fillId="0" borderId="36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/>
    </xf>
    <xf numFmtId="0" fontId="100" fillId="0" borderId="6" xfId="0" applyFont="1" applyBorder="1" applyAlignment="1">
      <alignment horizontal="center" vertical="center"/>
    </xf>
    <xf numFmtId="0" fontId="100" fillId="1" borderId="20" xfId="0" applyFont="1" applyFill="1" applyBorder="1" applyAlignment="1">
      <alignment horizontal="center" vertical="center"/>
    </xf>
    <xf numFmtId="0" fontId="100" fillId="1" borderId="6" xfId="0" applyFont="1" applyFill="1" applyBorder="1" applyAlignment="1">
      <alignment horizontal="center" vertical="center"/>
    </xf>
    <xf numFmtId="0" fontId="100" fillId="0" borderId="6" xfId="0" applyFont="1" applyFill="1" applyBorder="1" applyAlignment="1">
      <alignment horizontal="center" vertical="center"/>
    </xf>
    <xf numFmtId="0" fontId="100" fillId="0" borderId="56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right" vertical="center"/>
    </xf>
    <xf numFmtId="195" fontId="101" fillId="0" borderId="18" xfId="0" applyNumberFormat="1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0" fillId="0" borderId="18" xfId="0" applyFont="1" applyBorder="1" applyAlignment="1">
      <alignment horizontal="center" vertical="center"/>
    </xf>
    <xf numFmtId="0" fontId="100" fillId="0" borderId="7" xfId="0" applyFont="1" applyBorder="1" applyAlignment="1">
      <alignment horizontal="center" vertical="center"/>
    </xf>
    <xf numFmtId="2" fontId="101" fillId="0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7" fillId="0" borderId="32" xfId="0" applyFont="1" applyBorder="1" applyAlignment="1">
      <alignment horizontal="right"/>
    </xf>
    <xf numFmtId="2" fontId="17" fillId="0" borderId="32" xfId="0" applyNumberFormat="1" applyFont="1" applyBorder="1" applyAlignment="1">
      <alignment horizontal="center"/>
    </xf>
    <xf numFmtId="0" fontId="102" fillId="0" borderId="32" xfId="0" applyFont="1" applyBorder="1" applyAlignment="1">
      <alignment/>
    </xf>
    <xf numFmtId="0" fontId="0" fillId="0" borderId="27" xfId="0" applyBorder="1" applyAlignment="1">
      <alignment/>
    </xf>
    <xf numFmtId="0" fontId="2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 horizontal="center"/>
    </xf>
    <xf numFmtId="166" fontId="83" fillId="13" borderId="26" xfId="0" applyNumberFormat="1" applyFont="1" applyFill="1" applyBorder="1" applyAlignment="1" applyProtection="1">
      <alignment horizontal="right"/>
      <protection/>
    </xf>
    <xf numFmtId="2" fontId="16" fillId="0" borderId="36" xfId="0" applyNumberFormat="1" applyFont="1" applyFill="1" applyBorder="1" applyAlignment="1">
      <alignment horizontal="right"/>
    </xf>
    <xf numFmtId="166" fontId="35" fillId="0" borderId="36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103" fillId="0" borderId="0" xfId="0" applyFont="1" applyFill="1" applyAlignment="1">
      <alignment/>
    </xf>
    <xf numFmtId="0" fontId="104" fillId="0" borderId="0" xfId="0" applyFont="1" applyAlignment="1">
      <alignment horizontal="centerContinuous"/>
    </xf>
    <xf numFmtId="0" fontId="103" fillId="0" borderId="0" xfId="0" applyFont="1" applyAlignment="1">
      <alignment horizontal="centerContinuous"/>
    </xf>
    <xf numFmtId="0" fontId="103" fillId="0" borderId="0" xfId="0" applyFont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05" fillId="0" borderId="0" xfId="0" applyFont="1" applyBorder="1" applyAlignment="1" quotePrefix="1">
      <alignment horizontal="left"/>
    </xf>
    <xf numFmtId="192" fontId="16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6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6" fillId="0" borderId="0" xfId="0" applyFont="1" applyBorder="1" applyAlignment="1" quotePrefix="1">
      <alignment horizontal="left"/>
    </xf>
    <xf numFmtId="0" fontId="29" fillId="0" borderId="25" xfId="0" applyFont="1" applyFill="1" applyBorder="1" applyAlignment="1">
      <alignment/>
    </xf>
    <xf numFmtId="0" fontId="29" fillId="0" borderId="0" xfId="0" applyFont="1" applyBorder="1" applyAlignment="1" applyProtection="1">
      <alignment horizontal="left"/>
      <protection/>
    </xf>
    <xf numFmtId="203" fontId="29" fillId="0" borderId="0" xfId="0" applyNumberFormat="1" applyFont="1" applyBorder="1" applyAlignment="1">
      <alignment horizontal="center"/>
    </xf>
    <xf numFmtId="192" fontId="29" fillId="0" borderId="0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>
      <alignment horizontal="left"/>
    </xf>
    <xf numFmtId="166" fontId="2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203" fontId="0" fillId="0" borderId="0" xfId="0" applyNumberFormat="1" applyFont="1" applyBorder="1" applyAlignment="1">
      <alignment horizontal="centerContinuous"/>
    </xf>
    <xf numFmtId="0" fontId="29" fillId="0" borderId="0" xfId="0" applyFont="1" applyBorder="1" applyAlignment="1" applyProtection="1">
      <alignment horizontal="center"/>
      <protection/>
    </xf>
    <xf numFmtId="192" fontId="12" fillId="0" borderId="26" xfId="0" applyNumberFormat="1" applyFont="1" applyBorder="1" applyAlignment="1" applyProtection="1">
      <alignment horizontal="center"/>
      <protection/>
    </xf>
    <xf numFmtId="216" fontId="29" fillId="0" borderId="27" xfId="0" applyNumberFormat="1" applyFont="1" applyBorder="1" applyAlignment="1" applyProtection="1">
      <alignment horizontal="centerContinuous"/>
      <protection/>
    </xf>
    <xf numFmtId="0" fontId="80" fillId="14" borderId="18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107" fillId="4" borderId="26" xfId="0" applyFont="1" applyFill="1" applyBorder="1" applyAlignment="1" applyProtection="1">
      <alignment horizontal="centerContinuous" vertical="center" wrapText="1"/>
      <protection/>
    </xf>
    <xf numFmtId="0" fontId="108" fillId="4" borderId="32" xfId="0" applyFont="1" applyFill="1" applyBorder="1" applyAlignment="1">
      <alignment horizontal="centerContinuous"/>
    </xf>
    <xf numFmtId="0" fontId="107" fillId="4" borderId="27" xfId="0" applyFont="1" applyFill="1" applyBorder="1" applyAlignment="1">
      <alignment horizontal="centerContinuous" vertical="center"/>
    </xf>
    <xf numFmtId="0" fontId="80" fillId="18" borderId="26" xfId="0" applyFont="1" applyFill="1" applyBorder="1" applyAlignment="1">
      <alignment horizontal="centerContinuous" vertical="center" wrapText="1"/>
    </xf>
    <xf numFmtId="0" fontId="109" fillId="18" borderId="32" xfId="0" applyFont="1" applyFill="1" applyBorder="1" applyAlignment="1">
      <alignment horizontal="centerContinuous"/>
    </xf>
    <xf numFmtId="0" fontId="80" fillId="18" borderId="27" xfId="0" applyFont="1" applyFill="1" applyBorder="1" applyAlignment="1">
      <alignment horizontal="centerContinuous" vertical="center"/>
    </xf>
    <xf numFmtId="0" fontId="80" fillId="7" borderId="18" xfId="0" applyFont="1" applyFill="1" applyBorder="1" applyAlignment="1">
      <alignment horizontal="centerContinuous" vertical="center" wrapText="1"/>
    </xf>
    <xf numFmtId="0" fontId="80" fillId="19" borderId="18" xfId="0" applyFont="1" applyFill="1" applyBorder="1" applyAlignment="1">
      <alignment horizontal="centerContinuous" vertical="center" wrapText="1"/>
    </xf>
    <xf numFmtId="0" fontId="33" fillId="0" borderId="27" xfId="0" applyFont="1" applyBorder="1" applyAlignment="1">
      <alignment horizontal="center" vertical="center" wrapText="1"/>
    </xf>
    <xf numFmtId="0" fontId="29" fillId="0" borderId="1" xfId="0" applyFont="1" applyBorder="1" applyAlignment="1">
      <alignment/>
    </xf>
    <xf numFmtId="188" fontId="29" fillId="0" borderId="2" xfId="0" applyNumberFormat="1" applyFont="1" applyBorder="1" applyAlignment="1" applyProtection="1">
      <alignment/>
      <protection/>
    </xf>
    <xf numFmtId="188" fontId="29" fillId="0" borderId="1" xfId="0" applyNumberFormat="1" applyFont="1" applyBorder="1" applyAlignment="1" applyProtection="1">
      <alignment horizontal="center"/>
      <protection/>
    </xf>
    <xf numFmtId="188" fontId="29" fillId="0" borderId="42" xfId="0" applyNumberFormat="1" applyFont="1" applyBorder="1" applyAlignment="1" applyProtection="1">
      <alignment horizontal="center"/>
      <protection/>
    </xf>
    <xf numFmtId="188" fontId="110" fillId="3" borderId="42" xfId="0" applyNumberFormat="1" applyFont="1" applyFill="1" applyBorder="1" applyAlignment="1" applyProtection="1">
      <alignment horizontal="center"/>
      <protection/>
    </xf>
    <xf numFmtId="0" fontId="111" fillId="10" borderId="42" xfId="0" applyFont="1" applyFill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81" fillId="14" borderId="42" xfId="0" applyFont="1" applyFill="1" applyBorder="1" applyAlignment="1">
      <alignment horizontal="center"/>
    </xf>
    <xf numFmtId="0" fontId="93" fillId="12" borderId="42" xfId="0" applyFont="1" applyFill="1" applyBorder="1" applyAlignment="1">
      <alignment horizontal="center"/>
    </xf>
    <xf numFmtId="192" fontId="112" fillId="4" borderId="47" xfId="0" applyNumberFormat="1" applyFont="1" applyFill="1" applyBorder="1" applyAlignment="1" applyProtection="1" quotePrefix="1">
      <alignment horizontal="center"/>
      <protection/>
    </xf>
    <xf numFmtId="192" fontId="112" fillId="4" borderId="50" xfId="0" applyNumberFormat="1" applyFont="1" applyFill="1" applyBorder="1" applyAlignment="1" applyProtection="1" quotePrefix="1">
      <alignment horizontal="center"/>
      <protection/>
    </xf>
    <xf numFmtId="4" fontId="112" fillId="4" borderId="40" xfId="0" applyNumberFormat="1" applyFont="1" applyFill="1" applyBorder="1" applyAlignment="1" applyProtection="1">
      <alignment horizontal="center"/>
      <protection/>
    </xf>
    <xf numFmtId="192" fontId="81" fillId="18" borderId="47" xfId="0" applyNumberFormat="1" applyFont="1" applyFill="1" applyBorder="1" applyAlignment="1" applyProtection="1" quotePrefix="1">
      <alignment horizontal="center"/>
      <protection/>
    </xf>
    <xf numFmtId="192" fontId="81" fillId="18" borderId="50" xfId="0" applyNumberFormat="1" applyFont="1" applyFill="1" applyBorder="1" applyAlignment="1" applyProtection="1" quotePrefix="1">
      <alignment horizontal="center"/>
      <protection/>
    </xf>
    <xf numFmtId="4" fontId="81" fillId="18" borderId="40" xfId="0" applyNumberFormat="1" applyFont="1" applyFill="1" applyBorder="1" applyAlignment="1" applyProtection="1">
      <alignment horizontal="center"/>
      <protection/>
    </xf>
    <xf numFmtId="4" fontId="81" fillId="7" borderId="42" xfId="0" applyNumberFormat="1" applyFont="1" applyFill="1" applyBorder="1" applyAlignment="1" applyProtection="1">
      <alignment horizontal="center"/>
      <protection/>
    </xf>
    <xf numFmtId="4" fontId="81" fillId="19" borderId="42" xfId="0" applyNumberFormat="1" applyFont="1" applyFill="1" applyBorder="1" applyAlignment="1" applyProtection="1">
      <alignment horizontal="center"/>
      <protection/>
    </xf>
    <xf numFmtId="0" fontId="4" fillId="0" borderId="40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0" fontId="110" fillId="3" borderId="1" xfId="0" applyFont="1" applyFill="1" applyBorder="1" applyAlignment="1" applyProtection="1">
      <alignment horizontal="center"/>
      <protection/>
    </xf>
    <xf numFmtId="192" fontId="111" fillId="1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81" fillId="14" borderId="1" xfId="0" applyNumberFormat="1" applyFont="1" applyFill="1" applyBorder="1" applyAlignment="1" applyProtection="1">
      <alignment horizontal="center"/>
      <protection/>
    </xf>
    <xf numFmtId="2" fontId="93" fillId="12" borderId="1" xfId="0" applyNumberFormat="1" applyFont="1" applyFill="1" applyBorder="1" applyAlignment="1" applyProtection="1">
      <alignment horizontal="center"/>
      <protection/>
    </xf>
    <xf numFmtId="192" fontId="112" fillId="4" borderId="14" xfId="0" applyNumberFormat="1" applyFont="1" applyFill="1" applyBorder="1" applyAlignment="1" applyProtection="1" quotePrefix="1">
      <alignment horizontal="center"/>
      <protection/>
    </xf>
    <xf numFmtId="192" fontId="112" fillId="4" borderId="43" xfId="0" applyNumberFormat="1" applyFont="1" applyFill="1" applyBorder="1" applyAlignment="1" applyProtection="1" quotePrefix="1">
      <alignment horizontal="center"/>
      <protection/>
    </xf>
    <xf numFmtId="4" fontId="112" fillId="4" borderId="2" xfId="0" applyNumberFormat="1" applyFont="1" applyFill="1" applyBorder="1" applyAlignment="1" applyProtection="1">
      <alignment horizontal="center"/>
      <protection/>
    </xf>
    <xf numFmtId="192" fontId="81" fillId="18" borderId="14" xfId="0" applyNumberFormat="1" applyFont="1" applyFill="1" applyBorder="1" applyAlignment="1" applyProtection="1" quotePrefix="1">
      <alignment horizontal="center"/>
      <protection/>
    </xf>
    <xf numFmtId="192" fontId="81" fillId="18" borderId="43" xfId="0" applyNumberFormat="1" applyFont="1" applyFill="1" applyBorder="1" applyAlignment="1" applyProtection="1" quotePrefix="1">
      <alignment horizontal="center"/>
      <protection/>
    </xf>
    <xf numFmtId="4" fontId="81" fillId="18" borderId="2" xfId="0" applyNumberFormat="1" applyFont="1" applyFill="1" applyBorder="1" applyAlignment="1" applyProtection="1">
      <alignment horizontal="center"/>
      <protection/>
    </xf>
    <xf numFmtId="4" fontId="81" fillId="7" borderId="1" xfId="0" applyNumberFormat="1" applyFont="1" applyFill="1" applyBorder="1" applyAlignment="1" applyProtection="1">
      <alignment horizontal="center"/>
      <protection/>
    </xf>
    <xf numFmtId="4" fontId="81" fillId="19" borderId="1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29" fillId="0" borderId="7" xfId="0" applyFont="1" applyBorder="1" applyAlignment="1">
      <alignment horizontal="center"/>
    </xf>
    <xf numFmtId="188" fontId="113" fillId="0" borderId="7" xfId="0" applyNumberFormat="1" applyFont="1" applyBorder="1" applyAlignment="1" applyProtection="1">
      <alignment horizontal="center"/>
      <protection/>
    </xf>
    <xf numFmtId="0" fontId="29" fillId="0" borderId="7" xfId="0" applyFont="1" applyBorder="1" applyAlignment="1" applyProtection="1">
      <alignment horizontal="center"/>
      <protection/>
    </xf>
    <xf numFmtId="189" fontId="29" fillId="0" borderId="7" xfId="0" applyNumberFormat="1" applyFont="1" applyBorder="1" applyAlignment="1" applyProtection="1">
      <alignment horizontal="center"/>
      <protection/>
    </xf>
    <xf numFmtId="189" fontId="110" fillId="3" borderId="7" xfId="0" applyNumberFormat="1" applyFont="1" applyFill="1" applyBorder="1" applyAlignment="1" applyProtection="1">
      <alignment horizontal="center"/>
      <protection/>
    </xf>
    <xf numFmtId="192" fontId="111" fillId="10" borderId="7" xfId="0" applyNumberFormat="1" applyFont="1" applyFill="1" applyBorder="1" applyAlignment="1" applyProtection="1">
      <alignment horizontal="center"/>
      <protection/>
    </xf>
    <xf numFmtId="192" fontId="29" fillId="0" borderId="7" xfId="0" applyNumberFormat="1" applyFont="1" applyBorder="1" applyAlignment="1" applyProtection="1">
      <alignment horizontal="center"/>
      <protection/>
    </xf>
    <xf numFmtId="2" fontId="81" fillId="14" borderId="7" xfId="0" applyNumberFormat="1" applyFont="1" applyFill="1" applyBorder="1" applyAlignment="1" applyProtection="1">
      <alignment horizontal="center"/>
      <protection/>
    </xf>
    <xf numFmtId="2" fontId="93" fillId="12" borderId="7" xfId="0" applyNumberFormat="1" applyFont="1" applyFill="1" applyBorder="1" applyAlignment="1" applyProtection="1">
      <alignment horizontal="center"/>
      <protection/>
    </xf>
    <xf numFmtId="192" fontId="112" fillId="4" borderId="44" xfId="0" applyNumberFormat="1" applyFont="1" applyFill="1" applyBorder="1" applyAlignment="1" applyProtection="1" quotePrefix="1">
      <alignment horizontal="center"/>
      <protection/>
    </xf>
    <xf numFmtId="192" fontId="112" fillId="4" borderId="61" xfId="0" applyNumberFormat="1" applyFont="1" applyFill="1" applyBorder="1" applyAlignment="1" applyProtection="1" quotePrefix="1">
      <alignment horizontal="center"/>
      <protection/>
    </xf>
    <xf numFmtId="4" fontId="112" fillId="4" borderId="13" xfId="0" applyNumberFormat="1" applyFont="1" applyFill="1" applyBorder="1" applyAlignment="1" applyProtection="1">
      <alignment horizontal="center"/>
      <protection/>
    </xf>
    <xf numFmtId="192" fontId="81" fillId="18" borderId="44" xfId="0" applyNumberFormat="1" applyFont="1" applyFill="1" applyBorder="1" applyAlignment="1" applyProtection="1" quotePrefix="1">
      <alignment horizontal="center"/>
      <protection/>
    </xf>
    <xf numFmtId="192" fontId="81" fillId="18" borderId="61" xfId="0" applyNumberFormat="1" applyFont="1" applyFill="1" applyBorder="1" applyAlignment="1" applyProtection="1" quotePrefix="1">
      <alignment horizontal="center"/>
      <protection/>
    </xf>
    <xf numFmtId="4" fontId="81" fillId="18" borderId="13" xfId="0" applyNumberFormat="1" applyFont="1" applyFill="1" applyBorder="1" applyAlignment="1" applyProtection="1">
      <alignment horizontal="center"/>
      <protection/>
    </xf>
    <xf numFmtId="4" fontId="81" fillId="7" borderId="7" xfId="0" applyNumberFormat="1" applyFont="1" applyFill="1" applyBorder="1" applyAlignment="1" applyProtection="1">
      <alignment horizontal="center"/>
      <protection/>
    </xf>
    <xf numFmtId="4" fontId="81" fillId="19" borderId="7" xfId="0" applyNumberFormat="1" applyFont="1" applyFill="1" applyBorder="1" applyAlignment="1" applyProtection="1">
      <alignment horizontal="center"/>
      <protection/>
    </xf>
    <xf numFmtId="192" fontId="35" fillId="0" borderId="7" xfId="0" applyNumberFormat="1" applyFont="1" applyFill="1" applyBorder="1" applyAlignment="1">
      <alignment horizontal="center"/>
    </xf>
    <xf numFmtId="188" fontId="113" fillId="0" borderId="0" xfId="0" applyNumberFormat="1" applyFont="1" applyBorder="1" applyAlignment="1" applyProtection="1">
      <alignment horizontal="center"/>
      <protection/>
    </xf>
    <xf numFmtId="189" fontId="29" fillId="0" borderId="0" xfId="0" applyNumberFormat="1" applyFont="1" applyBorder="1" applyAlignment="1" applyProtection="1">
      <alignment horizontal="center"/>
      <protection/>
    </xf>
    <xf numFmtId="192" fontId="29" fillId="0" borderId="0" xfId="0" applyNumberFormat="1" applyFont="1" applyBorder="1" applyAlignment="1" applyProtection="1">
      <alignment horizontal="center"/>
      <protection/>
    </xf>
    <xf numFmtId="202" fontId="29" fillId="0" borderId="0" xfId="0" applyNumberFormat="1" applyFont="1" applyBorder="1" applyAlignment="1" applyProtection="1" quotePrefix="1">
      <alignment horizontal="center"/>
      <protection/>
    </xf>
    <xf numFmtId="2" fontId="111" fillId="14" borderId="18" xfId="0" applyNumberFormat="1" applyFont="1" applyFill="1" applyBorder="1" applyAlignment="1" applyProtection="1">
      <alignment horizontal="center"/>
      <protection/>
    </xf>
    <xf numFmtId="2" fontId="21" fillId="12" borderId="18" xfId="0" applyNumberFormat="1" applyFont="1" applyFill="1" applyBorder="1" applyAlignment="1" applyProtection="1">
      <alignment horizontal="center"/>
      <protection/>
    </xf>
    <xf numFmtId="2" fontId="114" fillId="4" borderId="18" xfId="0" applyNumberFormat="1" applyFont="1" applyFill="1" applyBorder="1" applyAlignment="1" applyProtection="1">
      <alignment horizontal="center"/>
      <protection/>
    </xf>
    <xf numFmtId="2" fontId="111" fillId="18" borderId="18" xfId="0" applyNumberFormat="1" applyFont="1" applyFill="1" applyBorder="1" applyAlignment="1" applyProtection="1">
      <alignment horizontal="center"/>
      <protection/>
    </xf>
    <xf numFmtId="2" fontId="111" fillId="7" borderId="18" xfId="0" applyNumberFormat="1" applyFont="1" applyFill="1" applyBorder="1" applyAlignment="1" applyProtection="1">
      <alignment horizontal="center"/>
      <protection/>
    </xf>
    <xf numFmtId="2" fontId="111" fillId="19" borderId="18" xfId="0" applyNumberFormat="1" applyFont="1" applyFill="1" applyBorder="1" applyAlignment="1" applyProtection="1">
      <alignment horizontal="center"/>
      <protection/>
    </xf>
    <xf numFmtId="2" fontId="29" fillId="0" borderId="55" xfId="0" applyNumberFormat="1" applyFont="1" applyBorder="1" applyAlignment="1" applyProtection="1">
      <alignment horizontal="center"/>
      <protection/>
    </xf>
    <xf numFmtId="166" fontId="16" fillId="0" borderId="18" xfId="0" applyNumberFormat="1" applyFont="1" applyBorder="1" applyAlignment="1" applyProtection="1">
      <alignment horizontal="right"/>
      <protection/>
    </xf>
    <xf numFmtId="2" fontId="111" fillId="0" borderId="32" xfId="0" applyNumberFormat="1" applyFont="1" applyFill="1" applyBorder="1" applyAlignment="1" applyProtection="1">
      <alignment horizontal="center"/>
      <protection/>
    </xf>
    <xf numFmtId="2" fontId="21" fillId="0" borderId="32" xfId="0" applyNumberFormat="1" applyFont="1" applyFill="1" applyBorder="1" applyAlignment="1" applyProtection="1">
      <alignment horizontal="center"/>
      <protection/>
    </xf>
    <xf numFmtId="2" fontId="114" fillId="0" borderId="32" xfId="0" applyNumberFormat="1" applyFont="1" applyFill="1" applyBorder="1" applyAlignment="1" applyProtection="1">
      <alignment horizontal="center"/>
      <protection/>
    </xf>
    <xf numFmtId="2" fontId="29" fillId="0" borderId="0" xfId="0" applyNumberFormat="1" applyFont="1" applyBorder="1" applyAlignment="1" applyProtection="1">
      <alignment horizontal="center"/>
      <protection/>
    </xf>
    <xf numFmtId="166" fontId="29" fillId="0" borderId="0" xfId="0" applyNumberFormat="1" applyFont="1" applyBorder="1" applyAlignment="1" applyProtection="1">
      <alignment horizontal="center"/>
      <protection/>
    </xf>
    <xf numFmtId="0" fontId="58" fillId="20" borderId="18" xfId="0" applyFont="1" applyFill="1" applyBorder="1" applyAlignment="1" applyProtection="1">
      <alignment horizontal="center" vertical="center"/>
      <protection/>
    </xf>
    <xf numFmtId="0" fontId="33" fillId="0" borderId="26" xfId="0" applyFont="1" applyFill="1" applyBorder="1" applyAlignment="1" applyProtection="1">
      <alignment horizontal="centerContinuous" vertical="center"/>
      <protection/>
    </xf>
    <xf numFmtId="0" fontId="33" fillId="0" borderId="32" xfId="0" applyFont="1" applyFill="1" applyBorder="1" applyAlignment="1" applyProtection="1">
      <alignment horizontal="centerContinuous" vertical="center"/>
      <protection/>
    </xf>
    <xf numFmtId="0" fontId="80" fillId="21" borderId="18" xfId="0" applyFont="1" applyFill="1" applyBorder="1" applyAlignment="1">
      <alignment horizontal="center" vertical="center" wrapText="1"/>
    </xf>
    <xf numFmtId="0" fontId="80" fillId="22" borderId="26" xfId="0" applyFont="1" applyFill="1" applyBorder="1" applyAlignment="1" applyProtection="1">
      <alignment horizontal="centerContinuous" vertical="center" wrapText="1"/>
      <protection/>
    </xf>
    <xf numFmtId="0" fontId="80" fillId="22" borderId="27" xfId="0" applyFont="1" applyFill="1" applyBorder="1" applyAlignment="1">
      <alignment horizontal="centerContinuous" vertical="center"/>
    </xf>
    <xf numFmtId="0" fontId="80" fillId="4" borderId="18" xfId="0" applyFont="1" applyFill="1" applyBorder="1" applyAlignment="1">
      <alignment horizontal="centerContinuous" vertical="center" wrapText="1"/>
    </xf>
    <xf numFmtId="0" fontId="80" fillId="20" borderId="62" xfId="0" applyFont="1" applyFill="1" applyBorder="1" applyAlignment="1">
      <alignment vertical="center" wrapText="1"/>
    </xf>
    <xf numFmtId="0" fontId="80" fillId="20" borderId="39" xfId="0" applyFont="1" applyFill="1" applyBorder="1" applyAlignment="1">
      <alignment vertical="center" wrapText="1"/>
    </xf>
    <xf numFmtId="0" fontId="80" fillId="20" borderId="55" xfId="0" applyFont="1" applyFill="1" applyBorder="1" applyAlignment="1">
      <alignment vertical="center" wrapText="1"/>
    </xf>
    <xf numFmtId="188" fontId="4" fillId="0" borderId="1" xfId="0" applyNumberFormat="1" applyFont="1" applyFill="1" applyBorder="1" applyAlignment="1" applyProtection="1">
      <alignment horizontal="center"/>
      <protection/>
    </xf>
    <xf numFmtId="0" fontId="115" fillId="3" borderId="1" xfId="0" applyFont="1" applyFill="1" applyBorder="1" applyAlignment="1">
      <alignment horizontal="center"/>
    </xf>
    <xf numFmtId="0" fontId="115" fillId="2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59" fillId="3" borderId="42" xfId="0" applyFont="1" applyFill="1" applyBorder="1" applyAlignment="1">
      <alignment horizontal="center"/>
    </xf>
    <xf numFmtId="0" fontId="84" fillId="21" borderId="42" xfId="0" applyFont="1" applyFill="1" applyBorder="1" applyAlignment="1">
      <alignment horizontal="center"/>
    </xf>
    <xf numFmtId="0" fontId="84" fillId="22" borderId="47" xfId="0" applyFont="1" applyFill="1" applyBorder="1" applyAlignment="1">
      <alignment horizontal="center"/>
    </xf>
    <xf numFmtId="0" fontId="84" fillId="22" borderId="49" xfId="0" applyFont="1" applyFill="1" applyBorder="1" applyAlignment="1">
      <alignment horizontal="left"/>
    </xf>
    <xf numFmtId="0" fontId="84" fillId="4" borderId="42" xfId="0" applyFont="1" applyFill="1" applyBorder="1" applyAlignment="1">
      <alignment horizontal="left"/>
    </xf>
    <xf numFmtId="0" fontId="84" fillId="20" borderId="38" xfId="0" applyFont="1" applyFill="1" applyBorder="1" applyAlignment="1">
      <alignment horizontal="left"/>
    </xf>
    <xf numFmtId="0" fontId="84" fillId="20" borderId="0" xfId="0" applyFont="1" applyFill="1" applyBorder="1" applyAlignment="1">
      <alignment horizontal="left"/>
    </xf>
    <xf numFmtId="0" fontId="84" fillId="20" borderId="37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192" fontId="115" fillId="3" borderId="1" xfId="0" applyNumberFormat="1" applyFont="1" applyFill="1" applyBorder="1" applyAlignment="1" applyProtection="1">
      <alignment horizontal="center"/>
      <protection/>
    </xf>
    <xf numFmtId="192" fontId="115" fillId="20" borderId="1" xfId="0" applyNumberFormat="1" applyFont="1" applyFill="1" applyBorder="1" applyAlignment="1" applyProtection="1">
      <alignment horizontal="center"/>
      <protection/>
    </xf>
    <xf numFmtId="192" fontId="4" fillId="0" borderId="5" xfId="0" applyNumberFormat="1" applyFont="1" applyBorder="1" applyAlignment="1" applyProtection="1">
      <alignment horizontal="centerContinuous"/>
      <protection/>
    </xf>
    <xf numFmtId="192" fontId="4" fillId="0" borderId="2" xfId="0" applyNumberFormat="1" applyFont="1" applyBorder="1" applyAlignment="1" applyProtection="1">
      <alignment horizontal="centerContinuous"/>
      <protection/>
    </xf>
    <xf numFmtId="188" fontId="59" fillId="3" borderId="1" xfId="0" applyNumberFormat="1" applyFont="1" applyFill="1" applyBorder="1" applyAlignment="1" applyProtection="1">
      <alignment horizontal="center"/>
      <protection/>
    </xf>
    <xf numFmtId="2" fontId="81" fillId="21" borderId="1" xfId="0" applyNumberFormat="1" applyFont="1" applyFill="1" applyBorder="1" applyAlignment="1">
      <alignment horizontal="center"/>
    </xf>
    <xf numFmtId="192" fontId="81" fillId="22" borderId="20" xfId="0" applyNumberFormat="1" applyFont="1" applyFill="1" applyBorder="1" applyAlignment="1" applyProtection="1" quotePrefix="1">
      <alignment horizontal="center"/>
      <protection/>
    </xf>
    <xf numFmtId="192" fontId="81" fillId="22" borderId="11" xfId="0" applyNumberFormat="1" applyFont="1" applyFill="1" applyBorder="1" applyAlignment="1" applyProtection="1" quotePrefix="1">
      <alignment horizontal="center"/>
      <protection/>
    </xf>
    <xf numFmtId="192" fontId="81" fillId="20" borderId="38" xfId="0" applyNumberFormat="1" applyFont="1" applyFill="1" applyBorder="1" applyAlignment="1" applyProtection="1" quotePrefix="1">
      <alignment horizontal="center"/>
      <protection/>
    </xf>
    <xf numFmtId="192" fontId="81" fillId="20" borderId="0" xfId="0" applyNumberFormat="1" applyFont="1" applyFill="1" applyBorder="1" applyAlignment="1" applyProtection="1" quotePrefix="1">
      <alignment horizontal="center"/>
      <protection/>
    </xf>
    <xf numFmtId="192" fontId="81" fillId="20" borderId="37" xfId="0" applyNumberFormat="1" applyFont="1" applyFill="1" applyBorder="1" applyAlignment="1" applyProtection="1" quotePrefix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center"/>
      <protection/>
    </xf>
    <xf numFmtId="188" fontId="4" fillId="0" borderId="12" xfId="0" applyNumberFormat="1" applyFont="1" applyBorder="1" applyAlignment="1" applyProtection="1">
      <alignment horizontal="center"/>
      <protection/>
    </xf>
    <xf numFmtId="1" fontId="4" fillId="0" borderId="57" xfId="0" applyNumberFormat="1" applyFont="1" applyBorder="1" applyAlignment="1" applyProtection="1" quotePrefix="1">
      <alignment horizontal="center"/>
      <protection/>
    </xf>
    <xf numFmtId="192" fontId="115" fillId="3" borderId="7" xfId="0" applyNumberFormat="1" applyFont="1" applyFill="1" applyBorder="1" applyAlignment="1" applyProtection="1">
      <alignment horizontal="center"/>
      <protection/>
    </xf>
    <xf numFmtId="192" fontId="115" fillId="20" borderId="7" xfId="0" applyNumberFormat="1" applyFont="1" applyFill="1" applyBorder="1" applyAlignment="1" applyProtection="1">
      <alignment horizontal="center"/>
      <protection/>
    </xf>
    <xf numFmtId="22" fontId="4" fillId="0" borderId="7" xfId="0" applyNumberFormat="1" applyFont="1" applyFill="1" applyBorder="1" applyAlignment="1">
      <alignment horizontal="center"/>
    </xf>
    <xf numFmtId="22" fontId="4" fillId="0" borderId="7" xfId="0" applyNumberFormat="1" applyFont="1" applyFill="1" applyBorder="1" applyAlignment="1" applyProtection="1">
      <alignment horizontal="center"/>
      <protection/>
    </xf>
    <xf numFmtId="4" fontId="4" fillId="0" borderId="7" xfId="0" applyNumberFormat="1" applyFont="1" applyFill="1" applyBorder="1" applyAlignment="1" applyProtection="1">
      <alignment horizontal="center"/>
      <protection/>
    </xf>
    <xf numFmtId="3" fontId="4" fillId="0" borderId="7" xfId="0" applyNumberFormat="1" applyFont="1" applyFill="1" applyBorder="1" applyAlignment="1" applyProtection="1">
      <alignment horizontal="center"/>
      <protection/>
    </xf>
    <xf numFmtId="192" fontId="4" fillId="0" borderId="15" xfId="0" applyNumberFormat="1" applyFont="1" applyBorder="1" applyAlignment="1" applyProtection="1">
      <alignment horizontal="centerContinuous"/>
      <protection/>
    </xf>
    <xf numFmtId="192" fontId="4" fillId="0" borderId="13" xfId="0" applyNumberFormat="1" applyFont="1" applyBorder="1" applyAlignment="1" applyProtection="1">
      <alignment horizontal="centerContinuous"/>
      <protection/>
    </xf>
    <xf numFmtId="188" fontId="59" fillId="3" borderId="7" xfId="0" applyNumberFormat="1" applyFont="1" applyFill="1" applyBorder="1" applyAlignment="1" applyProtection="1">
      <alignment horizontal="center"/>
      <protection/>
    </xf>
    <xf numFmtId="2" fontId="84" fillId="21" borderId="7" xfId="0" applyNumberFormat="1" applyFont="1" applyFill="1" applyBorder="1" applyAlignment="1">
      <alignment horizontal="center"/>
    </xf>
    <xf numFmtId="192" fontId="84" fillId="22" borderId="56" xfId="0" applyNumberFormat="1" applyFont="1" applyFill="1" applyBorder="1" applyAlignment="1" applyProtection="1" quotePrefix="1">
      <alignment horizontal="center"/>
      <protection/>
    </xf>
    <xf numFmtId="192" fontId="84" fillId="22" borderId="57" xfId="0" applyNumberFormat="1" applyFont="1" applyFill="1" applyBorder="1" applyAlignment="1" applyProtection="1" quotePrefix="1">
      <alignment horizontal="center"/>
      <protection/>
    </xf>
    <xf numFmtId="192" fontId="84" fillId="4" borderId="7" xfId="0" applyNumberFormat="1" applyFont="1" applyFill="1" applyBorder="1" applyAlignment="1" applyProtection="1" quotePrefix="1">
      <alignment horizontal="center"/>
      <protection/>
    </xf>
    <xf numFmtId="192" fontId="84" fillId="20" borderId="15" xfId="0" applyNumberFormat="1" applyFont="1" applyFill="1" applyBorder="1" applyAlignment="1" applyProtection="1" quotePrefix="1">
      <alignment horizontal="center"/>
      <protection/>
    </xf>
    <xf numFmtId="192" fontId="84" fillId="20" borderId="17" xfId="0" applyNumberFormat="1" applyFont="1" applyFill="1" applyBorder="1" applyAlignment="1" applyProtection="1" quotePrefix="1">
      <alignment horizontal="center"/>
      <protection/>
    </xf>
    <xf numFmtId="192" fontId="84" fillId="20" borderId="13" xfId="0" applyNumberFormat="1" applyFont="1" applyFill="1" applyBorder="1" applyAlignment="1" applyProtection="1" quotePrefix="1">
      <alignment horizontal="center"/>
      <protection/>
    </xf>
    <xf numFmtId="192" fontId="4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92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92" fontId="4" fillId="0" borderId="0" xfId="0" applyNumberFormat="1" applyFont="1" applyBorder="1" applyAlignment="1" applyProtection="1" quotePrefix="1">
      <alignment horizontal="center"/>
      <protection/>
    </xf>
    <xf numFmtId="188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92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18" xfId="0" applyNumberFormat="1" applyFont="1" applyFill="1" applyBorder="1" applyAlignment="1">
      <alignment horizontal="right"/>
    </xf>
    <xf numFmtId="192" fontId="4" fillId="0" borderId="0" xfId="0" applyNumberFormat="1" applyFont="1" applyBorder="1" applyAlignment="1" applyProtection="1" quotePrefix="1">
      <alignment horizontal="centerContinuous"/>
      <protection/>
    </xf>
    <xf numFmtId="192" fontId="4" fillId="0" borderId="0" xfId="0" applyNumberFormat="1" applyFont="1" applyBorder="1" applyAlignment="1" applyProtection="1">
      <alignment horizontal="centerContinuous"/>
      <protection/>
    </xf>
    <xf numFmtId="4" fontId="18" fillId="0" borderId="0" xfId="0" applyNumberFormat="1" applyFont="1" applyFill="1" applyBorder="1" applyAlignment="1">
      <alignment horizontal="right"/>
    </xf>
    <xf numFmtId="2" fontId="116" fillId="0" borderId="0" xfId="0" applyNumberFormat="1" applyFont="1" applyBorder="1" applyAlignment="1" applyProtection="1">
      <alignment horizontal="left"/>
      <protection/>
    </xf>
    <xf numFmtId="192" fontId="116" fillId="0" borderId="0" xfId="0" applyNumberFormat="1" applyFont="1" applyBorder="1" applyAlignment="1" applyProtection="1">
      <alignment horizontal="center"/>
      <protection/>
    </xf>
    <xf numFmtId="0" fontId="116" fillId="0" borderId="0" xfId="0" applyFont="1" applyBorder="1" applyAlignment="1" applyProtection="1">
      <alignment horizontal="center"/>
      <protection/>
    </xf>
    <xf numFmtId="189" fontId="116" fillId="0" borderId="0" xfId="0" applyNumberFormat="1" applyFont="1" applyBorder="1" applyAlignment="1" applyProtection="1">
      <alignment horizontal="center"/>
      <protection/>
    </xf>
    <xf numFmtId="0" fontId="117" fillId="0" borderId="0" xfId="0" applyFont="1" applyAlignment="1">
      <alignment/>
    </xf>
    <xf numFmtId="202" fontId="116" fillId="0" borderId="0" xfId="0" applyNumberFormat="1" applyFont="1" applyBorder="1" applyAlignment="1" applyProtection="1" quotePrefix="1">
      <alignment horizontal="center"/>
      <protection/>
    </xf>
    <xf numFmtId="0" fontId="116" fillId="0" borderId="0" xfId="0" applyFont="1" applyAlignment="1">
      <alignment/>
    </xf>
    <xf numFmtId="2" fontId="116" fillId="0" borderId="0" xfId="0" applyNumberFormat="1" applyFont="1" applyBorder="1" applyAlignment="1" applyProtection="1">
      <alignment horizontal="center"/>
      <protection/>
    </xf>
    <xf numFmtId="192" fontId="116" fillId="0" borderId="0" xfId="0" applyNumberFormat="1" applyFont="1" applyBorder="1" applyAlignment="1" applyProtection="1" quotePrefix="1">
      <alignment horizontal="center"/>
      <protection/>
    </xf>
    <xf numFmtId="4" fontId="29" fillId="0" borderId="2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18" fillId="0" borderId="0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 horizontal="center"/>
    </xf>
    <xf numFmtId="202" fontId="12" fillId="0" borderId="0" xfId="0" applyNumberFormat="1" applyFont="1" applyBorder="1" applyAlignment="1" applyProtection="1">
      <alignment horizontal="left"/>
      <protection/>
    </xf>
    <xf numFmtId="192" fontId="12" fillId="0" borderId="0" xfId="0" applyNumberFormat="1" applyFont="1" applyBorder="1" applyAlignment="1" applyProtection="1">
      <alignment horizontal="left"/>
      <protection/>
    </xf>
    <xf numFmtId="2" fontId="119" fillId="0" borderId="0" xfId="0" applyNumberFormat="1" applyFont="1" applyBorder="1" applyAlignment="1" applyProtection="1">
      <alignment horizontal="center"/>
      <protection/>
    </xf>
    <xf numFmtId="192" fontId="113" fillId="0" borderId="0" xfId="0" applyNumberFormat="1" applyFont="1" applyBorder="1" applyAlignment="1" applyProtection="1" quotePrefix="1">
      <alignment horizontal="center"/>
      <protection/>
    </xf>
    <xf numFmtId="4" fontId="113" fillId="0" borderId="0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Border="1" applyAlignment="1">
      <alignment horizontal="centerContinuous"/>
    </xf>
    <xf numFmtId="195" fontId="29" fillId="0" borderId="0" xfId="0" applyNumberFormat="1" applyFont="1" applyBorder="1" applyAlignment="1" applyProtection="1">
      <alignment horizontal="center"/>
      <protection/>
    </xf>
    <xf numFmtId="1" fontId="29" fillId="0" borderId="0" xfId="0" applyNumberFormat="1" applyFont="1" applyBorder="1" applyAlignment="1" applyProtection="1">
      <alignment horizontal="center"/>
      <protection/>
    </xf>
    <xf numFmtId="216" fontId="29" fillId="0" borderId="0" xfId="0" applyNumberFormat="1" applyFont="1" applyBorder="1" applyAlignment="1" applyProtection="1">
      <alignment horizontal="centerContinuous"/>
      <protection/>
    </xf>
    <xf numFmtId="216" fontId="116" fillId="0" borderId="0" xfId="0" applyNumberFormat="1" applyFont="1" applyBorder="1" applyAlignment="1" applyProtection="1">
      <alignment horizontal="centerContinuous"/>
      <protection/>
    </xf>
    <xf numFmtId="192" fontId="116" fillId="0" borderId="0" xfId="0" applyNumberFormat="1" applyFont="1" applyBorder="1" applyAlignment="1" applyProtection="1" quotePrefix="1">
      <alignment horizontal="left"/>
      <protection/>
    </xf>
    <xf numFmtId="192" fontId="29" fillId="0" borderId="0" xfId="0" applyNumberFormat="1" applyFont="1" applyBorder="1" applyAlignment="1">
      <alignment/>
    </xf>
    <xf numFmtId="192" fontId="29" fillId="0" borderId="0" xfId="0" applyNumberFormat="1" applyFont="1" applyBorder="1" applyAlignment="1" applyProtection="1">
      <alignment horizontal="centerContinuous"/>
      <protection/>
    </xf>
    <xf numFmtId="192" fontId="116" fillId="0" borderId="0" xfId="0" applyNumberFormat="1" applyFont="1" applyBorder="1" applyAlignment="1" applyProtection="1" quotePrefix="1">
      <alignment horizontal="right"/>
      <protection/>
    </xf>
    <xf numFmtId="166" fontId="29" fillId="0" borderId="3" xfId="0" applyNumberFormat="1" applyFont="1" applyBorder="1" applyAlignment="1">
      <alignment horizontal="centerContinuous"/>
    </xf>
    <xf numFmtId="166" fontId="29" fillId="0" borderId="0" xfId="0" applyNumberFormat="1" applyFont="1" applyBorder="1" applyAlignment="1">
      <alignment horizontal="right"/>
    </xf>
    <xf numFmtId="192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166" fontId="29" fillId="0" borderId="0" xfId="0" applyNumberFormat="1" applyFont="1" applyAlignment="1">
      <alignment horizontal="right"/>
    </xf>
    <xf numFmtId="0" fontId="29" fillId="0" borderId="0" xfId="0" applyFont="1" applyAlignment="1" quotePrefix="1">
      <alignment/>
    </xf>
    <xf numFmtId="192" fontId="29" fillId="0" borderId="0" xfId="0" applyNumberFormat="1" applyFont="1" applyBorder="1" applyAlignment="1" applyProtection="1" quotePrefix="1">
      <alignment horizontal="center"/>
      <protection/>
    </xf>
    <xf numFmtId="166" fontId="29" fillId="0" borderId="0" xfId="0" applyNumberFormat="1" applyFont="1" applyBorder="1" applyAlignment="1" applyProtection="1">
      <alignment horizontal="left"/>
      <protection/>
    </xf>
    <xf numFmtId="0" fontId="117" fillId="0" borderId="0" xfId="0" applyFont="1" applyAlignment="1" quotePrefix="1">
      <alignment/>
    </xf>
    <xf numFmtId="0" fontId="120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2" fontId="14" fillId="0" borderId="0" xfId="0" applyNumberFormat="1" applyFont="1" applyBorder="1" applyAlignment="1" applyProtection="1">
      <alignment horizontal="left" vertical="center"/>
      <protection/>
    </xf>
    <xf numFmtId="0" fontId="120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89" fontId="14" fillId="0" borderId="0" xfId="0" applyNumberFormat="1" applyFont="1" applyBorder="1" applyAlignment="1" applyProtection="1">
      <alignment horizontal="center" vertical="center"/>
      <protection/>
    </xf>
    <xf numFmtId="4" fontId="13" fillId="0" borderId="26" xfId="0" applyNumberFormat="1" applyFont="1" applyBorder="1" applyAlignment="1" applyProtection="1">
      <alignment horizontal="center" vertical="center"/>
      <protection/>
    </xf>
    <xf numFmtId="166" fontId="121" fillId="0" borderId="27" xfId="0" applyNumberFormat="1" applyFont="1" applyFill="1" applyBorder="1" applyAlignment="1">
      <alignment horizontal="center" vertical="center"/>
    </xf>
    <xf numFmtId="192" fontId="14" fillId="0" borderId="0" xfId="0" applyNumberFormat="1" applyFont="1" applyBorder="1" applyAlignment="1" applyProtection="1">
      <alignment horizontal="center" vertical="center"/>
      <protection/>
    </xf>
    <xf numFmtId="202" fontId="14" fillId="0" borderId="0" xfId="0" applyNumberFormat="1" applyFont="1" applyBorder="1" applyAlignment="1" applyProtection="1" quotePrefix="1">
      <alignment horizontal="center" vertical="center"/>
      <protection/>
    </xf>
    <xf numFmtId="2" fontId="122" fillId="0" borderId="0" xfId="0" applyNumberFormat="1" applyFont="1" applyBorder="1" applyAlignment="1" applyProtection="1">
      <alignment horizontal="center" vertical="center"/>
      <protection/>
    </xf>
    <xf numFmtId="192" fontId="123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5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216" fontId="29" fillId="0" borderId="0" xfId="0" applyNumberFormat="1" applyFont="1" applyBorder="1" applyAlignment="1">
      <alignment/>
    </xf>
    <xf numFmtId="4" fontId="116" fillId="0" borderId="0" xfId="0" applyNumberFormat="1" applyFont="1" applyBorder="1" applyAlignment="1" applyProtection="1">
      <alignment horizontal="center"/>
      <protection/>
    </xf>
    <xf numFmtId="166" fontId="116" fillId="0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 applyProtection="1">
      <alignment horizontal="centerContinuous"/>
      <protection/>
    </xf>
    <xf numFmtId="166" fontId="116" fillId="0" borderId="3" xfId="0" applyNumberFormat="1" applyFont="1" applyFill="1" applyBorder="1" applyAlignment="1">
      <alignment horizontal="center"/>
    </xf>
    <xf numFmtId="0" fontId="94" fillId="0" borderId="0" xfId="0" applyFont="1" applyAlignment="1">
      <alignment horizontal="right" vertical="top"/>
    </xf>
    <xf numFmtId="1" fontId="0" fillId="0" borderId="64" xfId="0" applyNumberFormat="1" applyBorder="1" applyAlignment="1">
      <alignment horizontal="center"/>
    </xf>
    <xf numFmtId="0" fontId="16" fillId="0" borderId="65" xfId="0" applyFont="1" applyBorder="1" applyAlignment="1">
      <alignment horizontal="centerContinuous"/>
    </xf>
    <xf numFmtId="0" fontId="16" fillId="0" borderId="66" xfId="0" applyFont="1" applyBorder="1" applyAlignment="1">
      <alignment horizontal="centerContinuous"/>
    </xf>
    <xf numFmtId="203" fontId="0" fillId="0" borderId="67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16" fillId="0" borderId="68" xfId="0" applyFont="1" applyBorder="1" applyAlignment="1">
      <alignment horizontal="centerContinuous"/>
    </xf>
    <xf numFmtId="0" fontId="16" fillId="0" borderId="69" xfId="0" applyFont="1" applyBorder="1" applyAlignment="1">
      <alignment horizontal="centerContinuous"/>
    </xf>
    <xf numFmtId="203" fontId="16" fillId="0" borderId="70" xfId="0" applyNumberFormat="1" applyFont="1" applyBorder="1" applyAlignment="1">
      <alignment horizontal="center"/>
    </xf>
    <xf numFmtId="1" fontId="16" fillId="0" borderId="70" xfId="0" applyNumberFormat="1" applyFont="1" applyBorder="1" applyAlignment="1">
      <alignment horizontal="center"/>
    </xf>
    <xf numFmtId="0" fontId="16" fillId="0" borderId="71" xfId="0" applyFont="1" applyBorder="1" applyAlignment="1">
      <alignment horizontal="centerContinuous"/>
    </xf>
    <xf numFmtId="0" fontId="16" fillId="0" borderId="72" xfId="0" applyFont="1" applyBorder="1" applyAlignment="1">
      <alignment horizontal="centerContinuous"/>
    </xf>
    <xf numFmtId="203" fontId="16" fillId="0" borderId="73" xfId="0" applyNumberFormat="1" applyFont="1" applyFill="1" applyBorder="1" applyAlignment="1">
      <alignment horizontal="center"/>
    </xf>
    <xf numFmtId="1" fontId="16" fillId="0" borderId="73" xfId="0" applyNumberFormat="1" applyFont="1" applyFill="1" applyBorder="1" applyAlignment="1">
      <alignment horizontal="center"/>
    </xf>
    <xf numFmtId="216" fontId="12" fillId="0" borderId="27" xfId="0" applyNumberFormat="1" applyFont="1" applyBorder="1" applyAlignment="1" applyProtection="1">
      <alignment horizontal="centerContinuous"/>
      <protection/>
    </xf>
    <xf numFmtId="2" fontId="111" fillId="0" borderId="17" xfId="0" applyNumberFormat="1" applyFont="1" applyFill="1" applyBorder="1" applyAlignment="1" applyProtection="1">
      <alignment horizontal="center"/>
      <protection/>
    </xf>
    <xf numFmtId="2" fontId="21" fillId="0" borderId="17" xfId="0" applyNumberFormat="1" applyFont="1" applyFill="1" applyBorder="1" applyAlignment="1" applyProtection="1">
      <alignment horizontal="center"/>
      <protection/>
    </xf>
    <xf numFmtId="2" fontId="114" fillId="0" borderId="17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Continuous"/>
    </xf>
    <xf numFmtId="192" fontId="4" fillId="0" borderId="1" xfId="0" applyNumberFormat="1" applyFont="1" applyBorder="1" applyAlignment="1" applyProtection="1">
      <alignment horizontal="centerContinuous"/>
      <protection/>
    </xf>
    <xf numFmtId="192" fontId="4" fillId="0" borderId="7" xfId="0" applyNumberFormat="1" applyFont="1" applyBorder="1" applyAlignment="1" applyProtection="1">
      <alignment horizontal="centerContinuous"/>
      <protection/>
    </xf>
    <xf numFmtId="0" fontId="6" fillId="0" borderId="40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6" fillId="0" borderId="74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188" fontId="5" fillId="0" borderId="12" xfId="0" applyNumberFormat="1" applyFont="1" applyBorder="1" applyAlignment="1" applyProtection="1" quotePrefix="1">
      <alignment horizontal="center"/>
      <protection/>
    </xf>
    <xf numFmtId="192" fontId="59" fillId="3" borderId="12" xfId="0" applyNumberFormat="1" applyFont="1" applyFill="1" applyBorder="1" applyAlignment="1" applyProtection="1">
      <alignment horizontal="center"/>
      <protection/>
    </xf>
    <xf numFmtId="22" fontId="4" fillId="0" borderId="56" xfId="0" applyNumberFormat="1" applyFont="1" applyBorder="1" applyAlignment="1">
      <alignment horizontal="center"/>
    </xf>
    <xf numFmtId="22" fontId="4" fillId="0" borderId="12" xfId="0" applyNumberFormat="1" applyFont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 quotePrefix="1">
      <alignment horizontal="center"/>
      <protection/>
    </xf>
    <xf numFmtId="188" fontId="4" fillId="0" borderId="12" xfId="0" applyNumberFormat="1" applyFont="1" applyFill="1" applyBorder="1" applyAlignment="1" applyProtection="1" quotePrefix="1">
      <alignment horizontal="center"/>
      <protection/>
    </xf>
    <xf numFmtId="192" fontId="4" fillId="0" borderId="75" xfId="0" applyNumberFormat="1" applyFont="1" applyBorder="1" applyAlignment="1" applyProtection="1">
      <alignment horizontal="center"/>
      <protection/>
    </xf>
    <xf numFmtId="192" fontId="59" fillId="0" borderId="1" xfId="0" applyNumberFormat="1" applyFont="1" applyFill="1" applyBorder="1" applyAlignment="1" applyProtection="1">
      <alignment horizontal="center"/>
      <protection/>
    </xf>
    <xf numFmtId="22" fontId="4" fillId="0" borderId="14" xfId="0" applyNumberFormat="1" applyFont="1" applyFill="1" applyBorder="1" applyAlignment="1">
      <alignment horizontal="center"/>
    </xf>
    <xf numFmtId="192" fontId="4" fillId="0" borderId="2" xfId="0" applyNumberFormat="1" applyFont="1" applyFill="1" applyBorder="1" applyAlignment="1" applyProtection="1">
      <alignment horizontal="center"/>
      <protection/>
    </xf>
    <xf numFmtId="192" fontId="4" fillId="0" borderId="74" xfId="0" applyNumberFormat="1" applyFont="1" applyBorder="1" applyAlignment="1" applyProtection="1">
      <alignment horizontal="center"/>
      <protection/>
    </xf>
    <xf numFmtId="188" fontId="84" fillId="10" borderId="12" xfId="0" applyNumberFormat="1" applyFont="1" applyFill="1" applyBorder="1" applyAlignment="1" applyProtection="1">
      <alignment horizontal="center"/>
      <protection/>
    </xf>
    <xf numFmtId="2" fontId="90" fillId="11" borderId="12" xfId="0" applyNumberFormat="1" applyFont="1" applyFill="1" applyBorder="1" applyAlignment="1">
      <alignment horizontal="center"/>
    </xf>
    <xf numFmtId="192" fontId="53" fillId="5" borderId="56" xfId="0" applyNumberFormat="1" applyFont="1" applyFill="1" applyBorder="1" applyAlignment="1" applyProtection="1" quotePrefix="1">
      <alignment horizontal="center"/>
      <protection/>
    </xf>
    <xf numFmtId="192" fontId="53" fillId="5" borderId="57" xfId="0" applyNumberFormat="1" applyFont="1" applyFill="1" applyBorder="1" applyAlignment="1" applyProtection="1" quotePrefix="1">
      <alignment horizontal="center"/>
      <protection/>
    </xf>
    <xf numFmtId="192" fontId="81" fillId="4" borderId="12" xfId="0" applyNumberFormat="1" applyFont="1" applyFill="1" applyBorder="1" applyAlignment="1" applyProtection="1" quotePrefix="1">
      <alignment horizontal="center"/>
      <protection/>
    </xf>
    <xf numFmtId="192" fontId="4" fillId="0" borderId="12" xfId="0" applyNumberFormat="1" applyFont="1" applyBorder="1" applyAlignment="1">
      <alignment horizontal="center"/>
    </xf>
    <xf numFmtId="4" fontId="18" fillId="0" borderId="1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88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26" fillId="0" borderId="1" xfId="0" applyFont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6" fillId="0" borderId="5" xfId="0" applyFont="1" applyFill="1" applyBorder="1" applyAlignment="1" applyProtection="1">
      <alignment horizontal="center"/>
      <protection/>
    </xf>
    <xf numFmtId="188" fontId="5" fillId="0" borderId="1" xfId="0" applyNumberFormat="1" applyFont="1" applyFill="1" applyBorder="1" applyAlignment="1" applyProtection="1" quotePrefix="1">
      <alignment horizontal="center"/>
      <protection/>
    </xf>
    <xf numFmtId="188" fontId="84" fillId="0" borderId="1" xfId="0" applyNumberFormat="1" applyFont="1" applyFill="1" applyBorder="1" applyAlignment="1" applyProtection="1">
      <alignment horizontal="center"/>
      <protection/>
    </xf>
    <xf numFmtId="2" fontId="90" fillId="0" borderId="1" xfId="0" applyNumberFormat="1" applyFont="1" applyFill="1" applyBorder="1" applyAlignment="1">
      <alignment horizontal="center"/>
    </xf>
    <xf numFmtId="192" fontId="53" fillId="0" borderId="14" xfId="0" applyNumberFormat="1" applyFont="1" applyFill="1" applyBorder="1" applyAlignment="1" applyProtection="1" quotePrefix="1">
      <alignment horizontal="center"/>
      <protection/>
    </xf>
    <xf numFmtId="192" fontId="53" fillId="0" borderId="60" xfId="0" applyNumberFormat="1" applyFont="1" applyFill="1" applyBorder="1" applyAlignment="1" applyProtection="1" quotePrefix="1">
      <alignment horizontal="center"/>
      <protection/>
    </xf>
    <xf numFmtId="192" fontId="81" fillId="0" borderId="1" xfId="0" applyNumberFormat="1" applyFont="1" applyFill="1" applyBorder="1" applyAlignment="1" applyProtection="1" quotePrefix="1">
      <alignment horizontal="center"/>
      <protection/>
    </xf>
    <xf numFmtId="192" fontId="4" fillId="0" borderId="1" xfId="0" applyNumberFormat="1" applyFont="1" applyFill="1" applyBorder="1" applyAlignment="1">
      <alignment horizontal="center"/>
    </xf>
    <xf numFmtId="192" fontId="116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Font="1" applyFill="1" applyAlignment="1">
      <alignment/>
    </xf>
    <xf numFmtId="192" fontId="113" fillId="0" borderId="0" xfId="0" applyNumberFormat="1" applyFont="1" applyFill="1" applyBorder="1" applyAlignment="1" applyProtection="1" quotePrefix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6" applyFont="1" applyFill="1">
      <alignment/>
      <protection/>
    </xf>
    <xf numFmtId="0" fontId="23" fillId="0" borderId="0" xfId="46" applyFont="1">
      <alignment/>
      <protection/>
    </xf>
    <xf numFmtId="0" fontId="94" fillId="0" borderId="0" xfId="46" applyFont="1" applyAlignment="1">
      <alignment horizontal="right" vertical="top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/>
      <protection/>
    </xf>
    <xf numFmtId="0" fontId="4" fillId="0" borderId="0" xfId="46" applyFont="1" applyFill="1">
      <alignment/>
      <protection/>
    </xf>
    <xf numFmtId="0" fontId="4" fillId="0" borderId="0" xfId="46" applyFont="1">
      <alignment/>
      <protection/>
    </xf>
    <xf numFmtId="0" fontId="25" fillId="0" borderId="0" xfId="46" applyFont="1" applyFill="1" applyBorder="1" applyAlignment="1" applyProtection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6" fillId="0" borderId="0" xfId="46" applyFont="1">
      <alignment/>
      <protection/>
    </xf>
    <xf numFmtId="0" fontId="124" fillId="0" borderId="0" xfId="46" applyFont="1" applyBorder="1" applyAlignment="1" applyProtection="1">
      <alignment horizontal="left"/>
      <protection/>
    </xf>
    <xf numFmtId="0" fontId="0" fillId="0" borderId="0" xfId="46">
      <alignment/>
      <protection/>
    </xf>
    <xf numFmtId="0" fontId="8" fillId="0" borderId="0" xfId="46" applyFont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8" fillId="0" borderId="22" xfId="46" applyFont="1" applyBorder="1">
      <alignment/>
      <protection/>
    </xf>
    <xf numFmtId="0" fontId="8" fillId="0" borderId="23" xfId="46" applyFont="1" applyBorder="1">
      <alignment/>
      <protection/>
    </xf>
    <xf numFmtId="0" fontId="14" fillId="0" borderId="0" xfId="46" applyFont="1">
      <alignment/>
      <protection/>
    </xf>
    <xf numFmtId="0" fontId="14" fillId="0" borderId="24" xfId="46" applyFont="1" applyBorder="1">
      <alignment/>
      <protection/>
    </xf>
    <xf numFmtId="0" fontId="14" fillId="0" borderId="0" xfId="46" applyFont="1" applyBorder="1">
      <alignment/>
      <protection/>
    </xf>
    <xf numFmtId="0" fontId="9" fillId="0" borderId="0" xfId="46" applyFont="1" applyBorder="1" applyAlignment="1">
      <alignment horizontal="left"/>
      <protection/>
    </xf>
    <xf numFmtId="0" fontId="39" fillId="0" borderId="0" xfId="46" applyFont="1" applyBorder="1">
      <alignment/>
      <protection/>
    </xf>
    <xf numFmtId="0" fontId="14" fillId="0" borderId="25" xfId="46" applyFont="1" applyFill="1" applyBorder="1">
      <alignment/>
      <protection/>
    </xf>
    <xf numFmtId="0" fontId="0" fillId="0" borderId="24" xfId="46" applyBorder="1">
      <alignment/>
      <protection/>
    </xf>
    <xf numFmtId="0" fontId="0" fillId="0" borderId="0" xfId="46" applyBorder="1">
      <alignment/>
      <protection/>
    </xf>
    <xf numFmtId="0" fontId="4" fillId="0" borderId="0" xfId="46" applyFont="1" applyBorder="1">
      <alignment/>
      <protection/>
    </xf>
    <xf numFmtId="0" fontId="8" fillId="0" borderId="0" xfId="46" applyFont="1" applyBorder="1" applyAlignment="1" applyProtection="1">
      <alignment horizontal="left"/>
      <protection/>
    </xf>
    <xf numFmtId="0" fontId="8" fillId="0" borderId="0" xfId="46" applyFont="1" applyBorder="1">
      <alignment/>
      <protection/>
    </xf>
    <xf numFmtId="0" fontId="125" fillId="0" borderId="0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6" applyFont="1" applyBorder="1">
      <alignment/>
      <protection/>
    </xf>
    <xf numFmtId="0" fontId="14" fillId="0" borderId="25" xfId="46" applyFont="1" applyBorder="1">
      <alignment/>
      <protection/>
    </xf>
    <xf numFmtId="188" fontId="14" fillId="0" borderId="0" xfId="46" applyNumberFormat="1" applyFont="1" applyBorder="1" applyProtection="1">
      <alignment/>
      <protection/>
    </xf>
    <xf numFmtId="0" fontId="14" fillId="0" borderId="0" xfId="46" applyFont="1" applyBorder="1" applyProtection="1">
      <alignment/>
      <protection/>
    </xf>
    <xf numFmtId="0" fontId="39" fillId="0" borderId="0" xfId="46" applyFont="1" applyBorder="1" applyAlignment="1">
      <alignment horizontal="left"/>
      <protection/>
    </xf>
    <xf numFmtId="0" fontId="4" fillId="0" borderId="24" xfId="46" applyFont="1" applyBorder="1">
      <alignment/>
      <protection/>
    </xf>
    <xf numFmtId="0" fontId="4" fillId="0" borderId="0" xfId="46" applyFont="1" applyBorder="1" applyProtection="1">
      <alignment/>
      <protection/>
    </xf>
    <xf numFmtId="0" fontId="4" fillId="0" borderId="25" xfId="46" applyFont="1" applyFill="1" applyBorder="1">
      <alignment/>
      <protection/>
    </xf>
    <xf numFmtId="0" fontId="11" fillId="0" borderId="24" xfId="46" applyFont="1" applyBorder="1" applyAlignment="1">
      <alignment horizontal="centerContinuous"/>
      <protection/>
    </xf>
    <xf numFmtId="0" fontId="11" fillId="0" borderId="0" xfId="46" applyFont="1" applyBorder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25" xfId="46" applyFont="1" applyFill="1" applyBorder="1" applyAlignment="1">
      <alignment horizontal="centerContinuous"/>
      <protection/>
    </xf>
    <xf numFmtId="0" fontId="11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126" fillId="0" borderId="0" xfId="46" applyFont="1" applyBorder="1">
      <alignment/>
      <protection/>
    </xf>
    <xf numFmtId="0" fontId="16" fillId="0" borderId="0" xfId="46" applyFont="1">
      <alignment/>
      <protection/>
    </xf>
    <xf numFmtId="0" fontId="16" fillId="0" borderId="24" xfId="46" applyFont="1" applyBorder="1">
      <alignment/>
      <protection/>
    </xf>
    <xf numFmtId="0" fontId="16" fillId="0" borderId="0" xfId="46" applyFont="1" applyBorder="1">
      <alignment/>
      <protection/>
    </xf>
    <xf numFmtId="0" fontId="0" fillId="0" borderId="26" xfId="46" applyFont="1" applyBorder="1" applyAlignment="1" applyProtection="1">
      <alignment horizontal="center"/>
      <protection/>
    </xf>
    <xf numFmtId="203" fontId="16" fillId="0" borderId="26" xfId="46" applyNumberFormat="1" applyFont="1" applyBorder="1" applyAlignment="1">
      <alignment horizontal="centerContinuous"/>
      <protection/>
    </xf>
    <xf numFmtId="0" fontId="0" fillId="0" borderId="27" xfId="46" applyBorder="1" applyAlignment="1">
      <alignment horizontal="centerContinuous"/>
      <protection/>
    </xf>
    <xf numFmtId="191" fontId="16" fillId="0" borderId="0" xfId="46" applyNumberFormat="1" applyFont="1" applyBorder="1" applyAlignment="1">
      <alignment horizontal="center"/>
      <protection/>
    </xf>
    <xf numFmtId="0" fontId="127" fillId="0" borderId="0" xfId="46" applyFont="1" applyBorder="1">
      <alignment/>
      <protection/>
    </xf>
    <xf numFmtId="0" fontId="16" fillId="0" borderId="25" xfId="46" applyFont="1" applyBorder="1">
      <alignment/>
      <protection/>
    </xf>
    <xf numFmtId="0" fontId="8" fillId="0" borderId="0" xfId="46" applyFont="1" applyBorder="1" applyAlignment="1" applyProtection="1">
      <alignment horizontal="center"/>
      <protection/>
    </xf>
    <xf numFmtId="191" fontId="8" fillId="0" borderId="0" xfId="46" applyNumberFormat="1" applyFont="1" applyBorder="1">
      <alignment/>
      <protection/>
    </xf>
    <xf numFmtId="0" fontId="33" fillId="0" borderId="18" xfId="46" applyFont="1" applyBorder="1" applyAlignment="1">
      <alignment horizontal="center" vertical="center"/>
      <protection/>
    </xf>
    <xf numFmtId="0" fontId="33" fillId="0" borderId="31" xfId="46" applyFont="1" applyBorder="1" applyAlignment="1" applyProtection="1">
      <alignment horizontal="center" vertical="center"/>
      <protection/>
    </xf>
    <xf numFmtId="188" fontId="33" fillId="0" borderId="27" xfId="46" applyNumberFormat="1" applyFont="1" applyBorder="1" applyAlignment="1" applyProtection="1">
      <alignment horizontal="center" vertical="center" wrapText="1"/>
      <protection/>
    </xf>
    <xf numFmtId="0" fontId="33" fillId="0" borderId="18" xfId="46" applyFont="1" applyBorder="1" applyAlignment="1" applyProtection="1">
      <alignment horizontal="center" vertical="center" wrapText="1"/>
      <protection/>
    </xf>
    <xf numFmtId="192" fontId="33" fillId="0" borderId="18" xfId="46" applyNumberFormat="1" applyFont="1" applyBorder="1" applyAlignment="1" applyProtection="1">
      <alignment horizontal="center" vertical="center"/>
      <protection/>
    </xf>
    <xf numFmtId="0" fontId="33" fillId="0" borderId="26" xfId="46" applyFont="1" applyBorder="1" applyAlignment="1" applyProtection="1">
      <alignment horizontal="center" vertical="center" wrapText="1"/>
      <protection/>
    </xf>
    <xf numFmtId="192" fontId="33" fillId="0" borderId="18" xfId="46" applyNumberFormat="1" applyFont="1" applyBorder="1" applyAlignment="1" applyProtection="1">
      <alignment horizontal="center" vertical="center" wrapText="1"/>
      <protection/>
    </xf>
    <xf numFmtId="0" fontId="33" fillId="0" borderId="18" xfId="46" applyFont="1" applyBorder="1" applyAlignment="1" applyProtection="1">
      <alignment horizontal="center" vertical="center"/>
      <protection/>
    </xf>
    <xf numFmtId="0" fontId="33" fillId="0" borderId="26" xfId="46" applyFont="1" applyBorder="1" applyAlignment="1" applyProtection="1">
      <alignment horizontal="center" vertical="center"/>
      <protection/>
    </xf>
    <xf numFmtId="0" fontId="128" fillId="0" borderId="26" xfId="46" applyFont="1" applyBorder="1" applyAlignment="1" applyProtection="1">
      <alignment horizontal="center" vertical="center"/>
      <protection/>
    </xf>
    <xf numFmtId="0" fontId="33" fillId="0" borderId="27" xfId="46" applyFont="1" applyBorder="1" applyAlignment="1">
      <alignment horizontal="center" vertical="center" wrapText="1"/>
      <protection/>
    </xf>
    <xf numFmtId="0" fontId="4" fillId="0" borderId="25" xfId="46" applyFont="1" applyFill="1" applyBorder="1" applyAlignment="1">
      <alignment horizontal="center"/>
      <protection/>
    </xf>
    <xf numFmtId="0" fontId="33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>
      <alignment horizontal="center" vertical="center" wrapText="1"/>
      <protection/>
    </xf>
    <xf numFmtId="0" fontId="4" fillId="0" borderId="5" xfId="46" applyFont="1" applyBorder="1" applyAlignment="1">
      <alignment horizontal="center"/>
      <protection/>
    </xf>
    <xf numFmtId="0" fontId="4" fillId="0" borderId="41" xfId="46" applyFont="1" applyBorder="1" applyAlignment="1">
      <alignment horizontal="center"/>
      <protection/>
    </xf>
    <xf numFmtId="0" fontId="4" fillId="0" borderId="42" xfId="46" applyFont="1" applyBorder="1">
      <alignment/>
      <protection/>
    </xf>
    <xf numFmtId="0" fontId="4" fillId="0" borderId="76" xfId="46" applyFont="1" applyBorder="1">
      <alignment/>
      <protection/>
    </xf>
    <xf numFmtId="0" fontId="4" fillId="0" borderId="49" xfId="46" applyFont="1" applyBorder="1">
      <alignment/>
      <protection/>
    </xf>
    <xf numFmtId="0" fontId="4" fillId="0" borderId="42" xfId="46" applyFont="1" applyBorder="1" applyAlignment="1">
      <alignment horizontal="center"/>
      <protection/>
    </xf>
    <xf numFmtId="0" fontId="4" fillId="0" borderId="2" xfId="46" applyFont="1" applyBorder="1" applyAlignment="1">
      <alignment horizontal="center"/>
      <protection/>
    </xf>
    <xf numFmtId="166" fontId="4" fillId="0" borderId="2" xfId="46" applyNumberFormat="1" applyFont="1" applyBorder="1" applyAlignment="1">
      <alignment horizontal="center"/>
      <protection/>
    </xf>
    <xf numFmtId="0" fontId="0" fillId="0" borderId="25" xfId="46" applyBorder="1">
      <alignment/>
      <protection/>
    </xf>
    <xf numFmtId="0" fontId="4" fillId="0" borderId="1" xfId="46" applyFont="1" applyBorder="1">
      <alignment/>
      <protection/>
    </xf>
    <xf numFmtId="0" fontId="4" fillId="0" borderId="2" xfId="46" applyFont="1" applyBorder="1">
      <alignment/>
      <protection/>
    </xf>
    <xf numFmtId="0" fontId="4" fillId="0" borderId="3" xfId="46" applyFont="1" applyBorder="1">
      <alignment/>
      <protection/>
    </xf>
    <xf numFmtId="0" fontId="4" fillId="0" borderId="1" xfId="46" applyFont="1" applyBorder="1" applyAlignment="1">
      <alignment horizontal="center"/>
      <protection/>
    </xf>
    <xf numFmtId="0" fontId="4" fillId="0" borderId="36" xfId="46" applyFont="1" applyBorder="1">
      <alignment/>
      <protection/>
    </xf>
    <xf numFmtId="232" fontId="4" fillId="0" borderId="36" xfId="46" applyNumberFormat="1" applyFont="1" applyBorder="1" applyAlignment="1">
      <alignment/>
      <protection/>
    </xf>
    <xf numFmtId="188" fontId="4" fillId="0" borderId="1" xfId="46" applyNumberFormat="1" applyFont="1" applyBorder="1" applyAlignment="1" applyProtection="1">
      <alignment horizontal="center"/>
      <protection/>
    </xf>
    <xf numFmtId="192" fontId="4" fillId="0" borderId="10" xfId="46" applyNumberFormat="1" applyFont="1" applyBorder="1" applyAlignment="1" applyProtection="1">
      <alignment horizontal="center"/>
      <protection/>
    </xf>
    <xf numFmtId="188" fontId="4" fillId="0" borderId="10" xfId="46" applyNumberFormat="1" applyFont="1" applyBorder="1" applyAlignment="1" applyProtection="1">
      <alignment horizontal="center"/>
      <protection/>
    </xf>
    <xf numFmtId="22" fontId="4" fillId="0" borderId="10" xfId="46" applyNumberFormat="1" applyFont="1" applyBorder="1" applyAlignment="1">
      <alignment horizontal="center"/>
      <protection/>
    </xf>
    <xf numFmtId="22" fontId="4" fillId="0" borderId="19" xfId="46" applyNumberFormat="1" applyFont="1" applyBorder="1" applyAlignment="1" applyProtection="1">
      <alignment horizontal="center"/>
      <protection/>
    </xf>
    <xf numFmtId="188" fontId="4" fillId="0" borderId="1" xfId="46" applyNumberFormat="1" applyFont="1" applyFill="1" applyBorder="1" applyAlignment="1" applyProtection="1" quotePrefix="1">
      <alignment horizontal="center"/>
      <protection/>
    </xf>
    <xf numFmtId="0" fontId="4" fillId="0" borderId="77" xfId="46" applyFont="1" applyBorder="1" applyAlignment="1">
      <alignment horizontal="center"/>
      <protection/>
    </xf>
    <xf numFmtId="0" fontId="4" fillId="0" borderId="6" xfId="46" applyFont="1" applyBorder="1" applyAlignment="1">
      <alignment horizontal="center"/>
      <protection/>
    </xf>
    <xf numFmtId="4" fontId="4" fillId="0" borderId="6" xfId="46" applyNumberFormat="1" applyFont="1" applyBorder="1" applyAlignment="1">
      <alignment horizontal="center"/>
      <protection/>
    </xf>
    <xf numFmtId="232" fontId="4" fillId="0" borderId="6" xfId="46" applyNumberFormat="1" applyFont="1" applyBorder="1" applyAlignment="1">
      <alignment/>
      <protection/>
    </xf>
    <xf numFmtId="232" fontId="0" fillId="0" borderId="0" xfId="46" applyNumberFormat="1">
      <alignment/>
      <protection/>
    </xf>
    <xf numFmtId="0" fontId="6" fillId="0" borderId="1" xfId="46" applyFont="1" applyBorder="1" applyAlignment="1">
      <alignment horizontal="center"/>
      <protection/>
    </xf>
    <xf numFmtId="0" fontId="4" fillId="0" borderId="15" xfId="46" applyFont="1" applyBorder="1">
      <alignment/>
      <protection/>
    </xf>
    <xf numFmtId="0" fontId="6" fillId="0" borderId="7" xfId="46" applyFont="1" applyBorder="1" applyAlignment="1">
      <alignment horizontal="center"/>
      <protection/>
    </xf>
    <xf numFmtId="188" fontId="4" fillId="0" borderId="7" xfId="46" applyNumberFormat="1" applyFont="1" applyBorder="1" applyAlignment="1" applyProtection="1">
      <alignment horizontal="center"/>
      <protection/>
    </xf>
    <xf numFmtId="192" fontId="4" fillId="0" borderId="75" xfId="46" applyNumberFormat="1" applyFont="1" applyBorder="1" applyAlignment="1" applyProtection="1">
      <alignment horizontal="center"/>
      <protection/>
    </xf>
    <xf numFmtId="188" fontId="4" fillId="0" borderId="75" xfId="46" applyNumberFormat="1" applyFont="1" applyBorder="1" applyAlignment="1" applyProtection="1">
      <alignment horizontal="center"/>
      <protection/>
    </xf>
    <xf numFmtId="22" fontId="4" fillId="0" borderId="75" xfId="46" applyNumberFormat="1" applyFont="1" applyBorder="1" applyAlignment="1">
      <alignment horizontal="center"/>
      <protection/>
    </xf>
    <xf numFmtId="22" fontId="4" fillId="0" borderId="74" xfId="46" applyNumberFormat="1" applyFont="1" applyBorder="1" applyAlignment="1" applyProtection="1">
      <alignment horizontal="center"/>
      <protection/>
    </xf>
    <xf numFmtId="188" fontId="4" fillId="0" borderId="7" xfId="46" applyNumberFormat="1" applyFont="1" applyFill="1" applyBorder="1" applyAlignment="1" applyProtection="1" quotePrefix="1">
      <alignment horizontal="center"/>
      <protection/>
    </xf>
    <xf numFmtId="0" fontId="4" fillId="0" borderId="78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2" fontId="4" fillId="0" borderId="12" xfId="46" applyNumberFormat="1" applyFont="1" applyBorder="1">
      <alignment/>
      <protection/>
    </xf>
    <xf numFmtId="2" fontId="4" fillId="0" borderId="7" xfId="46" applyNumberFormat="1" applyFont="1" applyBorder="1">
      <alignment/>
      <protection/>
    </xf>
    <xf numFmtId="0" fontId="8" fillId="0" borderId="0" xfId="46" applyFont="1" applyBorder="1" applyAlignment="1" quotePrefix="1">
      <alignment horizontal="left"/>
      <protection/>
    </xf>
    <xf numFmtId="167" fontId="129" fillId="0" borderId="0" xfId="46" applyNumberFormat="1" applyFont="1">
      <alignment/>
      <protection/>
    </xf>
    <xf numFmtId="166" fontId="12" fillId="0" borderId="16" xfId="46" applyNumberFormat="1" applyFont="1" applyFill="1" applyBorder="1" applyAlignment="1" applyProtection="1">
      <alignment horizontal="right"/>
      <protection/>
    </xf>
    <xf numFmtId="0" fontId="124" fillId="0" borderId="0" xfId="46" applyFont="1">
      <alignment/>
      <protection/>
    </xf>
    <xf numFmtId="0" fontId="0" fillId="0" borderId="28" xfId="46" applyBorder="1">
      <alignment/>
      <protection/>
    </xf>
    <xf numFmtId="0" fontId="0" fillId="0" borderId="29" xfId="46" applyBorder="1">
      <alignment/>
      <protection/>
    </xf>
    <xf numFmtId="0" fontId="8" fillId="0" borderId="29" xfId="46" applyFont="1" applyBorder="1">
      <alignment/>
      <protection/>
    </xf>
    <xf numFmtId="0" fontId="8" fillId="0" borderId="30" xfId="46" applyFont="1" applyBorder="1">
      <alignment/>
      <protection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2" fontId="114" fillId="0" borderId="0" xfId="0" applyNumberFormat="1" applyFont="1" applyFill="1" applyBorder="1" applyAlignment="1" applyProtection="1">
      <alignment horizontal="center"/>
      <protection/>
    </xf>
    <xf numFmtId="192" fontId="4" fillId="0" borderId="19" xfId="0" applyNumberFormat="1" applyFont="1" applyBorder="1" applyAlignment="1" applyProtection="1">
      <alignment horizontal="center"/>
      <protection/>
    </xf>
    <xf numFmtId="192" fontId="4" fillId="0" borderId="10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166" fontId="16" fillId="0" borderId="3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33" fillId="0" borderId="32" xfId="0" applyFont="1" applyBorder="1" applyAlignment="1" applyProtection="1">
      <alignment horizontal="center" vertical="center"/>
      <protection/>
    </xf>
  </cellXfs>
  <cellStyles count="34">
    <cellStyle name="Normal" xfId="0"/>
    <cellStyle name="Comma" xfId="15"/>
    <cellStyle name="Comma [0]" xfId="16"/>
    <cellStyle name="Millares [0]_ATENTADOS NER" xfId="17"/>
    <cellStyle name="Millares [0]_CCTNEA" xfId="18"/>
    <cellStyle name="Millares [0]_líneas" xfId="19"/>
    <cellStyle name="Millares [0]_TRANS" xfId="20"/>
    <cellStyle name="Millares_ATENTADOS NER" xfId="21"/>
    <cellStyle name="Millares_CCTNEA" xfId="22"/>
    <cellStyle name="Millares_líneas" xfId="23"/>
    <cellStyle name="Millares_TRANS" xfId="24"/>
    <cellStyle name="Currency" xfId="25"/>
    <cellStyle name="Currency [0]" xfId="26"/>
    <cellStyle name="Moneda [0]_ATENTADOS NER" xfId="27"/>
    <cellStyle name="Moneda [0]_CCTNEA" xfId="28"/>
    <cellStyle name="Moneda [0]_líneas" xfId="29"/>
    <cellStyle name="Moneda [0]_tasa" xfId="30"/>
    <cellStyle name="Moneda [0]_TRANS" xfId="31"/>
    <cellStyle name="Moneda [0]_TRANSPA9611" xfId="32"/>
    <cellStyle name="Moneda [0]_TRANSPA9701" xfId="33"/>
    <cellStyle name="Moneda [0]_TRANSPA9701 (2)" xfId="34"/>
    <cellStyle name="Moneda_ATENTADOS NER" xfId="35"/>
    <cellStyle name="Moneda_CCTNEA" xfId="36"/>
    <cellStyle name="Moneda_líneas" xfId="37"/>
    <cellStyle name="Moneda_tasa" xfId="38"/>
    <cellStyle name="Moneda_TRANS" xfId="39"/>
    <cellStyle name="Moneda_TRANSPA9611" xfId="40"/>
    <cellStyle name="Moneda_TRANSPA9701" xfId="41"/>
    <cellStyle name="Moneda_TRANSPA9701 (2)" xfId="42"/>
    <cellStyle name="Normal_ATENTADOS NER" xfId="43"/>
    <cellStyle name="Normal_EDENOR9604" xfId="44"/>
    <cellStyle name="Normal_líneas" xfId="45"/>
    <cellStyle name="Normal_TRANS" xfId="46"/>
    <cellStyle name="Percen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0</xdr:col>
      <xdr:colOff>1581150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9525</xdr:rowOff>
    </xdr:from>
    <xdr:to>
      <xdr:col>0</xdr:col>
      <xdr:colOff>1752600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0</xdr:col>
      <xdr:colOff>1095375</xdr:colOff>
      <xdr:row>2</xdr:row>
      <xdr:rowOff>9525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238125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4953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247650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048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ARCHIVOS.XLS\P-TRANSE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BO15">
            <v>36100</v>
          </cell>
          <cell r="BP15">
            <v>36130</v>
          </cell>
          <cell r="BQ15">
            <v>36161</v>
          </cell>
          <cell r="BR15">
            <v>36192</v>
          </cell>
          <cell r="BS15">
            <v>36220</v>
          </cell>
          <cell r="BT15">
            <v>36251</v>
          </cell>
          <cell r="BU15">
            <v>36281</v>
          </cell>
          <cell r="BV15">
            <v>36312</v>
          </cell>
          <cell r="BW15">
            <v>36342</v>
          </cell>
          <cell r="BX15">
            <v>36373</v>
          </cell>
          <cell r="BY15">
            <v>36404</v>
          </cell>
          <cell r="BZ15">
            <v>36434</v>
          </cell>
          <cell r="CA15">
            <v>36465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BO18" t="str">
            <v>XXXX</v>
          </cell>
          <cell r="BP18" t="str">
            <v>XXXX</v>
          </cell>
          <cell r="BQ18" t="str">
            <v>XXXX</v>
          </cell>
          <cell r="BR18" t="str">
            <v>XXXX</v>
          </cell>
          <cell r="BS18" t="str">
            <v>XXXX</v>
          </cell>
          <cell r="BT18" t="str">
            <v>XXXX</v>
          </cell>
          <cell r="BU18" t="str">
            <v>XXXX</v>
          </cell>
          <cell r="BV18" t="str">
            <v>XXXX</v>
          </cell>
          <cell r="BW18" t="str">
            <v>XXXX</v>
          </cell>
          <cell r="BX18" t="str">
            <v>XXXX</v>
          </cell>
          <cell r="BY18" t="str">
            <v>XXXX</v>
          </cell>
          <cell r="BZ18" t="str">
            <v>XXXX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  <cell r="BO19" t="str">
            <v>XXXX</v>
          </cell>
          <cell r="BP19" t="str">
            <v>XXXX</v>
          </cell>
          <cell r="BQ19" t="str">
            <v>XXXX</v>
          </cell>
          <cell r="BR19" t="str">
            <v>XXXX</v>
          </cell>
          <cell r="BS19" t="str">
            <v>XXXX</v>
          </cell>
          <cell r="BT19" t="str">
            <v>XXXX</v>
          </cell>
          <cell r="BU19" t="str">
            <v>XXXX</v>
          </cell>
          <cell r="BV19" t="str">
            <v>XXXX</v>
          </cell>
          <cell r="BW19" t="str">
            <v>XXXX</v>
          </cell>
          <cell r="BX19">
            <v>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77.2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77.1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  <cell r="BW22">
            <v>1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A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348</v>
          </cell>
          <cell r="G24" t="str">
            <v>B</v>
          </cell>
          <cell r="BX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BO25" t="str">
            <v>XXXX</v>
          </cell>
          <cell r="BP25" t="str">
            <v>XXXX</v>
          </cell>
          <cell r="BQ25" t="str">
            <v>XXXX</v>
          </cell>
          <cell r="BR25" t="str">
            <v>XXXX</v>
          </cell>
          <cell r="BS25" t="str">
            <v>XXXX</v>
          </cell>
          <cell r="BT25" t="str">
            <v>XXXX</v>
          </cell>
          <cell r="BU25" t="str">
            <v>XXXX</v>
          </cell>
          <cell r="BV25" t="str">
            <v>XXXX</v>
          </cell>
          <cell r="BW25" t="str">
            <v>XXXX</v>
          </cell>
          <cell r="BX25" t="str">
            <v>XXXX</v>
          </cell>
          <cell r="BY25" t="str">
            <v>XXXX</v>
          </cell>
          <cell r="BZ25" t="str">
            <v>XXXX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166</v>
          </cell>
          <cell r="G27" t="str">
            <v>A</v>
          </cell>
          <cell r="BP27">
            <v>1</v>
          </cell>
          <cell r="BZ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  <cell r="BU28">
            <v>1</v>
          </cell>
          <cell r="BX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BX31">
            <v>1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BX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5.4</v>
          </cell>
          <cell r="G36" t="str">
            <v>C</v>
          </cell>
          <cell r="BY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5.3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BX38">
            <v>1</v>
          </cell>
          <cell r="BY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  <cell r="BS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70</v>
          </cell>
          <cell r="G45" t="str">
            <v>A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BP46">
            <v>2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BS48">
            <v>1</v>
          </cell>
          <cell r="BX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BO49" t="str">
            <v>XXXX</v>
          </cell>
          <cell r="BP49" t="str">
            <v>XXXX</v>
          </cell>
          <cell r="BQ49" t="str">
            <v>XXXX</v>
          </cell>
          <cell r="BR49" t="str">
            <v>XXXX</v>
          </cell>
          <cell r="BS49" t="str">
            <v>XXXX</v>
          </cell>
          <cell r="BT49" t="str">
            <v>XXXX</v>
          </cell>
          <cell r="BU49" t="str">
            <v>XXXX</v>
          </cell>
          <cell r="BV49" t="str">
            <v>XXXX</v>
          </cell>
          <cell r="BW49" t="str">
            <v>XXXX</v>
          </cell>
          <cell r="BX49" t="str">
            <v>XXXX</v>
          </cell>
          <cell r="BY49" t="str">
            <v>XXXX</v>
          </cell>
          <cell r="BZ49" t="str">
            <v>XXXX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BO50" t="str">
            <v>XXXX</v>
          </cell>
          <cell r="BP50" t="str">
            <v>XXXX</v>
          </cell>
          <cell r="BQ50" t="str">
            <v>XXXX</v>
          </cell>
          <cell r="BR50" t="str">
            <v>XXXX</v>
          </cell>
          <cell r="BS50" t="str">
            <v>XXXX</v>
          </cell>
          <cell r="BT50" t="str">
            <v>XXXX</v>
          </cell>
          <cell r="BU50" t="str">
            <v>XXXX</v>
          </cell>
          <cell r="BV50" t="str">
            <v>XXXX</v>
          </cell>
          <cell r="BW50" t="str">
            <v>XXXX</v>
          </cell>
          <cell r="BX50" t="str">
            <v>XXXX</v>
          </cell>
          <cell r="BY50" t="str">
            <v>XXXX</v>
          </cell>
          <cell r="BZ50" t="str">
            <v>XXXX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163.9</v>
          </cell>
          <cell r="G51" t="str">
            <v>A</v>
          </cell>
          <cell r="BX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164.1</v>
          </cell>
          <cell r="G52" t="str">
            <v>A</v>
          </cell>
          <cell r="BX52">
            <v>1</v>
          </cell>
          <cell r="BY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BX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BU55">
            <v>3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BO57" t="str">
            <v>XXXX</v>
          </cell>
          <cell r="BP57" t="str">
            <v>XXXX</v>
          </cell>
          <cell r="BQ57" t="str">
            <v>XXXX</v>
          </cell>
          <cell r="BR57" t="str">
            <v>XXXX</v>
          </cell>
          <cell r="BS57" t="str">
            <v>XXXX</v>
          </cell>
          <cell r="BT57" t="str">
            <v>XXXX</v>
          </cell>
          <cell r="BU57" t="str">
            <v>XXXX</v>
          </cell>
          <cell r="BV57" t="str">
            <v>XXXX</v>
          </cell>
          <cell r="BW57" t="str">
            <v>XXXX</v>
          </cell>
          <cell r="BX57" t="str">
            <v>XXXX</v>
          </cell>
          <cell r="BY57" t="str">
            <v>XXXX</v>
          </cell>
          <cell r="BZ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149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258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BY60">
            <v>1</v>
          </cell>
          <cell r="BZ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BY61">
            <v>2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BP62">
            <v>2</v>
          </cell>
          <cell r="BR62">
            <v>1</v>
          </cell>
          <cell r="BT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BU65">
            <v>1</v>
          </cell>
          <cell r="BW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BY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BY72">
            <v>2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YACYRETÁ - RINCON I</v>
          </cell>
          <cell r="E76">
            <v>500</v>
          </cell>
          <cell r="F76">
            <v>3.6</v>
          </cell>
          <cell r="G76" t="str">
            <v>B</v>
          </cell>
        </row>
        <row r="77">
          <cell r="C77">
            <v>59</v>
          </cell>
          <cell r="D77" t="str">
            <v>YACYRETÁ - RINCON II</v>
          </cell>
          <cell r="E77">
            <v>500</v>
          </cell>
          <cell r="F77">
            <v>3.6</v>
          </cell>
          <cell r="G77" t="str">
            <v>B</v>
          </cell>
        </row>
        <row r="78">
          <cell r="C78">
            <v>60</v>
          </cell>
          <cell r="D78" t="str">
            <v>YACYRETÁ - RINCON III</v>
          </cell>
          <cell r="E78">
            <v>500</v>
          </cell>
          <cell r="F78">
            <v>3.6</v>
          </cell>
          <cell r="G78" t="str">
            <v>B</v>
          </cell>
        </row>
        <row r="79">
          <cell r="C79">
            <v>61</v>
          </cell>
          <cell r="D79" t="str">
            <v>RINCON - PASO DE LA PATRIA</v>
          </cell>
          <cell r="E79">
            <v>500</v>
          </cell>
          <cell r="F79">
            <v>227</v>
          </cell>
          <cell r="G79" t="str">
            <v>A</v>
          </cell>
          <cell r="BO79">
            <v>1</v>
          </cell>
        </row>
        <row r="80">
          <cell r="C80">
            <v>62</v>
          </cell>
          <cell r="D80" t="str">
            <v>PASO DE LA PATRIA - RESISTENCIA</v>
          </cell>
          <cell r="E80">
            <v>500</v>
          </cell>
          <cell r="F80">
            <v>40</v>
          </cell>
          <cell r="G80" t="str">
            <v>C</v>
          </cell>
          <cell r="BS80">
            <v>1</v>
          </cell>
        </row>
        <row r="81">
          <cell r="C81">
            <v>63</v>
          </cell>
          <cell r="D81" t="str">
            <v>RINCON - RESISTENCIA</v>
          </cell>
          <cell r="E81">
            <v>500</v>
          </cell>
          <cell r="F81">
            <v>267</v>
          </cell>
          <cell r="G81" t="str">
            <v>B</v>
          </cell>
          <cell r="BO81" t="str">
            <v>XXXX</v>
          </cell>
          <cell r="BP81" t="str">
            <v>XXXX</v>
          </cell>
          <cell r="BQ81" t="str">
            <v>XXXX</v>
          </cell>
          <cell r="BR81" t="str">
            <v>XXXX</v>
          </cell>
          <cell r="BS81" t="str">
            <v>XXXX</v>
          </cell>
          <cell r="BT81" t="str">
            <v>XXXX</v>
          </cell>
          <cell r="BU81" t="str">
            <v>XXXX</v>
          </cell>
          <cell r="BV81" t="str">
            <v>XXXX</v>
          </cell>
          <cell r="BW81" t="str">
            <v>XXXX</v>
          </cell>
          <cell r="BX81" t="str">
            <v>XXXX</v>
          </cell>
          <cell r="BY81" t="str">
            <v>XXXX</v>
          </cell>
          <cell r="BZ81" t="str">
            <v>XXXX</v>
          </cell>
        </row>
        <row r="83">
          <cell r="C83">
            <v>64</v>
          </cell>
          <cell r="D83" t="str">
            <v>RINCON - SALTO GRANDE</v>
          </cell>
          <cell r="E83">
            <v>500</v>
          </cell>
          <cell r="F83">
            <v>506</v>
          </cell>
          <cell r="G83" t="str">
            <v>A</v>
          </cell>
          <cell r="BX83">
            <v>1</v>
          </cell>
        </row>
        <row r="84">
          <cell r="C84">
            <v>65</v>
          </cell>
          <cell r="D84" t="str">
            <v>RINCON - SAN ISIDRO</v>
          </cell>
          <cell r="E84">
            <v>500</v>
          </cell>
          <cell r="F84">
            <v>85</v>
          </cell>
          <cell r="G84" t="str">
            <v>C</v>
          </cell>
          <cell r="BY84">
            <v>1</v>
          </cell>
        </row>
        <row r="93">
          <cell r="BO93">
            <v>0.54</v>
          </cell>
          <cell r="BP93">
            <v>0.42</v>
          </cell>
          <cell r="BQ93">
            <v>0.46</v>
          </cell>
          <cell r="BR93">
            <v>0.37</v>
          </cell>
          <cell r="BS93">
            <v>0.37</v>
          </cell>
          <cell r="BT93">
            <v>0.38</v>
          </cell>
          <cell r="BU93">
            <v>0.37</v>
          </cell>
          <cell r="BV93">
            <v>0.41</v>
          </cell>
          <cell r="BW93">
            <v>0.32</v>
          </cell>
          <cell r="BX93">
            <v>0.32</v>
          </cell>
          <cell r="BY93">
            <v>0.45</v>
          </cell>
          <cell r="BZ93">
            <v>0.53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9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16" customWidth="1"/>
    <col min="2" max="2" width="13.140625" style="16" customWidth="1"/>
    <col min="3" max="3" width="9.140625" style="16" customWidth="1"/>
    <col min="4" max="4" width="10.7109375" style="16" customWidth="1"/>
    <col min="5" max="5" width="9.57421875" style="16" customWidth="1"/>
    <col min="6" max="6" width="7.28125" style="16" customWidth="1"/>
    <col min="7" max="8" width="19.8515625" style="16" customWidth="1"/>
    <col min="9" max="9" width="9.57421875" style="16" customWidth="1"/>
    <col min="10" max="10" width="20.8515625" style="16" customWidth="1"/>
    <col min="11" max="11" width="19.00390625" style="16" customWidth="1"/>
    <col min="12" max="12" width="15.7109375" style="16" customWidth="1"/>
    <col min="13" max="14" width="11.421875" style="16" customWidth="1"/>
    <col min="15" max="15" width="14.140625" style="16" customWidth="1"/>
    <col min="16" max="16" width="11.421875" style="16" customWidth="1"/>
    <col min="17" max="17" width="14.7109375" style="16" customWidth="1"/>
    <col min="18" max="18" width="11.421875" style="16" customWidth="1"/>
    <col min="19" max="19" width="12.00390625" style="16" customWidth="1"/>
    <col min="20" max="16384" width="11.421875" style="16" customWidth="1"/>
  </cols>
  <sheetData>
    <row r="1" spans="2:12" s="110" customFormat="1" ht="26.25">
      <c r="B1" s="111"/>
      <c r="E1" s="13"/>
      <c r="F1" s="13"/>
      <c r="L1" s="647"/>
    </row>
    <row r="2" spans="2:11" s="110" customFormat="1" ht="26.25">
      <c r="B2" s="111" t="s">
        <v>310</v>
      </c>
      <c r="C2" s="112"/>
      <c r="D2" s="113"/>
      <c r="E2" s="113"/>
      <c r="F2" s="113"/>
      <c r="G2" s="113"/>
      <c r="H2" s="113"/>
      <c r="I2" s="113"/>
      <c r="J2" s="113"/>
      <c r="K2" s="113"/>
    </row>
    <row r="3" spans="3:20" ht="12.75">
      <c r="C3"/>
      <c r="D3" s="114"/>
      <c r="E3" s="114"/>
      <c r="F3" s="114"/>
      <c r="G3" s="114"/>
      <c r="H3" s="114"/>
      <c r="I3" s="114"/>
      <c r="J3" s="114"/>
      <c r="K3" s="114"/>
      <c r="Q3" s="14"/>
      <c r="R3" s="14"/>
      <c r="S3" s="14"/>
      <c r="T3" s="14"/>
    </row>
    <row r="4" spans="1:20" s="117" customFormat="1" ht="11.25">
      <c r="A4" s="115" t="s">
        <v>85</v>
      </c>
      <c r="B4" s="116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s="117" customFormat="1" ht="11.25">
      <c r="A5" s="115" t="s">
        <v>86</v>
      </c>
      <c r="B5" s="116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2:20" s="110" customFormat="1" ht="11.25" customHeight="1">
      <c r="B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2:20" s="10" customFormat="1" ht="21">
      <c r="B7" s="287" t="s">
        <v>0</v>
      </c>
      <c r="C7" s="121"/>
      <c r="D7" s="8"/>
      <c r="E7" s="8"/>
      <c r="F7" s="8"/>
      <c r="G7" s="9"/>
      <c r="H7" s="9"/>
      <c r="I7" s="9"/>
      <c r="J7" s="9"/>
      <c r="K7" s="9"/>
      <c r="L7" s="11"/>
      <c r="M7" s="11"/>
      <c r="N7" s="11"/>
      <c r="O7" s="11"/>
      <c r="P7" s="11"/>
      <c r="Q7" s="11"/>
      <c r="R7" s="11"/>
      <c r="S7" s="11"/>
      <c r="T7" s="11"/>
    </row>
    <row r="8" spans="10:20" ht="12.75"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s="10" customFormat="1" ht="21">
      <c r="B9" s="287" t="s">
        <v>1</v>
      </c>
      <c r="C9" s="121"/>
      <c r="D9" s="8"/>
      <c r="E9" s="8"/>
      <c r="F9" s="8"/>
      <c r="G9" s="8"/>
      <c r="H9" s="8"/>
      <c r="I9" s="8"/>
      <c r="J9" s="9"/>
      <c r="K9" s="9"/>
      <c r="L9" s="11"/>
      <c r="M9" s="11"/>
      <c r="N9" s="11"/>
      <c r="O9" s="11"/>
      <c r="P9" s="11"/>
      <c r="Q9" s="11"/>
      <c r="R9" s="11"/>
      <c r="S9" s="11"/>
      <c r="T9" s="11"/>
    </row>
    <row r="10" spans="4:20" ht="12.75">
      <c r="D10" s="123"/>
      <c r="E10" s="123"/>
      <c r="F10" s="12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s="10" customFormat="1" ht="20.25">
      <c r="B11" s="287" t="s">
        <v>307</v>
      </c>
      <c r="C11" s="4"/>
      <c r="D11" s="122"/>
      <c r="E11" s="122"/>
      <c r="F11" s="122"/>
      <c r="G11" s="8"/>
      <c r="H11" s="8"/>
      <c r="I11" s="8"/>
      <c r="J11" s="9"/>
      <c r="K11" s="9"/>
      <c r="L11" s="11"/>
      <c r="M11" s="11"/>
      <c r="N11" s="11"/>
      <c r="O11" s="11"/>
      <c r="P11" s="11"/>
      <c r="Q11" s="11"/>
      <c r="R11" s="11"/>
      <c r="S11" s="11"/>
      <c r="T11" s="11"/>
    </row>
    <row r="12" spans="4:20" s="124" customFormat="1" ht="16.5" thickBot="1">
      <c r="D12" s="125"/>
      <c r="E12" s="125"/>
      <c r="F12" s="12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2:20" s="124" customFormat="1" ht="16.5" thickTop="1">
      <c r="B13" s="127"/>
      <c r="C13" s="128"/>
      <c r="D13" s="128"/>
      <c r="E13" s="632"/>
      <c r="F13" s="632"/>
      <c r="G13" s="128"/>
      <c r="H13" s="128"/>
      <c r="I13" s="128"/>
      <c r="J13" s="128"/>
      <c r="K13" s="129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2:20" s="15" customFormat="1" ht="19.5">
      <c r="B14" s="130" t="s">
        <v>183</v>
      </c>
      <c r="C14" s="131"/>
      <c r="D14" s="132"/>
      <c r="E14" s="633"/>
      <c r="F14" s="633"/>
      <c r="G14" s="133"/>
      <c r="H14" s="133"/>
      <c r="I14" s="133"/>
      <c r="J14" s="134"/>
      <c r="K14" s="135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2:20" s="15" customFormat="1" ht="13.5" customHeight="1">
      <c r="B15" s="137"/>
      <c r="C15" s="138"/>
      <c r="D15" s="631"/>
      <c r="E15" s="634"/>
      <c r="F15" s="634"/>
      <c r="G15" s="79"/>
      <c r="H15" s="79"/>
      <c r="I15" s="79"/>
      <c r="J15" s="136"/>
      <c r="K15" s="139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2:20" s="15" customFormat="1" ht="19.5">
      <c r="B16" s="137"/>
      <c r="C16" s="140" t="s">
        <v>87</v>
      </c>
      <c r="D16" s="631" t="s">
        <v>88</v>
      </c>
      <c r="E16" s="634"/>
      <c r="F16" s="634"/>
      <c r="G16" s="79"/>
      <c r="H16" s="79"/>
      <c r="I16" s="79"/>
      <c r="J16" s="141"/>
      <c r="K16" s="139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s="15" customFormat="1" ht="19.5">
      <c r="B17" s="137"/>
      <c r="C17" s="140"/>
      <c r="D17" s="631">
        <v>11</v>
      </c>
      <c r="E17" s="635" t="s">
        <v>303</v>
      </c>
      <c r="F17" s="635"/>
      <c r="G17" s="79"/>
      <c r="H17" s="79"/>
      <c r="I17" s="79"/>
      <c r="J17" s="141"/>
      <c r="K17" s="139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2:20" s="15" customFormat="1" ht="19.5">
      <c r="B18" s="137"/>
      <c r="C18" s="140"/>
      <c r="D18" s="631"/>
      <c r="E18" s="637">
        <v>111</v>
      </c>
      <c r="F18" s="635" t="s">
        <v>89</v>
      </c>
      <c r="G18" s="79"/>
      <c r="H18" s="79"/>
      <c r="I18" s="79"/>
      <c r="J18" s="141">
        <f>+'LI-9911 (2)'!AC45</f>
        <v>149976.7</v>
      </c>
      <c r="K18" s="139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2:20" s="15" customFormat="1" ht="19.5">
      <c r="B19" s="137"/>
      <c r="C19" s="140"/>
      <c r="D19" s="631"/>
      <c r="E19" s="637">
        <v>112</v>
      </c>
      <c r="F19" s="635" t="s">
        <v>286</v>
      </c>
      <c r="G19" s="79"/>
      <c r="H19" s="79"/>
      <c r="I19" s="79"/>
      <c r="J19" s="141">
        <f>+'Res 142-94 Torres'!S34</f>
        <v>406.743389651007</v>
      </c>
      <c r="K19" s="139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2:20" s="15" customFormat="1" ht="19.5">
      <c r="B20" s="137"/>
      <c r="C20" s="140"/>
      <c r="D20" s="631">
        <v>12</v>
      </c>
      <c r="E20" s="635" t="s">
        <v>90</v>
      </c>
      <c r="F20" s="635"/>
      <c r="G20" s="79"/>
      <c r="H20" s="79"/>
      <c r="I20" s="79"/>
      <c r="J20" s="141">
        <f>ROUND('LIN-YACY (2)'!U38,2)</f>
        <v>99028.8</v>
      </c>
      <c r="K20" s="139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2:20" s="15" customFormat="1" ht="19.5">
      <c r="B21" s="137"/>
      <c r="C21" s="140"/>
      <c r="D21" s="631">
        <v>13</v>
      </c>
      <c r="E21" s="635" t="s">
        <v>91</v>
      </c>
      <c r="F21" s="635"/>
      <c r="G21" s="79"/>
      <c r="H21" s="79"/>
      <c r="I21" s="79"/>
      <c r="J21" s="141">
        <f>ROUND('LIN-LITSA (2)'!AD39,2)</f>
        <v>22643.77</v>
      </c>
      <c r="K21" s="139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2:20" ht="12.75" customHeight="1">
      <c r="B22" s="142"/>
      <c r="C22" s="143"/>
      <c r="D22" s="631"/>
      <c r="E22" s="636"/>
      <c r="F22" s="636"/>
      <c r="G22" s="144"/>
      <c r="H22" s="144"/>
      <c r="I22" s="144"/>
      <c r="J22" s="145"/>
      <c r="K22" s="146"/>
      <c r="L22" s="14"/>
      <c r="M22" s="14"/>
      <c r="N22" s="14"/>
      <c r="O22" s="14"/>
      <c r="P22" s="14"/>
      <c r="Q22" s="14"/>
      <c r="R22" s="14"/>
      <c r="S22" s="14"/>
      <c r="T22" s="14"/>
    </row>
    <row r="23" spans="2:20" s="15" customFormat="1" ht="19.5">
      <c r="B23" s="137"/>
      <c r="C23" s="140" t="s">
        <v>92</v>
      </c>
      <c r="D23" s="638" t="s">
        <v>93</v>
      </c>
      <c r="E23" s="634"/>
      <c r="F23" s="634"/>
      <c r="G23" s="79"/>
      <c r="H23" s="79"/>
      <c r="I23" s="79"/>
      <c r="J23" s="141"/>
      <c r="K23" s="139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2:20" s="15" customFormat="1" ht="19.5">
      <c r="B24" s="137"/>
      <c r="C24" s="140"/>
      <c r="D24" s="631">
        <v>21</v>
      </c>
      <c r="E24" s="635" t="s">
        <v>285</v>
      </c>
      <c r="F24" s="635"/>
      <c r="G24" s="79"/>
      <c r="H24" s="79"/>
      <c r="I24" s="79"/>
      <c r="J24" s="141">
        <f>ROUND('TR-9911'!AA43,2)</f>
        <v>53012.21</v>
      </c>
      <c r="K24" s="139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2:20" s="15" customFormat="1" ht="6.75" customHeight="1">
      <c r="B25" s="137"/>
      <c r="C25" s="140"/>
      <c r="D25" s="631"/>
      <c r="E25" s="637"/>
      <c r="F25" s="637"/>
      <c r="G25" s="13"/>
      <c r="H25" s="79"/>
      <c r="I25" s="79"/>
      <c r="K25" s="139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2:20" s="15" customFormat="1" ht="19.5">
      <c r="B26" s="137"/>
      <c r="C26" s="140"/>
      <c r="D26" s="631">
        <v>22</v>
      </c>
      <c r="E26" s="635" t="s">
        <v>95</v>
      </c>
      <c r="F26" s="635"/>
      <c r="G26" s="79"/>
      <c r="H26" s="79"/>
      <c r="I26" s="79"/>
      <c r="J26" s="141"/>
      <c r="K26" s="139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2:20" s="15" customFormat="1" ht="19.5">
      <c r="B27" s="137"/>
      <c r="C27" s="140"/>
      <c r="D27" s="631"/>
      <c r="E27" s="637">
        <v>221</v>
      </c>
      <c r="F27" s="13" t="s">
        <v>89</v>
      </c>
      <c r="H27" s="79"/>
      <c r="I27" s="79"/>
      <c r="J27" s="141">
        <f>+'SA-9911 (2)'!T45</f>
        <v>137813</v>
      </c>
      <c r="K27" s="139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2:20" s="15" customFormat="1" ht="19.5">
      <c r="B28" s="137"/>
      <c r="C28" s="140"/>
      <c r="D28" s="631"/>
      <c r="E28" s="637">
        <v>222</v>
      </c>
      <c r="F28" s="13" t="s">
        <v>94</v>
      </c>
      <c r="H28" s="79"/>
      <c r="I28" s="79"/>
      <c r="J28" s="141">
        <f>ROUND('SALIDA-TIBA (2)'!T41,2)</f>
        <v>8041.8</v>
      </c>
      <c r="K28" s="139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2:20" ht="12.75" customHeight="1">
      <c r="B29" s="142"/>
      <c r="C29" s="143"/>
      <c r="D29" s="631"/>
      <c r="E29" s="636"/>
      <c r="F29" s="636"/>
      <c r="G29" s="144"/>
      <c r="H29" s="144"/>
      <c r="I29" s="144"/>
      <c r="J29" s="145"/>
      <c r="K29" s="146"/>
      <c r="L29" s="14"/>
      <c r="M29" s="14"/>
      <c r="N29" s="14"/>
      <c r="O29" s="14"/>
      <c r="P29" s="14"/>
      <c r="Q29" s="14"/>
      <c r="R29" s="14"/>
      <c r="S29" s="14"/>
      <c r="T29" s="14"/>
    </row>
    <row r="30" spans="2:20" s="15" customFormat="1" ht="19.5">
      <c r="B30" s="137"/>
      <c r="C30" s="140" t="s">
        <v>96</v>
      </c>
      <c r="D30" s="638" t="s">
        <v>97</v>
      </c>
      <c r="E30" s="634"/>
      <c r="F30" s="634"/>
      <c r="G30" s="79"/>
      <c r="H30" s="79"/>
      <c r="I30" s="79"/>
      <c r="J30" s="141">
        <f>ROUND('RE-9911 (2)'!U43,2)</f>
        <v>12194.98</v>
      </c>
      <c r="K30" s="139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2:20" s="15" customFormat="1" ht="12.75" customHeight="1">
      <c r="B31" s="137"/>
      <c r="C31" s="140"/>
      <c r="D31" s="631"/>
      <c r="E31" s="635"/>
      <c r="F31" s="635"/>
      <c r="G31" s="79"/>
      <c r="H31" s="79"/>
      <c r="I31" s="79"/>
      <c r="J31" s="141"/>
      <c r="K31" s="139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2:20" s="15" customFormat="1" ht="19.5">
      <c r="B32" s="137"/>
      <c r="C32" s="140" t="s">
        <v>98</v>
      </c>
      <c r="D32" s="638" t="s">
        <v>99</v>
      </c>
      <c r="E32" s="634"/>
      <c r="F32" s="634"/>
      <c r="G32" s="79"/>
      <c r="H32" s="79"/>
      <c r="I32" s="79"/>
      <c r="J32" s="141"/>
      <c r="K32" s="139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2:20" s="15" customFormat="1" ht="19.5">
      <c r="B33" s="137"/>
      <c r="C33" s="140"/>
      <c r="D33" s="631">
        <v>41</v>
      </c>
      <c r="E33" s="635" t="s">
        <v>90</v>
      </c>
      <c r="F33" s="635"/>
      <c r="G33" s="79"/>
      <c r="H33" s="79"/>
      <c r="I33" s="79"/>
      <c r="J33" s="141">
        <f>ROUND('SU (YACYLEC)'!K61,2)</f>
        <v>96.52</v>
      </c>
      <c r="K33" s="139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2:20" s="15" customFormat="1" ht="19.5">
      <c r="B34" s="137"/>
      <c r="C34" s="140"/>
      <c r="D34" s="631">
        <v>42</v>
      </c>
      <c r="E34" s="635" t="s">
        <v>91</v>
      </c>
      <c r="F34" s="635"/>
      <c r="G34" s="79"/>
      <c r="H34" s="79"/>
      <c r="I34" s="79"/>
      <c r="J34" s="141">
        <f>ROUND('SU (LITSA)'!K66,2)</f>
        <v>2259.85</v>
      </c>
      <c r="K34" s="139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2:20" s="15" customFormat="1" ht="19.5">
      <c r="B35" s="137"/>
      <c r="C35" s="140"/>
      <c r="D35" s="631">
        <v>43</v>
      </c>
      <c r="E35" s="635" t="s">
        <v>100</v>
      </c>
      <c r="F35" s="635"/>
      <c r="G35" s="79"/>
      <c r="H35" s="79"/>
      <c r="I35" s="79"/>
      <c r="J35" s="141">
        <f>ROUND('SU (TIBA)'!J70,2)</f>
        <v>5253.54</v>
      </c>
      <c r="K35" s="139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2:20" s="15" customFormat="1" ht="20.25" thickBot="1">
      <c r="B36" s="137"/>
      <c r="C36" s="138"/>
      <c r="D36" s="631"/>
      <c r="E36" s="634"/>
      <c r="F36" s="634"/>
      <c r="G36" s="79"/>
      <c r="H36" s="79"/>
      <c r="I36" s="79"/>
      <c r="J36" s="136"/>
      <c r="K36" s="139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2:20" s="15" customFormat="1" ht="20.25" thickBot="1" thickTop="1">
      <c r="B37" s="137"/>
      <c r="C37" s="140"/>
      <c r="D37" s="140"/>
      <c r="G37" s="147" t="s">
        <v>101</v>
      </c>
      <c r="H37" s="148">
        <f>SUM(J16:J35)</f>
        <v>490727.913389651</v>
      </c>
      <c r="I37" s="286"/>
      <c r="K37" s="139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2:20" s="124" customFormat="1" ht="17.25" thickBot="1" thickTop="1">
      <c r="B38" s="149"/>
      <c r="C38" s="150"/>
      <c r="D38" s="150"/>
      <c r="E38" s="151"/>
      <c r="F38" s="151"/>
      <c r="G38" s="151"/>
      <c r="H38" s="151"/>
      <c r="I38" s="151"/>
      <c r="J38" s="151"/>
      <c r="K38" s="152"/>
      <c r="L38" s="126"/>
      <c r="M38" s="126"/>
      <c r="N38" s="153"/>
      <c r="O38" s="154"/>
      <c r="P38" s="154"/>
      <c r="Q38" s="155"/>
      <c r="R38" s="156"/>
      <c r="S38" s="126"/>
      <c r="T38" s="126"/>
    </row>
    <row r="39" spans="4:20" ht="13.5" thickTop="1">
      <c r="D39" s="14"/>
      <c r="G39" s="14"/>
      <c r="H39" s="14"/>
      <c r="I39" s="14"/>
      <c r="J39" s="14"/>
      <c r="K39" s="14"/>
      <c r="L39" s="14"/>
      <c r="M39" s="14"/>
      <c r="N39" s="76"/>
      <c r="O39" s="157"/>
      <c r="P39" s="157"/>
      <c r="Q39" s="14"/>
      <c r="R39" s="2"/>
      <c r="S39" s="14"/>
      <c r="T39" s="14"/>
    </row>
    <row r="40" spans="4:20" ht="12.75">
      <c r="D40" s="14"/>
      <c r="G40" s="14"/>
      <c r="H40" s="14"/>
      <c r="I40" s="14"/>
      <c r="J40" s="14"/>
      <c r="K40" s="14"/>
      <c r="L40" s="14"/>
      <c r="M40" s="14"/>
      <c r="N40" s="14"/>
      <c r="O40" s="158"/>
      <c r="P40" s="158"/>
      <c r="Q40" s="159"/>
      <c r="R40" s="2"/>
      <c r="S40" s="14"/>
      <c r="T40" s="14"/>
    </row>
    <row r="41" spans="4:20" ht="12.7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8"/>
      <c r="P41" s="158"/>
      <c r="Q41" s="159"/>
      <c r="R41" s="2"/>
      <c r="S41" s="14"/>
      <c r="T41" s="14"/>
    </row>
    <row r="42" spans="4:20" ht="12.75">
      <c r="D42" s="14"/>
      <c r="E42" s="14"/>
      <c r="F42" s="14"/>
      <c r="M42" s="14"/>
      <c r="N42" s="14"/>
      <c r="O42" s="14"/>
      <c r="P42" s="14"/>
      <c r="Q42" s="14"/>
      <c r="R42" s="14"/>
      <c r="S42" s="14"/>
      <c r="T42" s="14"/>
    </row>
    <row r="43" spans="4:20" ht="12.75">
      <c r="D43" s="14"/>
      <c r="E43" s="14"/>
      <c r="F43" s="14"/>
      <c r="Q43" s="14"/>
      <c r="R43" s="14"/>
      <c r="S43" s="14"/>
      <c r="T43" s="14"/>
    </row>
    <row r="44" spans="4:20" ht="12.75">
      <c r="D44" s="14"/>
      <c r="E44" s="14"/>
      <c r="F44" s="14"/>
      <c r="Q44" s="14"/>
      <c r="R44" s="14"/>
      <c r="S44" s="14"/>
      <c r="T44" s="14"/>
    </row>
    <row r="45" spans="4:20" ht="12.75">
      <c r="D45" s="14"/>
      <c r="E45" s="14"/>
      <c r="F45" s="14"/>
      <c r="Q45" s="14"/>
      <c r="R45" s="14"/>
      <c r="S45" s="14"/>
      <c r="T45" s="14"/>
    </row>
    <row r="46" spans="4:20" ht="12.75">
      <c r="D46" s="14"/>
      <c r="E46" s="14"/>
      <c r="F46" s="14"/>
      <c r="Q46" s="14"/>
      <c r="R46" s="14"/>
      <c r="S46" s="14"/>
      <c r="T46" s="14"/>
    </row>
    <row r="47" spans="4:20" ht="12.75">
      <c r="D47" s="14"/>
      <c r="E47" s="14"/>
      <c r="F47" s="14"/>
      <c r="Q47" s="14"/>
      <c r="R47" s="14"/>
      <c r="S47" s="14"/>
      <c r="T47" s="14"/>
    </row>
    <row r="48" spans="17:20" ht="12.75">
      <c r="Q48" s="14"/>
      <c r="R48" s="14"/>
      <c r="S48" s="14"/>
      <c r="T48" s="14"/>
    </row>
    <row r="49" spans="17:20" ht="12.75">
      <c r="Q49" s="14"/>
      <c r="R49" s="14"/>
      <c r="S49" s="14"/>
      <c r="T49" s="14"/>
    </row>
  </sheetData>
  <printOptions/>
  <pageMargins left="0.5905511811023623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W156"/>
  <sheetViews>
    <sheetView zoomScale="75" zoomScaleNormal="75" workbookViewId="0" topLeftCell="E13">
      <selection activeCell="I21" sqref="I2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110" customFormat="1" ht="26.25">
      <c r="A1" s="160"/>
      <c r="U1" s="647"/>
    </row>
    <row r="2" spans="1:21" s="110" customFormat="1" ht="26.25">
      <c r="A2" s="160"/>
      <c r="B2" s="111" t="str">
        <f>+'tot-9911'!B2</f>
        <v>ANEXO I A LA RESOLUCION ENRE N° 320/2000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21" s="16" customFormat="1" ht="13.5" thickTop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232"/>
    </row>
    <row r="8" spans="2:21" s="10" customFormat="1" ht="20.25">
      <c r="B8" s="175"/>
      <c r="C8" s="11"/>
      <c r="D8" s="78" t="s">
        <v>102</v>
      </c>
      <c r="L8" s="208"/>
      <c r="M8" s="208"/>
      <c r="N8" s="48"/>
      <c r="O8" s="11"/>
      <c r="P8" s="11"/>
      <c r="Q8" s="11"/>
      <c r="R8" s="11"/>
      <c r="S8" s="11"/>
      <c r="T8" s="11"/>
      <c r="U8" s="241"/>
    </row>
    <row r="9" spans="2:21" s="16" customFormat="1" ht="12.75">
      <c r="B9" s="142"/>
      <c r="C9" s="14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4"/>
      <c r="P9" s="14"/>
      <c r="Q9" s="14"/>
      <c r="R9" s="14"/>
      <c r="S9" s="14"/>
      <c r="T9" s="14"/>
      <c r="U9" s="146"/>
    </row>
    <row r="10" spans="2:21" s="10" customFormat="1" ht="20.25">
      <c r="B10" s="175"/>
      <c r="C10" s="11"/>
      <c r="D10" s="212" t="s">
        <v>162</v>
      </c>
      <c r="E10" s="49"/>
      <c r="F10" s="208"/>
      <c r="G10" s="242"/>
      <c r="I10" s="242"/>
      <c r="J10" s="242"/>
      <c r="K10" s="242"/>
      <c r="L10" s="242"/>
      <c r="M10" s="242"/>
      <c r="N10" s="242"/>
      <c r="O10" s="11"/>
      <c r="P10" s="11"/>
      <c r="Q10" s="11"/>
      <c r="R10" s="11"/>
      <c r="S10" s="11"/>
      <c r="T10" s="11"/>
      <c r="U10" s="241"/>
    </row>
    <row r="11" spans="2:21" s="16" customFormat="1" ht="13.5">
      <c r="B11" s="142"/>
      <c r="C11" s="14"/>
      <c r="D11" s="240"/>
      <c r="E11" s="240"/>
      <c r="F11" s="75"/>
      <c r="G11" s="233"/>
      <c r="H11" s="144"/>
      <c r="I11" s="233"/>
      <c r="J11" s="233"/>
      <c r="K11" s="233"/>
      <c r="L11" s="233"/>
      <c r="M11" s="233"/>
      <c r="N11" s="233"/>
      <c r="O11" s="14"/>
      <c r="P11" s="14"/>
      <c r="Q11" s="14"/>
      <c r="R11" s="14"/>
      <c r="S11" s="14"/>
      <c r="T11" s="14"/>
      <c r="U11" s="146"/>
    </row>
    <row r="12" spans="2:21" s="16" customFormat="1" ht="19.5">
      <c r="B12" s="130" t="str">
        <f>+'tot-9911'!B14</f>
        <v>Desde el 01 al 30 de noviembre de 1999</v>
      </c>
      <c r="C12" s="133"/>
      <c r="D12" s="133"/>
      <c r="E12" s="133"/>
      <c r="F12" s="133"/>
      <c r="G12" s="243"/>
      <c r="H12" s="243"/>
      <c r="I12" s="243"/>
      <c r="J12" s="243"/>
      <c r="K12" s="243"/>
      <c r="L12" s="243"/>
      <c r="M12" s="243"/>
      <c r="N12" s="243"/>
      <c r="O12" s="133"/>
      <c r="P12" s="133"/>
      <c r="Q12" s="133"/>
      <c r="R12" s="133"/>
      <c r="S12" s="133"/>
      <c r="T12" s="133"/>
      <c r="U12" s="244"/>
    </row>
    <row r="13" spans="2:21" s="16" customFormat="1" ht="14.25" thickBot="1">
      <c r="B13" s="245"/>
      <c r="C13" s="246"/>
      <c r="D13" s="246"/>
      <c r="E13" s="246"/>
      <c r="F13" s="246"/>
      <c r="G13" s="247"/>
      <c r="H13" s="247"/>
      <c r="I13" s="247"/>
      <c r="J13" s="247"/>
      <c r="K13" s="247"/>
      <c r="L13" s="247"/>
      <c r="M13" s="247"/>
      <c r="N13" s="247"/>
      <c r="O13" s="246"/>
      <c r="P13" s="246"/>
      <c r="Q13" s="246"/>
      <c r="R13" s="246"/>
      <c r="S13" s="246"/>
      <c r="T13" s="246"/>
      <c r="U13" s="248"/>
    </row>
    <row r="14" spans="2:21" s="16" customFormat="1" ht="15" thickBot="1" thickTop="1">
      <c r="B14" s="142"/>
      <c r="C14" s="14"/>
      <c r="D14" s="249"/>
      <c r="E14" s="249"/>
      <c r="F14" s="250" t="s">
        <v>157</v>
      </c>
      <c r="G14" s="14"/>
      <c r="H14" s="14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6"/>
    </row>
    <row r="15" spans="2:21" s="16" customFormat="1" ht="14.25" thickBot="1" thickTop="1">
      <c r="B15" s="142"/>
      <c r="C15" s="14"/>
      <c r="D15" s="251" t="s">
        <v>158</v>
      </c>
      <c r="E15" s="644">
        <v>11.173</v>
      </c>
      <c r="F15" s="250">
        <v>200</v>
      </c>
      <c r="T15" s="167"/>
      <c r="U15" s="146"/>
    </row>
    <row r="16" spans="2:21" s="16" customFormat="1" ht="14.25" thickBot="1" thickTop="1">
      <c r="B16" s="142"/>
      <c r="C16" s="14"/>
      <c r="D16" s="252" t="s">
        <v>159</v>
      </c>
      <c r="E16" s="285">
        <v>10.056</v>
      </c>
      <c r="F16" s="250">
        <v>100</v>
      </c>
      <c r="M16" s="14"/>
      <c r="N16" s="14"/>
      <c r="O16" s="14"/>
      <c r="P16" s="14"/>
      <c r="Q16" s="14"/>
      <c r="R16" s="14"/>
      <c r="S16" s="14"/>
      <c r="T16" s="14"/>
      <c r="U16" s="146"/>
    </row>
    <row r="17" spans="2:21" s="16" customFormat="1" ht="14.25" thickBot="1" thickTop="1">
      <c r="B17" s="142"/>
      <c r="C17" s="14"/>
      <c r="D17" s="253" t="s">
        <v>160</v>
      </c>
      <c r="E17" s="285">
        <v>8.939</v>
      </c>
      <c r="F17" s="250">
        <v>40</v>
      </c>
      <c r="M17" s="14"/>
      <c r="O17" s="14"/>
      <c r="P17" s="14"/>
      <c r="Q17" s="14"/>
      <c r="R17" s="14"/>
      <c r="S17" s="14"/>
      <c r="T17" s="14"/>
      <c r="U17" s="146"/>
    </row>
    <row r="18" spans="2:21" s="16" customFormat="1" ht="16.5" customHeight="1" thickBot="1" thickTop="1">
      <c r="B18" s="142"/>
      <c r="C18" s="21"/>
      <c r="D18" s="96"/>
      <c r="E18" s="96"/>
      <c r="F18" s="234"/>
      <c r="G18" s="235"/>
      <c r="H18" s="235"/>
      <c r="I18" s="235"/>
      <c r="J18" s="235"/>
      <c r="K18" s="235"/>
      <c r="L18" s="235"/>
      <c r="M18" s="235"/>
      <c r="N18" s="86"/>
      <c r="O18" s="236"/>
      <c r="P18" s="237"/>
      <c r="Q18" s="237"/>
      <c r="R18" s="237"/>
      <c r="S18" s="238"/>
      <c r="T18" s="239"/>
      <c r="U18" s="146"/>
    </row>
    <row r="19" spans="2:21" s="16" customFormat="1" ht="33.75" customHeight="1" thickBot="1" thickTop="1">
      <c r="B19" s="142"/>
      <c r="C19" s="182" t="s">
        <v>107</v>
      </c>
      <c r="D19" s="191" t="s">
        <v>149</v>
      </c>
      <c r="E19" s="187" t="s">
        <v>77</v>
      </c>
      <c r="F19" s="254" t="s">
        <v>108</v>
      </c>
      <c r="G19" s="356" t="s">
        <v>112</v>
      </c>
      <c r="H19" s="185" t="s">
        <v>113</v>
      </c>
      <c r="I19" s="187" t="s">
        <v>114</v>
      </c>
      <c r="J19" s="255" t="s">
        <v>115</v>
      </c>
      <c r="K19" s="255" t="s">
        <v>116</v>
      </c>
      <c r="L19" s="190" t="s">
        <v>117</v>
      </c>
      <c r="M19" s="186" t="s">
        <v>120</v>
      </c>
      <c r="N19" s="539" t="s">
        <v>111</v>
      </c>
      <c r="O19" s="527" t="s">
        <v>137</v>
      </c>
      <c r="P19" s="548" t="s">
        <v>161</v>
      </c>
      <c r="Q19" s="549"/>
      <c r="R19" s="561" t="s">
        <v>125</v>
      </c>
      <c r="S19" s="192" t="s">
        <v>127</v>
      </c>
      <c r="T19" s="226" t="s">
        <v>128</v>
      </c>
      <c r="U19" s="146"/>
    </row>
    <row r="20" spans="2:21" s="16" customFormat="1" ht="16.5" customHeight="1" thickTop="1">
      <c r="B20" s="142"/>
      <c r="C20" s="20"/>
      <c r="D20" s="80"/>
      <c r="E20" s="80"/>
      <c r="F20" s="80"/>
      <c r="G20" s="366"/>
      <c r="H20" s="80"/>
      <c r="I20" s="80"/>
      <c r="J20" s="80"/>
      <c r="K20" s="80"/>
      <c r="L20" s="80"/>
      <c r="M20" s="80"/>
      <c r="N20" s="542"/>
      <c r="O20" s="546"/>
      <c r="P20" s="550"/>
      <c r="Q20" s="551"/>
      <c r="R20" s="562"/>
      <c r="S20" s="80"/>
      <c r="T20" s="646"/>
      <c r="U20" s="146"/>
    </row>
    <row r="21" spans="2:21" s="16" customFormat="1" ht="16.5" customHeight="1">
      <c r="B21" s="142"/>
      <c r="C21" s="20" t="s">
        <v>186</v>
      </c>
      <c r="D21" s="81" t="s">
        <v>48</v>
      </c>
      <c r="E21" s="81" t="s">
        <v>76</v>
      </c>
      <c r="F21" s="82">
        <v>132</v>
      </c>
      <c r="G21" s="357">
        <f aca="true" t="shared" si="0" ref="G21:G39">IF(F21=500,$E$15,IF(F21=220,$E$16,$E$17))</f>
        <v>8.939</v>
      </c>
      <c r="H21" s="83">
        <v>36466.51388888889</v>
      </c>
      <c r="I21" s="84">
        <v>36466.86597222222</v>
      </c>
      <c r="J21" s="85">
        <f aca="true" t="shared" si="1" ref="J21:J39">IF(D21="","",(I21-H21)*24)</f>
        <v>8.449999999953434</v>
      </c>
      <c r="K21" s="31">
        <f aca="true" t="shared" si="2" ref="K21:K39">IF(D21="","",ROUND((I21-H21)*24*60,0))</f>
        <v>507</v>
      </c>
      <c r="L21" s="28" t="s">
        <v>197</v>
      </c>
      <c r="M21" s="24" t="str">
        <f aca="true" t="shared" si="3" ref="M21:M39">IF(D21="","",IF(L21="P","--","NO"))</f>
        <v>--</v>
      </c>
      <c r="N21" s="540">
        <f aca="true" t="shared" si="4" ref="N21:N39">IF(F21=500,$F$15,IF(F21=220,$F$16,$F$17))</f>
        <v>40</v>
      </c>
      <c r="O21" s="544">
        <f aca="true" t="shared" si="5" ref="O21:O39">IF(L21="P",G21*N21*ROUND(K21/60,2)*0.1,"--")</f>
        <v>302.1382</v>
      </c>
      <c r="P21" s="552" t="str">
        <f aca="true" t="shared" si="6" ref="P21:P39">IF(AND(L21="F",M21="NO"),G21*N21,"--")</f>
        <v>--</v>
      </c>
      <c r="Q21" s="553" t="str">
        <f aca="true" t="shared" si="7" ref="Q21:Q39">IF(L21="F",G21*N21*ROUND(K21/60,2),"--")</f>
        <v>--</v>
      </c>
      <c r="R21" s="558" t="str">
        <f aca="true" t="shared" si="8" ref="R21:R39">IF(L21="RF",G21*N21*ROUND(K21/60,2),"--")</f>
        <v>--</v>
      </c>
      <c r="S21" s="87" t="str">
        <f aca="true" t="shared" si="9" ref="S21:S39">IF(D21="","","SI")</f>
        <v>SI</v>
      </c>
      <c r="T21" s="88">
        <f aca="true" t="shared" si="10" ref="T21:T39">IF(D21="","",SUM(O21:R21)*IF(S21="SI",1,2))</f>
        <v>302.1382</v>
      </c>
      <c r="U21" s="146"/>
    </row>
    <row r="22" spans="2:21" s="16" customFormat="1" ht="16.5" customHeight="1">
      <c r="B22" s="142"/>
      <c r="C22" s="20" t="s">
        <v>187</v>
      </c>
      <c r="D22" s="81" t="s">
        <v>46</v>
      </c>
      <c r="E22" s="81" t="s">
        <v>74</v>
      </c>
      <c r="F22" s="82">
        <v>500</v>
      </c>
      <c r="G22" s="357">
        <f t="shared" si="0"/>
        <v>11.173</v>
      </c>
      <c r="H22" s="83">
        <v>36473.44375</v>
      </c>
      <c r="I22" s="84">
        <v>36473.78055555555</v>
      </c>
      <c r="J22" s="85">
        <f t="shared" si="1"/>
        <v>8.08333333331393</v>
      </c>
      <c r="K22" s="31">
        <f t="shared" si="2"/>
        <v>485</v>
      </c>
      <c r="L22" s="28" t="s">
        <v>197</v>
      </c>
      <c r="M22" s="24" t="str">
        <f t="shared" si="3"/>
        <v>--</v>
      </c>
      <c r="N22" s="540">
        <f t="shared" si="4"/>
        <v>200</v>
      </c>
      <c r="O22" s="544">
        <f t="shared" si="5"/>
        <v>1805.5568</v>
      </c>
      <c r="P22" s="552" t="str">
        <f t="shared" si="6"/>
        <v>--</v>
      </c>
      <c r="Q22" s="553" t="str">
        <f t="shared" si="7"/>
        <v>--</v>
      </c>
      <c r="R22" s="558" t="str">
        <f t="shared" si="8"/>
        <v>--</v>
      </c>
      <c r="S22" s="87" t="str">
        <f t="shared" si="9"/>
        <v>SI</v>
      </c>
      <c r="T22" s="88">
        <f t="shared" si="10"/>
        <v>1805.5568</v>
      </c>
      <c r="U22" s="146"/>
    </row>
    <row r="23" spans="2:21" s="16" customFormat="1" ht="16.5" customHeight="1">
      <c r="B23" s="142"/>
      <c r="C23" s="20" t="s">
        <v>188</v>
      </c>
      <c r="D23" s="81" t="s">
        <v>46</v>
      </c>
      <c r="E23" s="81" t="s">
        <v>74</v>
      </c>
      <c r="F23" s="82">
        <v>500</v>
      </c>
      <c r="G23" s="357">
        <f t="shared" si="0"/>
        <v>11.173</v>
      </c>
      <c r="H23" s="83">
        <v>36474.44027777778</v>
      </c>
      <c r="I23" s="84">
        <v>36474.754166666666</v>
      </c>
      <c r="J23" s="85">
        <f t="shared" si="1"/>
        <v>7.533333333267365</v>
      </c>
      <c r="K23" s="31">
        <f t="shared" si="2"/>
        <v>452</v>
      </c>
      <c r="L23" s="28" t="s">
        <v>197</v>
      </c>
      <c r="M23" s="24" t="str">
        <f t="shared" si="3"/>
        <v>--</v>
      </c>
      <c r="N23" s="540">
        <f t="shared" si="4"/>
        <v>200</v>
      </c>
      <c r="O23" s="544">
        <f t="shared" si="5"/>
        <v>1682.6538</v>
      </c>
      <c r="P23" s="552" t="str">
        <f t="shared" si="6"/>
        <v>--</v>
      </c>
      <c r="Q23" s="553" t="str">
        <f t="shared" si="7"/>
        <v>--</v>
      </c>
      <c r="R23" s="558" t="str">
        <f t="shared" si="8"/>
        <v>--</v>
      </c>
      <c r="S23" s="87" t="str">
        <f t="shared" si="9"/>
        <v>SI</v>
      </c>
      <c r="T23" s="88">
        <f t="shared" si="10"/>
        <v>1682.6538</v>
      </c>
      <c r="U23" s="146"/>
    </row>
    <row r="24" spans="2:21" s="16" customFormat="1" ht="16.5" customHeight="1">
      <c r="B24" s="142"/>
      <c r="C24" s="20" t="s">
        <v>189</v>
      </c>
      <c r="D24" s="81" t="s">
        <v>46</v>
      </c>
      <c r="E24" s="81" t="s">
        <v>74</v>
      </c>
      <c r="F24" s="82">
        <v>500</v>
      </c>
      <c r="G24" s="357">
        <f t="shared" si="0"/>
        <v>11.173</v>
      </c>
      <c r="H24" s="83">
        <v>36475.42152777778</v>
      </c>
      <c r="I24" s="84">
        <v>36475.743055555555</v>
      </c>
      <c r="J24" s="85">
        <f t="shared" si="1"/>
        <v>7.716666666674428</v>
      </c>
      <c r="K24" s="31">
        <f t="shared" si="2"/>
        <v>463</v>
      </c>
      <c r="L24" s="28" t="s">
        <v>197</v>
      </c>
      <c r="M24" s="24" t="str">
        <f t="shared" si="3"/>
        <v>--</v>
      </c>
      <c r="N24" s="540">
        <f t="shared" si="4"/>
        <v>200</v>
      </c>
      <c r="O24" s="544">
        <f t="shared" si="5"/>
        <v>1725.1111999999998</v>
      </c>
      <c r="P24" s="552" t="str">
        <f t="shared" si="6"/>
        <v>--</v>
      </c>
      <c r="Q24" s="553" t="str">
        <f t="shared" si="7"/>
        <v>--</v>
      </c>
      <c r="R24" s="558" t="str">
        <f t="shared" si="8"/>
        <v>--</v>
      </c>
      <c r="S24" s="87" t="str">
        <f t="shared" si="9"/>
        <v>SI</v>
      </c>
      <c r="T24" s="88">
        <f t="shared" si="10"/>
        <v>1725.1111999999998</v>
      </c>
      <c r="U24" s="146"/>
    </row>
    <row r="25" spans="2:21" s="16" customFormat="1" ht="16.5" customHeight="1">
      <c r="B25" s="142"/>
      <c r="C25" s="20" t="s">
        <v>190</v>
      </c>
      <c r="D25" s="81" t="s">
        <v>46</v>
      </c>
      <c r="E25" s="81" t="s">
        <v>74</v>
      </c>
      <c r="F25" s="82">
        <v>500</v>
      </c>
      <c r="G25" s="357">
        <f t="shared" si="0"/>
        <v>11.173</v>
      </c>
      <c r="H25" s="83">
        <v>36476.498611111114</v>
      </c>
      <c r="I25" s="84">
        <v>36476.743055555555</v>
      </c>
      <c r="J25" s="85">
        <f t="shared" si="1"/>
        <v>5.866666666581295</v>
      </c>
      <c r="K25" s="31">
        <f t="shared" si="2"/>
        <v>352</v>
      </c>
      <c r="L25" s="28" t="s">
        <v>197</v>
      </c>
      <c r="M25" s="24" t="str">
        <f t="shared" si="3"/>
        <v>--</v>
      </c>
      <c r="N25" s="540">
        <f t="shared" si="4"/>
        <v>200</v>
      </c>
      <c r="O25" s="544">
        <f t="shared" si="5"/>
        <v>1311.7102</v>
      </c>
      <c r="P25" s="552" t="str">
        <f t="shared" si="6"/>
        <v>--</v>
      </c>
      <c r="Q25" s="553" t="str">
        <f t="shared" si="7"/>
        <v>--</v>
      </c>
      <c r="R25" s="558" t="str">
        <f t="shared" si="8"/>
        <v>--</v>
      </c>
      <c r="S25" s="87" t="str">
        <f t="shared" si="9"/>
        <v>SI</v>
      </c>
      <c r="T25" s="88">
        <f t="shared" si="10"/>
        <v>1311.7102</v>
      </c>
      <c r="U25" s="146"/>
    </row>
    <row r="26" spans="2:21" s="16" customFormat="1" ht="16.5" customHeight="1">
      <c r="B26" s="142"/>
      <c r="C26" s="20" t="s">
        <v>191</v>
      </c>
      <c r="D26" s="81" t="s">
        <v>47</v>
      </c>
      <c r="E26" s="81" t="s">
        <v>75</v>
      </c>
      <c r="F26" s="82">
        <v>132</v>
      </c>
      <c r="G26" s="357">
        <f t="shared" si="0"/>
        <v>8.939</v>
      </c>
      <c r="H26" s="83">
        <v>36485.3125</v>
      </c>
      <c r="I26" s="84">
        <v>36485.725</v>
      </c>
      <c r="J26" s="85">
        <f t="shared" si="1"/>
        <v>9.899999999965075</v>
      </c>
      <c r="K26" s="31">
        <f t="shared" si="2"/>
        <v>594</v>
      </c>
      <c r="L26" s="28" t="s">
        <v>197</v>
      </c>
      <c r="M26" s="24" t="str">
        <f t="shared" si="3"/>
        <v>--</v>
      </c>
      <c r="N26" s="540">
        <f t="shared" si="4"/>
        <v>40</v>
      </c>
      <c r="O26" s="544">
        <f t="shared" si="5"/>
        <v>353.98440000000005</v>
      </c>
      <c r="P26" s="552" t="str">
        <f t="shared" si="6"/>
        <v>--</v>
      </c>
      <c r="Q26" s="553" t="str">
        <f t="shared" si="7"/>
        <v>--</v>
      </c>
      <c r="R26" s="558" t="str">
        <f t="shared" si="8"/>
        <v>--</v>
      </c>
      <c r="S26" s="87" t="str">
        <f t="shared" si="9"/>
        <v>SI</v>
      </c>
      <c r="T26" s="88">
        <f t="shared" si="10"/>
        <v>353.98440000000005</v>
      </c>
      <c r="U26" s="146"/>
    </row>
    <row r="27" spans="2:21" s="16" customFormat="1" ht="16.5" customHeight="1">
      <c r="B27" s="142"/>
      <c r="C27" s="20" t="s">
        <v>194</v>
      </c>
      <c r="D27" s="81" t="s">
        <v>47</v>
      </c>
      <c r="E27" s="81" t="s">
        <v>193</v>
      </c>
      <c r="F27" s="82">
        <v>132</v>
      </c>
      <c r="G27" s="357">
        <f t="shared" si="0"/>
        <v>8.939</v>
      </c>
      <c r="H27" s="83">
        <v>36486.30763888889</v>
      </c>
      <c r="I27" s="84">
        <v>36486.61597222222</v>
      </c>
      <c r="J27" s="85">
        <f t="shared" si="1"/>
        <v>7.400000000023283</v>
      </c>
      <c r="K27" s="31">
        <f t="shared" si="2"/>
        <v>444</v>
      </c>
      <c r="L27" s="28" t="s">
        <v>197</v>
      </c>
      <c r="M27" s="24" t="str">
        <f t="shared" si="3"/>
        <v>--</v>
      </c>
      <c r="N27" s="540">
        <f t="shared" si="4"/>
        <v>40</v>
      </c>
      <c r="O27" s="544">
        <f t="shared" si="5"/>
        <v>264.5944</v>
      </c>
      <c r="P27" s="552" t="str">
        <f t="shared" si="6"/>
        <v>--</v>
      </c>
      <c r="Q27" s="553" t="str">
        <f t="shared" si="7"/>
        <v>--</v>
      </c>
      <c r="R27" s="558" t="str">
        <f t="shared" si="8"/>
        <v>--</v>
      </c>
      <c r="S27" s="87" t="str">
        <f t="shared" si="9"/>
        <v>SI</v>
      </c>
      <c r="T27" s="88">
        <f t="shared" si="10"/>
        <v>264.5944</v>
      </c>
      <c r="U27" s="146"/>
    </row>
    <row r="28" spans="2:21" s="16" customFormat="1" ht="16.5" customHeight="1">
      <c r="B28" s="142"/>
      <c r="C28" s="20" t="s">
        <v>195</v>
      </c>
      <c r="D28" s="81" t="s">
        <v>47</v>
      </c>
      <c r="E28" s="81" t="s">
        <v>193</v>
      </c>
      <c r="F28" s="82">
        <v>132</v>
      </c>
      <c r="G28" s="357">
        <f t="shared" si="0"/>
        <v>8.939</v>
      </c>
      <c r="H28" s="83">
        <v>36487.30486111111</v>
      </c>
      <c r="I28" s="84">
        <v>36487.60277777778</v>
      </c>
      <c r="J28" s="85">
        <f t="shared" si="1"/>
        <v>7.150000000081491</v>
      </c>
      <c r="K28" s="31">
        <f t="shared" si="2"/>
        <v>429</v>
      </c>
      <c r="L28" s="28" t="s">
        <v>197</v>
      </c>
      <c r="M28" s="24" t="str">
        <f t="shared" si="3"/>
        <v>--</v>
      </c>
      <c r="N28" s="540">
        <f t="shared" si="4"/>
        <v>40</v>
      </c>
      <c r="O28" s="544">
        <f t="shared" si="5"/>
        <v>255.65540000000001</v>
      </c>
      <c r="P28" s="552" t="str">
        <f t="shared" si="6"/>
        <v>--</v>
      </c>
      <c r="Q28" s="553" t="str">
        <f t="shared" si="7"/>
        <v>--</v>
      </c>
      <c r="R28" s="558" t="str">
        <f t="shared" si="8"/>
        <v>--</v>
      </c>
      <c r="S28" s="87" t="str">
        <f t="shared" si="9"/>
        <v>SI</v>
      </c>
      <c r="T28" s="88">
        <f t="shared" si="10"/>
        <v>255.65540000000001</v>
      </c>
      <c r="U28" s="146"/>
    </row>
    <row r="29" spans="2:21" s="16" customFormat="1" ht="16.5" customHeight="1">
      <c r="B29" s="142"/>
      <c r="C29" s="20" t="s">
        <v>192</v>
      </c>
      <c r="D29" s="81" t="s">
        <v>47</v>
      </c>
      <c r="E29" s="81" t="s">
        <v>75</v>
      </c>
      <c r="F29" s="82">
        <v>132</v>
      </c>
      <c r="G29" s="357">
        <f t="shared" si="0"/>
        <v>8.939</v>
      </c>
      <c r="H29" s="83">
        <v>36492.30416666667</v>
      </c>
      <c r="I29" s="84">
        <v>36492.700694444444</v>
      </c>
      <c r="J29" s="85">
        <f t="shared" si="1"/>
        <v>9.516666666604578</v>
      </c>
      <c r="K29" s="31">
        <f t="shared" si="2"/>
        <v>571</v>
      </c>
      <c r="L29" s="28" t="s">
        <v>197</v>
      </c>
      <c r="M29" s="24" t="str">
        <f t="shared" si="3"/>
        <v>--</v>
      </c>
      <c r="N29" s="540">
        <f t="shared" si="4"/>
        <v>40</v>
      </c>
      <c r="O29" s="544">
        <f t="shared" si="5"/>
        <v>340.39712000000003</v>
      </c>
      <c r="P29" s="552" t="str">
        <f t="shared" si="6"/>
        <v>--</v>
      </c>
      <c r="Q29" s="553" t="str">
        <f t="shared" si="7"/>
        <v>--</v>
      </c>
      <c r="R29" s="558" t="str">
        <f t="shared" si="8"/>
        <v>--</v>
      </c>
      <c r="S29" s="87" t="str">
        <f t="shared" si="9"/>
        <v>SI</v>
      </c>
      <c r="T29" s="88">
        <f t="shared" si="10"/>
        <v>340.39712000000003</v>
      </c>
      <c r="U29" s="146"/>
    </row>
    <row r="30" spans="2:21" s="16" customFormat="1" ht="16.5" customHeight="1">
      <c r="B30" s="142"/>
      <c r="C30" s="20"/>
      <c r="D30" s="81"/>
      <c r="E30" s="81"/>
      <c r="F30" s="82"/>
      <c r="G30" s="357">
        <f t="shared" si="0"/>
        <v>8.939</v>
      </c>
      <c r="H30" s="83"/>
      <c r="I30" s="84"/>
      <c r="J30" s="85">
        <f t="shared" si="1"/>
      </c>
      <c r="K30" s="31">
        <f t="shared" si="2"/>
      </c>
      <c r="L30" s="28"/>
      <c r="M30" s="24">
        <f t="shared" si="3"/>
      </c>
      <c r="N30" s="540">
        <f t="shared" si="4"/>
        <v>40</v>
      </c>
      <c r="O30" s="544" t="str">
        <f t="shared" si="5"/>
        <v>--</v>
      </c>
      <c r="P30" s="552" t="str">
        <f t="shared" si="6"/>
        <v>--</v>
      </c>
      <c r="Q30" s="553" t="str">
        <f t="shared" si="7"/>
        <v>--</v>
      </c>
      <c r="R30" s="558" t="str">
        <f t="shared" si="8"/>
        <v>--</v>
      </c>
      <c r="S30" s="87">
        <f t="shared" si="9"/>
      </c>
      <c r="T30" s="88">
        <f t="shared" si="10"/>
      </c>
      <c r="U30" s="146"/>
    </row>
    <row r="31" spans="2:21" s="16" customFormat="1" ht="16.5" customHeight="1">
      <c r="B31" s="142"/>
      <c r="C31" s="20"/>
      <c r="D31" s="81"/>
      <c r="E31" s="81"/>
      <c r="F31" s="82"/>
      <c r="G31" s="357">
        <f t="shared" si="0"/>
        <v>8.939</v>
      </c>
      <c r="H31" s="83"/>
      <c r="I31" s="84"/>
      <c r="J31" s="85">
        <f t="shared" si="1"/>
      </c>
      <c r="K31" s="31">
        <f t="shared" si="2"/>
      </c>
      <c r="L31" s="28"/>
      <c r="M31" s="24">
        <f t="shared" si="3"/>
      </c>
      <c r="N31" s="540">
        <f t="shared" si="4"/>
        <v>40</v>
      </c>
      <c r="O31" s="544" t="str">
        <f t="shared" si="5"/>
        <v>--</v>
      </c>
      <c r="P31" s="552" t="str">
        <f t="shared" si="6"/>
        <v>--</v>
      </c>
      <c r="Q31" s="553" t="str">
        <f t="shared" si="7"/>
        <v>--</v>
      </c>
      <c r="R31" s="558" t="str">
        <f t="shared" si="8"/>
        <v>--</v>
      </c>
      <c r="S31" s="87">
        <f t="shared" si="9"/>
      </c>
      <c r="T31" s="88">
        <f t="shared" si="10"/>
      </c>
      <c r="U31" s="146"/>
    </row>
    <row r="32" spans="2:21" s="16" customFormat="1" ht="16.5" customHeight="1">
      <c r="B32" s="142"/>
      <c r="C32" s="20"/>
      <c r="D32" s="81"/>
      <c r="E32" s="81"/>
      <c r="F32" s="82"/>
      <c r="G32" s="357">
        <f t="shared" si="0"/>
        <v>8.939</v>
      </c>
      <c r="H32" s="83"/>
      <c r="I32" s="84"/>
      <c r="J32" s="85">
        <f t="shared" si="1"/>
      </c>
      <c r="K32" s="31">
        <f t="shared" si="2"/>
      </c>
      <c r="L32" s="28"/>
      <c r="M32" s="24">
        <f t="shared" si="3"/>
      </c>
      <c r="N32" s="540">
        <f t="shared" si="4"/>
        <v>40</v>
      </c>
      <c r="O32" s="544" t="str">
        <f t="shared" si="5"/>
        <v>--</v>
      </c>
      <c r="P32" s="552" t="str">
        <f t="shared" si="6"/>
        <v>--</v>
      </c>
      <c r="Q32" s="553" t="str">
        <f t="shared" si="7"/>
        <v>--</v>
      </c>
      <c r="R32" s="558" t="str">
        <f t="shared" si="8"/>
        <v>--</v>
      </c>
      <c r="S32" s="87">
        <f t="shared" si="9"/>
      </c>
      <c r="T32" s="88">
        <f t="shared" si="10"/>
      </c>
      <c r="U32" s="146"/>
    </row>
    <row r="33" spans="2:21" s="16" customFormat="1" ht="16.5" customHeight="1">
      <c r="B33" s="142"/>
      <c r="C33" s="20"/>
      <c r="D33" s="81"/>
      <c r="E33" s="81"/>
      <c r="F33" s="82"/>
      <c r="G33" s="357">
        <f t="shared" si="0"/>
        <v>8.939</v>
      </c>
      <c r="H33" s="83"/>
      <c r="I33" s="84"/>
      <c r="J33" s="85">
        <f t="shared" si="1"/>
      </c>
      <c r="K33" s="31">
        <f t="shared" si="2"/>
      </c>
      <c r="L33" s="28"/>
      <c r="M33" s="24">
        <f t="shared" si="3"/>
      </c>
      <c r="N33" s="540">
        <f t="shared" si="4"/>
        <v>40</v>
      </c>
      <c r="O33" s="544" t="str">
        <f t="shared" si="5"/>
        <v>--</v>
      </c>
      <c r="P33" s="552" t="str">
        <f t="shared" si="6"/>
        <v>--</v>
      </c>
      <c r="Q33" s="553" t="str">
        <f t="shared" si="7"/>
        <v>--</v>
      </c>
      <c r="R33" s="558" t="str">
        <f t="shared" si="8"/>
        <v>--</v>
      </c>
      <c r="S33" s="87">
        <f t="shared" si="9"/>
      </c>
      <c r="T33" s="88">
        <f t="shared" si="10"/>
      </c>
      <c r="U33" s="146"/>
    </row>
    <row r="34" spans="2:21" s="16" customFormat="1" ht="16.5" customHeight="1">
      <c r="B34" s="142"/>
      <c r="C34" s="20"/>
      <c r="D34" s="81"/>
      <c r="E34" s="81"/>
      <c r="F34" s="82"/>
      <c r="G34" s="357">
        <f t="shared" si="0"/>
        <v>8.939</v>
      </c>
      <c r="H34" s="83"/>
      <c r="I34" s="84"/>
      <c r="J34" s="85">
        <f t="shared" si="1"/>
      </c>
      <c r="K34" s="31">
        <f t="shared" si="2"/>
      </c>
      <c r="L34" s="28"/>
      <c r="M34" s="24">
        <f t="shared" si="3"/>
      </c>
      <c r="N34" s="540">
        <f t="shared" si="4"/>
        <v>40</v>
      </c>
      <c r="O34" s="544" t="str">
        <f t="shared" si="5"/>
        <v>--</v>
      </c>
      <c r="P34" s="552" t="str">
        <f t="shared" si="6"/>
        <v>--</v>
      </c>
      <c r="Q34" s="553" t="str">
        <f t="shared" si="7"/>
        <v>--</v>
      </c>
      <c r="R34" s="558" t="str">
        <f t="shared" si="8"/>
        <v>--</v>
      </c>
      <c r="S34" s="87">
        <f t="shared" si="9"/>
      </c>
      <c r="T34" s="88">
        <f t="shared" si="10"/>
      </c>
      <c r="U34" s="146"/>
    </row>
    <row r="35" spans="2:21" s="16" customFormat="1" ht="16.5" customHeight="1">
      <c r="B35" s="142"/>
      <c r="C35" s="20"/>
      <c r="D35" s="81"/>
      <c r="E35" s="81"/>
      <c r="F35" s="82"/>
      <c r="G35" s="357">
        <f t="shared" si="0"/>
        <v>8.939</v>
      </c>
      <c r="H35" s="83"/>
      <c r="I35" s="84"/>
      <c r="J35" s="85">
        <f t="shared" si="1"/>
      </c>
      <c r="K35" s="31">
        <f t="shared" si="2"/>
      </c>
      <c r="L35" s="28"/>
      <c r="M35" s="24">
        <f t="shared" si="3"/>
      </c>
      <c r="N35" s="540">
        <f t="shared" si="4"/>
        <v>40</v>
      </c>
      <c r="O35" s="544" t="str">
        <f t="shared" si="5"/>
        <v>--</v>
      </c>
      <c r="P35" s="552" t="str">
        <f t="shared" si="6"/>
        <v>--</v>
      </c>
      <c r="Q35" s="553" t="str">
        <f t="shared" si="7"/>
        <v>--</v>
      </c>
      <c r="R35" s="558" t="str">
        <f t="shared" si="8"/>
        <v>--</v>
      </c>
      <c r="S35" s="87">
        <f t="shared" si="9"/>
      </c>
      <c r="T35" s="88">
        <f t="shared" si="10"/>
      </c>
      <c r="U35" s="146"/>
    </row>
    <row r="36" spans="2:21" s="16" customFormat="1" ht="16.5" customHeight="1">
      <c r="B36" s="142"/>
      <c r="C36" s="20"/>
      <c r="D36" s="81"/>
      <c r="E36" s="81"/>
      <c r="F36" s="82"/>
      <c r="G36" s="357">
        <f t="shared" si="0"/>
        <v>8.939</v>
      </c>
      <c r="H36" s="83"/>
      <c r="I36" s="84"/>
      <c r="J36" s="85">
        <f t="shared" si="1"/>
      </c>
      <c r="K36" s="31">
        <f t="shared" si="2"/>
      </c>
      <c r="L36" s="28"/>
      <c r="M36" s="24">
        <f t="shared" si="3"/>
      </c>
      <c r="N36" s="540">
        <f t="shared" si="4"/>
        <v>40</v>
      </c>
      <c r="O36" s="544" t="str">
        <f t="shared" si="5"/>
        <v>--</v>
      </c>
      <c r="P36" s="552" t="str">
        <f t="shared" si="6"/>
        <v>--</v>
      </c>
      <c r="Q36" s="553" t="str">
        <f t="shared" si="7"/>
        <v>--</v>
      </c>
      <c r="R36" s="558" t="str">
        <f t="shared" si="8"/>
        <v>--</v>
      </c>
      <c r="S36" s="87">
        <f t="shared" si="9"/>
      </c>
      <c r="T36" s="88">
        <f t="shared" si="10"/>
      </c>
      <c r="U36" s="146"/>
    </row>
    <row r="37" spans="2:21" s="16" customFormat="1" ht="16.5" customHeight="1">
      <c r="B37" s="142"/>
      <c r="C37" s="20"/>
      <c r="D37" s="81"/>
      <c r="E37" s="81"/>
      <c r="F37" s="82"/>
      <c r="G37" s="357">
        <f t="shared" si="0"/>
        <v>8.939</v>
      </c>
      <c r="H37" s="83"/>
      <c r="I37" s="84"/>
      <c r="J37" s="85">
        <f t="shared" si="1"/>
      </c>
      <c r="K37" s="31">
        <f t="shared" si="2"/>
      </c>
      <c r="L37" s="28"/>
      <c r="M37" s="24">
        <f t="shared" si="3"/>
      </c>
      <c r="N37" s="540">
        <f t="shared" si="4"/>
        <v>40</v>
      </c>
      <c r="O37" s="544" t="str">
        <f t="shared" si="5"/>
        <v>--</v>
      </c>
      <c r="P37" s="552" t="str">
        <f t="shared" si="6"/>
        <v>--</v>
      </c>
      <c r="Q37" s="553" t="str">
        <f t="shared" si="7"/>
        <v>--</v>
      </c>
      <c r="R37" s="558" t="str">
        <f t="shared" si="8"/>
        <v>--</v>
      </c>
      <c r="S37" s="87">
        <f t="shared" si="9"/>
      </c>
      <c r="T37" s="88">
        <f t="shared" si="10"/>
      </c>
      <c r="U37" s="146"/>
    </row>
    <row r="38" spans="2:21" s="16" customFormat="1" ht="16.5" customHeight="1">
      <c r="B38" s="142"/>
      <c r="C38" s="20"/>
      <c r="D38" s="81"/>
      <c r="E38" s="81"/>
      <c r="F38" s="82"/>
      <c r="G38" s="357">
        <f t="shared" si="0"/>
        <v>8.939</v>
      </c>
      <c r="H38" s="83"/>
      <c r="I38" s="84"/>
      <c r="J38" s="85">
        <f t="shared" si="1"/>
      </c>
      <c r="K38" s="31">
        <f t="shared" si="2"/>
      </c>
      <c r="L38" s="28"/>
      <c r="M38" s="24">
        <f t="shared" si="3"/>
      </c>
      <c r="N38" s="540">
        <f t="shared" si="4"/>
        <v>40</v>
      </c>
      <c r="O38" s="544" t="str">
        <f t="shared" si="5"/>
        <v>--</v>
      </c>
      <c r="P38" s="552" t="str">
        <f t="shared" si="6"/>
        <v>--</v>
      </c>
      <c r="Q38" s="553" t="str">
        <f t="shared" si="7"/>
        <v>--</v>
      </c>
      <c r="R38" s="558" t="str">
        <f t="shared" si="8"/>
        <v>--</v>
      </c>
      <c r="S38" s="87">
        <f t="shared" si="9"/>
      </c>
      <c r="T38" s="88">
        <f t="shared" si="10"/>
      </c>
      <c r="U38" s="146"/>
    </row>
    <row r="39" spans="2:21" s="16" customFormat="1" ht="16.5" customHeight="1">
      <c r="B39" s="142"/>
      <c r="C39" s="20"/>
      <c r="D39" s="81"/>
      <c r="E39" s="81"/>
      <c r="F39" s="82"/>
      <c r="G39" s="357">
        <f t="shared" si="0"/>
        <v>8.939</v>
      </c>
      <c r="H39" s="83"/>
      <c r="I39" s="84"/>
      <c r="J39" s="85">
        <f t="shared" si="1"/>
      </c>
      <c r="K39" s="31">
        <f t="shared" si="2"/>
      </c>
      <c r="L39" s="28"/>
      <c r="M39" s="24">
        <f t="shared" si="3"/>
      </c>
      <c r="N39" s="540">
        <f t="shared" si="4"/>
        <v>40</v>
      </c>
      <c r="O39" s="544" t="str">
        <f t="shared" si="5"/>
        <v>--</v>
      </c>
      <c r="P39" s="552" t="str">
        <f t="shared" si="6"/>
        <v>--</v>
      </c>
      <c r="Q39" s="553" t="str">
        <f t="shared" si="7"/>
        <v>--</v>
      </c>
      <c r="R39" s="558" t="str">
        <f t="shared" si="8"/>
        <v>--</v>
      </c>
      <c r="S39" s="87">
        <f t="shared" si="9"/>
      </c>
      <c r="T39" s="88">
        <f t="shared" si="10"/>
      </c>
      <c r="U39" s="146"/>
    </row>
    <row r="40" spans="2:21" s="16" customFormat="1" ht="16.5" customHeight="1" thickBot="1">
      <c r="B40" s="142"/>
      <c r="C40" s="34"/>
      <c r="D40" s="89"/>
      <c r="E40" s="89"/>
      <c r="F40" s="35"/>
      <c r="G40" s="359"/>
      <c r="H40" s="90"/>
      <c r="I40" s="90"/>
      <c r="J40" s="90"/>
      <c r="K40" s="90"/>
      <c r="L40" s="90"/>
      <c r="M40" s="38"/>
      <c r="N40" s="541"/>
      <c r="O40" s="545"/>
      <c r="P40" s="554"/>
      <c r="Q40" s="555"/>
      <c r="R40" s="559"/>
      <c r="S40" s="91"/>
      <c r="T40" s="718"/>
      <c r="U40" s="146"/>
    </row>
    <row r="41" spans="2:21" s="16" customFormat="1" ht="16.5" customHeight="1" thickBot="1" thickTop="1">
      <c r="B41" s="142"/>
      <c r="C41" s="289" t="s">
        <v>129</v>
      </c>
      <c r="D41" s="290" t="s">
        <v>130</v>
      </c>
      <c r="E41"/>
      <c r="F41" s="14"/>
      <c r="G41" s="14"/>
      <c r="H41" s="14"/>
      <c r="I41" s="14"/>
      <c r="J41" s="14"/>
      <c r="K41" s="14"/>
      <c r="L41" s="14"/>
      <c r="M41" s="14"/>
      <c r="N41" s="14"/>
      <c r="O41" s="547">
        <f>SUM(O20:O40)</f>
        <v>8041.80152</v>
      </c>
      <c r="P41" s="556">
        <f>SUM(P20:P40)</f>
        <v>0</v>
      </c>
      <c r="Q41" s="557">
        <f>SUM(Q20:Q40)</f>
        <v>0</v>
      </c>
      <c r="R41" s="560">
        <f>SUM(R20:R40)</f>
        <v>0</v>
      </c>
      <c r="S41" s="92"/>
      <c r="T41" s="93">
        <f>ROUND(SUM(T20:T40),2)</f>
        <v>8041.8</v>
      </c>
      <c r="U41" s="146"/>
    </row>
    <row r="42" spans="2:21" s="294" customFormat="1" ht="13.5" thickTop="1">
      <c r="B42" s="295"/>
      <c r="C42" s="291"/>
      <c r="D42" s="293" t="s">
        <v>131</v>
      </c>
      <c r="E42"/>
      <c r="F42" s="311"/>
      <c r="G42" s="311"/>
      <c r="H42" s="311"/>
      <c r="I42" s="311"/>
      <c r="J42" s="311"/>
      <c r="K42" s="311"/>
      <c r="L42" s="311"/>
      <c r="M42" s="311"/>
      <c r="N42" s="311"/>
      <c r="O42" s="309"/>
      <c r="P42" s="309"/>
      <c r="Q42" s="309"/>
      <c r="R42" s="309"/>
      <c r="S42" s="309"/>
      <c r="T42" s="312"/>
      <c r="U42" s="313"/>
    </row>
    <row r="43" spans="2:21" s="16" customFormat="1" ht="16.5" customHeight="1" thickBot="1"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3"/>
    </row>
    <row r="44" spans="21:23" ht="16.5" customHeight="1" thickTop="1">
      <c r="U44" s="5"/>
      <c r="V44" s="5"/>
      <c r="W44" s="5"/>
    </row>
    <row r="45" spans="21:23" ht="16.5" customHeight="1">
      <c r="U45" s="5"/>
      <c r="V45" s="5"/>
      <c r="W45" s="5"/>
    </row>
    <row r="46" spans="21:23" ht="16.5" customHeight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4:23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4:23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9" ht="12.75"/>
    <row r="160" ht="12.75"/>
    <row r="161" ht="12.75"/>
    <row r="162" ht="12.75"/>
    <row r="163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1">
    <pageSetUpPr fitToPage="1"/>
  </sheetPr>
  <dimension ref="A1:X158"/>
  <sheetViews>
    <sheetView zoomScale="75" zoomScaleNormal="75" workbookViewId="0" topLeftCell="C2">
      <selection activeCell="D41" sqref="D4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110" customFormat="1" ht="26.25">
      <c r="A1" s="160"/>
      <c r="V1" s="647"/>
    </row>
    <row r="2" spans="1:22" s="110" customFormat="1" ht="26.25">
      <c r="A2" s="160"/>
      <c r="B2" s="276" t="str">
        <f>+'tot-9911'!B2</f>
        <v>ANEXO I A LA RESOLUCION ENRE N° 320/2000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22" s="16" customFormat="1" ht="13.5" thickTop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232"/>
    </row>
    <row r="8" spans="2:22" s="10" customFormat="1" ht="20.25">
      <c r="B8" s="175"/>
      <c r="D8" s="7" t="s">
        <v>163</v>
      </c>
      <c r="E8" s="94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71"/>
    </row>
    <row r="9" spans="2:22" s="16" customFormat="1" ht="12.75">
      <c r="B9" s="1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6"/>
    </row>
    <row r="10" spans="2:22" s="10" customFormat="1" ht="20.25">
      <c r="B10" s="175"/>
      <c r="D10" s="176" t="s">
        <v>164</v>
      </c>
      <c r="F10" s="272"/>
      <c r="G10" s="273"/>
      <c r="H10" s="273"/>
      <c r="I10" s="273"/>
      <c r="J10" s="273"/>
      <c r="K10" s="273"/>
      <c r="L10" s="273"/>
      <c r="M10" s="273"/>
      <c r="N10" s="273"/>
      <c r="O10" s="273"/>
      <c r="P10" s="11"/>
      <c r="Q10" s="11"/>
      <c r="R10" s="11"/>
      <c r="S10" s="11"/>
      <c r="T10" s="11"/>
      <c r="U10" s="11"/>
      <c r="V10" s="241"/>
    </row>
    <row r="11" spans="2:22" s="16" customFormat="1" ht="16.5" customHeight="1">
      <c r="B11" s="142"/>
      <c r="C11" s="14"/>
      <c r="D11" s="260"/>
      <c r="F11" s="123"/>
      <c r="G11" s="166"/>
      <c r="H11" s="166"/>
      <c r="I11" s="166"/>
      <c r="J11" s="166"/>
      <c r="K11" s="166"/>
      <c r="L11" s="166"/>
      <c r="M11" s="166"/>
      <c r="N11" s="166"/>
      <c r="O11" s="166"/>
      <c r="P11" s="14"/>
      <c r="Q11" s="14"/>
      <c r="R11" s="14"/>
      <c r="S11" s="14"/>
      <c r="T11" s="14"/>
      <c r="U11" s="14"/>
      <c r="V11" s="146"/>
    </row>
    <row r="12" spans="2:22" s="10" customFormat="1" ht="20.25">
      <c r="B12" s="175"/>
      <c r="D12" s="176" t="s">
        <v>165</v>
      </c>
      <c r="F12" s="272"/>
      <c r="G12" s="273"/>
      <c r="H12" s="273"/>
      <c r="I12" s="273"/>
      <c r="J12" s="273"/>
      <c r="K12" s="273"/>
      <c r="L12" s="273"/>
      <c r="M12" s="273"/>
      <c r="N12" s="273"/>
      <c r="O12" s="273"/>
      <c r="P12" s="11"/>
      <c r="Q12" s="11"/>
      <c r="R12" s="11"/>
      <c r="S12" s="11"/>
      <c r="T12" s="11"/>
      <c r="U12" s="11"/>
      <c r="V12" s="241"/>
    </row>
    <row r="13" spans="2:22" s="16" customFormat="1" ht="16.5" customHeight="1">
      <c r="B13" s="142"/>
      <c r="C13" s="14"/>
      <c r="D13" s="260"/>
      <c r="F13" s="123"/>
      <c r="G13" s="166"/>
      <c r="H13" s="166"/>
      <c r="I13" s="166"/>
      <c r="J13" s="166"/>
      <c r="K13" s="166"/>
      <c r="L13" s="166"/>
      <c r="M13" s="166"/>
      <c r="N13" s="166"/>
      <c r="O13" s="166"/>
      <c r="P13" s="14"/>
      <c r="Q13" s="14"/>
      <c r="R13" s="14"/>
      <c r="S13" s="14"/>
      <c r="T13" s="14"/>
      <c r="U13" s="14"/>
      <c r="V13" s="146"/>
    </row>
    <row r="14" spans="2:22" s="15" customFormat="1" ht="16.5" customHeight="1">
      <c r="B14" s="195" t="str">
        <f>+'tot-9911'!B14</f>
        <v>Desde el 01 al 30 de noviembre de 1999</v>
      </c>
      <c r="C14" s="178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178"/>
      <c r="Q14" s="178"/>
      <c r="R14" s="178"/>
      <c r="S14" s="178"/>
      <c r="T14" s="178"/>
      <c r="U14" s="178"/>
      <c r="V14" s="275"/>
    </row>
    <row r="15" spans="2:22" s="16" customFormat="1" ht="16.5" customHeight="1" thickBot="1">
      <c r="B15" s="142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46"/>
    </row>
    <row r="16" spans="2:22" s="16" customFormat="1" ht="16.5" customHeight="1" thickBot="1" thickTop="1">
      <c r="B16" s="142"/>
      <c r="C16" s="14"/>
      <c r="D16" s="251" t="s">
        <v>147</v>
      </c>
      <c r="E16" s="277"/>
      <c r="F16" s="285">
        <v>0.146</v>
      </c>
      <c r="G16" s="249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46"/>
    </row>
    <row r="17" spans="2:22" s="16" customFormat="1" ht="16.5" customHeight="1" thickBot="1" thickTop="1">
      <c r="B17" s="142"/>
      <c r="C17" s="14"/>
      <c r="D17" s="278" t="s">
        <v>148</v>
      </c>
      <c r="E17" s="279"/>
      <c r="F17" s="280">
        <v>20</v>
      </c>
      <c r="G17" s="249"/>
      <c r="H17"/>
      <c r="I17" s="181" t="s">
        <v>178</v>
      </c>
      <c r="J17" s="649">
        <v>0.998</v>
      </c>
      <c r="K17" s="14" t="s">
        <v>179</v>
      </c>
      <c r="L17" s="14"/>
      <c r="M17" s="14"/>
      <c r="O17" s="14"/>
      <c r="P17" s="14"/>
      <c r="Q17" s="14"/>
      <c r="R17" s="167"/>
      <c r="S17" s="167"/>
      <c r="T17" s="167"/>
      <c r="U17" s="167"/>
      <c r="V17" s="146"/>
    </row>
    <row r="18" spans="2:22" s="16" customFormat="1" ht="16.5" customHeight="1" thickBot="1" thickTop="1">
      <c r="B18" s="142"/>
      <c r="C18" s="2"/>
      <c r="D18" s="261"/>
      <c r="E18" s="262"/>
      <c r="F18" s="262"/>
      <c r="G18" s="45"/>
      <c r="H18" s="45"/>
      <c r="I18" s="45"/>
      <c r="J18" s="45"/>
      <c r="K18" s="45"/>
      <c r="L18" s="45"/>
      <c r="M18" s="45"/>
      <c r="N18" s="45"/>
      <c r="O18" s="263"/>
      <c r="P18" s="264"/>
      <c r="Q18" s="265"/>
      <c r="R18" s="265"/>
      <c r="S18" s="265"/>
      <c r="T18" s="266"/>
      <c r="U18" s="267"/>
      <c r="V18" s="146"/>
    </row>
    <row r="19" spans="2:22" s="16" customFormat="1" ht="33.75" customHeight="1" thickBot="1" thickTop="1">
      <c r="B19" s="142"/>
      <c r="C19" s="182" t="s">
        <v>107</v>
      </c>
      <c r="D19" s="191" t="s">
        <v>149</v>
      </c>
      <c r="E19" s="185" t="s">
        <v>77</v>
      </c>
      <c r="F19" s="281" t="s">
        <v>150</v>
      </c>
      <c r="G19" s="356" t="s">
        <v>112</v>
      </c>
      <c r="H19" s="185" t="s">
        <v>113</v>
      </c>
      <c r="I19" s="185" t="s">
        <v>114</v>
      </c>
      <c r="J19" s="191" t="s">
        <v>115</v>
      </c>
      <c r="K19" s="191" t="s">
        <v>116</v>
      </c>
      <c r="L19" s="190" t="s">
        <v>117</v>
      </c>
      <c r="M19" s="190" t="s">
        <v>118</v>
      </c>
      <c r="N19" s="185" t="s">
        <v>120</v>
      </c>
      <c r="O19" s="356" t="s">
        <v>111</v>
      </c>
      <c r="P19" s="563" t="s">
        <v>137</v>
      </c>
      <c r="Q19" s="569" t="s">
        <v>166</v>
      </c>
      <c r="R19" s="570"/>
      <c r="S19" s="579" t="s">
        <v>125</v>
      </c>
      <c r="T19" s="192" t="s">
        <v>127</v>
      </c>
      <c r="U19" s="282" t="s">
        <v>128</v>
      </c>
      <c r="V19" s="146"/>
    </row>
    <row r="20" spans="2:22" s="16" customFormat="1" ht="16.5" customHeight="1" hidden="1" thickTop="1">
      <c r="B20" s="142"/>
      <c r="C20" s="268"/>
      <c r="D20" s="269"/>
      <c r="E20" s="269"/>
      <c r="F20" s="269"/>
      <c r="G20" s="364"/>
      <c r="H20" s="270"/>
      <c r="I20" s="270"/>
      <c r="J20" s="268"/>
      <c r="K20" s="268"/>
      <c r="L20" s="269"/>
      <c r="M20" s="17"/>
      <c r="N20" s="268"/>
      <c r="O20" s="371"/>
      <c r="P20" s="564"/>
      <c r="Q20" s="571"/>
      <c r="R20" s="572"/>
      <c r="S20" s="580"/>
      <c r="T20" s="584"/>
      <c r="U20" s="630"/>
      <c r="V20" s="146"/>
    </row>
    <row r="21" spans="2:22" s="16" customFormat="1" ht="16.5" customHeight="1" thickTop="1">
      <c r="B21" s="142"/>
      <c r="C21" s="33"/>
      <c r="D21" s="100"/>
      <c r="E21" s="101"/>
      <c r="F21" s="102"/>
      <c r="G21" s="370"/>
      <c r="H21" s="104"/>
      <c r="I21" s="105"/>
      <c r="J21" s="106"/>
      <c r="K21" s="107"/>
      <c r="L21" s="108"/>
      <c r="M21" s="18"/>
      <c r="N21" s="103"/>
      <c r="O21" s="372"/>
      <c r="P21" s="565"/>
      <c r="Q21" s="573"/>
      <c r="R21" s="574"/>
      <c r="S21" s="581"/>
      <c r="T21" s="103"/>
      <c r="U21" s="283"/>
      <c r="V21" s="146"/>
    </row>
    <row r="22" spans="2:22" s="16" customFormat="1" ht="16.5" customHeight="1">
      <c r="B22" s="142"/>
      <c r="C22" s="20">
        <v>91</v>
      </c>
      <c r="D22" s="96" t="s">
        <v>78</v>
      </c>
      <c r="E22" s="81" t="s">
        <v>79</v>
      </c>
      <c r="F22" s="80">
        <v>245</v>
      </c>
      <c r="G22" s="643">
        <f aca="true" t="shared" si="0" ref="G22:G41">F22*$F$16*$J$17</f>
        <v>35.69846</v>
      </c>
      <c r="H22" s="83">
        <v>36465</v>
      </c>
      <c r="I22" s="32">
        <v>36465.444444444445</v>
      </c>
      <c r="J22" s="85">
        <f aca="true" t="shared" si="1" ref="J22:J41">IF(D22="","",(I22-H22)*24)</f>
        <v>10.66666666668607</v>
      </c>
      <c r="K22" s="31">
        <f aca="true" t="shared" si="2" ref="K22:K41">IF(D22="","",ROUND((I22-H22)*24*60,0))</f>
        <v>640</v>
      </c>
      <c r="L22" s="28" t="s">
        <v>197</v>
      </c>
      <c r="M22" s="29" t="str">
        <f aca="true" t="shared" si="3" ref="M22:M41">IF(D22="","","--")</f>
        <v>--</v>
      </c>
      <c r="N22" s="24" t="str">
        <f aca="true" t="shared" si="4" ref="N22:N41">IF(D22="","",IF(OR(L22="P",L22="RP"),"--","NO"))</f>
        <v>--</v>
      </c>
      <c r="O22" s="368">
        <f aca="true" t="shared" si="5" ref="O22:O41">IF(L22="P",$F$17/10,$F$17)</f>
        <v>2</v>
      </c>
      <c r="P22" s="566">
        <f aca="true" t="shared" si="6" ref="P22:P41">IF(L22="P",G22*O22*ROUND(K22/60,2),"--")</f>
        <v>761.8051363999999</v>
      </c>
      <c r="Q22" s="573" t="str">
        <f aca="true" t="shared" si="7" ref="Q22:Q41">IF(AND(L22="F",N22="NO"),G22*O22,"--")</f>
        <v>--</v>
      </c>
      <c r="R22" s="574" t="str">
        <f aca="true" t="shared" si="8" ref="R22:R41">IF(L22="F",G22*O22*ROUND(K22/60,2),"--")</f>
        <v>--</v>
      </c>
      <c r="S22" s="581" t="str">
        <f aca="true" t="shared" si="9" ref="S22:S41">IF(L22="RF",G22*O22*ROUND(K22/60,2),"--")</f>
        <v>--</v>
      </c>
      <c r="T22" s="24" t="str">
        <f aca="true" t="shared" si="10" ref="T22:T41">IF(D22="","","SI")</f>
        <v>SI</v>
      </c>
      <c r="U22" s="88">
        <f aca="true" t="shared" si="11" ref="U22:U41">IF(D22="","",SUM(P22:S22)*IF(T22="SI",1,2))</f>
        <v>761.8051363999999</v>
      </c>
      <c r="V22" s="146"/>
    </row>
    <row r="23" spans="2:22" s="16" customFormat="1" ht="16.5" customHeight="1">
      <c r="B23" s="142"/>
      <c r="C23" s="20">
        <v>92</v>
      </c>
      <c r="D23" s="96" t="s">
        <v>78</v>
      </c>
      <c r="E23" s="81" t="s">
        <v>80</v>
      </c>
      <c r="F23" s="80">
        <v>245</v>
      </c>
      <c r="G23" s="643">
        <f t="shared" si="0"/>
        <v>35.69846</v>
      </c>
      <c r="H23" s="83">
        <v>36465</v>
      </c>
      <c r="I23" s="32">
        <v>36465.450694444444</v>
      </c>
      <c r="J23" s="85">
        <f t="shared" si="1"/>
        <v>10.816666666651145</v>
      </c>
      <c r="K23" s="31">
        <f t="shared" si="2"/>
        <v>649</v>
      </c>
      <c r="L23" s="28" t="s">
        <v>197</v>
      </c>
      <c r="M23" s="29" t="str">
        <f t="shared" si="3"/>
        <v>--</v>
      </c>
      <c r="N23" s="24" t="str">
        <f t="shared" si="4"/>
        <v>--</v>
      </c>
      <c r="O23" s="368">
        <f t="shared" si="5"/>
        <v>2</v>
      </c>
      <c r="P23" s="566">
        <f t="shared" si="6"/>
        <v>772.5146744</v>
      </c>
      <c r="Q23" s="573" t="str">
        <f t="shared" si="7"/>
        <v>--</v>
      </c>
      <c r="R23" s="574" t="str">
        <f t="shared" si="8"/>
        <v>--</v>
      </c>
      <c r="S23" s="581" t="str">
        <f t="shared" si="9"/>
        <v>--</v>
      </c>
      <c r="T23" s="24" t="str">
        <f t="shared" si="10"/>
        <v>SI</v>
      </c>
      <c r="U23" s="88">
        <f t="shared" si="11"/>
        <v>772.5146744</v>
      </c>
      <c r="V23" s="146"/>
    </row>
    <row r="24" spans="2:22" s="16" customFormat="1" ht="16.5" customHeight="1">
      <c r="B24" s="142"/>
      <c r="C24" s="20">
        <v>93</v>
      </c>
      <c r="D24" s="96" t="s">
        <v>78</v>
      </c>
      <c r="E24" s="81" t="s">
        <v>79</v>
      </c>
      <c r="F24" s="80">
        <v>245</v>
      </c>
      <c r="G24" s="643">
        <f t="shared" si="0"/>
        <v>35.69846</v>
      </c>
      <c r="H24" s="83">
        <v>36465.98611111111</v>
      </c>
      <c r="I24" s="32">
        <v>36466.364583333336</v>
      </c>
      <c r="J24" s="85">
        <f t="shared" si="1"/>
        <v>9.083333333430346</v>
      </c>
      <c r="K24" s="31">
        <f t="shared" si="2"/>
        <v>545</v>
      </c>
      <c r="L24" s="28" t="s">
        <v>197</v>
      </c>
      <c r="M24" s="29" t="str">
        <f t="shared" si="3"/>
        <v>--</v>
      </c>
      <c r="N24" s="24" t="str">
        <f t="shared" si="4"/>
        <v>--</v>
      </c>
      <c r="O24" s="368">
        <f t="shared" si="5"/>
        <v>2</v>
      </c>
      <c r="P24" s="566">
        <f t="shared" si="6"/>
        <v>648.2840335999999</v>
      </c>
      <c r="Q24" s="573" t="str">
        <f t="shared" si="7"/>
        <v>--</v>
      </c>
      <c r="R24" s="574" t="str">
        <f t="shared" si="8"/>
        <v>--</v>
      </c>
      <c r="S24" s="581" t="str">
        <f t="shared" si="9"/>
        <v>--</v>
      </c>
      <c r="T24" s="24" t="str">
        <f t="shared" si="10"/>
        <v>SI</v>
      </c>
      <c r="U24" s="88">
        <f t="shared" si="11"/>
        <v>648.2840335999999</v>
      </c>
      <c r="V24" s="146"/>
    </row>
    <row r="25" spans="2:22" s="16" customFormat="1" ht="16.5" customHeight="1">
      <c r="B25" s="142"/>
      <c r="C25" s="20">
        <v>94</v>
      </c>
      <c r="D25" s="96" t="s">
        <v>78</v>
      </c>
      <c r="E25" s="81" t="s">
        <v>80</v>
      </c>
      <c r="F25" s="80">
        <v>245</v>
      </c>
      <c r="G25" s="643">
        <f t="shared" si="0"/>
        <v>35.69846</v>
      </c>
      <c r="H25" s="83">
        <v>36465.98611111111</v>
      </c>
      <c r="I25" s="32">
        <v>36466.36666666667</v>
      </c>
      <c r="J25" s="85">
        <f t="shared" si="1"/>
        <v>9.133333333418705</v>
      </c>
      <c r="K25" s="31">
        <f t="shared" si="2"/>
        <v>548</v>
      </c>
      <c r="L25" s="28" t="s">
        <v>197</v>
      </c>
      <c r="M25" s="29" t="str">
        <f t="shared" si="3"/>
        <v>--</v>
      </c>
      <c r="N25" s="24" t="str">
        <f t="shared" si="4"/>
        <v>--</v>
      </c>
      <c r="O25" s="368">
        <f t="shared" si="5"/>
        <v>2</v>
      </c>
      <c r="P25" s="566">
        <f t="shared" si="6"/>
        <v>651.8538796</v>
      </c>
      <c r="Q25" s="573" t="str">
        <f t="shared" si="7"/>
        <v>--</v>
      </c>
      <c r="R25" s="574" t="str">
        <f t="shared" si="8"/>
        <v>--</v>
      </c>
      <c r="S25" s="581" t="str">
        <f t="shared" si="9"/>
        <v>--</v>
      </c>
      <c r="T25" s="24" t="str">
        <f t="shared" si="10"/>
        <v>SI</v>
      </c>
      <c r="U25" s="88">
        <f t="shared" si="11"/>
        <v>651.8538796</v>
      </c>
      <c r="V25" s="258"/>
    </row>
    <row r="26" spans="2:22" s="16" customFormat="1" ht="16.5" customHeight="1">
      <c r="B26" s="142"/>
      <c r="C26" s="20">
        <v>95</v>
      </c>
      <c r="D26" s="96" t="s">
        <v>44</v>
      </c>
      <c r="E26" s="81" t="s">
        <v>174</v>
      </c>
      <c r="F26" s="80">
        <v>70</v>
      </c>
      <c r="G26" s="643">
        <f t="shared" si="0"/>
        <v>10.199559999999998</v>
      </c>
      <c r="H26" s="83">
        <v>36466.37708333333</v>
      </c>
      <c r="I26" s="32">
        <v>36466.618055555555</v>
      </c>
      <c r="J26" s="85">
        <f t="shared" si="1"/>
        <v>5.783333333325572</v>
      </c>
      <c r="K26" s="31">
        <f t="shared" si="2"/>
        <v>347</v>
      </c>
      <c r="L26" s="28" t="s">
        <v>197</v>
      </c>
      <c r="M26" s="29" t="str">
        <f t="shared" si="3"/>
        <v>--</v>
      </c>
      <c r="N26" s="24" t="str">
        <f t="shared" si="4"/>
        <v>--</v>
      </c>
      <c r="O26" s="368">
        <f t="shared" si="5"/>
        <v>2</v>
      </c>
      <c r="P26" s="566">
        <f t="shared" si="6"/>
        <v>117.90691359999998</v>
      </c>
      <c r="Q26" s="573" t="str">
        <f t="shared" si="7"/>
        <v>--</v>
      </c>
      <c r="R26" s="574" t="str">
        <f t="shared" si="8"/>
        <v>--</v>
      </c>
      <c r="S26" s="581" t="str">
        <f t="shared" si="9"/>
        <v>--</v>
      </c>
      <c r="T26" s="24" t="str">
        <f t="shared" si="10"/>
        <v>SI</v>
      </c>
      <c r="U26" s="88">
        <f t="shared" si="11"/>
        <v>117.90691359999998</v>
      </c>
      <c r="V26" s="258"/>
    </row>
    <row r="27" spans="2:22" s="16" customFormat="1" ht="16.5" customHeight="1">
      <c r="B27" s="142"/>
      <c r="C27" s="20">
        <v>96</v>
      </c>
      <c r="D27" s="96" t="s">
        <v>78</v>
      </c>
      <c r="E27" s="81" t="s">
        <v>79</v>
      </c>
      <c r="F27" s="80">
        <v>245</v>
      </c>
      <c r="G27" s="643">
        <f t="shared" si="0"/>
        <v>35.69846</v>
      </c>
      <c r="H27" s="83">
        <v>36466.99166666667</v>
      </c>
      <c r="I27" s="32">
        <v>36467.410416666666</v>
      </c>
      <c r="J27" s="85">
        <f t="shared" si="1"/>
        <v>10.04999999993015</v>
      </c>
      <c r="K27" s="31">
        <f t="shared" si="2"/>
        <v>603</v>
      </c>
      <c r="L27" s="28" t="s">
        <v>197</v>
      </c>
      <c r="M27" s="29" t="str">
        <f t="shared" si="3"/>
        <v>--</v>
      </c>
      <c r="N27" s="24" t="str">
        <f t="shared" si="4"/>
        <v>--</v>
      </c>
      <c r="O27" s="368">
        <f t="shared" si="5"/>
        <v>2</v>
      </c>
      <c r="P27" s="566">
        <f t="shared" si="6"/>
        <v>717.539046</v>
      </c>
      <c r="Q27" s="573" t="str">
        <f t="shared" si="7"/>
        <v>--</v>
      </c>
      <c r="R27" s="574" t="str">
        <f t="shared" si="8"/>
        <v>--</v>
      </c>
      <c r="S27" s="581" t="str">
        <f t="shared" si="9"/>
        <v>--</v>
      </c>
      <c r="T27" s="24" t="str">
        <f t="shared" si="10"/>
        <v>SI</v>
      </c>
      <c r="U27" s="88">
        <f t="shared" si="11"/>
        <v>717.539046</v>
      </c>
      <c r="V27" s="258"/>
    </row>
    <row r="28" spans="2:22" s="16" customFormat="1" ht="16.5" customHeight="1">
      <c r="B28" s="142"/>
      <c r="C28" s="20">
        <v>97</v>
      </c>
      <c r="D28" s="96" t="s">
        <v>78</v>
      </c>
      <c r="E28" s="81" t="s">
        <v>80</v>
      </c>
      <c r="F28" s="80">
        <v>245</v>
      </c>
      <c r="G28" s="643">
        <f t="shared" si="0"/>
        <v>35.69846</v>
      </c>
      <c r="H28" s="83">
        <v>36466.993055555555</v>
      </c>
      <c r="I28" s="32">
        <v>36467.39722222222</v>
      </c>
      <c r="J28" s="85">
        <f t="shared" si="1"/>
        <v>9.700000000011642</v>
      </c>
      <c r="K28" s="31">
        <f t="shared" si="2"/>
        <v>582</v>
      </c>
      <c r="L28" s="28" t="s">
        <v>197</v>
      </c>
      <c r="M28" s="29" t="str">
        <f t="shared" si="3"/>
        <v>--</v>
      </c>
      <c r="N28" s="24" t="str">
        <f t="shared" si="4"/>
        <v>--</v>
      </c>
      <c r="O28" s="368">
        <f t="shared" si="5"/>
        <v>2</v>
      </c>
      <c r="P28" s="566">
        <f t="shared" si="6"/>
        <v>692.5501239999999</v>
      </c>
      <c r="Q28" s="573" t="str">
        <f t="shared" si="7"/>
        <v>--</v>
      </c>
      <c r="R28" s="574" t="str">
        <f t="shared" si="8"/>
        <v>--</v>
      </c>
      <c r="S28" s="581" t="str">
        <f t="shared" si="9"/>
        <v>--</v>
      </c>
      <c r="T28" s="24" t="str">
        <f t="shared" si="10"/>
        <v>SI</v>
      </c>
      <c r="U28" s="88">
        <f t="shared" si="11"/>
        <v>692.5501239999999</v>
      </c>
      <c r="V28" s="258"/>
    </row>
    <row r="29" spans="2:22" s="16" customFormat="1" ht="16.5" customHeight="1">
      <c r="B29" s="142"/>
      <c r="C29" s="20">
        <v>98</v>
      </c>
      <c r="D29" s="96" t="s">
        <v>43</v>
      </c>
      <c r="E29" s="81" t="s">
        <v>173</v>
      </c>
      <c r="F29" s="80">
        <v>80</v>
      </c>
      <c r="G29" s="643">
        <f t="shared" si="0"/>
        <v>11.65664</v>
      </c>
      <c r="H29" s="83">
        <v>36467.34305555555</v>
      </c>
      <c r="I29" s="32">
        <v>36467.68541666667</v>
      </c>
      <c r="J29" s="85">
        <f t="shared" si="1"/>
        <v>8.216666666732635</v>
      </c>
      <c r="K29" s="31">
        <f t="shared" si="2"/>
        <v>493</v>
      </c>
      <c r="L29" s="28" t="s">
        <v>197</v>
      </c>
      <c r="M29" s="29" t="str">
        <f t="shared" si="3"/>
        <v>--</v>
      </c>
      <c r="N29" s="24" t="str">
        <f t="shared" si="4"/>
        <v>--</v>
      </c>
      <c r="O29" s="368">
        <f t="shared" si="5"/>
        <v>2</v>
      </c>
      <c r="P29" s="566">
        <f t="shared" si="6"/>
        <v>191.6351616</v>
      </c>
      <c r="Q29" s="573" t="str">
        <f t="shared" si="7"/>
        <v>--</v>
      </c>
      <c r="R29" s="574" t="str">
        <f t="shared" si="8"/>
        <v>--</v>
      </c>
      <c r="S29" s="581" t="str">
        <f t="shared" si="9"/>
        <v>--</v>
      </c>
      <c r="T29" s="24" t="str">
        <f t="shared" si="10"/>
        <v>SI</v>
      </c>
      <c r="U29" s="88">
        <f t="shared" si="11"/>
        <v>191.6351616</v>
      </c>
      <c r="V29" s="258"/>
    </row>
    <row r="30" spans="2:22" s="16" customFormat="1" ht="16.5" customHeight="1">
      <c r="B30" s="142"/>
      <c r="C30" s="20">
        <v>99</v>
      </c>
      <c r="D30" s="96" t="s">
        <v>78</v>
      </c>
      <c r="E30" s="81" t="s">
        <v>79</v>
      </c>
      <c r="F30" s="80">
        <v>245</v>
      </c>
      <c r="G30" s="643">
        <f t="shared" si="0"/>
        <v>35.69846</v>
      </c>
      <c r="H30" s="83">
        <v>36468.05763888889</v>
      </c>
      <c r="I30" s="32">
        <v>36468.43125</v>
      </c>
      <c r="J30" s="85">
        <f t="shared" si="1"/>
        <v>8.966666666732635</v>
      </c>
      <c r="K30" s="31">
        <f t="shared" si="2"/>
        <v>538</v>
      </c>
      <c r="L30" s="28" t="s">
        <v>197</v>
      </c>
      <c r="M30" s="29" t="str">
        <f t="shared" si="3"/>
        <v>--</v>
      </c>
      <c r="N30" s="24" t="str">
        <f t="shared" si="4"/>
        <v>--</v>
      </c>
      <c r="O30" s="368">
        <f t="shared" si="5"/>
        <v>2</v>
      </c>
      <c r="P30" s="566">
        <f t="shared" si="6"/>
        <v>640.4303724</v>
      </c>
      <c r="Q30" s="573" t="str">
        <f t="shared" si="7"/>
        <v>--</v>
      </c>
      <c r="R30" s="574" t="str">
        <f t="shared" si="8"/>
        <v>--</v>
      </c>
      <c r="S30" s="581" t="str">
        <f t="shared" si="9"/>
        <v>--</v>
      </c>
      <c r="T30" s="24" t="str">
        <f t="shared" si="10"/>
        <v>SI</v>
      </c>
      <c r="U30" s="88">
        <f t="shared" si="11"/>
        <v>640.4303724</v>
      </c>
      <c r="V30" s="258"/>
    </row>
    <row r="31" spans="2:22" s="16" customFormat="1" ht="16.5" customHeight="1">
      <c r="B31" s="142"/>
      <c r="C31" s="20">
        <v>100</v>
      </c>
      <c r="D31" s="96" t="s">
        <v>78</v>
      </c>
      <c r="E31" s="81" t="s">
        <v>80</v>
      </c>
      <c r="F31" s="80">
        <v>245</v>
      </c>
      <c r="G31" s="643">
        <f t="shared" si="0"/>
        <v>35.69846</v>
      </c>
      <c r="H31" s="83">
        <v>36468.05763888889</v>
      </c>
      <c r="I31" s="32">
        <v>36468.43263888889</v>
      </c>
      <c r="J31" s="85">
        <f t="shared" si="1"/>
        <v>9</v>
      </c>
      <c r="K31" s="31">
        <f t="shared" si="2"/>
        <v>540</v>
      </c>
      <c r="L31" s="28" t="s">
        <v>197</v>
      </c>
      <c r="M31" s="29" t="str">
        <f t="shared" si="3"/>
        <v>--</v>
      </c>
      <c r="N31" s="24" t="str">
        <f t="shared" si="4"/>
        <v>--</v>
      </c>
      <c r="O31" s="368">
        <f t="shared" si="5"/>
        <v>2</v>
      </c>
      <c r="P31" s="566">
        <f t="shared" si="6"/>
        <v>642.57228</v>
      </c>
      <c r="Q31" s="573" t="str">
        <f t="shared" si="7"/>
        <v>--</v>
      </c>
      <c r="R31" s="574" t="str">
        <f t="shared" si="8"/>
        <v>--</v>
      </c>
      <c r="S31" s="581" t="str">
        <f t="shared" si="9"/>
        <v>--</v>
      </c>
      <c r="T31" s="24" t="str">
        <f t="shared" si="10"/>
        <v>SI</v>
      </c>
      <c r="U31" s="88">
        <f t="shared" si="11"/>
        <v>642.57228</v>
      </c>
      <c r="V31" s="146"/>
    </row>
    <row r="32" spans="2:22" s="16" customFormat="1" ht="16.5" customHeight="1">
      <c r="B32" s="142"/>
      <c r="C32" s="20">
        <v>101</v>
      </c>
      <c r="D32" s="96" t="s">
        <v>45</v>
      </c>
      <c r="E32" s="81" t="s">
        <v>175</v>
      </c>
      <c r="F32" s="80">
        <v>80</v>
      </c>
      <c r="G32" s="643">
        <f t="shared" si="0"/>
        <v>11.65664</v>
      </c>
      <c r="H32" s="83">
        <v>36468.47777777778</v>
      </c>
      <c r="I32" s="32">
        <v>36468.52222222222</v>
      </c>
      <c r="J32" s="85">
        <f t="shared" si="1"/>
        <v>1.0666666666511446</v>
      </c>
      <c r="K32" s="31">
        <f t="shared" si="2"/>
        <v>64</v>
      </c>
      <c r="L32" s="28" t="s">
        <v>197</v>
      </c>
      <c r="M32" s="29" t="str">
        <f t="shared" si="3"/>
        <v>--</v>
      </c>
      <c r="N32" s="24" t="str">
        <f t="shared" si="4"/>
        <v>--</v>
      </c>
      <c r="O32" s="368">
        <f t="shared" si="5"/>
        <v>2</v>
      </c>
      <c r="P32" s="566">
        <f t="shared" si="6"/>
        <v>24.945209600000002</v>
      </c>
      <c r="Q32" s="573" t="str">
        <f t="shared" si="7"/>
        <v>--</v>
      </c>
      <c r="R32" s="574" t="str">
        <f t="shared" si="8"/>
        <v>--</v>
      </c>
      <c r="S32" s="581" t="str">
        <f t="shared" si="9"/>
        <v>--</v>
      </c>
      <c r="T32" s="24" t="str">
        <f t="shared" si="10"/>
        <v>SI</v>
      </c>
      <c r="U32" s="88">
        <f t="shared" si="11"/>
        <v>24.945209600000002</v>
      </c>
      <c r="V32" s="146"/>
    </row>
    <row r="33" spans="2:22" s="16" customFormat="1" ht="16.5" customHeight="1">
      <c r="B33" s="142"/>
      <c r="C33" s="20">
        <v>102</v>
      </c>
      <c r="D33" s="96" t="s">
        <v>78</v>
      </c>
      <c r="E33" s="81" t="s">
        <v>81</v>
      </c>
      <c r="F33" s="80">
        <v>245</v>
      </c>
      <c r="G33" s="643">
        <f t="shared" si="0"/>
        <v>35.69846</v>
      </c>
      <c r="H33" s="83">
        <v>36469.975694444445</v>
      </c>
      <c r="I33" s="32">
        <v>36470.37013888889</v>
      </c>
      <c r="J33" s="85">
        <f t="shared" si="1"/>
        <v>9.46666666661622</v>
      </c>
      <c r="K33" s="31">
        <f t="shared" si="2"/>
        <v>568</v>
      </c>
      <c r="L33" s="28" t="s">
        <v>197</v>
      </c>
      <c r="M33" s="29" t="str">
        <f t="shared" si="3"/>
        <v>--</v>
      </c>
      <c r="N33" s="24" t="str">
        <f t="shared" si="4"/>
        <v>--</v>
      </c>
      <c r="O33" s="368">
        <f t="shared" si="5"/>
        <v>2</v>
      </c>
      <c r="P33" s="566">
        <f t="shared" si="6"/>
        <v>676.1288324</v>
      </c>
      <c r="Q33" s="573" t="str">
        <f t="shared" si="7"/>
        <v>--</v>
      </c>
      <c r="R33" s="574" t="str">
        <f t="shared" si="8"/>
        <v>--</v>
      </c>
      <c r="S33" s="581" t="str">
        <f t="shared" si="9"/>
        <v>--</v>
      </c>
      <c r="T33" s="24" t="str">
        <f t="shared" si="10"/>
        <v>SI</v>
      </c>
      <c r="U33" s="88">
        <f t="shared" si="11"/>
        <v>676.1288324</v>
      </c>
      <c r="V33" s="146"/>
    </row>
    <row r="34" spans="2:22" s="16" customFormat="1" ht="16.5" customHeight="1">
      <c r="B34" s="142"/>
      <c r="C34" s="20">
        <v>103</v>
      </c>
      <c r="D34" s="96" t="s">
        <v>78</v>
      </c>
      <c r="E34" s="81" t="s">
        <v>82</v>
      </c>
      <c r="F34" s="80">
        <v>245</v>
      </c>
      <c r="G34" s="643">
        <f t="shared" si="0"/>
        <v>35.69846</v>
      </c>
      <c r="H34" s="83">
        <v>36469.975694444445</v>
      </c>
      <c r="I34" s="32">
        <v>36470.36875</v>
      </c>
      <c r="J34" s="85">
        <f t="shared" si="1"/>
        <v>9.433333333348855</v>
      </c>
      <c r="K34" s="31">
        <f t="shared" si="2"/>
        <v>566</v>
      </c>
      <c r="L34" s="28" t="s">
        <v>197</v>
      </c>
      <c r="M34" s="29" t="str">
        <f t="shared" si="3"/>
        <v>--</v>
      </c>
      <c r="N34" s="24" t="str">
        <f t="shared" si="4"/>
        <v>--</v>
      </c>
      <c r="O34" s="368">
        <f t="shared" si="5"/>
        <v>2</v>
      </c>
      <c r="P34" s="566">
        <f t="shared" si="6"/>
        <v>673.2729555999999</v>
      </c>
      <c r="Q34" s="573" t="str">
        <f t="shared" si="7"/>
        <v>--</v>
      </c>
      <c r="R34" s="574" t="str">
        <f t="shared" si="8"/>
        <v>--</v>
      </c>
      <c r="S34" s="581" t="str">
        <f t="shared" si="9"/>
        <v>--</v>
      </c>
      <c r="T34" s="24" t="str">
        <f t="shared" si="10"/>
        <v>SI</v>
      </c>
      <c r="U34" s="88">
        <f t="shared" si="11"/>
        <v>673.2729555999999</v>
      </c>
      <c r="V34" s="146"/>
    </row>
    <row r="35" spans="2:22" s="16" customFormat="1" ht="16.5" customHeight="1">
      <c r="B35" s="142"/>
      <c r="C35" s="20">
        <v>104</v>
      </c>
      <c r="D35" s="96" t="s">
        <v>40</v>
      </c>
      <c r="E35" s="81" t="s">
        <v>172</v>
      </c>
      <c r="F35" s="80">
        <v>150</v>
      </c>
      <c r="G35" s="643">
        <f t="shared" si="0"/>
        <v>21.856199999999998</v>
      </c>
      <c r="H35" s="83">
        <v>36474.30902777778</v>
      </c>
      <c r="I35" s="32">
        <v>36474.77291666667</v>
      </c>
      <c r="J35" s="85">
        <f t="shared" si="1"/>
        <v>11.13333333330229</v>
      </c>
      <c r="K35" s="31">
        <f t="shared" si="2"/>
        <v>668</v>
      </c>
      <c r="L35" s="28" t="s">
        <v>197</v>
      </c>
      <c r="M35" s="29" t="str">
        <f t="shared" si="3"/>
        <v>--</v>
      </c>
      <c r="N35" s="24" t="str">
        <f t="shared" si="4"/>
        <v>--</v>
      </c>
      <c r="O35" s="368">
        <f t="shared" si="5"/>
        <v>2</v>
      </c>
      <c r="P35" s="566">
        <f t="shared" si="6"/>
        <v>486.519012</v>
      </c>
      <c r="Q35" s="573" t="str">
        <f t="shared" si="7"/>
        <v>--</v>
      </c>
      <c r="R35" s="574" t="str">
        <f t="shared" si="8"/>
        <v>--</v>
      </c>
      <c r="S35" s="581" t="str">
        <f t="shared" si="9"/>
        <v>--</v>
      </c>
      <c r="T35" s="24" t="str">
        <f t="shared" si="10"/>
        <v>SI</v>
      </c>
      <c r="U35" s="88">
        <f t="shared" si="11"/>
        <v>486.519012</v>
      </c>
      <c r="V35" s="146"/>
    </row>
    <row r="36" spans="2:22" s="16" customFormat="1" ht="16.5" customHeight="1">
      <c r="B36" s="142"/>
      <c r="C36" s="20">
        <v>105</v>
      </c>
      <c r="D36" s="96" t="s">
        <v>40</v>
      </c>
      <c r="E36" s="81" t="s">
        <v>172</v>
      </c>
      <c r="F36" s="80">
        <v>150</v>
      </c>
      <c r="G36" s="643">
        <f t="shared" si="0"/>
        <v>21.856199999999998</v>
      </c>
      <c r="H36" s="83">
        <v>36475.299305555556</v>
      </c>
      <c r="I36" s="32">
        <v>36475.74513888889</v>
      </c>
      <c r="J36" s="85">
        <f t="shared" si="1"/>
        <v>10.699999999953434</v>
      </c>
      <c r="K36" s="31">
        <f t="shared" si="2"/>
        <v>642</v>
      </c>
      <c r="L36" s="28" t="s">
        <v>197</v>
      </c>
      <c r="M36" s="29" t="str">
        <f t="shared" si="3"/>
        <v>--</v>
      </c>
      <c r="N36" s="24" t="str">
        <f t="shared" si="4"/>
        <v>--</v>
      </c>
      <c r="O36" s="368">
        <f t="shared" si="5"/>
        <v>2</v>
      </c>
      <c r="P36" s="566">
        <f t="shared" si="6"/>
        <v>467.7226799999999</v>
      </c>
      <c r="Q36" s="573" t="str">
        <f t="shared" si="7"/>
        <v>--</v>
      </c>
      <c r="R36" s="574" t="str">
        <f t="shared" si="8"/>
        <v>--</v>
      </c>
      <c r="S36" s="581" t="str">
        <f t="shared" si="9"/>
        <v>--</v>
      </c>
      <c r="T36" s="24" t="str">
        <f t="shared" si="10"/>
        <v>SI</v>
      </c>
      <c r="U36" s="88">
        <f t="shared" si="11"/>
        <v>467.7226799999999</v>
      </c>
      <c r="V36" s="146"/>
    </row>
    <row r="37" spans="2:22" s="16" customFormat="1" ht="16.5" customHeight="1">
      <c r="B37" s="142"/>
      <c r="C37" s="20">
        <v>106</v>
      </c>
      <c r="D37" s="96" t="s">
        <v>40</v>
      </c>
      <c r="E37" s="81" t="s">
        <v>172</v>
      </c>
      <c r="F37" s="80">
        <v>150</v>
      </c>
      <c r="G37" s="643">
        <f t="shared" si="0"/>
        <v>21.856199999999998</v>
      </c>
      <c r="H37" s="83">
        <v>36476.285416666666</v>
      </c>
      <c r="I37" s="32">
        <v>36476.729166666664</v>
      </c>
      <c r="J37" s="85">
        <f t="shared" si="1"/>
        <v>10.649999999965075</v>
      </c>
      <c r="K37" s="31">
        <f t="shared" si="2"/>
        <v>639</v>
      </c>
      <c r="L37" s="28" t="s">
        <v>197</v>
      </c>
      <c r="M37" s="29" t="str">
        <f t="shared" si="3"/>
        <v>--</v>
      </c>
      <c r="N37" s="24" t="str">
        <f t="shared" si="4"/>
        <v>--</v>
      </c>
      <c r="O37" s="368">
        <f t="shared" si="5"/>
        <v>2</v>
      </c>
      <c r="P37" s="566">
        <f t="shared" si="6"/>
        <v>465.53705999999994</v>
      </c>
      <c r="Q37" s="573" t="str">
        <f t="shared" si="7"/>
        <v>--</v>
      </c>
      <c r="R37" s="574" t="str">
        <f t="shared" si="8"/>
        <v>--</v>
      </c>
      <c r="S37" s="581" t="str">
        <f t="shared" si="9"/>
        <v>--</v>
      </c>
      <c r="T37" s="24" t="str">
        <f t="shared" si="10"/>
        <v>SI</v>
      </c>
      <c r="U37" s="88">
        <f t="shared" si="11"/>
        <v>465.53705999999994</v>
      </c>
      <c r="V37" s="146"/>
    </row>
    <row r="38" spans="2:22" s="16" customFormat="1" ht="16.5" customHeight="1">
      <c r="B38" s="142"/>
      <c r="C38" s="20">
        <v>107</v>
      </c>
      <c r="D38" s="96" t="s">
        <v>30</v>
      </c>
      <c r="E38" s="81" t="s">
        <v>171</v>
      </c>
      <c r="F38" s="80">
        <v>150</v>
      </c>
      <c r="G38" s="643">
        <f t="shared" si="0"/>
        <v>21.856199999999998</v>
      </c>
      <c r="H38" s="83">
        <v>36481.433333333334</v>
      </c>
      <c r="I38" s="32">
        <v>36481.4375</v>
      </c>
      <c r="J38" s="85">
        <f t="shared" si="1"/>
        <v>0.09999999997671694</v>
      </c>
      <c r="K38" s="31">
        <f t="shared" si="2"/>
        <v>6</v>
      </c>
      <c r="L38" s="28" t="s">
        <v>196</v>
      </c>
      <c r="M38" s="29" t="str">
        <f t="shared" si="3"/>
        <v>--</v>
      </c>
      <c r="N38" s="24" t="str">
        <f t="shared" si="4"/>
        <v>NO</v>
      </c>
      <c r="O38" s="368">
        <f t="shared" si="5"/>
        <v>20</v>
      </c>
      <c r="P38" s="566" t="str">
        <f t="shared" si="6"/>
        <v>--</v>
      </c>
      <c r="Q38" s="573">
        <f t="shared" si="7"/>
        <v>437.12399999999997</v>
      </c>
      <c r="R38" s="574">
        <f t="shared" si="8"/>
        <v>43.7124</v>
      </c>
      <c r="S38" s="581" t="str">
        <f t="shared" si="9"/>
        <v>--</v>
      </c>
      <c r="T38" s="24" t="str">
        <f t="shared" si="10"/>
        <v>SI</v>
      </c>
      <c r="U38" s="88">
        <f t="shared" si="11"/>
        <v>480.83639999999997</v>
      </c>
      <c r="V38" s="146"/>
    </row>
    <row r="39" spans="2:22" s="16" customFormat="1" ht="16.5" customHeight="1">
      <c r="B39" s="142"/>
      <c r="C39" s="20">
        <v>108</v>
      </c>
      <c r="D39" s="96" t="s">
        <v>78</v>
      </c>
      <c r="E39" s="81" t="s">
        <v>84</v>
      </c>
      <c r="F39" s="80">
        <v>245</v>
      </c>
      <c r="G39" s="643">
        <f t="shared" si="0"/>
        <v>35.69846</v>
      </c>
      <c r="H39" s="83">
        <v>36488.120833333334</v>
      </c>
      <c r="I39" s="32">
        <v>36488.42847222222</v>
      </c>
      <c r="J39" s="85">
        <f t="shared" si="1"/>
        <v>7.383333333302289</v>
      </c>
      <c r="K39" s="31">
        <f t="shared" si="2"/>
        <v>443</v>
      </c>
      <c r="L39" s="28" t="s">
        <v>197</v>
      </c>
      <c r="M39" s="29" t="str">
        <f t="shared" si="3"/>
        <v>--</v>
      </c>
      <c r="N39" s="24" t="str">
        <f t="shared" si="4"/>
        <v>--</v>
      </c>
      <c r="O39" s="368">
        <f t="shared" si="5"/>
        <v>2</v>
      </c>
      <c r="P39" s="566">
        <f t="shared" si="6"/>
        <v>526.9092695999999</v>
      </c>
      <c r="Q39" s="573" t="str">
        <f t="shared" si="7"/>
        <v>--</v>
      </c>
      <c r="R39" s="574" t="str">
        <f t="shared" si="8"/>
        <v>--</v>
      </c>
      <c r="S39" s="581" t="str">
        <f t="shared" si="9"/>
        <v>--</v>
      </c>
      <c r="T39" s="24" t="str">
        <f t="shared" si="10"/>
        <v>SI</v>
      </c>
      <c r="U39" s="88">
        <f t="shared" si="11"/>
        <v>526.9092695999999</v>
      </c>
      <c r="V39" s="146"/>
    </row>
    <row r="40" spans="2:22" s="16" customFormat="1" ht="16.5" customHeight="1">
      <c r="B40" s="142"/>
      <c r="C40" s="20">
        <v>109</v>
      </c>
      <c r="D40" s="96" t="s">
        <v>78</v>
      </c>
      <c r="E40" s="81" t="s">
        <v>83</v>
      </c>
      <c r="F40" s="80">
        <v>245</v>
      </c>
      <c r="G40" s="643">
        <f t="shared" si="0"/>
        <v>35.69846</v>
      </c>
      <c r="H40" s="83">
        <v>36489.12430555555</v>
      </c>
      <c r="I40" s="32">
        <v>36489.43402777778</v>
      </c>
      <c r="J40" s="85">
        <f t="shared" si="1"/>
        <v>7.433333333465271</v>
      </c>
      <c r="K40" s="31">
        <f t="shared" si="2"/>
        <v>446</v>
      </c>
      <c r="L40" s="28" t="s">
        <v>197</v>
      </c>
      <c r="M40" s="29" t="str">
        <f t="shared" si="3"/>
        <v>--</v>
      </c>
      <c r="N40" s="24" t="str">
        <f t="shared" si="4"/>
        <v>--</v>
      </c>
      <c r="O40" s="368">
        <f t="shared" si="5"/>
        <v>2</v>
      </c>
      <c r="P40" s="566">
        <f t="shared" si="6"/>
        <v>530.4791155999999</v>
      </c>
      <c r="Q40" s="573" t="str">
        <f t="shared" si="7"/>
        <v>--</v>
      </c>
      <c r="R40" s="574" t="str">
        <f t="shared" si="8"/>
        <v>--</v>
      </c>
      <c r="S40" s="581" t="str">
        <f t="shared" si="9"/>
        <v>--</v>
      </c>
      <c r="T40" s="24" t="str">
        <f t="shared" si="10"/>
        <v>SI</v>
      </c>
      <c r="U40" s="88">
        <f t="shared" si="11"/>
        <v>530.4791155999999</v>
      </c>
      <c r="V40" s="146"/>
    </row>
    <row r="41" spans="2:22" s="16" customFormat="1" ht="16.5" customHeight="1">
      <c r="B41" s="142"/>
      <c r="C41" s="20">
        <v>110</v>
      </c>
      <c r="D41" s="96" t="s">
        <v>78</v>
      </c>
      <c r="E41" s="81" t="s">
        <v>79</v>
      </c>
      <c r="F41" s="80">
        <v>245</v>
      </c>
      <c r="G41" s="643">
        <f t="shared" si="0"/>
        <v>35.69846</v>
      </c>
      <c r="H41" s="83">
        <v>36490.12986111111</v>
      </c>
      <c r="I41" s="32">
        <v>36490.43263888889</v>
      </c>
      <c r="J41" s="85">
        <f t="shared" si="1"/>
        <v>7.2666666666045785</v>
      </c>
      <c r="K41" s="31">
        <f t="shared" si="2"/>
        <v>436</v>
      </c>
      <c r="L41" s="28" t="s">
        <v>197</v>
      </c>
      <c r="M41" s="29" t="str">
        <f t="shared" si="3"/>
        <v>--</v>
      </c>
      <c r="N41" s="24" t="str">
        <f t="shared" si="4"/>
        <v>--</v>
      </c>
      <c r="O41" s="368">
        <f t="shared" si="5"/>
        <v>2</v>
      </c>
      <c r="P41" s="566">
        <f t="shared" si="6"/>
        <v>519.0556084</v>
      </c>
      <c r="Q41" s="573" t="str">
        <f t="shared" si="7"/>
        <v>--</v>
      </c>
      <c r="R41" s="574" t="str">
        <f t="shared" si="8"/>
        <v>--</v>
      </c>
      <c r="S41" s="581" t="str">
        <f t="shared" si="9"/>
        <v>--</v>
      </c>
      <c r="T41" s="24" t="str">
        <f t="shared" si="10"/>
        <v>SI</v>
      </c>
      <c r="U41" s="88">
        <f t="shared" si="11"/>
        <v>519.0556084</v>
      </c>
      <c r="V41" s="146"/>
    </row>
    <row r="42" spans="2:22" s="16" customFormat="1" ht="16.5" customHeight="1" thickBot="1">
      <c r="B42" s="142"/>
      <c r="C42" s="34"/>
      <c r="D42" s="97"/>
      <c r="E42" s="89"/>
      <c r="F42" s="98"/>
      <c r="G42" s="359"/>
      <c r="H42" s="90"/>
      <c r="I42" s="90"/>
      <c r="J42" s="90"/>
      <c r="K42" s="90"/>
      <c r="L42" s="90"/>
      <c r="M42" s="39"/>
      <c r="N42" s="38"/>
      <c r="O42" s="369"/>
      <c r="P42" s="567"/>
      <c r="Q42" s="575"/>
      <c r="R42" s="576"/>
      <c r="S42" s="582"/>
      <c r="T42" s="38"/>
      <c r="U42" s="284"/>
      <c r="V42" s="146"/>
    </row>
    <row r="43" spans="2:22" s="16" customFormat="1" ht="16.5" customHeight="1" thickBot="1" thickTop="1">
      <c r="B43" s="142"/>
      <c r="C43" s="289" t="s">
        <v>129</v>
      </c>
      <c r="D43" s="290" t="s">
        <v>177</v>
      </c>
      <c r="G43" s="14"/>
      <c r="H43" s="14"/>
      <c r="I43" s="14"/>
      <c r="J43" s="14"/>
      <c r="K43" s="14"/>
      <c r="L43" s="14"/>
      <c r="M43" s="14"/>
      <c r="N43" s="14"/>
      <c r="O43" s="14"/>
      <c r="P43" s="568">
        <f>SUM(P20:P42)</f>
        <v>10207.6613648</v>
      </c>
      <c r="Q43" s="577">
        <f>SUM(Q20:Q42)</f>
        <v>437.12399999999997</v>
      </c>
      <c r="R43" s="578">
        <f>SUM(R20:R42)</f>
        <v>43.7124</v>
      </c>
      <c r="S43" s="583">
        <f>SUM(S20:S42)</f>
        <v>0</v>
      </c>
      <c r="U43" s="109">
        <f>ROUND(SUM(U20:U42),2)</f>
        <v>10688.5</v>
      </c>
      <c r="V43" s="259"/>
    </row>
    <row r="44" spans="2:22" s="294" customFormat="1" ht="9.75" thickTop="1">
      <c r="B44" s="295"/>
      <c r="C44" s="291"/>
      <c r="D44" s="293" t="s">
        <v>131</v>
      </c>
      <c r="G44" s="311"/>
      <c r="H44" s="311"/>
      <c r="I44" s="311"/>
      <c r="J44" s="311"/>
      <c r="K44" s="311"/>
      <c r="L44" s="311"/>
      <c r="M44" s="311"/>
      <c r="N44" s="311"/>
      <c r="O44" s="311"/>
      <c r="P44" s="309"/>
      <c r="Q44" s="309"/>
      <c r="R44" s="309"/>
      <c r="S44" s="309"/>
      <c r="U44" s="312"/>
      <c r="V44" s="313"/>
    </row>
    <row r="45" spans="2:22" s="16" customFormat="1" ht="16.5" customHeight="1" thickBot="1"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3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2">
    <pageSetUpPr fitToPage="1"/>
  </sheetPr>
  <dimension ref="A1:X158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110" customFormat="1" ht="26.25">
      <c r="A1" s="160"/>
      <c r="V1" s="647"/>
    </row>
    <row r="2" spans="1:22" s="110" customFormat="1" ht="26.25">
      <c r="A2" s="160"/>
      <c r="B2" s="276" t="str">
        <f>+'tot-9911'!B2</f>
        <v>ANEXO I A LA RESOLUCION ENRE N° 320/2000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22" s="16" customFormat="1" ht="13.5" thickTop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232"/>
    </row>
    <row r="8" spans="2:22" s="10" customFormat="1" ht="20.25">
      <c r="B8" s="175"/>
      <c r="D8" s="7" t="s">
        <v>163</v>
      </c>
      <c r="E8" s="94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71"/>
    </row>
    <row r="9" spans="2:22" s="16" customFormat="1" ht="12.75">
      <c r="B9" s="1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6"/>
    </row>
    <row r="10" spans="2:22" s="10" customFormat="1" ht="20.25">
      <c r="B10" s="175"/>
      <c r="D10" s="176" t="s">
        <v>164</v>
      </c>
      <c r="F10" s="272"/>
      <c r="G10" s="273"/>
      <c r="H10" s="273"/>
      <c r="I10" s="273"/>
      <c r="J10" s="273"/>
      <c r="K10" s="273"/>
      <c r="L10" s="273"/>
      <c r="M10" s="273"/>
      <c r="N10" s="273"/>
      <c r="O10" s="273"/>
      <c r="P10" s="11"/>
      <c r="Q10" s="11"/>
      <c r="R10" s="11"/>
      <c r="S10" s="11"/>
      <c r="T10" s="11"/>
      <c r="U10" s="11"/>
      <c r="V10" s="241"/>
    </row>
    <row r="11" spans="2:22" s="16" customFormat="1" ht="16.5" customHeight="1">
      <c r="B11" s="142"/>
      <c r="C11" s="14"/>
      <c r="D11" s="260"/>
      <c r="F11" s="123"/>
      <c r="G11" s="166"/>
      <c r="H11" s="166"/>
      <c r="I11" s="166"/>
      <c r="J11" s="166"/>
      <c r="K11" s="166"/>
      <c r="L11" s="166"/>
      <c r="M11" s="166"/>
      <c r="N11" s="166"/>
      <c r="O11" s="166"/>
      <c r="P11" s="14"/>
      <c r="Q11" s="14"/>
      <c r="R11" s="14"/>
      <c r="S11" s="14"/>
      <c r="T11" s="14"/>
      <c r="U11" s="14"/>
      <c r="V11" s="146"/>
    </row>
    <row r="12" spans="2:22" s="10" customFormat="1" ht="20.25">
      <c r="B12" s="175"/>
      <c r="D12" s="176" t="s">
        <v>165</v>
      </c>
      <c r="F12" s="272"/>
      <c r="G12" s="273"/>
      <c r="H12" s="273"/>
      <c r="I12" s="273"/>
      <c r="J12" s="273"/>
      <c r="K12" s="273"/>
      <c r="L12" s="273"/>
      <c r="M12" s="273"/>
      <c r="N12" s="273"/>
      <c r="O12" s="273"/>
      <c r="P12" s="11"/>
      <c r="Q12" s="11"/>
      <c r="R12" s="11"/>
      <c r="S12" s="11"/>
      <c r="T12" s="11"/>
      <c r="U12" s="11"/>
      <c r="V12" s="241"/>
    </row>
    <row r="13" spans="2:22" s="16" customFormat="1" ht="16.5" customHeight="1">
      <c r="B13" s="142"/>
      <c r="C13" s="14"/>
      <c r="D13" s="260"/>
      <c r="F13" s="123"/>
      <c r="G13" s="166"/>
      <c r="H13" s="166"/>
      <c r="I13" s="166"/>
      <c r="J13" s="166"/>
      <c r="K13" s="166"/>
      <c r="L13" s="166"/>
      <c r="M13" s="166"/>
      <c r="N13" s="166"/>
      <c r="O13" s="166"/>
      <c r="P13" s="14"/>
      <c r="Q13" s="14"/>
      <c r="R13" s="14"/>
      <c r="S13" s="14"/>
      <c r="T13" s="14"/>
      <c r="U13" s="14"/>
      <c r="V13" s="146"/>
    </row>
    <row r="14" spans="2:22" s="15" customFormat="1" ht="16.5" customHeight="1">
      <c r="B14" s="195" t="str">
        <f>+'tot-9911'!B14</f>
        <v>Desde el 01 al 30 de noviembre de 1999</v>
      </c>
      <c r="C14" s="178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178"/>
      <c r="Q14" s="178"/>
      <c r="R14" s="178"/>
      <c r="S14" s="178"/>
      <c r="T14" s="178"/>
      <c r="U14" s="178"/>
      <c r="V14" s="275"/>
    </row>
    <row r="15" spans="2:22" s="16" customFormat="1" ht="16.5" customHeight="1" thickBot="1">
      <c r="B15" s="142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46"/>
    </row>
    <row r="16" spans="2:22" s="16" customFormat="1" ht="16.5" customHeight="1" thickBot="1" thickTop="1">
      <c r="B16" s="142"/>
      <c r="C16" s="14"/>
      <c r="D16" s="251" t="s">
        <v>147</v>
      </c>
      <c r="E16" s="277"/>
      <c r="F16" s="285">
        <v>0.146</v>
      </c>
      <c r="G16" s="249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46"/>
    </row>
    <row r="17" spans="2:22" s="16" customFormat="1" ht="16.5" customHeight="1" thickBot="1" thickTop="1">
      <c r="B17" s="142"/>
      <c r="C17" s="14"/>
      <c r="D17" s="278" t="s">
        <v>148</v>
      </c>
      <c r="E17" s="279"/>
      <c r="F17" s="280">
        <v>20</v>
      </c>
      <c r="G17" s="249"/>
      <c r="H17"/>
      <c r="I17" s="181" t="s">
        <v>178</v>
      </c>
      <c r="J17" s="649">
        <v>0.998</v>
      </c>
      <c r="K17" s="14" t="s">
        <v>179</v>
      </c>
      <c r="L17" s="14"/>
      <c r="M17" s="14"/>
      <c r="O17" s="14"/>
      <c r="P17" s="14"/>
      <c r="Q17" s="14"/>
      <c r="R17" s="167"/>
      <c r="S17" s="167"/>
      <c r="T17" s="167"/>
      <c r="U17" s="167"/>
      <c r="V17" s="146"/>
    </row>
    <row r="18" spans="2:22" s="16" customFormat="1" ht="16.5" customHeight="1" thickBot="1" thickTop="1">
      <c r="B18" s="142"/>
      <c r="C18" s="2"/>
      <c r="D18" s="261"/>
      <c r="E18" s="262"/>
      <c r="F18" s="262"/>
      <c r="G18" s="45"/>
      <c r="H18" s="45"/>
      <c r="I18" s="45"/>
      <c r="J18" s="45"/>
      <c r="K18" s="45"/>
      <c r="L18" s="45"/>
      <c r="M18" s="45"/>
      <c r="N18" s="45"/>
      <c r="O18" s="263"/>
      <c r="P18" s="264"/>
      <c r="Q18" s="265"/>
      <c r="R18" s="265"/>
      <c r="S18" s="265"/>
      <c r="T18" s="266"/>
      <c r="U18" s="267"/>
      <c r="V18" s="146"/>
    </row>
    <row r="19" spans="2:22" s="16" customFormat="1" ht="33.75" customHeight="1" thickBot="1" thickTop="1">
      <c r="B19" s="142"/>
      <c r="C19" s="182" t="s">
        <v>107</v>
      </c>
      <c r="D19" s="191" t="s">
        <v>149</v>
      </c>
      <c r="E19" s="185" t="s">
        <v>77</v>
      </c>
      <c r="F19" s="281" t="s">
        <v>150</v>
      </c>
      <c r="G19" s="356" t="s">
        <v>112</v>
      </c>
      <c r="H19" s="185" t="s">
        <v>113</v>
      </c>
      <c r="I19" s="185" t="s">
        <v>114</v>
      </c>
      <c r="J19" s="191" t="s">
        <v>115</v>
      </c>
      <c r="K19" s="191" t="s">
        <v>116</v>
      </c>
      <c r="L19" s="190" t="s">
        <v>117</v>
      </c>
      <c r="M19" s="190" t="s">
        <v>118</v>
      </c>
      <c r="N19" s="185" t="s">
        <v>120</v>
      </c>
      <c r="O19" s="356" t="s">
        <v>111</v>
      </c>
      <c r="P19" s="563" t="s">
        <v>137</v>
      </c>
      <c r="Q19" s="569" t="s">
        <v>166</v>
      </c>
      <c r="R19" s="570"/>
      <c r="S19" s="579" t="s">
        <v>125</v>
      </c>
      <c r="T19" s="192" t="s">
        <v>127</v>
      </c>
      <c r="U19" s="282" t="s">
        <v>128</v>
      </c>
      <c r="V19" s="146"/>
    </row>
    <row r="20" spans="2:22" s="16" customFormat="1" ht="16.5" customHeight="1" thickTop="1">
      <c r="B20" s="142"/>
      <c r="C20" s="268"/>
      <c r="D20" s="269" t="s">
        <v>182</v>
      </c>
      <c r="E20" s="269"/>
      <c r="F20" s="269"/>
      <c r="G20" s="364"/>
      <c r="H20" s="270"/>
      <c r="I20" s="270"/>
      <c r="J20" s="268"/>
      <c r="K20" s="268"/>
      <c r="L20" s="269"/>
      <c r="M20" s="17"/>
      <c r="N20" s="268"/>
      <c r="O20" s="371"/>
      <c r="P20" s="564"/>
      <c r="Q20" s="571"/>
      <c r="R20" s="572"/>
      <c r="S20" s="580"/>
      <c r="T20" s="584"/>
      <c r="U20" s="630">
        <f>ROUND('RE-9911'!U43,2)</f>
        <v>10688.5</v>
      </c>
      <c r="V20" s="146"/>
    </row>
    <row r="21" spans="2:22" s="16" customFormat="1" ht="16.5" customHeight="1">
      <c r="B21" s="142"/>
      <c r="C21" s="33"/>
      <c r="D21" s="100"/>
      <c r="E21" s="101"/>
      <c r="F21" s="102"/>
      <c r="G21" s="370"/>
      <c r="H21" s="104"/>
      <c r="I21" s="105"/>
      <c r="J21" s="106"/>
      <c r="K21" s="107"/>
      <c r="L21" s="108"/>
      <c r="M21" s="18"/>
      <c r="N21" s="103"/>
      <c r="O21" s="372"/>
      <c r="P21" s="565"/>
      <c r="Q21" s="573"/>
      <c r="R21" s="574"/>
      <c r="S21" s="581"/>
      <c r="T21" s="103"/>
      <c r="U21" s="283"/>
      <c r="V21" s="146"/>
    </row>
    <row r="22" spans="2:22" s="16" customFormat="1" ht="16.5" customHeight="1">
      <c r="B22" s="142"/>
      <c r="C22" s="20">
        <v>111</v>
      </c>
      <c r="D22" s="96" t="s">
        <v>78</v>
      </c>
      <c r="E22" s="81" t="s">
        <v>83</v>
      </c>
      <c r="F22" s="80">
        <v>245</v>
      </c>
      <c r="G22" s="643">
        <f aca="true" t="shared" si="0" ref="G22:G41">F22*$F$16*$J$17</f>
        <v>35.69846</v>
      </c>
      <c r="H22" s="83">
        <v>36492.30486111111</v>
      </c>
      <c r="I22" s="32">
        <v>36492.74375</v>
      </c>
      <c r="J22" s="85">
        <f aca="true" t="shared" si="1" ref="J22:J41">IF(D22="","",(I22-H22)*24)</f>
        <v>10.533333333441988</v>
      </c>
      <c r="K22" s="31">
        <f aca="true" t="shared" si="2" ref="K22:K41">IF(D22="","",ROUND((I22-H22)*24*60,0))</f>
        <v>632</v>
      </c>
      <c r="L22" s="28" t="s">
        <v>197</v>
      </c>
      <c r="M22" s="29" t="str">
        <f aca="true" t="shared" si="3" ref="M22:M41">IF(D22="","","--")</f>
        <v>--</v>
      </c>
      <c r="N22" s="24" t="str">
        <f aca="true" t="shared" si="4" ref="N22:N41">IF(D22="","",IF(OR(L22="P",L22="RP"),"--","NO"))</f>
        <v>--</v>
      </c>
      <c r="O22" s="368">
        <f aca="true" t="shared" si="5" ref="O22:O41">IF(L22="P",$F$17/10,$F$17)</f>
        <v>2</v>
      </c>
      <c r="P22" s="566">
        <f aca="true" t="shared" si="6" ref="P22:P41">IF(L22="P",G22*O22*ROUND(K22/60,2),"--")</f>
        <v>751.8095675999999</v>
      </c>
      <c r="Q22" s="573" t="str">
        <f aca="true" t="shared" si="7" ref="Q22:Q41">IF(AND(L22="F",N22="NO"),G22*O22,"--")</f>
        <v>--</v>
      </c>
      <c r="R22" s="574" t="str">
        <f aca="true" t="shared" si="8" ref="R22:R41">IF(L22="F",G22*O22*ROUND(K22/60,2),"--")</f>
        <v>--</v>
      </c>
      <c r="S22" s="581" t="str">
        <f aca="true" t="shared" si="9" ref="S22:S41">IF(L22="RF",G22*O22*ROUND(K22/60,2),"--")</f>
        <v>--</v>
      </c>
      <c r="T22" s="24" t="str">
        <f aca="true" t="shared" si="10" ref="T22:T41">IF(D22="","","SI")</f>
        <v>SI</v>
      </c>
      <c r="U22" s="88">
        <f aca="true" t="shared" si="11" ref="U22:U41">IF(D22="","",SUM(P22:S22)*IF(T22="SI",1,2))</f>
        <v>751.8095675999999</v>
      </c>
      <c r="V22" s="146"/>
    </row>
    <row r="23" spans="2:22" s="16" customFormat="1" ht="16.5" customHeight="1">
      <c r="B23" s="142"/>
      <c r="C23" s="20">
        <v>112</v>
      </c>
      <c r="D23" s="96" t="s">
        <v>78</v>
      </c>
      <c r="E23" s="81" t="s">
        <v>84</v>
      </c>
      <c r="F23" s="80">
        <v>245</v>
      </c>
      <c r="G23" s="643">
        <f t="shared" si="0"/>
        <v>35.69846</v>
      </c>
      <c r="H23" s="83">
        <v>36492.305555555555</v>
      </c>
      <c r="I23" s="32">
        <v>36492.745833333334</v>
      </c>
      <c r="J23" s="85">
        <f t="shared" si="1"/>
        <v>10.566666666709352</v>
      </c>
      <c r="K23" s="31">
        <f t="shared" si="2"/>
        <v>634</v>
      </c>
      <c r="L23" s="28" t="s">
        <v>197</v>
      </c>
      <c r="M23" s="29" t="str">
        <f t="shared" si="3"/>
        <v>--</v>
      </c>
      <c r="N23" s="24" t="str">
        <f t="shared" si="4"/>
        <v>--</v>
      </c>
      <c r="O23" s="368">
        <f t="shared" si="5"/>
        <v>2</v>
      </c>
      <c r="P23" s="566">
        <f t="shared" si="6"/>
        <v>754.6654444</v>
      </c>
      <c r="Q23" s="573" t="str">
        <f t="shared" si="7"/>
        <v>--</v>
      </c>
      <c r="R23" s="574" t="str">
        <f t="shared" si="8"/>
        <v>--</v>
      </c>
      <c r="S23" s="581" t="str">
        <f t="shared" si="9"/>
        <v>--</v>
      </c>
      <c r="T23" s="24" t="str">
        <f t="shared" si="10"/>
        <v>SI</v>
      </c>
      <c r="U23" s="88">
        <f t="shared" si="11"/>
        <v>754.6654444</v>
      </c>
      <c r="V23" s="146"/>
    </row>
    <row r="24" spans="2:22" s="16" customFormat="1" ht="16.5" customHeight="1">
      <c r="B24" s="142"/>
      <c r="C24" s="20"/>
      <c r="D24" s="96"/>
      <c r="E24" s="81"/>
      <c r="F24" s="80"/>
      <c r="G24" s="643">
        <f t="shared" si="0"/>
        <v>0</v>
      </c>
      <c r="H24" s="83"/>
      <c r="I24" s="32"/>
      <c r="J24" s="85">
        <f t="shared" si="1"/>
      </c>
      <c r="K24" s="31">
        <f t="shared" si="2"/>
      </c>
      <c r="L24" s="28"/>
      <c r="M24" s="29">
        <f t="shared" si="3"/>
      </c>
      <c r="N24" s="24">
        <f t="shared" si="4"/>
      </c>
      <c r="O24" s="368">
        <f t="shared" si="5"/>
        <v>20</v>
      </c>
      <c r="P24" s="566" t="str">
        <f t="shared" si="6"/>
        <v>--</v>
      </c>
      <c r="Q24" s="573" t="str">
        <f t="shared" si="7"/>
        <v>--</v>
      </c>
      <c r="R24" s="574" t="str">
        <f t="shared" si="8"/>
        <v>--</v>
      </c>
      <c r="S24" s="581" t="str">
        <f t="shared" si="9"/>
        <v>--</v>
      </c>
      <c r="T24" s="24">
        <f t="shared" si="10"/>
      </c>
      <c r="U24" s="88">
        <f t="shared" si="11"/>
      </c>
      <c r="V24" s="146"/>
    </row>
    <row r="25" spans="2:22" s="16" customFormat="1" ht="16.5" customHeight="1">
      <c r="B25" s="142"/>
      <c r="C25" s="20"/>
      <c r="D25" s="96"/>
      <c r="E25" s="81"/>
      <c r="F25" s="80"/>
      <c r="G25" s="643">
        <f t="shared" si="0"/>
        <v>0</v>
      </c>
      <c r="H25" s="83"/>
      <c r="I25" s="32"/>
      <c r="J25" s="85">
        <f t="shared" si="1"/>
      </c>
      <c r="K25" s="31">
        <f t="shared" si="2"/>
      </c>
      <c r="L25" s="28"/>
      <c r="M25" s="29">
        <f t="shared" si="3"/>
      </c>
      <c r="N25" s="24">
        <f t="shared" si="4"/>
      </c>
      <c r="O25" s="368">
        <f t="shared" si="5"/>
        <v>20</v>
      </c>
      <c r="P25" s="566" t="str">
        <f t="shared" si="6"/>
        <v>--</v>
      </c>
      <c r="Q25" s="573" t="str">
        <f t="shared" si="7"/>
        <v>--</v>
      </c>
      <c r="R25" s="574" t="str">
        <f t="shared" si="8"/>
        <v>--</v>
      </c>
      <c r="S25" s="581" t="str">
        <f t="shared" si="9"/>
        <v>--</v>
      </c>
      <c r="T25" s="24">
        <f t="shared" si="10"/>
      </c>
      <c r="U25" s="88">
        <f t="shared" si="11"/>
      </c>
      <c r="V25" s="258"/>
    </row>
    <row r="26" spans="2:22" s="16" customFormat="1" ht="16.5" customHeight="1">
      <c r="B26" s="142"/>
      <c r="C26" s="20"/>
      <c r="D26" s="96"/>
      <c r="E26" s="81"/>
      <c r="F26" s="80"/>
      <c r="G26" s="643">
        <f t="shared" si="0"/>
        <v>0</v>
      </c>
      <c r="H26" s="83"/>
      <c r="I26" s="32"/>
      <c r="J26" s="85">
        <f t="shared" si="1"/>
      </c>
      <c r="K26" s="31">
        <f t="shared" si="2"/>
      </c>
      <c r="L26" s="28"/>
      <c r="M26" s="29">
        <f t="shared" si="3"/>
      </c>
      <c r="N26" s="24">
        <f t="shared" si="4"/>
      </c>
      <c r="O26" s="368">
        <f t="shared" si="5"/>
        <v>20</v>
      </c>
      <c r="P26" s="566" t="str">
        <f t="shared" si="6"/>
        <v>--</v>
      </c>
      <c r="Q26" s="573" t="str">
        <f t="shared" si="7"/>
        <v>--</v>
      </c>
      <c r="R26" s="574" t="str">
        <f t="shared" si="8"/>
        <v>--</v>
      </c>
      <c r="S26" s="581" t="str">
        <f t="shared" si="9"/>
        <v>--</v>
      </c>
      <c r="T26" s="24">
        <f t="shared" si="10"/>
      </c>
      <c r="U26" s="88">
        <f t="shared" si="11"/>
      </c>
      <c r="V26" s="258"/>
    </row>
    <row r="27" spans="2:22" s="16" customFormat="1" ht="16.5" customHeight="1">
      <c r="B27" s="142"/>
      <c r="C27" s="20"/>
      <c r="D27" s="96"/>
      <c r="E27" s="81"/>
      <c r="F27" s="80"/>
      <c r="G27" s="643">
        <f t="shared" si="0"/>
        <v>0</v>
      </c>
      <c r="H27" s="83"/>
      <c r="I27" s="32"/>
      <c r="J27" s="85">
        <f t="shared" si="1"/>
      </c>
      <c r="K27" s="31">
        <f t="shared" si="2"/>
      </c>
      <c r="L27" s="28"/>
      <c r="M27" s="29">
        <f t="shared" si="3"/>
      </c>
      <c r="N27" s="24">
        <f t="shared" si="4"/>
      </c>
      <c r="O27" s="368">
        <f t="shared" si="5"/>
        <v>20</v>
      </c>
      <c r="P27" s="566" t="str">
        <f t="shared" si="6"/>
        <v>--</v>
      </c>
      <c r="Q27" s="573" t="str">
        <f t="shared" si="7"/>
        <v>--</v>
      </c>
      <c r="R27" s="574" t="str">
        <f t="shared" si="8"/>
        <v>--</v>
      </c>
      <c r="S27" s="581" t="str">
        <f t="shared" si="9"/>
        <v>--</v>
      </c>
      <c r="T27" s="24">
        <f t="shared" si="10"/>
      </c>
      <c r="U27" s="88">
        <f t="shared" si="11"/>
      </c>
      <c r="V27" s="258"/>
    </row>
    <row r="28" spans="2:22" s="16" customFormat="1" ht="16.5" customHeight="1">
      <c r="B28" s="142"/>
      <c r="C28" s="20"/>
      <c r="D28" s="96"/>
      <c r="E28" s="81"/>
      <c r="F28" s="80"/>
      <c r="G28" s="643">
        <f t="shared" si="0"/>
        <v>0</v>
      </c>
      <c r="H28" s="83"/>
      <c r="I28" s="32"/>
      <c r="J28" s="85">
        <f t="shared" si="1"/>
      </c>
      <c r="K28" s="31">
        <f t="shared" si="2"/>
      </c>
      <c r="L28" s="28"/>
      <c r="M28" s="29">
        <f t="shared" si="3"/>
      </c>
      <c r="N28" s="24">
        <f t="shared" si="4"/>
      </c>
      <c r="O28" s="368">
        <f t="shared" si="5"/>
        <v>20</v>
      </c>
      <c r="P28" s="566" t="str">
        <f t="shared" si="6"/>
        <v>--</v>
      </c>
      <c r="Q28" s="573" t="str">
        <f t="shared" si="7"/>
        <v>--</v>
      </c>
      <c r="R28" s="574" t="str">
        <f t="shared" si="8"/>
        <v>--</v>
      </c>
      <c r="S28" s="581" t="str">
        <f t="shared" si="9"/>
        <v>--</v>
      </c>
      <c r="T28" s="24">
        <f t="shared" si="10"/>
      </c>
      <c r="U28" s="88">
        <f t="shared" si="11"/>
      </c>
      <c r="V28" s="258"/>
    </row>
    <row r="29" spans="2:22" s="16" customFormat="1" ht="16.5" customHeight="1">
      <c r="B29" s="142"/>
      <c r="C29" s="20"/>
      <c r="D29" s="96"/>
      <c r="E29" s="81"/>
      <c r="F29" s="80"/>
      <c r="G29" s="643">
        <f t="shared" si="0"/>
        <v>0</v>
      </c>
      <c r="H29" s="83"/>
      <c r="I29" s="32"/>
      <c r="J29" s="85">
        <f t="shared" si="1"/>
      </c>
      <c r="K29" s="31">
        <f t="shared" si="2"/>
      </c>
      <c r="L29" s="28"/>
      <c r="M29" s="29">
        <f t="shared" si="3"/>
      </c>
      <c r="N29" s="24">
        <f t="shared" si="4"/>
      </c>
      <c r="O29" s="368">
        <f t="shared" si="5"/>
        <v>20</v>
      </c>
      <c r="P29" s="566" t="str">
        <f t="shared" si="6"/>
        <v>--</v>
      </c>
      <c r="Q29" s="573" t="str">
        <f t="shared" si="7"/>
        <v>--</v>
      </c>
      <c r="R29" s="574" t="str">
        <f t="shared" si="8"/>
        <v>--</v>
      </c>
      <c r="S29" s="581" t="str">
        <f t="shared" si="9"/>
        <v>--</v>
      </c>
      <c r="T29" s="24">
        <f t="shared" si="10"/>
      </c>
      <c r="U29" s="88">
        <f t="shared" si="11"/>
      </c>
      <c r="V29" s="258"/>
    </row>
    <row r="30" spans="2:22" s="16" customFormat="1" ht="16.5" customHeight="1">
      <c r="B30" s="142"/>
      <c r="C30" s="20"/>
      <c r="D30" s="96"/>
      <c r="E30" s="81"/>
      <c r="F30" s="80"/>
      <c r="G30" s="643">
        <f t="shared" si="0"/>
        <v>0</v>
      </c>
      <c r="H30" s="83"/>
      <c r="I30" s="32"/>
      <c r="J30" s="85">
        <f t="shared" si="1"/>
      </c>
      <c r="K30" s="31">
        <f t="shared" si="2"/>
      </c>
      <c r="L30" s="28"/>
      <c r="M30" s="29">
        <f t="shared" si="3"/>
      </c>
      <c r="N30" s="24">
        <f t="shared" si="4"/>
      </c>
      <c r="O30" s="368">
        <f t="shared" si="5"/>
        <v>20</v>
      </c>
      <c r="P30" s="566" t="str">
        <f t="shared" si="6"/>
        <v>--</v>
      </c>
      <c r="Q30" s="573" t="str">
        <f t="shared" si="7"/>
        <v>--</v>
      </c>
      <c r="R30" s="574" t="str">
        <f t="shared" si="8"/>
        <v>--</v>
      </c>
      <c r="S30" s="581" t="str">
        <f t="shared" si="9"/>
        <v>--</v>
      </c>
      <c r="T30" s="24">
        <f t="shared" si="10"/>
      </c>
      <c r="U30" s="88">
        <f t="shared" si="11"/>
      </c>
      <c r="V30" s="258"/>
    </row>
    <row r="31" spans="2:22" s="16" customFormat="1" ht="16.5" customHeight="1">
      <c r="B31" s="142"/>
      <c r="C31" s="20"/>
      <c r="D31" s="96"/>
      <c r="E31" s="81"/>
      <c r="F31" s="80"/>
      <c r="G31" s="643">
        <f t="shared" si="0"/>
        <v>0</v>
      </c>
      <c r="H31" s="83"/>
      <c r="I31" s="32"/>
      <c r="J31" s="85">
        <f t="shared" si="1"/>
      </c>
      <c r="K31" s="31">
        <f t="shared" si="2"/>
      </c>
      <c r="L31" s="28"/>
      <c r="M31" s="29">
        <f t="shared" si="3"/>
      </c>
      <c r="N31" s="24">
        <f t="shared" si="4"/>
      </c>
      <c r="O31" s="368">
        <f t="shared" si="5"/>
        <v>20</v>
      </c>
      <c r="P31" s="566" t="str">
        <f t="shared" si="6"/>
        <v>--</v>
      </c>
      <c r="Q31" s="573" t="str">
        <f t="shared" si="7"/>
        <v>--</v>
      </c>
      <c r="R31" s="574" t="str">
        <f t="shared" si="8"/>
        <v>--</v>
      </c>
      <c r="S31" s="581" t="str">
        <f t="shared" si="9"/>
        <v>--</v>
      </c>
      <c r="T31" s="24">
        <f t="shared" si="10"/>
      </c>
      <c r="U31" s="88">
        <f t="shared" si="11"/>
      </c>
      <c r="V31" s="146"/>
    </row>
    <row r="32" spans="2:22" s="16" customFormat="1" ht="16.5" customHeight="1">
      <c r="B32" s="142"/>
      <c r="C32" s="20"/>
      <c r="D32" s="96"/>
      <c r="E32" s="81"/>
      <c r="F32" s="80"/>
      <c r="G32" s="643">
        <f t="shared" si="0"/>
        <v>0</v>
      </c>
      <c r="H32" s="83"/>
      <c r="I32" s="32"/>
      <c r="J32" s="85">
        <f t="shared" si="1"/>
      </c>
      <c r="K32" s="31">
        <f t="shared" si="2"/>
      </c>
      <c r="L32" s="28"/>
      <c r="M32" s="29">
        <f t="shared" si="3"/>
      </c>
      <c r="N32" s="24">
        <f t="shared" si="4"/>
      </c>
      <c r="O32" s="368">
        <f t="shared" si="5"/>
        <v>20</v>
      </c>
      <c r="P32" s="566" t="str">
        <f t="shared" si="6"/>
        <v>--</v>
      </c>
      <c r="Q32" s="573" t="str">
        <f t="shared" si="7"/>
        <v>--</v>
      </c>
      <c r="R32" s="574" t="str">
        <f t="shared" si="8"/>
        <v>--</v>
      </c>
      <c r="S32" s="581" t="str">
        <f t="shared" si="9"/>
        <v>--</v>
      </c>
      <c r="T32" s="24">
        <f t="shared" si="10"/>
      </c>
      <c r="U32" s="88">
        <f t="shared" si="11"/>
      </c>
      <c r="V32" s="146"/>
    </row>
    <row r="33" spans="2:22" s="16" customFormat="1" ht="16.5" customHeight="1">
      <c r="B33" s="142"/>
      <c r="C33" s="20"/>
      <c r="D33" s="96"/>
      <c r="E33" s="81"/>
      <c r="F33" s="80"/>
      <c r="G33" s="643">
        <f t="shared" si="0"/>
        <v>0</v>
      </c>
      <c r="H33" s="83"/>
      <c r="I33" s="32"/>
      <c r="J33" s="85">
        <f t="shared" si="1"/>
      </c>
      <c r="K33" s="31">
        <f t="shared" si="2"/>
      </c>
      <c r="L33" s="28"/>
      <c r="M33" s="29">
        <f t="shared" si="3"/>
      </c>
      <c r="N33" s="24">
        <f t="shared" si="4"/>
      </c>
      <c r="O33" s="368">
        <f t="shared" si="5"/>
        <v>20</v>
      </c>
      <c r="P33" s="566" t="str">
        <f t="shared" si="6"/>
        <v>--</v>
      </c>
      <c r="Q33" s="573" t="str">
        <f t="shared" si="7"/>
        <v>--</v>
      </c>
      <c r="R33" s="574" t="str">
        <f t="shared" si="8"/>
        <v>--</v>
      </c>
      <c r="S33" s="581" t="str">
        <f t="shared" si="9"/>
        <v>--</v>
      </c>
      <c r="T33" s="24">
        <f t="shared" si="10"/>
      </c>
      <c r="U33" s="88">
        <f t="shared" si="11"/>
      </c>
      <c r="V33" s="146"/>
    </row>
    <row r="34" spans="2:22" s="16" customFormat="1" ht="16.5" customHeight="1">
      <c r="B34" s="142"/>
      <c r="C34" s="20"/>
      <c r="D34" s="96"/>
      <c r="E34" s="81"/>
      <c r="F34" s="80"/>
      <c r="G34" s="643">
        <f t="shared" si="0"/>
        <v>0</v>
      </c>
      <c r="H34" s="83"/>
      <c r="I34" s="32"/>
      <c r="J34" s="85">
        <f t="shared" si="1"/>
      </c>
      <c r="K34" s="31">
        <f t="shared" si="2"/>
      </c>
      <c r="L34" s="28"/>
      <c r="M34" s="29">
        <f t="shared" si="3"/>
      </c>
      <c r="N34" s="24">
        <f t="shared" si="4"/>
      </c>
      <c r="O34" s="368">
        <f t="shared" si="5"/>
        <v>20</v>
      </c>
      <c r="P34" s="566" t="str">
        <f t="shared" si="6"/>
        <v>--</v>
      </c>
      <c r="Q34" s="573" t="str">
        <f t="shared" si="7"/>
        <v>--</v>
      </c>
      <c r="R34" s="574" t="str">
        <f t="shared" si="8"/>
        <v>--</v>
      </c>
      <c r="S34" s="581" t="str">
        <f t="shared" si="9"/>
        <v>--</v>
      </c>
      <c r="T34" s="24">
        <f t="shared" si="10"/>
      </c>
      <c r="U34" s="88">
        <f t="shared" si="11"/>
      </c>
      <c r="V34" s="146"/>
    </row>
    <row r="35" spans="2:22" s="16" customFormat="1" ht="16.5" customHeight="1">
      <c r="B35" s="142"/>
      <c r="C35" s="20"/>
      <c r="D35" s="96"/>
      <c r="E35" s="81"/>
      <c r="F35" s="80"/>
      <c r="G35" s="643">
        <f t="shared" si="0"/>
        <v>0</v>
      </c>
      <c r="H35" s="83"/>
      <c r="I35" s="32"/>
      <c r="J35" s="85">
        <f t="shared" si="1"/>
      </c>
      <c r="K35" s="31">
        <f t="shared" si="2"/>
      </c>
      <c r="L35" s="28"/>
      <c r="M35" s="29">
        <f t="shared" si="3"/>
      </c>
      <c r="N35" s="24">
        <f t="shared" si="4"/>
      </c>
      <c r="O35" s="368">
        <f t="shared" si="5"/>
        <v>20</v>
      </c>
      <c r="P35" s="566" t="str">
        <f t="shared" si="6"/>
        <v>--</v>
      </c>
      <c r="Q35" s="573" t="str">
        <f t="shared" si="7"/>
        <v>--</v>
      </c>
      <c r="R35" s="574" t="str">
        <f t="shared" si="8"/>
        <v>--</v>
      </c>
      <c r="S35" s="581" t="str">
        <f t="shared" si="9"/>
        <v>--</v>
      </c>
      <c r="T35" s="24">
        <f t="shared" si="10"/>
      </c>
      <c r="U35" s="88">
        <f t="shared" si="11"/>
      </c>
      <c r="V35" s="146"/>
    </row>
    <row r="36" spans="2:22" s="16" customFormat="1" ht="16.5" customHeight="1">
      <c r="B36" s="142"/>
      <c r="C36" s="20"/>
      <c r="D36" s="96"/>
      <c r="E36" s="81"/>
      <c r="F36" s="80"/>
      <c r="G36" s="643">
        <f t="shared" si="0"/>
        <v>0</v>
      </c>
      <c r="H36" s="83"/>
      <c r="I36" s="32"/>
      <c r="J36" s="85">
        <f t="shared" si="1"/>
      </c>
      <c r="K36" s="31">
        <f t="shared" si="2"/>
      </c>
      <c r="L36" s="28"/>
      <c r="M36" s="29">
        <f t="shared" si="3"/>
      </c>
      <c r="N36" s="24">
        <f t="shared" si="4"/>
      </c>
      <c r="O36" s="368">
        <f t="shared" si="5"/>
        <v>20</v>
      </c>
      <c r="P36" s="566" t="str">
        <f t="shared" si="6"/>
        <v>--</v>
      </c>
      <c r="Q36" s="573" t="str">
        <f t="shared" si="7"/>
        <v>--</v>
      </c>
      <c r="R36" s="574" t="str">
        <f t="shared" si="8"/>
        <v>--</v>
      </c>
      <c r="S36" s="581" t="str">
        <f t="shared" si="9"/>
        <v>--</v>
      </c>
      <c r="T36" s="24">
        <f t="shared" si="10"/>
      </c>
      <c r="U36" s="88">
        <f t="shared" si="11"/>
      </c>
      <c r="V36" s="146"/>
    </row>
    <row r="37" spans="2:22" s="16" customFormat="1" ht="16.5" customHeight="1">
      <c r="B37" s="142"/>
      <c r="C37" s="20"/>
      <c r="D37" s="96"/>
      <c r="E37" s="81"/>
      <c r="F37" s="80"/>
      <c r="G37" s="643">
        <f t="shared" si="0"/>
        <v>0</v>
      </c>
      <c r="H37" s="83"/>
      <c r="I37" s="32"/>
      <c r="J37" s="85">
        <f t="shared" si="1"/>
      </c>
      <c r="K37" s="31">
        <f t="shared" si="2"/>
      </c>
      <c r="L37" s="28"/>
      <c r="M37" s="29">
        <f t="shared" si="3"/>
      </c>
      <c r="N37" s="24">
        <f t="shared" si="4"/>
      </c>
      <c r="O37" s="368">
        <f t="shared" si="5"/>
        <v>20</v>
      </c>
      <c r="P37" s="566" t="str">
        <f t="shared" si="6"/>
        <v>--</v>
      </c>
      <c r="Q37" s="573" t="str">
        <f t="shared" si="7"/>
        <v>--</v>
      </c>
      <c r="R37" s="574" t="str">
        <f t="shared" si="8"/>
        <v>--</v>
      </c>
      <c r="S37" s="581" t="str">
        <f t="shared" si="9"/>
        <v>--</v>
      </c>
      <c r="T37" s="24">
        <f t="shared" si="10"/>
      </c>
      <c r="U37" s="88">
        <f t="shared" si="11"/>
      </c>
      <c r="V37" s="146"/>
    </row>
    <row r="38" spans="2:22" s="16" customFormat="1" ht="16.5" customHeight="1">
      <c r="B38" s="142"/>
      <c r="C38" s="20"/>
      <c r="D38" s="96"/>
      <c r="E38" s="81"/>
      <c r="F38" s="80"/>
      <c r="G38" s="643">
        <f t="shared" si="0"/>
        <v>0</v>
      </c>
      <c r="H38" s="83"/>
      <c r="I38" s="32"/>
      <c r="J38" s="85">
        <f t="shared" si="1"/>
      </c>
      <c r="K38" s="31">
        <f t="shared" si="2"/>
      </c>
      <c r="L38" s="28"/>
      <c r="M38" s="29">
        <f t="shared" si="3"/>
      </c>
      <c r="N38" s="24">
        <f t="shared" si="4"/>
      </c>
      <c r="O38" s="368">
        <f t="shared" si="5"/>
        <v>20</v>
      </c>
      <c r="P38" s="566" t="str">
        <f t="shared" si="6"/>
        <v>--</v>
      </c>
      <c r="Q38" s="573" t="str">
        <f t="shared" si="7"/>
        <v>--</v>
      </c>
      <c r="R38" s="574" t="str">
        <f t="shared" si="8"/>
        <v>--</v>
      </c>
      <c r="S38" s="581" t="str">
        <f t="shared" si="9"/>
        <v>--</v>
      </c>
      <c r="T38" s="24">
        <f t="shared" si="10"/>
      </c>
      <c r="U38" s="88">
        <f t="shared" si="11"/>
      </c>
      <c r="V38" s="146"/>
    </row>
    <row r="39" spans="2:22" s="16" customFormat="1" ht="16.5" customHeight="1">
      <c r="B39" s="142"/>
      <c r="C39" s="20"/>
      <c r="D39" s="96"/>
      <c r="E39" s="81"/>
      <c r="F39" s="80"/>
      <c r="G39" s="643">
        <f t="shared" si="0"/>
        <v>0</v>
      </c>
      <c r="H39" s="83"/>
      <c r="I39" s="32"/>
      <c r="J39" s="85">
        <f t="shared" si="1"/>
      </c>
      <c r="K39" s="31">
        <f t="shared" si="2"/>
      </c>
      <c r="L39" s="28"/>
      <c r="M39" s="29">
        <f t="shared" si="3"/>
      </c>
      <c r="N39" s="24">
        <f t="shared" si="4"/>
      </c>
      <c r="O39" s="368">
        <f t="shared" si="5"/>
        <v>20</v>
      </c>
      <c r="P39" s="566" t="str">
        <f t="shared" si="6"/>
        <v>--</v>
      </c>
      <c r="Q39" s="573" t="str">
        <f t="shared" si="7"/>
        <v>--</v>
      </c>
      <c r="R39" s="574" t="str">
        <f t="shared" si="8"/>
        <v>--</v>
      </c>
      <c r="S39" s="581" t="str">
        <f t="shared" si="9"/>
        <v>--</v>
      </c>
      <c r="T39" s="24">
        <f t="shared" si="10"/>
      </c>
      <c r="U39" s="88">
        <f t="shared" si="11"/>
      </c>
      <c r="V39" s="146"/>
    </row>
    <row r="40" spans="2:22" s="16" customFormat="1" ht="16.5" customHeight="1">
      <c r="B40" s="142"/>
      <c r="C40" s="20"/>
      <c r="D40" s="96"/>
      <c r="E40" s="81"/>
      <c r="F40" s="80"/>
      <c r="G40" s="643">
        <f t="shared" si="0"/>
        <v>0</v>
      </c>
      <c r="H40" s="83"/>
      <c r="I40" s="32"/>
      <c r="J40" s="85">
        <f t="shared" si="1"/>
      </c>
      <c r="K40" s="31">
        <f t="shared" si="2"/>
      </c>
      <c r="L40" s="28"/>
      <c r="M40" s="29">
        <f t="shared" si="3"/>
      </c>
      <c r="N40" s="24">
        <f t="shared" si="4"/>
      </c>
      <c r="O40" s="368">
        <f t="shared" si="5"/>
        <v>20</v>
      </c>
      <c r="P40" s="566" t="str">
        <f t="shared" si="6"/>
        <v>--</v>
      </c>
      <c r="Q40" s="573" t="str">
        <f t="shared" si="7"/>
        <v>--</v>
      </c>
      <c r="R40" s="574" t="str">
        <f t="shared" si="8"/>
        <v>--</v>
      </c>
      <c r="S40" s="581" t="str">
        <f t="shared" si="9"/>
        <v>--</v>
      </c>
      <c r="T40" s="24">
        <f t="shared" si="10"/>
      </c>
      <c r="U40" s="88">
        <f t="shared" si="11"/>
      </c>
      <c r="V40" s="146"/>
    </row>
    <row r="41" spans="2:22" s="16" customFormat="1" ht="16.5" customHeight="1">
      <c r="B41" s="142"/>
      <c r="C41" s="20"/>
      <c r="D41" s="96"/>
      <c r="E41" s="81"/>
      <c r="F41" s="80"/>
      <c r="G41" s="643">
        <f t="shared" si="0"/>
        <v>0</v>
      </c>
      <c r="H41" s="83"/>
      <c r="I41" s="32"/>
      <c r="J41" s="85">
        <f t="shared" si="1"/>
      </c>
      <c r="K41" s="31">
        <f t="shared" si="2"/>
      </c>
      <c r="L41" s="28"/>
      <c r="M41" s="29">
        <f t="shared" si="3"/>
      </c>
      <c r="N41" s="24">
        <f t="shared" si="4"/>
      </c>
      <c r="O41" s="368">
        <f t="shared" si="5"/>
        <v>20</v>
      </c>
      <c r="P41" s="566" t="str">
        <f t="shared" si="6"/>
        <v>--</v>
      </c>
      <c r="Q41" s="573" t="str">
        <f t="shared" si="7"/>
        <v>--</v>
      </c>
      <c r="R41" s="574" t="str">
        <f t="shared" si="8"/>
        <v>--</v>
      </c>
      <c r="S41" s="581" t="str">
        <f t="shared" si="9"/>
        <v>--</v>
      </c>
      <c r="T41" s="24">
        <f t="shared" si="10"/>
      </c>
      <c r="U41" s="88">
        <f t="shared" si="11"/>
      </c>
      <c r="V41" s="146"/>
    </row>
    <row r="42" spans="2:22" s="16" customFormat="1" ht="16.5" customHeight="1" thickBot="1">
      <c r="B42" s="142"/>
      <c r="C42" s="34"/>
      <c r="D42" s="97"/>
      <c r="E42" s="89"/>
      <c r="F42" s="98"/>
      <c r="G42" s="359"/>
      <c r="H42" s="90"/>
      <c r="I42" s="90"/>
      <c r="J42" s="90"/>
      <c r="K42" s="90"/>
      <c r="L42" s="90"/>
      <c r="M42" s="39"/>
      <c r="N42" s="38"/>
      <c r="O42" s="369"/>
      <c r="P42" s="567"/>
      <c r="Q42" s="575"/>
      <c r="R42" s="576"/>
      <c r="S42" s="582"/>
      <c r="T42" s="38"/>
      <c r="U42" s="284"/>
      <c r="V42" s="146"/>
    </row>
    <row r="43" spans="2:22" s="16" customFormat="1" ht="16.5" customHeight="1" thickBot="1" thickTop="1">
      <c r="B43" s="142"/>
      <c r="C43" s="289" t="s">
        <v>129</v>
      </c>
      <c r="D43" s="290" t="s">
        <v>177</v>
      </c>
      <c r="G43" s="14"/>
      <c r="H43" s="14"/>
      <c r="I43" s="14"/>
      <c r="J43" s="14"/>
      <c r="K43" s="14"/>
      <c r="L43" s="14"/>
      <c r="M43" s="14"/>
      <c r="N43" s="14"/>
      <c r="O43" s="14"/>
      <c r="P43" s="568">
        <f>SUM(P20:P42)</f>
        <v>1506.4750119999999</v>
      </c>
      <c r="Q43" s="577">
        <f>SUM(Q20:Q42)</f>
        <v>0</v>
      </c>
      <c r="R43" s="578">
        <f>SUM(R20:R42)</f>
        <v>0</v>
      </c>
      <c r="S43" s="583">
        <f>SUM(S20:S42)</f>
        <v>0</v>
      </c>
      <c r="U43" s="93">
        <f>ROUND(SUM(U20:U42),2)</f>
        <v>12194.98</v>
      </c>
      <c r="V43" s="259"/>
    </row>
    <row r="44" spans="2:22" s="294" customFormat="1" ht="9.75" thickTop="1">
      <c r="B44" s="295"/>
      <c r="C44" s="291"/>
      <c r="D44" s="293" t="s">
        <v>131</v>
      </c>
      <c r="G44" s="311"/>
      <c r="H44" s="311"/>
      <c r="I44" s="311"/>
      <c r="J44" s="311"/>
      <c r="K44" s="311"/>
      <c r="L44" s="311"/>
      <c r="M44" s="311"/>
      <c r="N44" s="311"/>
      <c r="O44" s="311"/>
      <c r="P44" s="309"/>
      <c r="Q44" s="309"/>
      <c r="R44" s="309"/>
      <c r="S44" s="309"/>
      <c r="U44" s="312"/>
      <c r="V44" s="313"/>
    </row>
    <row r="45" spans="2:22" s="16" customFormat="1" ht="16.5" customHeight="1" thickBot="1"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3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G63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24.28125" style="0" customWidth="1"/>
    <col min="2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647"/>
    </row>
    <row r="2" spans="1:23" ht="27" customHeight="1">
      <c r="A2" s="7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724" customFormat="1" ht="30.75">
      <c r="A3" s="721"/>
      <c r="B3" s="722" t="str">
        <f>'tot-9911'!B2</f>
        <v>ANEXO I A LA RESOLUCION ENRE N° 320/2000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AB3" s="723"/>
      <c r="AC3" s="723"/>
      <c r="AD3" s="723"/>
    </row>
    <row r="4" spans="1:2" s="117" customFormat="1" ht="11.25">
      <c r="A4" s="115" t="s">
        <v>85</v>
      </c>
      <c r="B4" s="115"/>
    </row>
    <row r="5" spans="1:2" s="117" customFormat="1" ht="11.25">
      <c r="A5" s="115" t="s">
        <v>86</v>
      </c>
      <c r="B5" s="115"/>
    </row>
    <row r="6" s="117" customFormat="1" ht="12" thickBot="1">
      <c r="A6" s="115"/>
    </row>
    <row r="7" spans="1:30" ht="16.5" customHeight="1" thickTop="1">
      <c r="A7" s="16"/>
      <c r="B7" s="161"/>
      <c r="C7" s="162"/>
      <c r="D7" s="162"/>
      <c r="E7" s="16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318"/>
      <c r="X7" s="318"/>
      <c r="Y7" s="318"/>
      <c r="Z7" s="318"/>
      <c r="AA7" s="318"/>
      <c r="AB7" s="318"/>
      <c r="AC7" s="318"/>
      <c r="AD7" s="164"/>
    </row>
    <row r="8" spans="1:30" ht="20.25">
      <c r="A8" s="16"/>
      <c r="B8" s="142"/>
      <c r="C8" s="14"/>
      <c r="D8" s="7" t="s">
        <v>214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725"/>
      <c r="Q8" s="725"/>
      <c r="R8" s="14"/>
      <c r="S8" s="14"/>
      <c r="T8" s="14"/>
      <c r="U8" s="14"/>
      <c r="V8" s="14"/>
      <c r="AD8" s="165"/>
    </row>
    <row r="9" spans="1:30" ht="16.5" customHeight="1">
      <c r="A9" s="16"/>
      <c r="B9" s="1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D9" s="165"/>
    </row>
    <row r="10" spans="2:30" s="15" customFormat="1" ht="20.25">
      <c r="B10" s="137"/>
      <c r="C10" s="136"/>
      <c r="D10" s="7" t="s">
        <v>215</v>
      </c>
      <c r="E10" s="136"/>
      <c r="F10" s="136"/>
      <c r="G10" s="136"/>
      <c r="H10" s="136"/>
      <c r="N10" s="136"/>
      <c r="O10" s="136"/>
      <c r="P10" s="374"/>
      <c r="Q10" s="374"/>
      <c r="R10" s="136"/>
      <c r="S10" s="136"/>
      <c r="T10" s="136"/>
      <c r="U10" s="136"/>
      <c r="V10" s="136"/>
      <c r="W10"/>
      <c r="X10" s="136"/>
      <c r="Y10" s="136"/>
      <c r="Z10" s="136"/>
      <c r="AA10" s="136"/>
      <c r="AB10" s="136"/>
      <c r="AC10"/>
      <c r="AD10" s="375"/>
    </row>
    <row r="11" spans="1:30" ht="16.5" customHeight="1">
      <c r="A11" s="16"/>
      <c r="B11" s="14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D11" s="165"/>
    </row>
    <row r="12" spans="2:30" s="15" customFormat="1" ht="20.25">
      <c r="B12" s="137"/>
      <c r="C12" s="136"/>
      <c r="D12" s="7" t="s">
        <v>216</v>
      </c>
      <c r="E12" s="136"/>
      <c r="F12" s="136"/>
      <c r="G12" s="136"/>
      <c r="H12" s="136"/>
      <c r="N12" s="136"/>
      <c r="O12" s="136"/>
      <c r="P12" s="374"/>
      <c r="Q12" s="374"/>
      <c r="R12" s="136"/>
      <c r="S12" s="136"/>
      <c r="T12" s="136"/>
      <c r="U12" s="136"/>
      <c r="V12" s="136"/>
      <c r="W12"/>
      <c r="X12" s="136"/>
      <c r="Y12" s="136"/>
      <c r="Z12" s="136"/>
      <c r="AA12" s="136"/>
      <c r="AB12" s="136"/>
      <c r="AC12"/>
      <c r="AD12" s="375"/>
    </row>
    <row r="13" spans="1:30" ht="16.5" customHeight="1">
      <c r="A13" s="16"/>
      <c r="B13" s="142"/>
      <c r="C13" s="14"/>
      <c r="D13" s="14"/>
      <c r="E13" s="16"/>
      <c r="F13" s="16"/>
      <c r="G13" s="16"/>
      <c r="H13" s="16"/>
      <c r="I13" s="166"/>
      <c r="J13" s="166"/>
      <c r="K13" s="166"/>
      <c r="L13" s="166"/>
      <c r="M13" s="166"/>
      <c r="N13" s="166"/>
      <c r="O13" s="166"/>
      <c r="P13" s="166"/>
      <c r="Q13" s="166"/>
      <c r="R13" s="14"/>
      <c r="S13" s="14"/>
      <c r="T13" s="14"/>
      <c r="U13" s="14"/>
      <c r="V13" s="14"/>
      <c r="AD13" s="165"/>
    </row>
    <row r="14" spans="2:30" s="15" customFormat="1" ht="19.5">
      <c r="B14" s="130" t="str">
        <f>'tot-9911'!B14</f>
        <v>Desde el 01 al 30 de noviembre de 1999</v>
      </c>
      <c r="C14" s="131"/>
      <c r="D14" s="133"/>
      <c r="E14" s="133"/>
      <c r="F14" s="133"/>
      <c r="G14" s="133"/>
      <c r="H14" s="133"/>
      <c r="I14" s="134"/>
      <c r="J14" s="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726"/>
      <c r="V14" s="726"/>
      <c r="W14"/>
      <c r="X14" s="727"/>
      <c r="Y14" s="727"/>
      <c r="Z14" s="727"/>
      <c r="AA14" s="727"/>
      <c r="AB14" s="726"/>
      <c r="AC14" s="4"/>
      <c r="AD14" s="135"/>
    </row>
    <row r="15" spans="1:30" ht="16.5" customHeight="1">
      <c r="A15" s="16"/>
      <c r="B15" s="142"/>
      <c r="C15" s="14"/>
      <c r="D15" s="14"/>
      <c r="E15" s="2"/>
      <c r="F15" s="2"/>
      <c r="G15" s="14"/>
      <c r="H15" s="14"/>
      <c r="I15" s="14"/>
      <c r="J15" s="728"/>
      <c r="K15" s="14"/>
      <c r="L15" s="14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65"/>
    </row>
    <row r="16" spans="1:30" ht="16.5" customHeight="1">
      <c r="A16" s="16"/>
      <c r="B16" s="142"/>
      <c r="C16" s="14"/>
      <c r="D16" s="14"/>
      <c r="E16" s="2"/>
      <c r="F16" s="2"/>
      <c r="G16" s="14"/>
      <c r="H16" s="14"/>
      <c r="I16" s="729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65"/>
    </row>
    <row r="17" spans="1:30" ht="16.5" customHeight="1">
      <c r="A17" s="16"/>
      <c r="B17" s="142"/>
      <c r="C17" s="14"/>
      <c r="D17" s="14"/>
      <c r="E17" s="2"/>
      <c r="F17" s="2"/>
      <c r="G17" s="14"/>
      <c r="H17" s="14"/>
      <c r="I17" s="729"/>
      <c r="J17" s="14"/>
      <c r="K17" s="12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65"/>
    </row>
    <row r="18" spans="1:30" ht="16.5" customHeight="1">
      <c r="A18" s="16"/>
      <c r="B18" s="142"/>
      <c r="C18" s="730" t="s">
        <v>217</v>
      </c>
      <c r="D18" s="13" t="s">
        <v>218</v>
      </c>
      <c r="E18" s="2"/>
      <c r="F18" s="2"/>
      <c r="G18" s="14"/>
      <c r="H18" s="14"/>
      <c r="I18" s="14"/>
      <c r="J18" s="728"/>
      <c r="K18" s="14"/>
      <c r="L18" s="14"/>
      <c r="M18" s="14"/>
      <c r="N18" s="16"/>
      <c r="O18" s="16"/>
      <c r="P18" s="14"/>
      <c r="Q18" s="14"/>
      <c r="R18" s="14"/>
      <c r="S18" s="14"/>
      <c r="T18" s="14"/>
      <c r="U18" s="14"/>
      <c r="V18" s="14"/>
      <c r="AD18" s="165"/>
    </row>
    <row r="19" spans="2:30" s="124" customFormat="1" ht="16.5" customHeight="1">
      <c r="B19" s="670"/>
      <c r="C19" s="126"/>
      <c r="D19" s="731"/>
      <c r="E19" s="732"/>
      <c r="F19" s="733"/>
      <c r="G19" s="126"/>
      <c r="H19" s="126"/>
      <c r="I19" s="126"/>
      <c r="J19" s="734"/>
      <c r="K19" s="126"/>
      <c r="L19" s="126"/>
      <c r="M19" s="126"/>
      <c r="P19" s="126"/>
      <c r="Q19" s="126"/>
      <c r="R19" s="126"/>
      <c r="S19" s="126"/>
      <c r="T19" s="126"/>
      <c r="U19" s="126"/>
      <c r="V19" s="126"/>
      <c r="W19"/>
      <c r="AD19" s="735"/>
    </row>
    <row r="20" spans="2:30" s="124" customFormat="1" ht="16.5" customHeight="1">
      <c r="B20" s="670"/>
      <c r="C20" s="126"/>
      <c r="D20" s="736" t="s">
        <v>219</v>
      </c>
      <c r="F20" s="737">
        <v>53.632</v>
      </c>
      <c r="G20" s="736" t="s">
        <v>220</v>
      </c>
      <c r="H20" s="126"/>
      <c r="I20" s="126"/>
      <c r="J20" s="738"/>
      <c r="K20" s="739" t="s">
        <v>221</v>
      </c>
      <c r="L20" s="740">
        <v>0.0065</v>
      </c>
      <c r="R20" s="126"/>
      <c r="S20" s="126"/>
      <c r="T20" s="126"/>
      <c r="U20" s="126"/>
      <c r="V20" s="126"/>
      <c r="W20"/>
      <c r="AD20" s="735"/>
    </row>
    <row r="21" spans="2:30" s="124" customFormat="1" ht="16.5" customHeight="1">
      <c r="B21" s="670"/>
      <c r="C21" s="126"/>
      <c r="D21" s="741" t="s">
        <v>222</v>
      </c>
      <c r="E21" s="741"/>
      <c r="F21" s="742">
        <v>2645471.17</v>
      </c>
      <c r="G21" s="742"/>
      <c r="H21" s="126"/>
      <c r="I21" s="126"/>
      <c r="J21" s="126"/>
      <c r="K21" s="731" t="s">
        <v>223</v>
      </c>
      <c r="L21" s="126">
        <f>MID(B14,16,2)*24</f>
        <v>720</v>
      </c>
      <c r="M21" s="126" t="s">
        <v>224</v>
      </c>
      <c r="N21" s="126"/>
      <c r="O21" s="743" t="s">
        <v>178</v>
      </c>
      <c r="P21" s="744">
        <v>0.998</v>
      </c>
      <c r="Q21" s="14"/>
      <c r="R21" s="126"/>
      <c r="S21" s="126"/>
      <c r="T21" s="126"/>
      <c r="U21" s="126"/>
      <c r="V21" s="126"/>
      <c r="W21"/>
      <c r="AD21" s="735"/>
    </row>
    <row r="22" spans="2:30" s="124" customFormat="1" ht="16.5" customHeight="1">
      <c r="B22" s="670"/>
      <c r="C22" s="126"/>
      <c r="D22" s="126"/>
      <c r="E22" s="74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/>
      <c r="AD22" s="735"/>
    </row>
    <row r="23" spans="1:30" ht="16.5" customHeight="1">
      <c r="A23" s="16"/>
      <c r="B23" s="142"/>
      <c r="C23" s="730" t="s">
        <v>225</v>
      </c>
      <c r="D23" s="125" t="s">
        <v>244</v>
      </c>
      <c r="I23" s="14"/>
      <c r="J23" s="124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65"/>
    </row>
    <row r="24" spans="1:30" ht="10.5" customHeight="1" thickBot="1">
      <c r="A24" s="16"/>
      <c r="B24" s="142"/>
      <c r="C24" s="2"/>
      <c r="D24" s="125"/>
      <c r="I24" s="14"/>
      <c r="J24" s="124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65"/>
    </row>
    <row r="25" spans="2:30" s="124" customFormat="1" ht="16.5" customHeight="1" thickBot="1" thickTop="1">
      <c r="B25" s="670"/>
      <c r="C25" s="733"/>
      <c r="D25"/>
      <c r="E25"/>
      <c r="F25"/>
      <c r="G25"/>
      <c r="H25"/>
      <c r="I25"/>
      <c r="J25" s="746" t="s">
        <v>226</v>
      </c>
      <c r="K25" s="747">
        <f>F21*L20</f>
        <v>17195.562605</v>
      </c>
      <c r="L25"/>
      <c r="S25"/>
      <c r="T25"/>
      <c r="U25"/>
      <c r="W25"/>
      <c r="AD25" s="735"/>
    </row>
    <row r="26" spans="2:30" s="124" customFormat="1" ht="11.25" customHeight="1" thickTop="1">
      <c r="B26" s="670"/>
      <c r="C26" s="733"/>
      <c r="D26" s="126"/>
      <c r="E26" s="74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/>
      <c r="W26"/>
      <c r="AD26" s="735"/>
    </row>
    <row r="27" spans="1:30" ht="16.5" customHeight="1">
      <c r="A27" s="16"/>
      <c r="B27" s="142"/>
      <c r="C27" s="730" t="s">
        <v>227</v>
      </c>
      <c r="D27" s="125" t="s">
        <v>245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65"/>
    </row>
    <row r="28" spans="1:30" ht="21.75" customHeight="1" thickBot="1">
      <c r="A28" s="16"/>
      <c r="B28" s="142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65"/>
    </row>
    <row r="29" spans="2:31" s="16" customFormat="1" ht="33.75" customHeight="1" thickBot="1" thickTop="1">
      <c r="B29" s="142"/>
      <c r="C29" s="182" t="s">
        <v>107</v>
      </c>
      <c r="D29" s="377" t="s">
        <v>88</v>
      </c>
      <c r="E29" s="188" t="s">
        <v>108</v>
      </c>
      <c r="F29" s="189" t="s">
        <v>109</v>
      </c>
      <c r="G29" s="184" t="s">
        <v>110</v>
      </c>
      <c r="H29" s="445" t="s">
        <v>111</v>
      </c>
      <c r="I29" s="539" t="s">
        <v>112</v>
      </c>
      <c r="J29" s="185" t="s">
        <v>113</v>
      </c>
      <c r="K29" s="186" t="s">
        <v>114</v>
      </c>
      <c r="L29" s="190" t="s">
        <v>115</v>
      </c>
      <c r="M29" s="191" t="s">
        <v>116</v>
      </c>
      <c r="N29" s="190" t="s">
        <v>228</v>
      </c>
      <c r="O29" s="190" t="s">
        <v>118</v>
      </c>
      <c r="P29" s="186" t="s">
        <v>119</v>
      </c>
      <c r="Q29" s="185" t="s">
        <v>120</v>
      </c>
      <c r="R29" s="748" t="s">
        <v>121</v>
      </c>
      <c r="S29" s="749" t="s">
        <v>122</v>
      </c>
      <c r="T29" s="750" t="s">
        <v>142</v>
      </c>
      <c r="U29" s="751"/>
      <c r="V29" s="752"/>
      <c r="W29" s="753" t="s">
        <v>229</v>
      </c>
      <c r="X29" s="754"/>
      <c r="Y29" s="755"/>
      <c r="Z29" s="756" t="s">
        <v>125</v>
      </c>
      <c r="AA29" s="757" t="s">
        <v>134</v>
      </c>
      <c r="AB29" s="758" t="s">
        <v>127</v>
      </c>
      <c r="AC29" s="226" t="s">
        <v>128</v>
      </c>
      <c r="AD29" s="169"/>
      <c r="AE29"/>
    </row>
    <row r="30" spans="1:30" ht="16.5" customHeight="1" thickTop="1">
      <c r="A30" s="16"/>
      <c r="B30" s="142"/>
      <c r="C30" s="759"/>
      <c r="D30" s="759"/>
      <c r="E30" s="760"/>
      <c r="F30" s="761"/>
      <c r="G30" s="762"/>
      <c r="H30" s="763"/>
      <c r="I30" s="764"/>
      <c r="J30" s="765"/>
      <c r="K30" s="766"/>
      <c r="L30" s="20"/>
      <c r="M30" s="20"/>
      <c r="N30" s="95"/>
      <c r="O30" s="95"/>
      <c r="P30" s="20"/>
      <c r="Q30" s="444"/>
      <c r="R30" s="767"/>
      <c r="S30" s="768"/>
      <c r="T30" s="769"/>
      <c r="U30" s="770"/>
      <c r="V30" s="771"/>
      <c r="W30" s="772"/>
      <c r="X30" s="773"/>
      <c r="Y30" s="774"/>
      <c r="Z30" s="775"/>
      <c r="AA30" s="776"/>
      <c r="AB30" s="777"/>
      <c r="AC30" s="778"/>
      <c r="AD30" s="165"/>
    </row>
    <row r="31" spans="1:30" ht="16.5" customHeight="1">
      <c r="A31" s="16"/>
      <c r="B31" s="142"/>
      <c r="C31" s="20" t="s">
        <v>185</v>
      </c>
      <c r="D31" s="1009" t="str">
        <f>'LIN-YACY (2)'!D18</f>
        <v>RESISTENCIA - PASO DE LA PATRIA</v>
      </c>
      <c r="E31" s="23">
        <v>500</v>
      </c>
      <c r="F31" s="22">
        <v>40</v>
      </c>
      <c r="G31" s="440" t="s">
        <v>2</v>
      </c>
      <c r="H31" s="779">
        <f>IF(G31="A",200,IF(G31="B",60,20))</f>
        <v>20</v>
      </c>
      <c r="I31" s="780">
        <f>IF(F31&gt;100,F31,100)*$F$20/100*$P$21</f>
        <v>53.524736</v>
      </c>
      <c r="J31" s="781">
        <f>'LIN-YACY (2)'!F18</f>
        <v>36484.28402777778</v>
      </c>
      <c r="K31" s="25">
        <f>'LIN-YACY (2)'!G18</f>
        <v>36484.75208333333</v>
      </c>
      <c r="L31" s="782">
        <f>IF(D31="","",(K31-J31)*24)</f>
        <v>11.233333333279006</v>
      </c>
      <c r="M31" s="31">
        <f>IF(D31="","",ROUND((K31-J31)*24*60,0))</f>
        <v>674</v>
      </c>
      <c r="N31" s="28" t="str">
        <f>'LIN-YACY (2)'!J18</f>
        <v>P</v>
      </c>
      <c r="O31" s="29" t="str">
        <f>IF(D31="","","--")</f>
        <v>--</v>
      </c>
      <c r="P31" s="24" t="str">
        <f>IF(D31="","","NO")</f>
        <v>NO</v>
      </c>
      <c r="Q31" s="24" t="str">
        <f>IF(D31="","",IF(OR(N31="P",N31="RP"),"--","NO"))</f>
        <v>--</v>
      </c>
      <c r="R31" s="783">
        <f>IF(N31="P",+I31*H31*ROUND(M31/60,2)/100,"--")</f>
        <v>120.216557056</v>
      </c>
      <c r="S31" s="784" t="str">
        <f>IF(N31="RP",I31*H31*ROUND(M31/60,2)*0.01*O31/100,"--")</f>
        <v>--</v>
      </c>
      <c r="T31" s="785" t="str">
        <f>IF(AND(N31="F",Q31="NO"),IF(P31="SI",1.2,1)*I31*H31,"--")</f>
        <v>--</v>
      </c>
      <c r="U31" s="786" t="str">
        <f>IF(AND(M31&gt;10,N31="F"),IF(M31&lt;=300,ROUND(M31/60,2),5)*I31*H31*IF(P31="SI",1.2,1),"--")</f>
        <v>--</v>
      </c>
      <c r="V31" s="787" t="str">
        <f>IF(AND(N31="F",M31&gt;300),IF(P31="SI",1.2,1)*(ROUND(M31/60,2)-5)*I31*H31*0.1,"--")</f>
        <v>--</v>
      </c>
      <c r="W31" s="788" t="str">
        <f>IF(AND(N31="R",Q31="NO"),IF(P31="SI",1.2,1)*I31*H31*O31/100,"--")</f>
        <v>--</v>
      </c>
      <c r="X31" s="789" t="str">
        <f>IF(AND(M31&gt;10,N31="R"),IF(M31&lt;=300,ROUND(M31/60,2),5)*I31*H31*O31/100*IF(P31="SI",1.2,1),"--")</f>
        <v>--</v>
      </c>
      <c r="Y31" s="790" t="str">
        <f>IF(AND(N31="R",M31&gt;300),IF(P31="SI",1.2,1)*(ROUND(M31/60,2)-5)*I31*H31*O31/100*0.1,"--")</f>
        <v>--</v>
      </c>
      <c r="Z31" s="791" t="str">
        <f>IF(N31="RF",IF(P31="SI",1.2,1)*ROUND(M31/60,2)*I31*H31*0.1,"--")</f>
        <v>--</v>
      </c>
      <c r="AA31" s="792" t="str">
        <f>IF(N31="RR",IF(P31="SI",1.2,1)*ROUND(M31/60,2)*I31*H31*O31/100*0.1,"--")</f>
        <v>--</v>
      </c>
      <c r="AB31" s="793" t="str">
        <f>IF(D31="","","SI")</f>
        <v>SI</v>
      </c>
      <c r="AC31" s="30">
        <f>IF(D31="","",SUM(R31:AA31)*IF(AB31="SI",1,2))</f>
        <v>120.216557056</v>
      </c>
      <c r="AD31" s="170"/>
    </row>
    <row r="32" spans="1:30" ht="16.5" customHeight="1">
      <c r="A32" s="16"/>
      <c r="B32" s="142"/>
      <c r="C32" s="20"/>
      <c r="D32" s="20"/>
      <c r="E32" s="23"/>
      <c r="F32" s="22"/>
      <c r="G32" s="440"/>
      <c r="H32" s="779">
        <f>IF(G32="A",200,IF(G32="B",60,20))</f>
        <v>20</v>
      </c>
      <c r="I32" s="780">
        <f>IF(F32&gt;100,F32,100)*$F$20/100*$P$21</f>
        <v>53.524736</v>
      </c>
      <c r="J32" s="781"/>
      <c r="K32" s="25"/>
      <c r="L32" s="782">
        <f>IF(D32="","",(K32-J32)*24)</f>
      </c>
      <c r="M32" s="31">
        <f>IF(D32="","",ROUND((K32-J32)*24*60,0))</f>
      </c>
      <c r="N32" s="28"/>
      <c r="O32" s="29">
        <f>IF(D32="","","--")</f>
      </c>
      <c r="P32" s="24">
        <f>IF(D32="","","NO")</f>
      </c>
      <c r="Q32" s="24">
        <f>IF(D32="","",IF(OR(N32="P",N32="RP"),"--","NO"))</f>
      </c>
      <c r="R32" s="783" t="str">
        <f>IF(N32="P",+I32*H32*ROUND(M32/60,2)/100,"--")</f>
        <v>--</v>
      </c>
      <c r="S32" s="784" t="str">
        <f>IF(N32="RP",I32*H32*ROUND(M32/60,2)*0.01*O32/100,"--")</f>
        <v>--</v>
      </c>
      <c r="T32" s="785" t="str">
        <f>IF(AND(N32="F",Q32="NO"),IF(P32="SI",1.2,1)*I32*H32,"--")</f>
        <v>--</v>
      </c>
      <c r="U32" s="786" t="str">
        <f>IF(AND(M32&gt;10,N32="F"),IF(M32&lt;=300,ROUND(M32/60,2),5)*I32*H32*IF(P32="SI",1.2,1),"--")</f>
        <v>--</v>
      </c>
      <c r="V32" s="787" t="str">
        <f>IF(AND(N32="F",M32&gt;300),IF(P32="SI",1.2,1)*(ROUND(M32/60,2)-5)*I32*H32*0.1,"--")</f>
        <v>--</v>
      </c>
      <c r="W32" s="788" t="str">
        <f>IF(AND(N32="R",Q32="NO"),IF(P32="SI",1.2,1)*I32*H32*O32/100,"--")</f>
        <v>--</v>
      </c>
      <c r="X32" s="789" t="str">
        <f>IF(AND(M32&gt;10,N32="R"),IF(M32&lt;=300,ROUND(M32/60,2),5)*I32*H32*O32/100*IF(P32="SI",1.2,1),"--")</f>
        <v>--</v>
      </c>
      <c r="Y32" s="790" t="str">
        <f>IF(AND(N32="R",M32&gt;300),IF(P32="SI",1.2,1)*(ROUND(M32/60,2)-5)*I32*H32*O32/100*0.1,"--")</f>
        <v>--</v>
      </c>
      <c r="Z32" s="791" t="str">
        <f>IF(N32="RF",IF(P32="SI",1.2,1)*ROUND(M32/60,2)*I32*H32*0.1,"--")</f>
        <v>--</v>
      </c>
      <c r="AA32" s="792" t="str">
        <f>IF(N32="RR",IF(P32="SI",1.2,1)*ROUND(M32/60,2)*I32*H32*O32/100*0.1,"--")</f>
        <v>--</v>
      </c>
      <c r="AB32" s="793">
        <f>IF(D32="","","SI")</f>
      </c>
      <c r="AC32" s="30">
        <f>IF(D32="","",SUM(R32:AA32)*IF(AB32="SI",1,2))</f>
      </c>
      <c r="AD32" s="170"/>
    </row>
    <row r="33" spans="1:30" ht="16.5" customHeight="1">
      <c r="A33" s="16"/>
      <c r="B33" s="142"/>
      <c r="C33" s="20"/>
      <c r="D33" s="20"/>
      <c r="E33" s="23"/>
      <c r="F33" s="22"/>
      <c r="G33" s="440"/>
      <c r="H33" s="779">
        <f>IF(G33="A",200,IF(G33="B",60,20))</f>
        <v>20</v>
      </c>
      <c r="I33" s="780">
        <f>IF(F33&gt;100,F33,100)*$F$20/100*$P$21</f>
        <v>53.524736</v>
      </c>
      <c r="J33" s="781"/>
      <c r="K33" s="25"/>
      <c r="L33" s="782">
        <f>IF(D33="","",(K33-J33)*24)</f>
      </c>
      <c r="M33" s="31">
        <f>IF(D33="","",ROUND((K33-J33)*24*60,0))</f>
      </c>
      <c r="N33" s="28"/>
      <c r="O33" s="29">
        <f>IF(D33="","","--")</f>
      </c>
      <c r="P33" s="24">
        <f>IF(D33="","","NO")</f>
      </c>
      <c r="Q33" s="24">
        <f>IF(D33="","",IF(OR(N33="P",N33="RP"),"--","NO"))</f>
      </c>
      <c r="R33" s="783" t="str">
        <f>IF(N33="P",+I33*H33*ROUND(M33/60,2)/100,"--")</f>
        <v>--</v>
      </c>
      <c r="S33" s="784" t="str">
        <f>IF(N33="RP",I33*H33*ROUND(M33/60,2)*0.01*O33/100,"--")</f>
        <v>--</v>
      </c>
      <c r="T33" s="785" t="str">
        <f>IF(AND(N33="F",Q33="NO"),IF(P33="SI",1.2,1)*I33*H33,"--")</f>
        <v>--</v>
      </c>
      <c r="U33" s="786" t="str">
        <f>IF(AND(M33&gt;10,N33="F"),IF(M33&lt;=300,ROUND(M33/60,2),5)*I33*H33*IF(P33="SI",1.2,1),"--")</f>
        <v>--</v>
      </c>
      <c r="V33" s="787" t="str">
        <f>IF(AND(N33="F",M33&gt;300),IF(P33="SI",1.2,1)*(ROUND(M33/60,2)-5)*I33*H33*0.1,"--")</f>
        <v>--</v>
      </c>
      <c r="W33" s="788" t="str">
        <f>IF(AND(N33="R",Q33="NO"),IF(P33="SI",1.2,1)*I33*H33*O33/100,"--")</f>
        <v>--</v>
      </c>
      <c r="X33" s="789" t="str">
        <f>IF(AND(M33&gt;10,N33="R"),IF(M33&lt;=300,ROUND(M33/60,2),5)*I33*H33*O33/100*IF(P33="SI",1.2,1),"--")</f>
        <v>--</v>
      </c>
      <c r="Y33" s="790" t="str">
        <f>IF(AND(N33="R",M33&gt;300),IF(P33="SI",1.2,1)*(ROUND(M33/60,2)-5)*I33*H33*O33/100*0.1,"--")</f>
        <v>--</v>
      </c>
      <c r="Z33" s="791" t="str">
        <f>IF(N33="RF",IF(P33="SI",1.2,1)*ROUND(M33/60,2)*I33*H33*0.1,"--")</f>
        <v>--</v>
      </c>
      <c r="AA33" s="792" t="str">
        <f>IF(N33="RR",IF(P33="SI",1.2,1)*ROUND(M33/60,2)*I33*H33*O33/100*0.1,"--")</f>
        <v>--</v>
      </c>
      <c r="AB33" s="793">
        <f>IF(D33="","","SI")</f>
      </c>
      <c r="AC33" s="30">
        <f>IF(D33="","",SUM(R33:AA33)*IF(AB33="SI",1,2))</f>
      </c>
      <c r="AD33" s="170"/>
    </row>
    <row r="34" spans="1:30" ht="16.5" customHeight="1">
      <c r="A34" s="16"/>
      <c r="B34" s="142"/>
      <c r="C34" s="20"/>
      <c r="D34" s="20"/>
      <c r="E34" s="23"/>
      <c r="F34" s="22"/>
      <c r="G34" s="440"/>
      <c r="H34" s="779">
        <f>IF(G34="A",200,IF(G34="B",60,20))</f>
        <v>20</v>
      </c>
      <c r="I34" s="780">
        <f>IF(F34&gt;100,F34,100)*$F$20/100*$P$21</f>
        <v>53.524736</v>
      </c>
      <c r="J34" s="781"/>
      <c r="K34" s="25"/>
      <c r="L34" s="782">
        <f>IF(D34="","",(K34-J34)*24)</f>
      </c>
      <c r="M34" s="31">
        <f>IF(D34="","",ROUND((K34-J34)*24*60,0))</f>
      </c>
      <c r="N34" s="28"/>
      <c r="O34" s="29">
        <f>IF(D34="","","--")</f>
      </c>
      <c r="P34" s="24">
        <f>IF(D34="","","NO")</f>
      </c>
      <c r="Q34" s="24">
        <f>IF(D34="","",IF(OR(N34="P",N34="RP"),"--","NO"))</f>
      </c>
      <c r="R34" s="783" t="str">
        <f>IF(N34="P",+I34*H34*ROUND(M34/60,2)/100,"--")</f>
        <v>--</v>
      </c>
      <c r="S34" s="784" t="str">
        <f>IF(N34="RP",I34*H34*ROUND(M34/60,2)*0.01*O34/100,"--")</f>
        <v>--</v>
      </c>
      <c r="T34" s="785" t="str">
        <f>IF(AND(N34="F",Q34="NO"),IF(P34="SI",1.2,1)*I34*H34,"--")</f>
        <v>--</v>
      </c>
      <c r="U34" s="786" t="str">
        <f>IF(AND(M34&gt;10,N34="F"),IF(M34&lt;=300,ROUND(M34/60,2),5)*I34*H34*IF(P34="SI",1.2,1),"--")</f>
        <v>--</v>
      </c>
      <c r="V34" s="787" t="str">
        <f>IF(AND(N34="F",M34&gt;300),IF(P34="SI",1.2,1)*(ROUND(M34/60,2)-5)*I34*H34*0.1,"--")</f>
        <v>--</v>
      </c>
      <c r="W34" s="788" t="str">
        <f>IF(AND(N34="R",Q34="NO"),IF(P34="SI",1.2,1)*I34*H34*O34/100,"--")</f>
        <v>--</v>
      </c>
      <c r="X34" s="789" t="str">
        <f>IF(AND(M34&gt;10,N34="R"),IF(M34&lt;=300,ROUND(M34/60,2),5)*I34*H34*O34/100*IF(P34="SI",1.2,1),"--")</f>
        <v>--</v>
      </c>
      <c r="Y34" s="790" t="str">
        <f>IF(AND(N34="R",M34&gt;300),IF(P34="SI",1.2,1)*(ROUND(M34/60,2)-5)*I34*H34*O34/100*0.1,"--")</f>
        <v>--</v>
      </c>
      <c r="Z34" s="791" t="str">
        <f>IF(N34="RF",IF(P34="SI",1.2,1)*ROUND(M34/60,2)*I34*H34*0.1,"--")</f>
        <v>--</v>
      </c>
      <c r="AA34" s="792" t="str">
        <f>IF(N34="RR",IF(P34="SI",1.2,1)*ROUND(M34/60,2)*I34*H34*O34/100*0.1,"--")</f>
        <v>--</v>
      </c>
      <c r="AB34" s="793">
        <f>IF(D34="","","SI")</f>
      </c>
      <c r="AC34" s="30">
        <f>IF(D34="","",SUM(R34:AA34)*IF(AB34="SI",1,2))</f>
      </c>
      <c r="AD34" s="170"/>
    </row>
    <row r="35" spans="1:30" ht="16.5" customHeight="1">
      <c r="A35" s="16"/>
      <c r="B35" s="142"/>
      <c r="C35" s="20"/>
      <c r="D35" s="20"/>
      <c r="E35" s="23"/>
      <c r="F35" s="22"/>
      <c r="G35" s="440"/>
      <c r="H35" s="779">
        <f>IF(G35="A",200,IF(G35="B",60,20))</f>
        <v>20</v>
      </c>
      <c r="I35" s="780">
        <f>IF(F35&gt;100,F35,100)*$F$20/100*$P$21</f>
        <v>53.524736</v>
      </c>
      <c r="J35" s="781"/>
      <c r="K35" s="25"/>
      <c r="L35" s="782">
        <f>IF(D35="","",(K35-J35)*24)</f>
      </c>
      <c r="M35" s="31">
        <f>IF(D35="","",ROUND((K35-J35)*24*60,0))</f>
      </c>
      <c r="N35" s="28"/>
      <c r="O35" s="29">
        <f>IF(D35="","","--")</f>
      </c>
      <c r="P35" s="24">
        <f>IF(D35="","","NO")</f>
      </c>
      <c r="Q35" s="24">
        <f>IF(D35="","",IF(OR(N35="P",N35="RP"),"--","NO"))</f>
      </c>
      <c r="R35" s="783" t="str">
        <f>IF(N35="P",+I35*H35*ROUND(M35/60,2)/100,"--")</f>
        <v>--</v>
      </c>
      <c r="S35" s="784" t="str">
        <f>IF(N35="RP",I35*H35*ROUND(M35/60,2)*0.01*O35/100,"--")</f>
        <v>--</v>
      </c>
      <c r="T35" s="785" t="str">
        <f>IF(AND(N35="F",Q35="NO"),IF(P35="SI",1.2,1)*I35*H35,"--")</f>
        <v>--</v>
      </c>
      <c r="U35" s="786" t="str">
        <f>IF(AND(M35&gt;10,N35="F"),IF(M35&lt;=300,ROUND(M35/60,2),5)*I35*H35*IF(P35="SI",1.2,1),"--")</f>
        <v>--</v>
      </c>
      <c r="V35" s="787" t="str">
        <f>IF(AND(N35="F",M35&gt;300),IF(P35="SI",1.2,1)*(ROUND(M35/60,2)-5)*I35*H35*0.1,"--")</f>
        <v>--</v>
      </c>
      <c r="W35" s="788" t="str">
        <f>IF(AND(N35="R",Q35="NO"),IF(P35="SI",1.2,1)*I35*H35*O35/100,"--")</f>
        <v>--</v>
      </c>
      <c r="X35" s="789" t="str">
        <f>IF(AND(M35&gt;10,N35="R"),IF(M35&lt;=300,ROUND(M35/60,2),5)*I35*H35*O35/100*IF(P35="SI",1.2,1),"--")</f>
        <v>--</v>
      </c>
      <c r="Y35" s="790" t="str">
        <f>IF(AND(N35="R",M35&gt;300),IF(P35="SI",1.2,1)*(ROUND(M35/60,2)-5)*I35*H35*O35/100*0.1,"--")</f>
        <v>--</v>
      </c>
      <c r="Z35" s="791" t="str">
        <f>IF(N35="RF",IF(P35="SI",1.2,1)*ROUND(M35/60,2)*I35*H35*0.1,"--")</f>
        <v>--</v>
      </c>
      <c r="AA35" s="792" t="str">
        <f>IF(N35="RR",IF(P35="SI",1.2,1)*ROUND(M35/60,2)*I35*H35*O35/100*0.1,"--")</f>
        <v>--</v>
      </c>
      <c r="AB35" s="793">
        <f>IF(D35="","","SI")</f>
      </c>
      <c r="AC35" s="30">
        <f>IF(D35="","",SUM(R35:AA35)*IF(AB35="SI",1,2))</f>
      </c>
      <c r="AD35" s="170"/>
    </row>
    <row r="36" spans="1:30" ht="16.5" customHeight="1" thickBot="1">
      <c r="A36" s="124"/>
      <c r="B36" s="142"/>
      <c r="C36" s="794"/>
      <c r="D36" s="794"/>
      <c r="E36" s="795"/>
      <c r="F36" s="796"/>
      <c r="G36" s="797"/>
      <c r="H36" s="798"/>
      <c r="I36" s="799"/>
      <c r="J36" s="800"/>
      <c r="K36" s="800"/>
      <c r="L36" s="38"/>
      <c r="M36" s="38"/>
      <c r="N36" s="38"/>
      <c r="O36" s="39"/>
      <c r="P36" s="38"/>
      <c r="Q36" s="38"/>
      <c r="R36" s="801"/>
      <c r="S36" s="802"/>
      <c r="T36" s="803"/>
      <c r="U36" s="804"/>
      <c r="V36" s="805"/>
      <c r="W36" s="806"/>
      <c r="X36" s="807"/>
      <c r="Y36" s="808"/>
      <c r="Z36" s="809"/>
      <c r="AA36" s="810"/>
      <c r="AB36" s="40"/>
      <c r="AC36" s="811"/>
      <c r="AD36" s="170"/>
    </row>
    <row r="37" spans="1:30" ht="16.5" customHeight="1" thickBot="1" thickTop="1">
      <c r="A37" s="124"/>
      <c r="B37" s="142"/>
      <c r="C37" s="733"/>
      <c r="D37" s="733"/>
      <c r="E37" s="812"/>
      <c r="F37" s="745"/>
      <c r="G37" s="813"/>
      <c r="H37" s="813"/>
      <c r="I37" s="814"/>
      <c r="J37" s="814"/>
      <c r="K37" s="814"/>
      <c r="L37" s="814"/>
      <c r="M37" s="814"/>
      <c r="N37" s="814"/>
      <c r="O37" s="815"/>
      <c r="P37" s="814"/>
      <c r="Q37" s="814"/>
      <c r="R37" s="816">
        <f aca="true" t="shared" si="0" ref="R37:AA37">SUM(R30:R36)</f>
        <v>120.216557056</v>
      </c>
      <c r="S37" s="817">
        <f t="shared" si="0"/>
        <v>0</v>
      </c>
      <c r="T37" s="818">
        <f t="shared" si="0"/>
        <v>0</v>
      </c>
      <c r="U37" s="818">
        <f t="shared" si="0"/>
        <v>0</v>
      </c>
      <c r="V37" s="818">
        <f t="shared" si="0"/>
        <v>0</v>
      </c>
      <c r="W37" s="819">
        <f t="shared" si="0"/>
        <v>0</v>
      </c>
      <c r="X37" s="819">
        <f t="shared" si="0"/>
        <v>0</v>
      </c>
      <c r="Y37" s="819">
        <f t="shared" si="0"/>
        <v>0</v>
      </c>
      <c r="Z37" s="820">
        <f t="shared" si="0"/>
        <v>0</v>
      </c>
      <c r="AA37" s="821">
        <f t="shared" si="0"/>
        <v>0</v>
      </c>
      <c r="AB37" s="822"/>
      <c r="AC37" s="823">
        <f>SUM(AC30:AC36)</f>
        <v>120.216557056</v>
      </c>
      <c r="AD37" s="170"/>
    </row>
    <row r="38" spans="1:30" ht="13.5" customHeight="1" hidden="1" thickBot="1" thickTop="1">
      <c r="A38" s="124"/>
      <c r="B38" s="142"/>
      <c r="C38" s="733"/>
      <c r="D38" s="733"/>
      <c r="E38" s="812"/>
      <c r="F38" s="745"/>
      <c r="G38" s="813"/>
      <c r="H38" s="813"/>
      <c r="I38" s="814"/>
      <c r="J38" s="814"/>
      <c r="K38" s="814"/>
      <c r="L38" s="814"/>
      <c r="M38" s="814"/>
      <c r="N38" s="814"/>
      <c r="O38" s="815"/>
      <c r="P38" s="814"/>
      <c r="Q38" s="814"/>
      <c r="R38" s="824"/>
      <c r="S38" s="825"/>
      <c r="T38" s="826"/>
      <c r="U38" s="826"/>
      <c r="V38" s="826"/>
      <c r="W38" s="824"/>
      <c r="X38" s="824"/>
      <c r="Y38" s="824"/>
      <c r="Z38" s="824"/>
      <c r="AA38" s="824"/>
      <c r="AB38" s="827"/>
      <c r="AC38" s="828"/>
      <c r="AD38" s="170"/>
    </row>
    <row r="39" spans="1:33" s="16" customFormat="1" ht="33.75" customHeight="1" hidden="1" thickBot="1" thickTop="1">
      <c r="A39" s="75"/>
      <c r="B39" s="198"/>
      <c r="C39" s="221" t="s">
        <v>107</v>
      </c>
      <c r="D39" s="224" t="s">
        <v>149</v>
      </c>
      <c r="E39" s="222" t="s">
        <v>77</v>
      </c>
      <c r="F39" s="225" t="s">
        <v>150</v>
      </c>
      <c r="G39" s="226" t="s">
        <v>108</v>
      </c>
      <c r="H39" s="356" t="s">
        <v>112</v>
      </c>
      <c r="I39" s="829"/>
      <c r="J39" s="222" t="s">
        <v>113</v>
      </c>
      <c r="K39" s="222" t="s">
        <v>114</v>
      </c>
      <c r="L39" s="224" t="s">
        <v>151</v>
      </c>
      <c r="M39" s="224" t="s">
        <v>116</v>
      </c>
      <c r="N39" s="190" t="s">
        <v>230</v>
      </c>
      <c r="O39" s="222" t="s">
        <v>120</v>
      </c>
      <c r="P39" s="830" t="s">
        <v>152</v>
      </c>
      <c r="Q39" s="831"/>
      <c r="R39" s="356" t="s">
        <v>231</v>
      </c>
      <c r="S39" s="832" t="s">
        <v>121</v>
      </c>
      <c r="T39" s="833" t="s">
        <v>232</v>
      </c>
      <c r="U39" s="834"/>
      <c r="V39" s="835" t="s">
        <v>125</v>
      </c>
      <c r="W39" s="836"/>
      <c r="X39" s="837"/>
      <c r="Y39" s="837"/>
      <c r="Z39" s="837"/>
      <c r="AA39" s="838"/>
      <c r="AB39" s="192" t="s">
        <v>127</v>
      </c>
      <c r="AC39" s="226" t="s">
        <v>128</v>
      </c>
      <c r="AD39" s="165"/>
      <c r="AF39"/>
      <c r="AG39"/>
    </row>
    <row r="40" spans="1:30" ht="16.5" customHeight="1" hidden="1" thickTop="1">
      <c r="A40" s="16"/>
      <c r="B40" s="142"/>
      <c r="C40" s="53"/>
      <c r="D40" s="53"/>
      <c r="E40" s="53"/>
      <c r="F40" s="53"/>
      <c r="G40" s="839"/>
      <c r="H40" s="840"/>
      <c r="I40" s="841"/>
      <c r="J40" s="53"/>
      <c r="K40" s="53"/>
      <c r="L40" s="53"/>
      <c r="M40" s="53"/>
      <c r="N40" s="53"/>
      <c r="O40" s="842"/>
      <c r="P40" s="843"/>
      <c r="Q40" s="844"/>
      <c r="R40" s="845"/>
      <c r="S40" s="846"/>
      <c r="T40" s="847"/>
      <c r="U40" s="848"/>
      <c r="V40" s="849"/>
      <c r="W40" s="850"/>
      <c r="X40" s="851"/>
      <c r="Y40" s="851"/>
      <c r="Z40" s="851"/>
      <c r="AA40" s="852"/>
      <c r="AB40" s="842"/>
      <c r="AC40" s="853"/>
      <c r="AD40" s="165"/>
    </row>
    <row r="41" spans="1:30" ht="16.5" customHeight="1" hidden="1">
      <c r="A41" s="16"/>
      <c r="B41" s="142"/>
      <c r="C41" s="53"/>
      <c r="D41" s="54"/>
      <c r="E41" s="55"/>
      <c r="F41" s="56"/>
      <c r="G41" s="57"/>
      <c r="H41" s="854" t="e">
        <f>F41*#REF!</f>
        <v>#REF!</v>
      </c>
      <c r="I41" s="855"/>
      <c r="J41" s="60"/>
      <c r="K41" s="60"/>
      <c r="L41" s="61">
        <f>IF(D41="","",(K41-J41)*24)</f>
      </c>
      <c r="M41" s="62">
        <f>IF(D41="","",(K41-J41)*24*60)</f>
      </c>
      <c r="N41" s="58"/>
      <c r="O41" s="63">
        <f>IF(D41="","",IF(N41="P","--","NO"))</f>
      </c>
      <c r="P41" s="856">
        <f>IF(D41="","","NO")</f>
      </c>
      <c r="Q41" s="857"/>
      <c r="R41" s="858">
        <f>200*IF(P41="SI",1,0.1)*IF(N41="P",0.1,1)</f>
        <v>20</v>
      </c>
      <c r="S41" s="859" t="str">
        <f>IF(N41="P",H41*R41*ROUND(M41/60,2),"--")</f>
        <v>--</v>
      </c>
      <c r="T41" s="860" t="str">
        <f>IF(AND(N41="F",O41="NO"),H41*R41,"--")</f>
        <v>--</v>
      </c>
      <c r="U41" s="861" t="str">
        <f>IF(N41="F",H41*R41*ROUND(M41/60,2),"--")</f>
        <v>--</v>
      </c>
      <c r="V41" s="558" t="str">
        <f>IF(N41="RF",H41*R41*ROUND(M41/60,2),"--")</f>
        <v>--</v>
      </c>
      <c r="W41" s="862"/>
      <c r="X41" s="863"/>
      <c r="Y41" s="863"/>
      <c r="Z41" s="863"/>
      <c r="AA41" s="864"/>
      <c r="AB41" s="64">
        <f>IF(D41="","","SI")</f>
      </c>
      <c r="AC41" s="228">
        <f>IF(D41="","",SUM(S41:V41)*IF(AB41="SI",1,2))</f>
      </c>
      <c r="AD41" s="170"/>
    </row>
    <row r="42" spans="1:30" ht="16.5" customHeight="1" hidden="1">
      <c r="A42" s="16"/>
      <c r="B42" s="142"/>
      <c r="C42" s="53"/>
      <c r="D42" s="54"/>
      <c r="E42" s="55"/>
      <c r="F42" s="56"/>
      <c r="G42" s="57"/>
      <c r="H42" s="854" t="e">
        <f>F42*#REF!</f>
        <v>#REF!</v>
      </c>
      <c r="I42" s="855"/>
      <c r="J42" s="59"/>
      <c r="K42" s="60"/>
      <c r="L42" s="61">
        <f>IF(D42="","",(K42-J42)*24)</f>
      </c>
      <c r="M42" s="62">
        <f>IF(D42="","",(K42-J42)*24*60)</f>
      </c>
      <c r="N42" s="58"/>
      <c r="O42" s="63">
        <f>IF(D42="","",IF(N42="P","--","NO"))</f>
      </c>
      <c r="P42" s="856">
        <f>IF(D42="","","NO")</f>
      </c>
      <c r="Q42" s="857"/>
      <c r="R42" s="858">
        <f>200*IF(P42="SI",1,0.1)*IF(N42="P",0.1,1)</f>
        <v>20</v>
      </c>
      <c r="S42" s="859" t="str">
        <f>IF(N42="P",H42*R42*ROUND(M42/60,2),"--")</f>
        <v>--</v>
      </c>
      <c r="T42" s="860" t="str">
        <f>IF(AND(N42="F",O42="NO"),H42*R42,"--")</f>
        <v>--</v>
      </c>
      <c r="U42" s="861" t="str">
        <f>IF(N42="F",H42*R42*ROUND(M42/60,2),"--")</f>
        <v>--</v>
      </c>
      <c r="V42" s="558" t="str">
        <f>IF(N42="RF",H42*R42*ROUND(M42/60,2),"--")</f>
        <v>--</v>
      </c>
      <c r="W42" s="862"/>
      <c r="X42" s="863"/>
      <c r="Y42" s="863"/>
      <c r="Z42" s="863"/>
      <c r="AA42" s="864"/>
      <c r="AB42" s="64">
        <f>IF(D42="","","SI")</f>
      </c>
      <c r="AC42" s="228">
        <f>IF(D42="","",SUM(S42:V42)*IF(AB42="SI",1,2))</f>
      </c>
      <c r="AD42" s="170"/>
    </row>
    <row r="43" spans="1:30" ht="16.5" customHeight="1" hidden="1">
      <c r="A43" s="16"/>
      <c r="B43" s="142"/>
      <c r="C43" s="53"/>
      <c r="D43" s="54"/>
      <c r="E43" s="55"/>
      <c r="F43" s="56"/>
      <c r="G43" s="57"/>
      <c r="H43" s="854" t="e">
        <f>F43*#REF!</f>
        <v>#REF!</v>
      </c>
      <c r="I43" s="855"/>
      <c r="J43" s="59"/>
      <c r="K43" s="60"/>
      <c r="L43" s="61">
        <f>IF(D43="","",(K43-J43)*24)</f>
      </c>
      <c r="M43" s="62">
        <f>IF(D43="","",(K43-J43)*24*60)</f>
      </c>
      <c r="N43" s="58"/>
      <c r="O43" s="63">
        <f>IF(D43="","",IF(N43="P","--","NO"))</f>
      </c>
      <c r="P43" s="856">
        <f>IF(D43="","","NO")</f>
      </c>
      <c r="Q43" s="857"/>
      <c r="R43" s="858">
        <f>200*IF(P43="SI",1,0.1)*IF(N43="P",0.1,1)</f>
        <v>20</v>
      </c>
      <c r="S43" s="859" t="str">
        <f>IF(N43="P",H43*R43*ROUND(M43/60,2),"--")</f>
        <v>--</v>
      </c>
      <c r="T43" s="860" t="str">
        <f>IF(AND(N43="F",O43="NO"),H43*R43,"--")</f>
        <v>--</v>
      </c>
      <c r="U43" s="861" t="str">
        <f>IF(N43="F",H43*R43*ROUND(M43/60,2),"--")</f>
        <v>--</v>
      </c>
      <c r="V43" s="558" t="str">
        <f>IF(N43="RF",H43*R43*ROUND(M43/60,2),"--")</f>
        <v>--</v>
      </c>
      <c r="W43" s="862"/>
      <c r="X43" s="863"/>
      <c r="Y43" s="863"/>
      <c r="Z43" s="863"/>
      <c r="AA43" s="864"/>
      <c r="AB43" s="64">
        <f>IF(D43="","","SI")</f>
      </c>
      <c r="AC43" s="228">
        <f>IF(D43="","",SUM(S43:V43)*IF(AB43="SI",1,2))</f>
      </c>
      <c r="AD43" s="170"/>
    </row>
    <row r="44" spans="1:30" ht="16.5" customHeight="1" hidden="1">
      <c r="A44" s="16"/>
      <c r="B44" s="142"/>
      <c r="C44" s="53"/>
      <c r="D44" s="54"/>
      <c r="E44" s="55"/>
      <c r="F44" s="56"/>
      <c r="G44" s="57"/>
      <c r="H44" s="854" t="e">
        <f>F44*#REF!</f>
        <v>#REF!</v>
      </c>
      <c r="I44" s="855"/>
      <c r="J44" s="59"/>
      <c r="K44" s="60"/>
      <c r="L44" s="61">
        <f>IF(D44="","",(K44-J44)*24)</f>
      </c>
      <c r="M44" s="62">
        <f>IF(D44="","",(K44-J44)*24*60)</f>
      </c>
      <c r="N44" s="58"/>
      <c r="O44" s="63">
        <f>IF(D44="","",IF(N44="P","--","NO"))</f>
      </c>
      <c r="P44" s="856">
        <f>IF(D44="","","NO")</f>
      </c>
      <c r="Q44" s="857"/>
      <c r="R44" s="858">
        <f>200*IF(P44="SI",1,0.1)*IF(N44="P",0.1,1)</f>
        <v>20</v>
      </c>
      <c r="S44" s="859" t="str">
        <f>IF(N44="P",H44*R44*ROUND(M44/60,2),"--")</f>
        <v>--</v>
      </c>
      <c r="T44" s="860" t="str">
        <f>IF(AND(N44="F",O44="NO"),H44*R44,"--")</f>
        <v>--</v>
      </c>
      <c r="U44" s="861" t="str">
        <f>IF(N44="F",H44*R44*ROUND(M44/60,2),"--")</f>
        <v>--</v>
      </c>
      <c r="V44" s="558" t="str">
        <f>IF(N44="RF",H44*R44*ROUND(M44/60,2),"--")</f>
        <v>--</v>
      </c>
      <c r="W44" s="862"/>
      <c r="X44" s="863"/>
      <c r="Y44" s="863"/>
      <c r="Z44" s="863"/>
      <c r="AA44" s="864"/>
      <c r="AB44" s="64">
        <f>IF(D44="","","SI")</f>
      </c>
      <c r="AC44" s="228">
        <f>IF(D44="","",SUM(S44:V44)*IF(AB44="SI",1,2))</f>
      </c>
      <c r="AD44" s="170"/>
    </row>
    <row r="45" spans="1:30" ht="16.5" customHeight="1" hidden="1" thickBot="1">
      <c r="A45" s="124"/>
      <c r="B45" s="142"/>
      <c r="C45" s="66"/>
      <c r="D45" s="865"/>
      <c r="E45" s="866"/>
      <c r="F45" s="867"/>
      <c r="G45" s="868"/>
      <c r="H45" s="869"/>
      <c r="I45" s="870"/>
      <c r="J45" s="871"/>
      <c r="K45" s="872"/>
      <c r="L45" s="873"/>
      <c r="M45" s="874"/>
      <c r="N45" s="70"/>
      <c r="O45" s="38"/>
      <c r="P45" s="875"/>
      <c r="Q45" s="876"/>
      <c r="R45" s="877"/>
      <c r="S45" s="878"/>
      <c r="T45" s="879"/>
      <c r="U45" s="880"/>
      <c r="V45" s="881"/>
      <c r="W45" s="882"/>
      <c r="X45" s="883"/>
      <c r="Y45" s="883"/>
      <c r="Z45" s="883"/>
      <c r="AA45" s="884"/>
      <c r="AB45" s="885"/>
      <c r="AC45" s="886"/>
      <c r="AD45" s="170"/>
    </row>
    <row r="46" spans="1:30" ht="16.5" customHeight="1" hidden="1" thickBot="1" thickTop="1">
      <c r="A46" s="124"/>
      <c r="B46" s="142"/>
      <c r="C46" s="199"/>
      <c r="D46" s="1"/>
      <c r="E46" s="1"/>
      <c r="F46" s="263"/>
      <c r="G46" s="887"/>
      <c r="H46" s="888"/>
      <c r="I46" s="889"/>
      <c r="J46" s="890"/>
      <c r="K46" s="891"/>
      <c r="L46" s="892"/>
      <c r="M46" s="888"/>
      <c r="N46" s="893"/>
      <c r="O46" s="45"/>
      <c r="P46" s="894"/>
      <c r="Q46" s="895"/>
      <c r="R46" s="896"/>
      <c r="S46" s="896"/>
      <c r="T46" s="896"/>
      <c r="U46" s="341"/>
      <c r="V46" s="341"/>
      <c r="W46" s="341"/>
      <c r="X46" s="341"/>
      <c r="Y46" s="341"/>
      <c r="Z46" s="341"/>
      <c r="AA46" s="341"/>
      <c r="AB46" s="341"/>
      <c r="AC46" s="897">
        <f>SUM(AC40:AC45)</f>
        <v>0</v>
      </c>
      <c r="AD46" s="170"/>
    </row>
    <row r="47" spans="1:30" ht="16.5" customHeight="1" thickBot="1" thickTop="1">
      <c r="A47" s="124"/>
      <c r="B47" s="142"/>
      <c r="C47" s="199"/>
      <c r="D47" s="1"/>
      <c r="E47" s="1"/>
      <c r="F47" s="263"/>
      <c r="G47" s="887"/>
      <c r="H47" s="888"/>
      <c r="I47" s="889"/>
      <c r="J47" s="746" t="s">
        <v>233</v>
      </c>
      <c r="K47" s="747">
        <f>+AC46+AC37</f>
        <v>120.216557056</v>
      </c>
      <c r="L47" s="892"/>
      <c r="M47" s="888"/>
      <c r="N47" s="898"/>
      <c r="O47" s="899"/>
      <c r="P47" s="894"/>
      <c r="Q47" s="895"/>
      <c r="R47" s="896"/>
      <c r="S47" s="896"/>
      <c r="T47" s="896"/>
      <c r="U47" s="341"/>
      <c r="V47" s="341"/>
      <c r="W47" s="341"/>
      <c r="X47" s="341"/>
      <c r="Y47" s="341"/>
      <c r="Z47" s="341"/>
      <c r="AA47" s="341"/>
      <c r="AB47" s="341"/>
      <c r="AC47" s="900"/>
      <c r="AD47" s="170"/>
    </row>
    <row r="48" spans="1:30" ht="13.5" customHeight="1" thickTop="1">
      <c r="A48" s="124"/>
      <c r="B48" s="670"/>
      <c r="C48" s="733"/>
      <c r="D48" s="901"/>
      <c r="E48" s="902"/>
      <c r="F48" s="903"/>
      <c r="G48" s="904"/>
      <c r="H48" s="904"/>
      <c r="I48" s="902"/>
      <c r="J48" s="905"/>
      <c r="K48" s="905"/>
      <c r="L48" s="902"/>
      <c r="M48" s="902"/>
      <c r="N48" s="902"/>
      <c r="O48" s="906"/>
      <c r="P48" s="902"/>
      <c r="Q48" s="902"/>
      <c r="R48" s="907"/>
      <c r="S48" s="908"/>
      <c r="T48" s="908"/>
      <c r="U48" s="909"/>
      <c r="AC48" s="909"/>
      <c r="AD48" s="910"/>
    </row>
    <row r="49" spans="1:30" ht="16.5" customHeight="1">
      <c r="A49" s="124"/>
      <c r="B49" s="670"/>
      <c r="C49" s="911" t="s">
        <v>234</v>
      </c>
      <c r="D49" s="912" t="s">
        <v>246</v>
      </c>
      <c r="E49" s="902"/>
      <c r="F49" s="903"/>
      <c r="G49" s="904"/>
      <c r="H49" s="904"/>
      <c r="I49" s="902"/>
      <c r="J49" s="905"/>
      <c r="K49" s="905"/>
      <c r="L49" s="902"/>
      <c r="M49" s="902"/>
      <c r="N49" s="902"/>
      <c r="O49" s="906"/>
      <c r="P49" s="902"/>
      <c r="Q49" s="902"/>
      <c r="R49" s="907"/>
      <c r="S49" s="908"/>
      <c r="T49" s="908"/>
      <c r="U49" s="909"/>
      <c r="AC49" s="909"/>
      <c r="AD49" s="910"/>
    </row>
    <row r="50" spans="1:30" ht="16.5" customHeight="1">
      <c r="A50" s="124"/>
      <c r="B50" s="670"/>
      <c r="C50" s="911"/>
      <c r="D50" s="901"/>
      <c r="E50" s="902"/>
      <c r="F50" s="903"/>
      <c r="G50" s="904"/>
      <c r="H50" s="904"/>
      <c r="I50" s="902"/>
      <c r="J50" s="905"/>
      <c r="K50" s="905"/>
      <c r="L50" s="902"/>
      <c r="M50" s="902"/>
      <c r="N50" s="902"/>
      <c r="O50" s="906"/>
      <c r="P50" s="902"/>
      <c r="Q50" s="902"/>
      <c r="R50" s="902"/>
      <c r="S50" s="907"/>
      <c r="T50" s="908"/>
      <c r="AD50" s="910"/>
    </row>
    <row r="51" spans="2:30" s="124" customFormat="1" ht="16.5" customHeight="1">
      <c r="B51" s="670"/>
      <c r="C51" s="733"/>
      <c r="D51" s="913" t="s">
        <v>88</v>
      </c>
      <c r="E51" s="814" t="s">
        <v>235</v>
      </c>
      <c r="F51" s="814" t="s">
        <v>236</v>
      </c>
      <c r="G51" s="914" t="s">
        <v>247</v>
      </c>
      <c r="H51" s="815"/>
      <c r="I51" s="814"/>
      <c r="J51"/>
      <c r="K51" s="915" t="s">
        <v>248</v>
      </c>
      <c r="L51"/>
      <c r="M51"/>
      <c r="O51" s="915" t="s">
        <v>249</v>
      </c>
      <c r="P51" s="916"/>
      <c r="Q51" s="917"/>
      <c r="R51" s="918"/>
      <c r="S51" s="126"/>
      <c r="T51"/>
      <c r="U51"/>
      <c r="V51"/>
      <c r="W51"/>
      <c r="X51" s="126"/>
      <c r="Y51" s="126"/>
      <c r="Z51" s="126"/>
      <c r="AA51" s="126"/>
      <c r="AB51" s="126"/>
      <c r="AC51" s="919" t="s">
        <v>250</v>
      </c>
      <c r="AD51" s="910"/>
    </row>
    <row r="52" spans="2:30" s="124" customFormat="1" ht="16.5" customHeight="1">
      <c r="B52" s="670"/>
      <c r="C52" s="733"/>
      <c r="D52" s="814" t="s">
        <v>237</v>
      </c>
      <c r="E52" s="920">
        <v>267</v>
      </c>
      <c r="F52" s="921">
        <v>500</v>
      </c>
      <c r="G52" s="922">
        <f>E52*$F$20*$L$21/100*$P$21</f>
        <v>102895.9524864</v>
      </c>
      <c r="H52" s="922">
        <f>F52*$F$20*$L$21/100</f>
        <v>193075.2</v>
      </c>
      <c r="I52" s="922">
        <f>G52*$F$20*$L$21/100</f>
        <v>39733313.211004354</v>
      </c>
      <c r="J52" s="4"/>
      <c r="K52" s="923">
        <v>92202</v>
      </c>
      <c r="L52" s="4"/>
      <c r="M52" s="1019" t="str">
        <f>CONCATENATE("(DTE ",RIGHT($B$14,2),IF(MONTH($J$31)&gt;9,"","0"),MONTH($J$31),")")</f>
        <v>(DTE 9911)</v>
      </c>
      <c r="N52" s="1020"/>
      <c r="R52" s="918"/>
      <c r="S52" s="126"/>
      <c r="T52"/>
      <c r="U52"/>
      <c r="V52"/>
      <c r="W52"/>
      <c r="X52" s="126"/>
      <c r="Y52" s="126"/>
      <c r="Z52" s="126"/>
      <c r="AA52" s="126"/>
      <c r="AB52" s="925"/>
      <c r="AC52" s="742">
        <f>K52+G52</f>
        <v>195097.9524864</v>
      </c>
      <c r="AD52" s="910"/>
    </row>
    <row r="53" spans="2:30" s="124" customFormat="1" ht="16.5" customHeight="1">
      <c r="B53" s="670"/>
      <c r="C53" s="733"/>
      <c r="D53" s="814" t="s">
        <v>238</v>
      </c>
      <c r="E53" s="920">
        <f>3*3.6</f>
        <v>10.8</v>
      </c>
      <c r="F53" s="921">
        <v>500</v>
      </c>
      <c r="G53" s="922">
        <f>E53*$F$20*$L$21/100*$P$21</f>
        <v>4162.08347136</v>
      </c>
      <c r="H53" s="661"/>
      <c r="I53" s="926"/>
      <c r="J53" s="4"/>
      <c r="K53" s="922">
        <v>2314</v>
      </c>
      <c r="L53" s="4"/>
      <c r="M53" s="1019" t="str">
        <f>CONCATENATE("(DTE ",RIGHT($B$14,2),IF(MONTH($J$31)&gt;9,"","0"),MONTH($J$31),")")</f>
        <v>(DTE 9911)</v>
      </c>
      <c r="N53" s="1020"/>
      <c r="O53" s="927"/>
      <c r="P53"/>
      <c r="Q53" s="918"/>
      <c r="R53" s="918"/>
      <c r="S53" s="126"/>
      <c r="T53"/>
      <c r="U53"/>
      <c r="V53"/>
      <c r="W53"/>
      <c r="X53" s="126"/>
      <c r="Y53" s="126"/>
      <c r="Z53" s="126"/>
      <c r="AA53" s="126"/>
      <c r="AB53" s="126"/>
      <c r="AC53" s="742">
        <f>K53+G53</f>
        <v>6476.08347136</v>
      </c>
      <c r="AD53" s="910"/>
    </row>
    <row r="54" spans="2:30" s="124" customFormat="1" ht="16.5" customHeight="1">
      <c r="B54" s="670"/>
      <c r="C54" s="733"/>
      <c r="E54" s="738"/>
      <c r="F54" s="814"/>
      <c r="G54" s="815"/>
      <c r="H54"/>
      <c r="I54" s="814"/>
      <c r="J54" s="814"/>
      <c r="K54"/>
      <c r="L54" s="742"/>
      <c r="M54" s="1021"/>
      <c r="N54" s="1021"/>
      <c r="O54" s="923">
        <v>12592</v>
      </c>
      <c r="P54" s="4"/>
      <c r="Q54" s="924" t="str">
        <f>CONCATENATE("(DTE ",RIGHT($B$14,2),IF(MONTH($J$31)&gt;9,"","0"),MONTH($J$31),")")</f>
        <v>(DTE 9911)</v>
      </c>
      <c r="R54" s="918"/>
      <c r="S54" s="126"/>
      <c r="T54"/>
      <c r="U54"/>
      <c r="V54"/>
      <c r="W54"/>
      <c r="X54" s="126"/>
      <c r="Y54" s="126"/>
      <c r="Z54" s="126"/>
      <c r="AA54" s="126"/>
      <c r="AB54" s="126"/>
      <c r="AC54" s="928">
        <f>+O54</f>
        <v>12592</v>
      </c>
      <c r="AD54" s="910"/>
    </row>
    <row r="55" spans="1:30" ht="16.5" customHeight="1">
      <c r="A55" s="124"/>
      <c r="B55" s="670"/>
      <c r="C55" s="733"/>
      <c r="D55" s="905"/>
      <c r="E55" s="738"/>
      <c r="F55" s="814"/>
      <c r="G55" s="814"/>
      <c r="H55" s="815"/>
      <c r="J55" s="814"/>
      <c r="L55" s="929"/>
      <c r="M55" s="917"/>
      <c r="N55" s="917"/>
      <c r="O55" s="918"/>
      <c r="P55" s="918"/>
      <c r="Q55" s="918"/>
      <c r="R55" s="918"/>
      <c r="S55" s="918"/>
      <c r="AC55" s="732">
        <f>SUM(AC52:AC54)</f>
        <v>214166.03595776</v>
      </c>
      <c r="AD55" s="910"/>
    </row>
    <row r="56" spans="2:30" ht="16.5" customHeight="1">
      <c r="B56" s="670"/>
      <c r="C56" s="911" t="s">
        <v>239</v>
      </c>
      <c r="D56" s="930" t="s">
        <v>240</v>
      </c>
      <c r="E56" s="814"/>
      <c r="F56" s="931"/>
      <c r="G56" s="813"/>
      <c r="H56" s="905"/>
      <c r="I56" s="905"/>
      <c r="J56" s="905"/>
      <c r="K56" s="814"/>
      <c r="L56" s="814"/>
      <c r="M56" s="905"/>
      <c r="N56" s="814"/>
      <c r="O56" s="905"/>
      <c r="P56" s="905"/>
      <c r="Q56" s="905"/>
      <c r="R56" s="905"/>
      <c r="S56" s="905"/>
      <c r="T56" s="905"/>
      <c r="U56" s="905"/>
      <c r="AC56" s="905"/>
      <c r="AD56" s="910"/>
    </row>
    <row r="57" spans="2:30" s="124" customFormat="1" ht="16.5" customHeight="1">
      <c r="B57" s="670"/>
      <c r="C57" s="733"/>
      <c r="D57" s="913" t="s">
        <v>241</v>
      </c>
      <c r="E57" s="932">
        <f>10*K47*K25/AC55</f>
        <v>96.52283676865154</v>
      </c>
      <c r="G57" s="813"/>
      <c r="L57" s="814"/>
      <c r="N57" s="814"/>
      <c r="O57" s="815"/>
      <c r="V57"/>
      <c r="W57"/>
      <c r="AD57" s="910"/>
    </row>
    <row r="58" spans="2:30" s="124" customFormat="1" ht="16.5" customHeight="1">
      <c r="B58" s="670"/>
      <c r="C58" s="733"/>
      <c r="E58" s="933"/>
      <c r="F58" s="745"/>
      <c r="G58" s="813"/>
      <c r="J58" s="813"/>
      <c r="K58" s="828"/>
      <c r="L58" s="814"/>
      <c r="M58" s="814"/>
      <c r="N58" s="814"/>
      <c r="O58" s="815"/>
      <c r="P58" s="814"/>
      <c r="Q58" s="814"/>
      <c r="R58" s="827"/>
      <c r="S58" s="827"/>
      <c r="T58" s="827"/>
      <c r="U58" s="934"/>
      <c r="V58"/>
      <c r="W58"/>
      <c r="AC58" s="934"/>
      <c r="AD58" s="910"/>
    </row>
    <row r="59" spans="2:30" ht="16.5" customHeight="1">
      <c r="B59" s="670"/>
      <c r="C59" s="733"/>
      <c r="D59" s="935" t="s">
        <v>242</v>
      </c>
      <c r="E59" s="936"/>
      <c r="F59" s="745"/>
      <c r="G59" s="813"/>
      <c r="H59" s="905"/>
      <c r="I59" s="905"/>
      <c r="N59" s="814"/>
      <c r="O59" s="815"/>
      <c r="P59" s="814"/>
      <c r="Q59" s="814"/>
      <c r="R59" s="916"/>
      <c r="S59" s="916"/>
      <c r="T59" s="916"/>
      <c r="U59" s="917"/>
      <c r="AC59" s="917"/>
      <c r="AD59" s="910"/>
    </row>
    <row r="60" spans="2:30" ht="16.5" customHeight="1" thickBot="1">
      <c r="B60" s="670"/>
      <c r="C60" s="733"/>
      <c r="D60" s="935"/>
      <c r="E60" s="936"/>
      <c r="F60" s="745"/>
      <c r="G60" s="813"/>
      <c r="H60" s="905"/>
      <c r="I60" s="905"/>
      <c r="N60" s="814"/>
      <c r="O60" s="815"/>
      <c r="P60" s="814"/>
      <c r="Q60" s="814"/>
      <c r="R60" s="916"/>
      <c r="S60" s="916"/>
      <c r="T60" s="916"/>
      <c r="U60" s="917"/>
      <c r="AC60" s="917"/>
      <c r="AD60" s="910"/>
    </row>
    <row r="61" spans="2:30" s="937" customFormat="1" ht="21" thickBot="1" thickTop="1">
      <c r="B61" s="938"/>
      <c r="C61" s="939"/>
      <c r="D61" s="940"/>
      <c r="E61" s="941"/>
      <c r="F61" s="942"/>
      <c r="G61" s="943"/>
      <c r="I61"/>
      <c r="J61" s="944" t="s">
        <v>243</v>
      </c>
      <c r="K61" s="945">
        <f>IF(E57&gt;3*K25,K25*3,E57)</f>
        <v>96.52283676865154</v>
      </c>
      <c r="M61" s="946"/>
      <c r="N61" s="946"/>
      <c r="O61" s="947"/>
      <c r="P61" s="946"/>
      <c r="Q61" s="946"/>
      <c r="R61" s="948"/>
      <c r="S61" s="948"/>
      <c r="T61" s="948"/>
      <c r="U61" s="949"/>
      <c r="V61"/>
      <c r="W61"/>
      <c r="AC61" s="949"/>
      <c r="AD61" s="950"/>
    </row>
    <row r="62" spans="2:30" ht="16.5" customHeight="1" thickBot="1" thickTop="1">
      <c r="B62" s="149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350"/>
      <c r="W62" s="350"/>
      <c r="X62" s="350"/>
      <c r="Y62" s="350"/>
      <c r="Z62" s="350"/>
      <c r="AA62" s="350"/>
      <c r="AB62" s="350"/>
      <c r="AC62" s="151"/>
      <c r="AD62" s="951"/>
    </row>
    <row r="63" spans="2:23" ht="16.5" customHeight="1" thickTop="1">
      <c r="B63" s="12"/>
      <c r="C63" s="952"/>
      <c r="W63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G68"/>
  <sheetViews>
    <sheetView zoomScale="75" zoomScaleNormal="75" workbookViewId="0" topLeftCell="D34">
      <selection activeCell="E48" sqref="E48"/>
    </sheetView>
  </sheetViews>
  <sheetFormatPr defaultColWidth="11.421875" defaultRowHeight="12.75"/>
  <cols>
    <col min="1" max="1" width="44.8515625" style="0" customWidth="1"/>
    <col min="2" max="2" width="2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647"/>
    </row>
    <row r="2" spans="1:23" ht="27" customHeight="1">
      <c r="A2" s="7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724" customFormat="1" ht="30.75">
      <c r="A3" s="721"/>
      <c r="B3" s="722" t="str">
        <f>'tot-9911'!B2</f>
        <v>ANEXO I A LA RESOLUCION ENRE N° 320/2000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AB3" s="723"/>
      <c r="AC3" s="723"/>
      <c r="AD3" s="723"/>
    </row>
    <row r="4" spans="1:2" s="117" customFormat="1" ht="11.25">
      <c r="A4" s="953" t="s">
        <v>85</v>
      </c>
      <c r="B4" s="954"/>
    </row>
    <row r="5" spans="1:2" s="117" customFormat="1" ht="12" thickBot="1">
      <c r="A5" s="953" t="s">
        <v>86</v>
      </c>
      <c r="B5" s="953"/>
    </row>
    <row r="6" spans="1:30" ht="16.5" customHeight="1" thickTop="1">
      <c r="A6" s="16"/>
      <c r="B6" s="161"/>
      <c r="C6" s="162"/>
      <c r="D6" s="162"/>
      <c r="E6" s="163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318"/>
      <c r="X6" s="318"/>
      <c r="Y6" s="318"/>
      <c r="Z6" s="318"/>
      <c r="AA6" s="318"/>
      <c r="AB6" s="318"/>
      <c r="AC6" s="318"/>
      <c r="AD6" s="164"/>
    </row>
    <row r="7" spans="1:30" ht="20.25">
      <c r="A7" s="16"/>
      <c r="B7" s="142"/>
      <c r="C7" s="14"/>
      <c r="D7" s="7" t="s">
        <v>214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25"/>
      <c r="Q7" s="725"/>
      <c r="R7" s="14"/>
      <c r="S7" s="14"/>
      <c r="T7" s="14"/>
      <c r="U7" s="14"/>
      <c r="V7" s="14"/>
      <c r="AD7" s="165"/>
    </row>
    <row r="8" spans="1:30" ht="16.5" customHeight="1">
      <c r="A8" s="16"/>
      <c r="B8" s="14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AD8" s="165"/>
    </row>
    <row r="9" spans="2:30" s="15" customFormat="1" ht="20.25">
      <c r="B9" s="137"/>
      <c r="C9" s="136"/>
      <c r="D9" s="7" t="s">
        <v>215</v>
      </c>
      <c r="E9" s="136"/>
      <c r="F9" s="136"/>
      <c r="G9" s="136"/>
      <c r="H9" s="136"/>
      <c r="N9" s="136"/>
      <c r="O9" s="136"/>
      <c r="P9" s="374"/>
      <c r="Q9" s="374"/>
      <c r="R9" s="136"/>
      <c r="S9" s="136"/>
      <c r="T9" s="136"/>
      <c r="U9" s="136"/>
      <c r="V9" s="136"/>
      <c r="W9"/>
      <c r="X9" s="136"/>
      <c r="Y9" s="136"/>
      <c r="Z9" s="136"/>
      <c r="AA9" s="136"/>
      <c r="AB9" s="136"/>
      <c r="AC9"/>
      <c r="AD9" s="375"/>
    </row>
    <row r="10" spans="1:30" ht="16.5" customHeight="1">
      <c r="A10" s="16"/>
      <c r="B10" s="14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AD10" s="165"/>
    </row>
    <row r="11" spans="2:30" s="15" customFormat="1" ht="20.25">
      <c r="B11" s="137"/>
      <c r="C11" s="136"/>
      <c r="D11" s="7" t="s">
        <v>251</v>
      </c>
      <c r="E11" s="136"/>
      <c r="F11" s="136"/>
      <c r="G11" s="136"/>
      <c r="H11" s="136"/>
      <c r="N11" s="136"/>
      <c r="O11" s="136"/>
      <c r="P11" s="374"/>
      <c r="Q11" s="374"/>
      <c r="R11" s="136"/>
      <c r="S11" s="136"/>
      <c r="T11" s="136"/>
      <c r="U11" s="136"/>
      <c r="V11" s="136"/>
      <c r="W11"/>
      <c r="X11" s="136"/>
      <c r="Y11" s="136"/>
      <c r="Z11" s="136"/>
      <c r="AA11" s="136"/>
      <c r="AB11" s="136"/>
      <c r="AC11"/>
      <c r="AD11" s="375"/>
    </row>
    <row r="12" spans="1:30" ht="16.5" customHeight="1">
      <c r="A12" s="16"/>
      <c r="B12" s="142"/>
      <c r="C12" s="14"/>
      <c r="D12" s="14"/>
      <c r="E12" s="16"/>
      <c r="F12" s="16"/>
      <c r="G12" s="16"/>
      <c r="H12" s="16"/>
      <c r="I12" s="166"/>
      <c r="J12" s="166"/>
      <c r="K12" s="166"/>
      <c r="L12" s="166"/>
      <c r="M12" s="166"/>
      <c r="N12" s="166"/>
      <c r="O12" s="166"/>
      <c r="P12" s="166"/>
      <c r="Q12" s="166"/>
      <c r="R12" s="14"/>
      <c r="S12" s="14"/>
      <c r="T12" s="14"/>
      <c r="U12" s="14"/>
      <c r="V12" s="14"/>
      <c r="AD12" s="165"/>
    </row>
    <row r="13" spans="2:30" s="15" customFormat="1" ht="19.5">
      <c r="B13" s="130" t="str">
        <f>'tot-9911'!B14</f>
        <v>Desde el 01 al 30 de noviembre de 1999</v>
      </c>
      <c r="C13" s="131"/>
      <c r="D13" s="133"/>
      <c r="E13" s="133"/>
      <c r="F13" s="133"/>
      <c r="G13" s="133"/>
      <c r="H13" s="133"/>
      <c r="I13" s="134"/>
      <c r="J13" s="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726"/>
      <c r="V13" s="726"/>
      <c r="W13"/>
      <c r="X13" s="727"/>
      <c r="Y13" s="727"/>
      <c r="Z13" s="727"/>
      <c r="AA13" s="727"/>
      <c r="AB13" s="726"/>
      <c r="AC13" s="4"/>
      <c r="AD13" s="135"/>
    </row>
    <row r="14" spans="1:30" ht="16.5" customHeight="1">
      <c r="A14" s="16"/>
      <c r="B14" s="142"/>
      <c r="C14" s="14"/>
      <c r="D14" s="14"/>
      <c r="E14" s="2"/>
      <c r="F14" s="2"/>
      <c r="G14" s="14"/>
      <c r="H14" s="14"/>
      <c r="I14" s="14"/>
      <c r="J14" s="728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AD14" s="165"/>
    </row>
    <row r="15" spans="1:30" ht="16.5" customHeight="1">
      <c r="A15" s="16"/>
      <c r="B15" s="142"/>
      <c r="C15" s="14"/>
      <c r="D15" s="14"/>
      <c r="E15" s="2"/>
      <c r="F15" s="2"/>
      <c r="G15" s="14"/>
      <c r="H15" s="14"/>
      <c r="I15" s="729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65"/>
    </row>
    <row r="16" spans="1:30" ht="16.5" customHeight="1">
      <c r="A16" s="16"/>
      <c r="B16" s="142"/>
      <c r="C16" s="14"/>
      <c r="D16" s="14"/>
      <c r="E16" s="2"/>
      <c r="F16" s="2"/>
      <c r="G16" s="14"/>
      <c r="H16" s="14"/>
      <c r="I16" s="729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65"/>
    </row>
    <row r="17" spans="1:30" ht="16.5" customHeight="1">
      <c r="A17" s="16"/>
      <c r="B17" s="142"/>
      <c r="C17" s="730" t="s">
        <v>217</v>
      </c>
      <c r="D17" s="13" t="s">
        <v>218</v>
      </c>
      <c r="E17" s="2"/>
      <c r="F17" s="2"/>
      <c r="G17" s="14"/>
      <c r="H17" s="14"/>
      <c r="I17" s="14"/>
      <c r="J17" s="728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65"/>
    </row>
    <row r="18" spans="2:30" s="124" customFormat="1" ht="16.5" customHeight="1">
      <c r="B18" s="670"/>
      <c r="C18" s="126"/>
      <c r="D18" s="731"/>
      <c r="E18" s="732"/>
      <c r="F18" s="733"/>
      <c r="G18" s="126"/>
      <c r="H18" s="126"/>
      <c r="I18" s="126"/>
      <c r="J18" s="734"/>
      <c r="K18" s="126"/>
      <c r="L18" s="126"/>
      <c r="M18" s="126"/>
      <c r="P18" s="126"/>
      <c r="Q18" s="126"/>
      <c r="R18" s="126"/>
      <c r="S18" s="126"/>
      <c r="T18" s="126"/>
      <c r="U18" s="126"/>
      <c r="V18" s="126"/>
      <c r="W18"/>
      <c r="AD18" s="735"/>
    </row>
    <row r="19" spans="2:30" s="124" customFormat="1" ht="16.5" customHeight="1">
      <c r="B19" s="670"/>
      <c r="C19" s="126"/>
      <c r="D19" s="736" t="s">
        <v>219</v>
      </c>
      <c r="F19" s="737">
        <v>53.632</v>
      </c>
      <c r="G19" s="736" t="s">
        <v>220</v>
      </c>
      <c r="H19" s="126"/>
      <c r="I19" s="126"/>
      <c r="J19" s="738"/>
      <c r="K19" s="739" t="s">
        <v>221</v>
      </c>
      <c r="L19" s="740">
        <v>0.04</v>
      </c>
      <c r="R19" s="126"/>
      <c r="S19" s="126"/>
      <c r="T19" s="126"/>
      <c r="U19" s="126"/>
      <c r="V19" s="126"/>
      <c r="W19"/>
      <c r="AD19" s="735"/>
    </row>
    <row r="20" spans="2:30" s="124" customFormat="1" ht="16.5" customHeight="1">
      <c r="B20" s="670"/>
      <c r="C20" s="126"/>
      <c r="D20" s="736" t="s">
        <v>252</v>
      </c>
      <c r="F20" s="737">
        <v>0.146</v>
      </c>
      <c r="G20" s="736" t="s">
        <v>253</v>
      </c>
      <c r="H20" s="126"/>
      <c r="I20" s="126"/>
      <c r="J20" s="126"/>
      <c r="K20" s="731" t="s">
        <v>223</v>
      </c>
      <c r="L20" s="126">
        <f>MID(B13,16,2)*24</f>
        <v>720</v>
      </c>
      <c r="M20" s="126" t="s">
        <v>224</v>
      </c>
      <c r="N20" s="126"/>
      <c r="O20" s="126"/>
      <c r="P20" s="955"/>
      <c r="Q20" s="126"/>
      <c r="R20" s="126"/>
      <c r="S20" s="126"/>
      <c r="T20" s="126"/>
      <c r="U20" s="126"/>
      <c r="V20" s="126"/>
      <c r="W20"/>
      <c r="AD20" s="735"/>
    </row>
    <row r="21" spans="2:30" s="124" customFormat="1" ht="16.5" customHeight="1">
      <c r="B21" s="670"/>
      <c r="C21" s="126"/>
      <c r="D21" s="736" t="s">
        <v>254</v>
      </c>
      <c r="F21" s="737">
        <v>23.405</v>
      </c>
      <c r="G21" s="736" t="s">
        <v>255</v>
      </c>
      <c r="H21" s="126"/>
      <c r="I21" s="126"/>
      <c r="J21" s="126"/>
      <c r="K21" s="743" t="s">
        <v>178</v>
      </c>
      <c r="L21" s="744">
        <v>0.998</v>
      </c>
      <c r="M21" s="126"/>
      <c r="N21" s="126"/>
      <c r="O21" s="126"/>
      <c r="P21" s="955"/>
      <c r="Q21" s="126"/>
      <c r="R21" s="126"/>
      <c r="S21" s="126"/>
      <c r="T21" s="126"/>
      <c r="U21" s="126"/>
      <c r="V21" s="126"/>
      <c r="W21"/>
      <c r="AD21" s="735"/>
    </row>
    <row r="22" spans="2:30" s="124" customFormat="1" ht="16.5" customHeight="1">
      <c r="B22" s="670"/>
      <c r="C22" s="126"/>
      <c r="D22" s="126"/>
      <c r="E22" s="74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/>
      <c r="AD22" s="735"/>
    </row>
    <row r="23" spans="1:30" ht="16.5" customHeight="1">
      <c r="A23" s="16"/>
      <c r="B23" s="142"/>
      <c r="C23" s="730" t="s">
        <v>225</v>
      </c>
      <c r="D23" s="125" t="s">
        <v>244</v>
      </c>
      <c r="I23" s="14"/>
      <c r="J23" s="124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65"/>
    </row>
    <row r="24" spans="1:30" ht="10.5" customHeight="1" thickBot="1">
      <c r="A24" s="16"/>
      <c r="B24" s="142"/>
      <c r="C24" s="2"/>
      <c r="D24" s="125"/>
      <c r="I24" s="14"/>
      <c r="J24" s="124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65"/>
    </row>
    <row r="25" spans="2:30" s="124" customFormat="1" ht="16.5" customHeight="1" thickBot="1" thickTop="1">
      <c r="B25" s="670"/>
      <c r="C25" s="733"/>
      <c r="D25"/>
      <c r="E25"/>
      <c r="F25"/>
      <c r="G25"/>
      <c r="H25"/>
      <c r="I25"/>
      <c r="J25" s="746" t="s">
        <v>226</v>
      </c>
      <c r="K25" s="747">
        <f>L19*AC60</f>
        <v>18541.815385088</v>
      </c>
      <c r="L25"/>
      <c r="S25"/>
      <c r="T25"/>
      <c r="U25"/>
      <c r="W25"/>
      <c r="AD25" s="735"/>
    </row>
    <row r="26" spans="2:30" s="124" customFormat="1" ht="11.25" customHeight="1" thickTop="1">
      <c r="B26" s="670"/>
      <c r="C26" s="733"/>
      <c r="D26" s="126"/>
      <c r="E26" s="74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/>
      <c r="W26"/>
      <c r="AD26" s="735"/>
    </row>
    <row r="27" spans="1:30" ht="16.5" customHeight="1">
      <c r="A27" s="16"/>
      <c r="B27" s="142"/>
      <c r="C27" s="730" t="s">
        <v>227</v>
      </c>
      <c r="D27" s="125" t="s">
        <v>245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65"/>
    </row>
    <row r="28" spans="1:30" ht="21.75" customHeight="1" thickBot="1">
      <c r="A28" s="16"/>
      <c r="B28" s="142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65"/>
    </row>
    <row r="29" spans="2:31" s="16" customFormat="1" ht="33.75" customHeight="1" thickBot="1" thickTop="1">
      <c r="B29" s="142"/>
      <c r="C29" s="182" t="s">
        <v>107</v>
      </c>
      <c r="D29" s="377" t="s">
        <v>88</v>
      </c>
      <c r="E29" s="188" t="s">
        <v>108</v>
      </c>
      <c r="F29" s="189" t="s">
        <v>109</v>
      </c>
      <c r="G29" s="184" t="s">
        <v>110</v>
      </c>
      <c r="H29" s="445" t="s">
        <v>111</v>
      </c>
      <c r="I29" s="539" t="s">
        <v>112</v>
      </c>
      <c r="J29" s="185" t="s">
        <v>113</v>
      </c>
      <c r="K29" s="186" t="s">
        <v>114</v>
      </c>
      <c r="L29" s="190" t="s">
        <v>115</v>
      </c>
      <c r="M29" s="191" t="s">
        <v>116</v>
      </c>
      <c r="N29" s="190" t="s">
        <v>228</v>
      </c>
      <c r="O29" s="190" t="s">
        <v>118</v>
      </c>
      <c r="P29" s="186" t="s">
        <v>119</v>
      </c>
      <c r="Q29" s="185" t="s">
        <v>120</v>
      </c>
      <c r="R29" s="748" t="s">
        <v>121</v>
      </c>
      <c r="S29" s="749" t="s">
        <v>122</v>
      </c>
      <c r="T29" s="750" t="s">
        <v>142</v>
      </c>
      <c r="U29" s="751"/>
      <c r="V29" s="752"/>
      <c r="W29" s="753" t="s">
        <v>229</v>
      </c>
      <c r="X29" s="754"/>
      <c r="Y29" s="755"/>
      <c r="Z29" s="756" t="s">
        <v>125</v>
      </c>
      <c r="AA29" s="757" t="s">
        <v>134</v>
      </c>
      <c r="AB29" s="758" t="s">
        <v>127</v>
      </c>
      <c r="AC29" s="226" t="s">
        <v>128</v>
      </c>
      <c r="AD29" s="169"/>
      <c r="AE29"/>
    </row>
    <row r="30" spans="1:30" ht="16.5" customHeight="1" thickTop="1">
      <c r="A30" s="16"/>
      <c r="B30" s="142"/>
      <c r="C30" s="759"/>
      <c r="D30" s="759"/>
      <c r="E30" s="760"/>
      <c r="F30" s="761"/>
      <c r="G30" s="762"/>
      <c r="H30" s="763"/>
      <c r="I30" s="764"/>
      <c r="J30" s="765"/>
      <c r="K30" s="766"/>
      <c r="L30" s="20"/>
      <c r="M30" s="20"/>
      <c r="N30" s="95"/>
      <c r="O30" s="95"/>
      <c r="P30" s="20"/>
      <c r="Q30" s="444"/>
      <c r="R30" s="767"/>
      <c r="S30" s="768"/>
      <c r="T30" s="769"/>
      <c r="U30" s="770"/>
      <c r="V30" s="771"/>
      <c r="W30" s="772"/>
      <c r="X30" s="773"/>
      <c r="Y30" s="774"/>
      <c r="Z30" s="775"/>
      <c r="AA30" s="776"/>
      <c r="AB30" s="777"/>
      <c r="AC30" s="778"/>
      <c r="AD30" s="165"/>
    </row>
    <row r="31" spans="1:30" ht="16.5" customHeight="1">
      <c r="A31" s="16"/>
      <c r="B31" s="142"/>
      <c r="C31" s="20" t="s">
        <v>184</v>
      </c>
      <c r="D31" s="20" t="str">
        <f>'LIN-LITSA (2)'!D19</f>
        <v>RINCON - SALTO GRANDE</v>
      </c>
      <c r="E31" s="23">
        <f>'LIN-LITSA (2)'!E19</f>
        <v>500</v>
      </c>
      <c r="F31" s="22">
        <f>'LIN-LITSA (2)'!F19</f>
        <v>506</v>
      </c>
      <c r="G31" s="22" t="str">
        <f>'LIN-LITSA (2)'!G19</f>
        <v>A</v>
      </c>
      <c r="H31" s="779">
        <f>IF(G31="A",200,IF(G31="B",60,20))</f>
        <v>200</v>
      </c>
      <c r="I31" s="780">
        <f>IF(F31&gt;100,F31,100)*$F$19/100*$L$21</f>
        <v>270.83516416</v>
      </c>
      <c r="J31" s="781">
        <f>'LIN-LITSA (2)'!J19</f>
        <v>36477.26736111111</v>
      </c>
      <c r="K31" s="25">
        <f>'LIN-LITSA (2)'!K19</f>
        <v>36477.70208333333</v>
      </c>
      <c r="L31" s="782">
        <f>IF(D31="","",(K31-J31)*24)</f>
        <v>10.433333333290648</v>
      </c>
      <c r="M31" s="31">
        <f>IF(D31="","",ROUND((K31-J31)*24*60,0))</f>
        <v>626</v>
      </c>
      <c r="N31" s="28" t="str">
        <f>'LIN-LITSA (2)'!N19</f>
        <v>P</v>
      </c>
      <c r="O31" s="29" t="str">
        <f>IF(D31="","","--")</f>
        <v>--</v>
      </c>
      <c r="P31" s="24" t="str">
        <f>IF(D31="","","NO")</f>
        <v>NO</v>
      </c>
      <c r="Q31" s="24" t="str">
        <f>IF(D31="","",IF(OR(N31="P",N31="RP"),"--","NO"))</f>
        <v>--</v>
      </c>
      <c r="R31" s="783">
        <f>IF(N31="P",+I31*H31*ROUND(M31/60,2)/100,"--")</f>
        <v>5649.621524377599</v>
      </c>
      <c r="S31" s="784" t="str">
        <f>IF(N31="RP",I31*H31*ROUND(M31/60,2)*0.01*O31/100,"--")</f>
        <v>--</v>
      </c>
      <c r="T31" s="785" t="str">
        <f>IF(AND(N31="F",Q31="NO"),IF(P31="SI",1.2,1)*I31*H31,"--")</f>
        <v>--</v>
      </c>
      <c r="U31" s="786" t="str">
        <f>IF(AND(M31&gt;10,N31="F"),IF(M31&lt;=300,ROUND(M31/60,2),5)*I31*H31*IF(P31="SI",1.2,1),"--")</f>
        <v>--</v>
      </c>
      <c r="V31" s="787" t="str">
        <f>IF(AND(N31="F",M31&gt;300),IF(P31="SI",1.2,1)*(ROUND(M31/60,2)-5)*I31*H31*0.1,"--")</f>
        <v>--</v>
      </c>
      <c r="W31" s="788" t="str">
        <f>IF(AND(N31="R",Q31="NO"),IF(P31="SI",1.2,1)*I31*H31*O31/100,"--")</f>
        <v>--</v>
      </c>
      <c r="X31" s="789" t="str">
        <f>IF(AND(M31&gt;10,N31="R"),IF(M31&lt;=300,ROUND(M31/60,2),5)*I31*H31*O31/100*IF(P31="SI",1.2,1),"--")</f>
        <v>--</v>
      </c>
      <c r="Y31" s="790" t="str">
        <f>IF(AND(N31="R",M31&gt;300),IF(P31="SI",1.2,1)*(ROUND(M31/60,2)-5)*I31*H31*O31/100*0.1,"--")</f>
        <v>--</v>
      </c>
      <c r="Z31" s="791" t="str">
        <f>IF(N31="RF",IF(P31="SI",1.2,1)*ROUND(M31/60,2)*I31*H31*0.1,"--")</f>
        <v>--</v>
      </c>
      <c r="AA31" s="792" t="str">
        <f>IF(N31="RR",IF(P31="SI",1.2,1)*ROUND(M31/60,2)*I31*H31*O31/100*0.1,"--")</f>
        <v>--</v>
      </c>
      <c r="AB31" s="793" t="str">
        <f>IF(D31="","","SI")</f>
        <v>SI</v>
      </c>
      <c r="AC31" s="30">
        <f>IF(D31="","",SUM(R31:AA31)*IF(AB31="SI",1,2))</f>
        <v>5649.621524377599</v>
      </c>
      <c r="AD31" s="170"/>
    </row>
    <row r="32" spans="1:30" ht="16.5" customHeight="1">
      <c r="A32" s="16"/>
      <c r="B32" s="142"/>
      <c r="C32" s="20"/>
      <c r="D32" s="20"/>
      <c r="E32" s="23"/>
      <c r="F32" s="22"/>
      <c r="G32" s="440"/>
      <c r="H32" s="779">
        <f>IF(G32="A",200,IF(G32="B",60,20))</f>
        <v>20</v>
      </c>
      <c r="I32" s="780">
        <f>IF(F32&gt;100,F32,100)*$F$19/100*$L$21</f>
        <v>53.524736</v>
      </c>
      <c r="J32" s="781"/>
      <c r="K32" s="25"/>
      <c r="L32" s="782">
        <f>IF(D32="","",(K32-J32)*24)</f>
      </c>
      <c r="M32" s="31">
        <f>IF(D32="","",ROUND((K32-J32)*24*60,0))</f>
      </c>
      <c r="N32" s="28"/>
      <c r="O32" s="29">
        <f>IF(D32="","","--")</f>
      </c>
      <c r="P32" s="24">
        <f>IF(D32="","","NO")</f>
      </c>
      <c r="Q32" s="24">
        <f>IF(D32="","",IF(OR(N32="P",N32="RP"),"--","NO"))</f>
      </c>
      <c r="R32" s="783" t="str">
        <f>IF(N32="P",+I32*H32*ROUND(M32/60,2)/100,"--")</f>
        <v>--</v>
      </c>
      <c r="S32" s="784" t="str">
        <f>IF(N32="RP",I32*H32*ROUND(M32/60,2)*0.01*O32/100,"--")</f>
        <v>--</v>
      </c>
      <c r="T32" s="785" t="str">
        <f>IF(AND(N32="F",Q32="NO"),IF(P32="SI",1.2,1)*I32*H32,"--")</f>
        <v>--</v>
      </c>
      <c r="U32" s="786" t="str">
        <f>IF(AND(M32&gt;10,N32="F"),IF(M32&lt;=300,ROUND(M32/60,2),5)*I32*H32*IF(P32="SI",1.2,1),"--")</f>
        <v>--</v>
      </c>
      <c r="V32" s="787" t="str">
        <f>IF(AND(N32="F",M32&gt;300),IF(P32="SI",1.2,1)*(ROUND(M32/60,2)-5)*I32*H32*0.1,"--")</f>
        <v>--</v>
      </c>
      <c r="W32" s="788" t="str">
        <f>IF(AND(N32="R",Q32="NO"),IF(P32="SI",1.2,1)*I32*H32*O32/100,"--")</f>
        <v>--</v>
      </c>
      <c r="X32" s="789" t="str">
        <f>IF(AND(M32&gt;10,N32="R"),IF(M32&lt;=300,ROUND(M32/60,2),5)*I32*H32*O32/100*IF(P32="SI",1.2,1),"--")</f>
        <v>--</v>
      </c>
      <c r="Y32" s="790" t="str">
        <f>IF(AND(N32="R",M32&gt;300),IF(P32="SI",1.2,1)*(ROUND(M32/60,2)-5)*I32*H32*O32/100*0.1,"--")</f>
        <v>--</v>
      </c>
      <c r="Z32" s="791" t="str">
        <f>IF(N32="RF",IF(P32="SI",1.2,1)*ROUND(M32/60,2)*I32*H32*0.1,"--")</f>
        <v>--</v>
      </c>
      <c r="AA32" s="792" t="str">
        <f>IF(N32="RR",IF(P32="SI",1.2,1)*ROUND(M32/60,2)*I32*H32*O32/100*0.1,"--")</f>
        <v>--</v>
      </c>
      <c r="AB32" s="793">
        <f>IF(D32="","","SI")</f>
      </c>
      <c r="AC32" s="30">
        <f>IF(D32="","",SUM(R32:AA32)*IF(AB32="SI",1,2))</f>
      </c>
      <c r="AD32" s="170"/>
    </row>
    <row r="33" spans="1:30" ht="16.5" customHeight="1">
      <c r="A33" s="16"/>
      <c r="B33" s="142"/>
      <c r="C33" s="20"/>
      <c r="D33" s="20"/>
      <c r="E33" s="23"/>
      <c r="F33" s="22"/>
      <c r="G33" s="440"/>
      <c r="H33" s="779">
        <f>IF(G33="A",200,IF(G33="B",60,20))</f>
        <v>20</v>
      </c>
      <c r="I33" s="780">
        <f>IF(F33&gt;100,F33,100)*$F$19/100*$L$21</f>
        <v>53.524736</v>
      </c>
      <c r="J33" s="781"/>
      <c r="K33" s="25"/>
      <c r="L33" s="782">
        <f>IF(D33="","",(K33-J33)*24)</f>
      </c>
      <c r="M33" s="31">
        <f>IF(D33="","",ROUND((K33-J33)*24*60,0))</f>
      </c>
      <c r="N33" s="28"/>
      <c r="O33" s="29">
        <f>IF(D33="","","--")</f>
      </c>
      <c r="P33" s="24">
        <f>IF(D33="","","NO")</f>
      </c>
      <c r="Q33" s="24">
        <f>IF(D33="","",IF(OR(N33="P",N33="RP"),"--","NO"))</f>
      </c>
      <c r="R33" s="783" t="str">
        <f>IF(N33="P",+I33*H33*ROUND(M33/60,2)/100,"--")</f>
        <v>--</v>
      </c>
      <c r="S33" s="784" t="str">
        <f>IF(N33="RP",I33*H33*ROUND(M33/60,2)*0.01*O33/100,"--")</f>
        <v>--</v>
      </c>
      <c r="T33" s="785" t="str">
        <f>IF(AND(N33="F",Q33="NO"),IF(P33="SI",1.2,1)*I33*H33,"--")</f>
        <v>--</v>
      </c>
      <c r="U33" s="786" t="str">
        <f>IF(AND(M33&gt;10,N33="F"),IF(M33&lt;=300,ROUND(M33/60,2),5)*I33*H33*IF(P33="SI",1.2,1),"--")</f>
        <v>--</v>
      </c>
      <c r="V33" s="787" t="str">
        <f>IF(AND(N33="F",M33&gt;300),IF(P33="SI",1.2,1)*(ROUND(M33/60,2)-5)*I33*H33*0.1,"--")</f>
        <v>--</v>
      </c>
      <c r="W33" s="788" t="str">
        <f>IF(AND(N33="R",Q33="NO"),IF(P33="SI",1.2,1)*I33*H33*O33/100,"--")</f>
        <v>--</v>
      </c>
      <c r="X33" s="789" t="str">
        <f>IF(AND(M33&gt;10,N33="R"),IF(M33&lt;=300,ROUND(M33/60,2),5)*I33*H33*O33/100*IF(P33="SI",1.2,1),"--")</f>
        <v>--</v>
      </c>
      <c r="Y33" s="790" t="str">
        <f>IF(AND(N33="R",M33&gt;300),IF(P33="SI",1.2,1)*(ROUND(M33/60,2)-5)*I33*H33*O33/100*0.1,"--")</f>
        <v>--</v>
      </c>
      <c r="Z33" s="791" t="str">
        <f>IF(N33="RF",IF(P33="SI",1.2,1)*ROUND(M33/60,2)*I33*H33*0.1,"--")</f>
        <v>--</v>
      </c>
      <c r="AA33" s="792" t="str">
        <f>IF(N33="RR",IF(P33="SI",1.2,1)*ROUND(M33/60,2)*I33*H33*O33/100*0.1,"--")</f>
        <v>--</v>
      </c>
      <c r="AB33" s="793">
        <f>IF(D33="","","SI")</f>
      </c>
      <c r="AC33" s="30">
        <f>IF(D33="","",SUM(R33:AA33)*IF(AB33="SI",1,2))</f>
      </c>
      <c r="AD33" s="170"/>
    </row>
    <row r="34" spans="1:30" ht="16.5" customHeight="1">
      <c r="A34" s="16"/>
      <c r="B34" s="142"/>
      <c r="C34" s="20"/>
      <c r="D34" s="20"/>
      <c r="E34" s="23"/>
      <c r="F34" s="22"/>
      <c r="G34" s="440"/>
      <c r="H34" s="779">
        <f>IF(G34="A",200,IF(G34="B",60,20))</f>
        <v>20</v>
      </c>
      <c r="I34" s="780">
        <f>IF(F34&gt;100,F34,100)*$F$19/100*$L$21</f>
        <v>53.524736</v>
      </c>
      <c r="J34" s="781"/>
      <c r="K34" s="25"/>
      <c r="L34" s="782">
        <f>IF(D34="","",(K34-J34)*24)</f>
      </c>
      <c r="M34" s="31">
        <f>IF(D34="","",ROUND((K34-J34)*24*60,0))</f>
      </c>
      <c r="N34" s="28"/>
      <c r="O34" s="29">
        <f>IF(D34="","","--")</f>
      </c>
      <c r="P34" s="24">
        <f>IF(D34="","","NO")</f>
      </c>
      <c r="Q34" s="24">
        <f>IF(D34="","",IF(OR(N34="P",N34="RP"),"--","NO"))</f>
      </c>
      <c r="R34" s="783" t="str">
        <f>IF(N34="P",+I34*H34*ROUND(M34/60,2)/100,"--")</f>
        <v>--</v>
      </c>
      <c r="S34" s="784" t="str">
        <f>IF(N34="RP",I34*H34*ROUND(M34/60,2)*0.01*O34/100,"--")</f>
        <v>--</v>
      </c>
      <c r="T34" s="785" t="str">
        <f>IF(AND(N34="F",Q34="NO"),IF(P34="SI",1.2,1)*I34*H34,"--")</f>
        <v>--</v>
      </c>
      <c r="U34" s="786" t="str">
        <f>IF(AND(M34&gt;10,N34="F"),IF(M34&lt;=300,ROUND(M34/60,2),5)*I34*H34*IF(P34="SI",1.2,1),"--")</f>
        <v>--</v>
      </c>
      <c r="V34" s="787" t="str">
        <f>IF(AND(N34="F",M34&gt;300),IF(P34="SI",1.2,1)*(ROUND(M34/60,2)-5)*I34*H34*0.1,"--")</f>
        <v>--</v>
      </c>
      <c r="W34" s="788" t="str">
        <f>IF(AND(N34="R",Q34="NO"),IF(P34="SI",1.2,1)*I34*H34*O34/100,"--")</f>
        <v>--</v>
      </c>
      <c r="X34" s="789" t="str">
        <f>IF(AND(M34&gt;10,N34="R"),IF(M34&lt;=300,ROUND(M34/60,2),5)*I34*H34*O34/100*IF(P34="SI",1.2,1),"--")</f>
        <v>--</v>
      </c>
      <c r="Y34" s="790" t="str">
        <f>IF(AND(N34="R",M34&gt;300),IF(P34="SI",1.2,1)*(ROUND(M34/60,2)-5)*I34*H34*O34/100*0.1,"--")</f>
        <v>--</v>
      </c>
      <c r="Z34" s="791" t="str">
        <f>IF(N34="RF",IF(P34="SI",1.2,1)*ROUND(M34/60,2)*I34*H34*0.1,"--")</f>
        <v>--</v>
      </c>
      <c r="AA34" s="792" t="str">
        <f>IF(N34="RR",IF(P34="SI",1.2,1)*ROUND(M34/60,2)*I34*H34*O34/100*0.1,"--")</f>
        <v>--</v>
      </c>
      <c r="AB34" s="793">
        <f>IF(D34="","","SI")</f>
      </c>
      <c r="AC34" s="30">
        <f>IF(D34="","",SUM(R34:AA34)*IF(AB34="SI",1,2))</f>
      </c>
      <c r="AD34" s="170"/>
    </row>
    <row r="35" spans="1:30" ht="16.5" customHeight="1">
      <c r="A35" s="16"/>
      <c r="B35" s="142"/>
      <c r="C35" s="20"/>
      <c r="D35" s="20"/>
      <c r="E35" s="23"/>
      <c r="F35" s="22"/>
      <c r="G35" s="440"/>
      <c r="H35" s="779">
        <f>IF(G35="A",200,IF(G35="B",60,20))</f>
        <v>20</v>
      </c>
      <c r="I35" s="780">
        <f>IF(F35&gt;100,F35,100)*$F$19/100*$L$21</f>
        <v>53.524736</v>
      </c>
      <c r="J35" s="781"/>
      <c r="K35" s="25"/>
      <c r="L35" s="782">
        <f>IF(D35="","",(K35-J35)*24)</f>
      </c>
      <c r="M35" s="31">
        <f>IF(D35="","",ROUND((K35-J35)*24*60,0))</f>
      </c>
      <c r="N35" s="28"/>
      <c r="O35" s="29">
        <f>IF(D35="","","--")</f>
      </c>
      <c r="P35" s="24">
        <f>IF(D35="","","NO")</f>
      </c>
      <c r="Q35" s="24">
        <f>IF(D35="","",IF(OR(N35="P",N35="RP"),"--","NO"))</f>
      </c>
      <c r="R35" s="783" t="str">
        <f>IF(N35="P",+I35*H35*ROUND(M35/60,2)/100,"--")</f>
        <v>--</v>
      </c>
      <c r="S35" s="784" t="str">
        <f>IF(N35="RP",I35*H35*ROUND(M35/60,2)*0.01*O35/100,"--")</f>
        <v>--</v>
      </c>
      <c r="T35" s="785" t="str">
        <f>IF(AND(N35="F",Q35="NO"),IF(P35="SI",1.2,1)*I35*H35,"--")</f>
        <v>--</v>
      </c>
      <c r="U35" s="786" t="str">
        <f>IF(AND(M35&gt;10,N35="F"),IF(M35&lt;=300,ROUND(M35/60,2),5)*I35*H35*IF(P35="SI",1.2,1),"--")</f>
        <v>--</v>
      </c>
      <c r="V35" s="787" t="str">
        <f>IF(AND(N35="F",M35&gt;300),IF(P35="SI",1.2,1)*(ROUND(M35/60,2)-5)*I35*H35*0.1,"--")</f>
        <v>--</v>
      </c>
      <c r="W35" s="788" t="str">
        <f>IF(AND(N35="R",Q35="NO"),IF(P35="SI",1.2,1)*I35*H35*O35/100,"--")</f>
        <v>--</v>
      </c>
      <c r="X35" s="789" t="str">
        <f>IF(AND(M35&gt;10,N35="R"),IF(M35&lt;=300,ROUND(M35/60,2),5)*I35*H35*O35/100*IF(P35="SI",1.2,1),"--")</f>
        <v>--</v>
      </c>
      <c r="Y35" s="790" t="str">
        <f>IF(AND(N35="R",M35&gt;300),IF(P35="SI",1.2,1)*(ROUND(M35/60,2)-5)*I35*H35*O35/100*0.1,"--")</f>
        <v>--</v>
      </c>
      <c r="Z35" s="791" t="str">
        <f>IF(N35="RF",IF(P35="SI",1.2,1)*ROUND(M35/60,2)*I35*H35*0.1,"--")</f>
        <v>--</v>
      </c>
      <c r="AA35" s="792" t="str">
        <f>IF(N35="RR",IF(P35="SI",1.2,1)*ROUND(M35/60,2)*I35*H35*O35/100*0.1,"--")</f>
        <v>--</v>
      </c>
      <c r="AB35" s="793">
        <f>IF(D35="","","SI")</f>
      </c>
      <c r="AC35" s="30">
        <f>IF(D35="","",SUM(R35:AA35)*IF(AB35="SI",1,2))</f>
      </c>
      <c r="AD35" s="170"/>
    </row>
    <row r="36" spans="1:30" ht="16.5" customHeight="1" thickBot="1">
      <c r="A36" s="124"/>
      <c r="B36" s="142"/>
      <c r="C36" s="794"/>
      <c r="D36" s="794"/>
      <c r="E36" s="795"/>
      <c r="F36" s="796"/>
      <c r="G36" s="797"/>
      <c r="H36" s="798"/>
      <c r="I36" s="799"/>
      <c r="J36" s="800"/>
      <c r="K36" s="800"/>
      <c r="L36" s="38"/>
      <c r="M36" s="38"/>
      <c r="N36" s="38"/>
      <c r="O36" s="39"/>
      <c r="P36" s="38"/>
      <c r="Q36" s="38"/>
      <c r="R36" s="801"/>
      <c r="S36" s="802"/>
      <c r="T36" s="803"/>
      <c r="U36" s="804"/>
      <c r="V36" s="805"/>
      <c r="W36" s="806"/>
      <c r="X36" s="807"/>
      <c r="Y36" s="808"/>
      <c r="Z36" s="809"/>
      <c r="AA36" s="810"/>
      <c r="AB36" s="40"/>
      <c r="AC36" s="811"/>
      <c r="AD36" s="170"/>
    </row>
    <row r="37" spans="1:30" ht="16.5" customHeight="1" thickBot="1" thickTop="1">
      <c r="A37" s="124"/>
      <c r="B37" s="142"/>
      <c r="C37" s="733"/>
      <c r="D37" s="733"/>
      <c r="E37" s="812"/>
      <c r="F37" s="745"/>
      <c r="G37" s="813"/>
      <c r="H37" s="813"/>
      <c r="I37" s="814"/>
      <c r="J37" s="814"/>
      <c r="K37" s="814"/>
      <c r="L37" s="814"/>
      <c r="M37" s="814"/>
      <c r="N37" s="814"/>
      <c r="O37" s="815"/>
      <c r="P37" s="814"/>
      <c r="Q37" s="814"/>
      <c r="R37" s="816">
        <f aca="true" t="shared" si="0" ref="R37:AA37">SUM(R30:R36)</f>
        <v>5649.621524377599</v>
      </c>
      <c r="S37" s="817">
        <f t="shared" si="0"/>
        <v>0</v>
      </c>
      <c r="T37" s="818">
        <f t="shared" si="0"/>
        <v>0</v>
      </c>
      <c r="U37" s="818">
        <f t="shared" si="0"/>
        <v>0</v>
      </c>
      <c r="V37" s="818">
        <f t="shared" si="0"/>
        <v>0</v>
      </c>
      <c r="W37" s="819">
        <f t="shared" si="0"/>
        <v>0</v>
      </c>
      <c r="X37" s="819">
        <f t="shared" si="0"/>
        <v>0</v>
      </c>
      <c r="Y37" s="819">
        <f t="shared" si="0"/>
        <v>0</v>
      </c>
      <c r="Z37" s="820">
        <f t="shared" si="0"/>
        <v>0</v>
      </c>
      <c r="AA37" s="821">
        <f t="shared" si="0"/>
        <v>0</v>
      </c>
      <c r="AB37" s="822"/>
      <c r="AC37" s="823">
        <f>SUM(AC30:AC36)</f>
        <v>5649.621524377599</v>
      </c>
      <c r="AD37" s="170"/>
    </row>
    <row r="38" spans="1:30" ht="13.5" customHeight="1" thickBot="1" thickTop="1">
      <c r="A38" s="124"/>
      <c r="B38" s="142"/>
      <c r="C38" s="733"/>
      <c r="D38" s="733"/>
      <c r="E38" s="812"/>
      <c r="F38" s="745"/>
      <c r="G38" s="813"/>
      <c r="H38" s="813"/>
      <c r="I38" s="814"/>
      <c r="J38" s="814"/>
      <c r="K38" s="814"/>
      <c r="L38" s="814"/>
      <c r="M38" s="814"/>
      <c r="N38" s="814"/>
      <c r="O38" s="815"/>
      <c r="P38" s="814"/>
      <c r="Q38" s="814"/>
      <c r="R38" s="824"/>
      <c r="S38" s="825"/>
      <c r="T38" s="826"/>
      <c r="U38" s="826"/>
      <c r="V38" s="826"/>
      <c r="W38" s="824"/>
      <c r="X38" s="824"/>
      <c r="Y38" s="824"/>
      <c r="Z38" s="824"/>
      <c r="AA38" s="824"/>
      <c r="AB38" s="827"/>
      <c r="AC38" s="828"/>
      <c r="AD38" s="170"/>
    </row>
    <row r="39" spans="1:33" s="16" customFormat="1" ht="33.75" customHeight="1" hidden="1" thickBot="1" thickTop="1">
      <c r="A39" s="75"/>
      <c r="B39" s="198"/>
      <c r="C39" s="221" t="s">
        <v>107</v>
      </c>
      <c r="D39" s="224" t="s">
        <v>149</v>
      </c>
      <c r="E39" s="222" t="s">
        <v>77</v>
      </c>
      <c r="F39" s="225" t="s">
        <v>150</v>
      </c>
      <c r="G39" s="226" t="s">
        <v>108</v>
      </c>
      <c r="H39" s="356" t="s">
        <v>112</v>
      </c>
      <c r="I39" s="829"/>
      <c r="J39" s="222" t="s">
        <v>113</v>
      </c>
      <c r="K39" s="222" t="s">
        <v>114</v>
      </c>
      <c r="L39" s="224" t="s">
        <v>151</v>
      </c>
      <c r="M39" s="224" t="s">
        <v>116</v>
      </c>
      <c r="N39" s="190" t="s">
        <v>230</v>
      </c>
      <c r="O39" s="222" t="s">
        <v>120</v>
      </c>
      <c r="P39" s="830" t="s">
        <v>152</v>
      </c>
      <c r="Q39" s="831"/>
      <c r="R39" s="356" t="s">
        <v>231</v>
      </c>
      <c r="S39" s="832" t="s">
        <v>121</v>
      </c>
      <c r="T39" s="833" t="s">
        <v>232</v>
      </c>
      <c r="U39" s="834"/>
      <c r="V39" s="835" t="s">
        <v>125</v>
      </c>
      <c r="W39" s="836"/>
      <c r="X39" s="837"/>
      <c r="Y39" s="837"/>
      <c r="Z39" s="837"/>
      <c r="AA39" s="838"/>
      <c r="AB39" s="192" t="s">
        <v>127</v>
      </c>
      <c r="AC39" s="226" t="s">
        <v>128</v>
      </c>
      <c r="AD39" s="165"/>
      <c r="AF39"/>
      <c r="AG39"/>
    </row>
    <row r="40" spans="1:30" ht="16.5" customHeight="1" hidden="1" thickTop="1">
      <c r="A40" s="16"/>
      <c r="B40" s="142"/>
      <c r="C40" s="53"/>
      <c r="D40" s="53"/>
      <c r="E40" s="53"/>
      <c r="F40" s="53"/>
      <c r="G40" s="839"/>
      <c r="H40" s="840"/>
      <c r="I40" s="841"/>
      <c r="J40" s="53"/>
      <c r="K40" s="53"/>
      <c r="L40" s="53"/>
      <c r="M40" s="53"/>
      <c r="N40" s="53"/>
      <c r="O40" s="842"/>
      <c r="P40" s="843"/>
      <c r="Q40" s="844"/>
      <c r="R40" s="845"/>
      <c r="S40" s="846"/>
      <c r="T40" s="847"/>
      <c r="U40" s="848"/>
      <c r="V40" s="849"/>
      <c r="W40" s="850"/>
      <c r="X40" s="851"/>
      <c r="Y40" s="851"/>
      <c r="Z40" s="851"/>
      <c r="AA40" s="852"/>
      <c r="AB40" s="842"/>
      <c r="AC40" s="853"/>
      <c r="AD40" s="165"/>
    </row>
    <row r="41" spans="1:30" ht="16.5" customHeight="1" hidden="1">
      <c r="A41" s="16"/>
      <c r="B41" s="142"/>
      <c r="C41" s="53"/>
      <c r="D41" s="54"/>
      <c r="E41" s="55"/>
      <c r="F41" s="56"/>
      <c r="G41" s="57"/>
      <c r="H41" s="854">
        <f>F41*$F$20*$L$21</f>
        <v>0</v>
      </c>
      <c r="I41" s="855"/>
      <c r="J41" s="60"/>
      <c r="K41" s="60"/>
      <c r="L41" s="61">
        <f>IF(D41="","",(K41-J41)*24)</f>
      </c>
      <c r="M41" s="62">
        <f>IF(D41="","",(K41-J41)*24*60)</f>
      </c>
      <c r="N41" s="58"/>
      <c r="O41" s="63">
        <f>IF(D41="","",IF(OR(N41="P",N41="RP"),"--","NO"))</f>
      </c>
      <c r="P41" s="856">
        <f>IF(D41="","","NO")</f>
      </c>
      <c r="Q41" s="857"/>
      <c r="R41" s="858">
        <f>200*IF(P41="SI",1,0.1)*IF(N41="P",0.1,1)</f>
        <v>20</v>
      </c>
      <c r="S41" s="859" t="str">
        <f>IF(N41="P",H41*R41*ROUND(M41/60,2),"--")</f>
        <v>--</v>
      </c>
      <c r="T41" s="860" t="str">
        <f>IF(AND(N41="F",O41="NO"),H41*R41,"--")</f>
        <v>--</v>
      </c>
      <c r="U41" s="861" t="str">
        <f>IF(N41="F",H41*R41*ROUND(M41/60,2),"--")</f>
        <v>--</v>
      </c>
      <c r="V41" s="558" t="str">
        <f>IF(N41="RF",H41*R41*ROUND(M41/60,2),"--")</f>
        <v>--</v>
      </c>
      <c r="W41" s="862"/>
      <c r="X41" s="863"/>
      <c r="Y41" s="863"/>
      <c r="Z41" s="863"/>
      <c r="AA41" s="864"/>
      <c r="AB41" s="64">
        <f>IF(D41="","","SI")</f>
      </c>
      <c r="AC41" s="228">
        <f>IF(D41="","",SUM(S41:V41)*IF(AB41="SI",1,2))</f>
      </c>
      <c r="AD41" s="170"/>
    </row>
    <row r="42" spans="1:30" ht="16.5" customHeight="1" hidden="1">
      <c r="A42" s="16"/>
      <c r="B42" s="142"/>
      <c r="C42" s="53"/>
      <c r="D42" s="54"/>
      <c r="E42" s="55"/>
      <c r="F42" s="56"/>
      <c r="G42" s="57"/>
      <c r="H42" s="854">
        <f>F42*$F$20*$L$21</f>
        <v>0</v>
      </c>
      <c r="I42" s="855"/>
      <c r="J42" s="59"/>
      <c r="K42" s="60"/>
      <c r="L42" s="61">
        <f>IF(D42="","",(K42-J42)*24)</f>
      </c>
      <c r="M42" s="62">
        <f>IF(D42="","",(K42-J42)*24*60)</f>
      </c>
      <c r="N42" s="58"/>
      <c r="O42" s="63">
        <f>IF(D42="","",IF(OR(N42="P",N42="RP"),"--","NO"))</f>
      </c>
      <c r="P42" s="856">
        <f>IF(D42="","","NO")</f>
      </c>
      <c r="Q42" s="857"/>
      <c r="R42" s="858">
        <f>200*IF(P42="SI",1,0.1)*IF(N42="P",0.1,1)</f>
        <v>20</v>
      </c>
      <c r="S42" s="859" t="str">
        <f>IF(N42="P",H42*R42*ROUND(M42/60,2),"--")</f>
        <v>--</v>
      </c>
      <c r="T42" s="860" t="str">
        <f>IF(AND(N42="F",O42="NO"),H42*R42,"--")</f>
        <v>--</v>
      </c>
      <c r="U42" s="861" t="str">
        <f>IF(N42="F",H42*R42*ROUND(M42/60,2),"--")</f>
        <v>--</v>
      </c>
      <c r="V42" s="558" t="str">
        <f>IF(N42="RF",H42*R42*ROUND(M42/60,2),"--")</f>
        <v>--</v>
      </c>
      <c r="W42" s="862"/>
      <c r="X42" s="863"/>
      <c r="Y42" s="863"/>
      <c r="Z42" s="863"/>
      <c r="AA42" s="864"/>
      <c r="AB42" s="64">
        <f>IF(D42="","","SI")</f>
      </c>
      <c r="AC42" s="228">
        <f>IF(D42="","",SUM(S42:V42)*IF(AB42="SI",1,2))</f>
      </c>
      <c r="AD42" s="170"/>
    </row>
    <row r="43" spans="1:30" ht="16.5" customHeight="1" hidden="1">
      <c r="A43" s="16"/>
      <c r="B43" s="142"/>
      <c r="C43" s="53"/>
      <c r="D43" s="54"/>
      <c r="E43" s="55"/>
      <c r="F43" s="56"/>
      <c r="G43" s="57"/>
      <c r="H43" s="854">
        <f>F43*$F$20*$L$21</f>
        <v>0</v>
      </c>
      <c r="I43" s="855"/>
      <c r="J43" s="59"/>
      <c r="K43" s="60"/>
      <c r="L43" s="61">
        <f>IF(D43="","",(K43-J43)*24)</f>
      </c>
      <c r="M43" s="62">
        <f>IF(D43="","",(K43-J43)*24*60)</f>
      </c>
      <c r="N43" s="58"/>
      <c r="O43" s="63">
        <f>IF(D43="","",IF(OR(N43="P",N43="RP"),"--","NO"))</f>
      </c>
      <c r="P43" s="856">
        <f>IF(D43="","","NO")</f>
      </c>
      <c r="Q43" s="857"/>
      <c r="R43" s="858">
        <f>200*IF(P43="SI",1,0.1)*IF(N43="P",0.1,1)</f>
        <v>20</v>
      </c>
      <c r="S43" s="859" t="str">
        <f>IF(N43="P",H43*R43*ROUND(M43/60,2),"--")</f>
        <v>--</v>
      </c>
      <c r="T43" s="860" t="str">
        <f>IF(AND(N43="F",O43="NO"),H43*R43,"--")</f>
        <v>--</v>
      </c>
      <c r="U43" s="861" t="str">
        <f>IF(N43="F",H43*R43*ROUND(M43/60,2),"--")</f>
        <v>--</v>
      </c>
      <c r="V43" s="558" t="str">
        <f>IF(N43="RF",H43*R43*ROUND(M43/60,2),"--")</f>
        <v>--</v>
      </c>
      <c r="W43" s="862"/>
      <c r="X43" s="863"/>
      <c r="Y43" s="863"/>
      <c r="Z43" s="863"/>
      <c r="AA43" s="864"/>
      <c r="AB43" s="64">
        <f>IF(D43="","","SI")</f>
      </c>
      <c r="AC43" s="228">
        <f>IF(D43="","",SUM(S43:V43)*IF(AB43="SI",1,2))</f>
      </c>
      <c r="AD43" s="170"/>
    </row>
    <row r="44" spans="1:30" ht="16.5" customHeight="1" hidden="1">
      <c r="A44" s="16"/>
      <c r="B44" s="142"/>
      <c r="C44" s="53"/>
      <c r="D44" s="54"/>
      <c r="E44" s="55"/>
      <c r="F44" s="56"/>
      <c r="G44" s="57"/>
      <c r="H44" s="854">
        <f>F44*$F$20*$L$21</f>
        <v>0</v>
      </c>
      <c r="I44" s="855"/>
      <c r="J44" s="59"/>
      <c r="K44" s="60"/>
      <c r="L44" s="61">
        <f>IF(D44="","",(K44-J44)*24)</f>
      </c>
      <c r="M44" s="62">
        <f>IF(D44="","",(K44-J44)*24*60)</f>
      </c>
      <c r="N44" s="58"/>
      <c r="O44" s="63">
        <f>IF(D44="","",IF(OR(N44="P",N44="RP"),"--","NO"))</f>
      </c>
      <c r="P44" s="856">
        <f>IF(D44="","","NO")</f>
      </c>
      <c r="Q44" s="857"/>
      <c r="R44" s="858">
        <f>200*IF(P44="SI",1,0.1)*IF(N44="P",0.1,1)</f>
        <v>20</v>
      </c>
      <c r="S44" s="859" t="str">
        <f>IF(N44="P",H44*R44*ROUND(M44/60,2),"--")</f>
        <v>--</v>
      </c>
      <c r="T44" s="860" t="str">
        <f>IF(AND(N44="F",O44="NO"),H44*R44,"--")</f>
        <v>--</v>
      </c>
      <c r="U44" s="861" t="str">
        <f>IF(N44="F",H44*R44*ROUND(M44/60,2),"--")</f>
        <v>--</v>
      </c>
      <c r="V44" s="558" t="str">
        <f>IF(N44="RF",H44*R44*ROUND(M44/60,2),"--")</f>
        <v>--</v>
      </c>
      <c r="W44" s="862"/>
      <c r="X44" s="863"/>
      <c r="Y44" s="863"/>
      <c r="Z44" s="863"/>
      <c r="AA44" s="864"/>
      <c r="AB44" s="64">
        <f>IF(D44="","","SI")</f>
      </c>
      <c r="AC44" s="228">
        <f>IF(D44="","",SUM(S44:V44)*IF(AB44="SI",1,2))</f>
      </c>
      <c r="AD44" s="170"/>
    </row>
    <row r="45" spans="1:30" ht="16.5" customHeight="1" hidden="1" thickBot="1">
      <c r="A45" s="124"/>
      <c r="B45" s="142"/>
      <c r="C45" s="66"/>
      <c r="D45" s="865"/>
      <c r="E45" s="866"/>
      <c r="F45" s="867"/>
      <c r="G45" s="868"/>
      <c r="H45" s="869"/>
      <c r="I45" s="870"/>
      <c r="J45" s="871"/>
      <c r="K45" s="872"/>
      <c r="L45" s="873"/>
      <c r="M45" s="874"/>
      <c r="N45" s="70"/>
      <c r="O45" s="38"/>
      <c r="P45" s="875"/>
      <c r="Q45" s="876"/>
      <c r="R45" s="877"/>
      <c r="S45" s="878"/>
      <c r="T45" s="879"/>
      <c r="U45" s="880"/>
      <c r="V45" s="881"/>
      <c r="W45" s="882"/>
      <c r="X45" s="883"/>
      <c r="Y45" s="883"/>
      <c r="Z45" s="883"/>
      <c r="AA45" s="884"/>
      <c r="AB45" s="885"/>
      <c r="AC45" s="886"/>
      <c r="AD45" s="170"/>
    </row>
    <row r="46" spans="1:30" ht="16.5" customHeight="1" hidden="1" thickBot="1" thickTop="1">
      <c r="A46" s="124"/>
      <c r="B46" s="142"/>
      <c r="C46" s="199"/>
      <c r="D46" s="1"/>
      <c r="E46" s="1"/>
      <c r="F46" s="263"/>
      <c r="G46" s="887"/>
      <c r="H46" s="888"/>
      <c r="I46" s="889"/>
      <c r="J46" s="890"/>
      <c r="K46" s="891"/>
      <c r="L46" s="892"/>
      <c r="M46" s="888"/>
      <c r="N46" s="893"/>
      <c r="O46" s="45"/>
      <c r="P46" s="894"/>
      <c r="Q46" s="895"/>
      <c r="R46" s="896"/>
      <c r="S46" s="896"/>
      <c r="T46" s="896"/>
      <c r="U46" s="341"/>
      <c r="V46" s="341"/>
      <c r="W46" s="341"/>
      <c r="X46" s="341"/>
      <c r="Y46" s="341"/>
      <c r="Z46" s="341"/>
      <c r="AA46" s="341"/>
      <c r="AB46" s="341"/>
      <c r="AC46" s="897">
        <f>SUM(AC40:AC45)</f>
        <v>0</v>
      </c>
      <c r="AD46" s="170"/>
    </row>
    <row r="47" spans="1:30" ht="16.5" customHeight="1" thickBot="1" thickTop="1">
      <c r="A47" s="124"/>
      <c r="B47" s="142"/>
      <c r="C47" s="199"/>
      <c r="D47" s="1"/>
      <c r="E47" s="1"/>
      <c r="F47" s="263"/>
      <c r="G47" s="887"/>
      <c r="H47" s="888"/>
      <c r="I47" s="889"/>
      <c r="J47" s="746" t="s">
        <v>233</v>
      </c>
      <c r="K47" s="747">
        <f>+AC46+AC37</f>
        <v>5649.621524377599</v>
      </c>
      <c r="L47" s="892"/>
      <c r="M47" s="888"/>
      <c r="N47" s="898"/>
      <c r="O47" s="899"/>
      <c r="P47" s="894"/>
      <c r="Q47" s="895"/>
      <c r="R47" s="896"/>
      <c r="S47" s="896"/>
      <c r="T47" s="896"/>
      <c r="U47" s="341"/>
      <c r="V47" s="341"/>
      <c r="W47" s="341"/>
      <c r="X47" s="341"/>
      <c r="Y47" s="341"/>
      <c r="Z47" s="341"/>
      <c r="AA47" s="341"/>
      <c r="AB47" s="341"/>
      <c r="AC47" s="900"/>
      <c r="AD47" s="170"/>
    </row>
    <row r="48" spans="1:30" ht="13.5" customHeight="1" thickTop="1">
      <c r="A48" s="124"/>
      <c r="B48" s="670"/>
      <c r="C48" s="733"/>
      <c r="D48" s="901"/>
      <c r="E48" s="902"/>
      <c r="F48" s="903"/>
      <c r="G48" s="904"/>
      <c r="H48" s="904"/>
      <c r="I48" s="902"/>
      <c r="J48" s="905"/>
      <c r="K48" s="905"/>
      <c r="L48" s="902"/>
      <c r="M48" s="902"/>
      <c r="N48" s="902"/>
      <c r="O48" s="906"/>
      <c r="P48" s="902"/>
      <c r="Q48" s="902"/>
      <c r="R48" s="907"/>
      <c r="S48" s="908"/>
      <c r="T48" s="908"/>
      <c r="U48" s="909"/>
      <c r="AC48" s="909"/>
      <c r="AD48" s="910"/>
    </row>
    <row r="49" spans="1:30" ht="16.5" customHeight="1">
      <c r="A49" s="124"/>
      <c r="B49" s="670"/>
      <c r="C49" s="911" t="s">
        <v>234</v>
      </c>
      <c r="D49" s="912" t="s">
        <v>246</v>
      </c>
      <c r="E49" s="902"/>
      <c r="F49" s="903"/>
      <c r="G49" s="904"/>
      <c r="H49" s="904"/>
      <c r="I49" s="902"/>
      <c r="J49" s="905"/>
      <c r="K49" s="905"/>
      <c r="L49" s="902"/>
      <c r="M49" s="902"/>
      <c r="N49" s="902"/>
      <c r="O49" s="906"/>
      <c r="P49" s="902"/>
      <c r="Q49" s="902"/>
      <c r="R49" s="907"/>
      <c r="S49" s="908"/>
      <c r="T49" s="908"/>
      <c r="U49" s="909"/>
      <c r="AC49" s="909"/>
      <c r="AD49" s="910"/>
    </row>
    <row r="50" spans="1:30" ht="16.5" customHeight="1">
      <c r="A50" s="124"/>
      <c r="B50" s="670"/>
      <c r="C50" s="911"/>
      <c r="D50" s="901"/>
      <c r="E50" s="902"/>
      <c r="F50" s="903"/>
      <c r="G50" s="904"/>
      <c r="H50" s="904"/>
      <c r="I50" s="902"/>
      <c r="J50" s="905"/>
      <c r="K50" s="905"/>
      <c r="L50" s="902"/>
      <c r="M50" s="902"/>
      <c r="N50" s="902"/>
      <c r="O50" s="906"/>
      <c r="P50" s="902"/>
      <c r="Q50" s="902"/>
      <c r="R50" s="902"/>
      <c r="S50" s="907"/>
      <c r="T50" s="908"/>
      <c r="AD50" s="910"/>
    </row>
    <row r="51" spans="2:30" s="124" customFormat="1" ht="16.5" customHeight="1">
      <c r="B51" s="670"/>
      <c r="C51" s="733"/>
      <c r="D51" s="913" t="s">
        <v>88</v>
      </c>
      <c r="E51" s="814" t="s">
        <v>235</v>
      </c>
      <c r="F51" s="814" t="s">
        <v>236</v>
      </c>
      <c r="G51" s="914" t="s">
        <v>247</v>
      </c>
      <c r="H51" s="815"/>
      <c r="I51" s="814"/>
      <c r="J51"/>
      <c r="K51"/>
      <c r="L51" s="915" t="s">
        <v>248</v>
      </c>
      <c r="M51"/>
      <c r="N51"/>
      <c r="O51"/>
      <c r="P51"/>
      <c r="Q51" s="918"/>
      <c r="R51" s="918"/>
      <c r="S51" s="126"/>
      <c r="T51"/>
      <c r="U51"/>
      <c r="V51"/>
      <c r="W51"/>
      <c r="X51" s="126"/>
      <c r="Y51" s="126"/>
      <c r="Z51" s="126"/>
      <c r="AA51" s="126"/>
      <c r="AB51" s="126"/>
      <c r="AC51" s="919" t="s">
        <v>250</v>
      </c>
      <c r="AD51" s="910"/>
    </row>
    <row r="52" spans="2:30" s="124" customFormat="1" ht="16.5" customHeight="1">
      <c r="B52" s="670"/>
      <c r="C52" s="733"/>
      <c r="D52" s="814" t="s">
        <v>256</v>
      </c>
      <c r="E52" s="921">
        <v>506</v>
      </c>
      <c r="F52" s="921">
        <v>500</v>
      </c>
      <c r="G52" s="922">
        <f>E52*$F$19*$L$20/100*$L$21</f>
        <v>195001.31819519997</v>
      </c>
      <c r="H52" s="922"/>
      <c r="I52" s="922"/>
      <c r="J52" s="4"/>
      <c r="K52"/>
      <c r="L52" s="923">
        <v>149614</v>
      </c>
      <c r="M52" s="4"/>
      <c r="N52" s="1019" t="str">
        <f>CONCATENATE("(DTE ",RIGHT($B$13,2),IF(MONTH($J$31)&gt;9,"","0"),MONTH($J$31),")")</f>
        <v>(DTE 9911)</v>
      </c>
      <c r="O52"/>
      <c r="P52"/>
      <c r="Q52" s="918"/>
      <c r="R52" s="918"/>
      <c r="S52" s="126"/>
      <c r="T52"/>
      <c r="U52"/>
      <c r="V52"/>
      <c r="W52"/>
      <c r="X52" s="126"/>
      <c r="Y52" s="126"/>
      <c r="Z52" s="126"/>
      <c r="AA52" s="126"/>
      <c r="AB52" s="925"/>
      <c r="AC52" s="742">
        <f>L52+G52</f>
        <v>344615.31819519994</v>
      </c>
      <c r="AD52" s="910"/>
    </row>
    <row r="53" spans="2:30" s="124" customFormat="1" ht="16.5" customHeight="1">
      <c r="B53" s="670"/>
      <c r="C53" s="733"/>
      <c r="D53" s="661" t="s">
        <v>257</v>
      </c>
      <c r="E53" s="921">
        <v>85</v>
      </c>
      <c r="F53" s="921">
        <v>500</v>
      </c>
      <c r="G53" s="922">
        <f>E53*$F$19*$L$20/100*$L$21</f>
        <v>32757.138432000007</v>
      </c>
      <c r="H53" s="661"/>
      <c r="I53" s="926"/>
      <c r="J53" s="4"/>
      <c r="K53"/>
      <c r="L53" s="922">
        <v>15033</v>
      </c>
      <c r="M53" s="4"/>
      <c r="N53" s="1019" t="str">
        <f>CONCATENATE("(DTE ",RIGHT($B$13,2),IF(MONTH($J$31)&gt;9,"","0"),MONTH($J$31),")")</f>
        <v>(DTE 9911)</v>
      </c>
      <c r="O53" s="927"/>
      <c r="P53"/>
      <c r="Q53" s="918"/>
      <c r="R53" s="918"/>
      <c r="S53" s="126"/>
      <c r="T53"/>
      <c r="U53"/>
      <c r="V53"/>
      <c r="W53"/>
      <c r="X53" s="126"/>
      <c r="Y53" s="126"/>
      <c r="Z53" s="126"/>
      <c r="AA53" s="126"/>
      <c r="AB53" s="126"/>
      <c r="AC53" s="742">
        <f>L53+G53</f>
        <v>47790.13843200001</v>
      </c>
      <c r="AD53" s="910"/>
    </row>
    <row r="54" spans="2:30" s="124" customFormat="1" ht="16.5" customHeight="1">
      <c r="B54" s="670"/>
      <c r="C54" s="733"/>
      <c r="E54" s="738"/>
      <c r="F54" s="814"/>
      <c r="G54" s="815"/>
      <c r="H54"/>
      <c r="I54" s="814"/>
      <c r="J54" s="814"/>
      <c r="K54"/>
      <c r="L54" s="742"/>
      <c r="M54" s="917"/>
      <c r="N54" s="1021"/>
      <c r="O54" s="918"/>
      <c r="P54" s="918"/>
      <c r="Q54" s="918"/>
      <c r="R54" s="918"/>
      <c r="S54" s="126"/>
      <c r="T54"/>
      <c r="U54"/>
      <c r="V54"/>
      <c r="W54"/>
      <c r="X54" s="126"/>
      <c r="Y54" s="126"/>
      <c r="Z54" s="126"/>
      <c r="AA54" s="126"/>
      <c r="AB54" s="126"/>
      <c r="AC54" s="742"/>
      <c r="AD54" s="910"/>
    </row>
    <row r="55" spans="1:30" ht="16.5" customHeight="1">
      <c r="A55" s="124"/>
      <c r="B55" s="670"/>
      <c r="C55" s="733"/>
      <c r="D55" s="913" t="s">
        <v>258</v>
      </c>
      <c r="E55" s="814" t="s">
        <v>259</v>
      </c>
      <c r="F55" s="814" t="s">
        <v>236</v>
      </c>
      <c r="G55" s="914" t="s">
        <v>266</v>
      </c>
      <c r="I55" s="916"/>
      <c r="J55" s="814"/>
      <c r="L55" s="915" t="s">
        <v>249</v>
      </c>
      <c r="M55" s="916"/>
      <c r="N55" s="1021"/>
      <c r="O55" s="918"/>
      <c r="P55" s="918"/>
      <c r="Q55" s="918"/>
      <c r="R55" s="918"/>
      <c r="S55" s="918"/>
      <c r="AC55" s="742">
        <f>+L56</f>
        <v>39667</v>
      </c>
      <c r="AD55" s="910"/>
    </row>
    <row r="56" spans="1:30" ht="16.5" customHeight="1">
      <c r="A56" s="124"/>
      <c r="B56" s="670"/>
      <c r="C56" s="733"/>
      <c r="D56" s="814" t="s">
        <v>260</v>
      </c>
      <c r="E56" s="921">
        <v>300</v>
      </c>
      <c r="F56" s="921" t="s">
        <v>23</v>
      </c>
      <c r="G56" s="922">
        <f>E56*F20*L20*$L$21</f>
        <v>31472.927999999996</v>
      </c>
      <c r="H56" s="4"/>
      <c r="I56" s="4"/>
      <c r="J56" s="923"/>
      <c r="L56" s="923">
        <v>39667</v>
      </c>
      <c r="M56" s="4"/>
      <c r="N56" s="1019" t="str">
        <f>CONCATENATE("(DTE ",RIGHT($B$13,2),IF(MONTH($J$31)&gt;9,"","0"),MONTH($J$31),")")</f>
        <v>(DTE 9911)</v>
      </c>
      <c r="O56" s="956"/>
      <c r="P56" s="956"/>
      <c r="Q56" s="956"/>
      <c r="R56" s="956"/>
      <c r="S56" s="956"/>
      <c r="AC56" s="957">
        <f>G56</f>
        <v>31472.927999999996</v>
      </c>
      <c r="AD56" s="910"/>
    </row>
    <row r="57" spans="1:30" ht="16.5" customHeight="1">
      <c r="A57" s="124"/>
      <c r="B57" s="670"/>
      <c r="C57" s="733"/>
      <c r="D57" s="814"/>
      <c r="E57" s="921"/>
      <c r="F57" s="921"/>
      <c r="G57" s="922"/>
      <c r="H57" s="4"/>
      <c r="I57" s="4"/>
      <c r="J57" s="923"/>
      <c r="L57" s="923"/>
      <c r="M57" s="4"/>
      <c r="N57" s="924"/>
      <c r="O57" s="956"/>
      <c r="P57" s="956"/>
      <c r="Q57" s="956"/>
      <c r="R57" s="956"/>
      <c r="S57" s="956"/>
      <c r="AC57" s="957"/>
      <c r="AD57" s="910"/>
    </row>
    <row r="58" spans="1:30" ht="16.5" customHeight="1">
      <c r="A58" s="124"/>
      <c r="B58" s="670"/>
      <c r="C58" s="733"/>
      <c r="D58" s="913" t="s">
        <v>261</v>
      </c>
      <c r="E58" s="926" t="s">
        <v>262</v>
      </c>
      <c r="F58" s="926"/>
      <c r="G58" s="814" t="s">
        <v>236</v>
      </c>
      <c r="I58" s="916"/>
      <c r="J58" s="914" t="s">
        <v>267</v>
      </c>
      <c r="L58" s="915"/>
      <c r="M58" s="916"/>
      <c r="N58" s="917"/>
      <c r="O58" s="918"/>
      <c r="P58" s="918"/>
      <c r="Q58" s="918"/>
      <c r="R58" s="918"/>
      <c r="S58" s="918"/>
      <c r="AC58" s="742"/>
      <c r="AD58" s="910"/>
    </row>
    <row r="59" spans="1:30" ht="16.5" customHeight="1">
      <c r="A59" s="124"/>
      <c r="B59" s="670"/>
      <c r="C59" s="733"/>
      <c r="D59" s="814" t="s">
        <v>263</v>
      </c>
      <c r="E59" s="958" t="s">
        <v>264</v>
      </c>
      <c r="F59" s="958"/>
      <c r="G59" s="921">
        <v>132</v>
      </c>
      <c r="H59" s="4"/>
      <c r="I59" s="4"/>
      <c r="J59" s="922">
        <f>0*F21*L20</f>
        <v>0</v>
      </c>
      <c r="L59" s="923"/>
      <c r="M59" s="4"/>
      <c r="N59" s="924"/>
      <c r="O59" s="956"/>
      <c r="P59" s="956"/>
      <c r="Q59" s="956"/>
      <c r="R59" s="956"/>
      <c r="S59" s="956"/>
      <c r="AC59" s="959">
        <f>J59</f>
        <v>0</v>
      </c>
      <c r="AD59" s="910"/>
    </row>
    <row r="60" spans="1:30" ht="16.5" customHeight="1">
      <c r="A60" s="124"/>
      <c r="B60" s="670"/>
      <c r="C60" s="733"/>
      <c r="D60" s="905"/>
      <c r="E60" s="738"/>
      <c r="F60" s="814"/>
      <c r="G60" s="814"/>
      <c r="H60" s="815"/>
      <c r="J60" s="814"/>
      <c r="L60" s="929"/>
      <c r="M60" s="917"/>
      <c r="N60" s="917"/>
      <c r="O60" s="918"/>
      <c r="P60" s="918"/>
      <c r="Q60" s="918"/>
      <c r="R60" s="918"/>
      <c r="S60" s="918"/>
      <c r="AC60" s="732">
        <f>SUM(AC52:AC59)</f>
        <v>463545.38462719996</v>
      </c>
      <c r="AD60" s="910"/>
    </row>
    <row r="61" spans="2:30" ht="16.5" customHeight="1">
      <c r="B61" s="670"/>
      <c r="C61" s="911" t="s">
        <v>239</v>
      </c>
      <c r="D61" s="930" t="s">
        <v>240</v>
      </c>
      <c r="E61" s="814"/>
      <c r="F61" s="931"/>
      <c r="G61" s="813"/>
      <c r="H61" s="905"/>
      <c r="I61" s="905"/>
      <c r="J61" s="905"/>
      <c r="K61" s="814"/>
      <c r="L61" s="814"/>
      <c r="M61" s="905"/>
      <c r="N61" s="814"/>
      <c r="O61" s="905"/>
      <c r="P61" s="905"/>
      <c r="Q61" s="905"/>
      <c r="R61" s="905"/>
      <c r="S61" s="905"/>
      <c r="T61" s="905"/>
      <c r="U61" s="905"/>
      <c r="AC61" s="905"/>
      <c r="AD61" s="910"/>
    </row>
    <row r="62" spans="2:30" s="124" customFormat="1" ht="16.5" customHeight="1">
      <c r="B62" s="670"/>
      <c r="C62" s="733"/>
      <c r="D62" s="913" t="s">
        <v>241</v>
      </c>
      <c r="E62" s="932">
        <f>10*K47*K25/AC60</f>
        <v>2259.84860975104</v>
      </c>
      <c r="G62" s="813"/>
      <c r="L62" s="814"/>
      <c r="N62" s="814"/>
      <c r="O62" s="815"/>
      <c r="V62"/>
      <c r="W62"/>
      <c r="AD62" s="910"/>
    </row>
    <row r="63" spans="2:30" s="124" customFormat="1" ht="16.5" customHeight="1">
      <c r="B63" s="670"/>
      <c r="C63" s="733"/>
      <c r="E63" s="933"/>
      <c r="F63" s="745"/>
      <c r="G63" s="813"/>
      <c r="J63" s="813"/>
      <c r="K63" s="828"/>
      <c r="L63" s="814"/>
      <c r="M63" s="814"/>
      <c r="N63" s="814"/>
      <c r="O63" s="815"/>
      <c r="P63" s="814"/>
      <c r="Q63" s="814"/>
      <c r="R63" s="827"/>
      <c r="S63" s="827"/>
      <c r="T63" s="827"/>
      <c r="U63" s="934"/>
      <c r="V63"/>
      <c r="W63"/>
      <c r="AC63" s="934"/>
      <c r="AD63" s="910"/>
    </row>
    <row r="64" spans="2:30" ht="16.5" customHeight="1">
      <c r="B64" s="670"/>
      <c r="C64" s="733"/>
      <c r="D64" s="935" t="s">
        <v>265</v>
      </c>
      <c r="E64" s="936"/>
      <c r="F64" s="745"/>
      <c r="G64" s="813"/>
      <c r="H64" s="905"/>
      <c r="I64" s="905"/>
      <c r="N64" s="814"/>
      <c r="O64" s="815"/>
      <c r="P64" s="814"/>
      <c r="Q64" s="814"/>
      <c r="R64" s="916"/>
      <c r="S64" s="916"/>
      <c r="T64" s="916"/>
      <c r="U64" s="917"/>
      <c r="AC64" s="917"/>
      <c r="AD64" s="910"/>
    </row>
    <row r="65" spans="2:30" ht="16.5" customHeight="1" thickBot="1">
      <c r="B65" s="670"/>
      <c r="C65" s="733"/>
      <c r="D65" s="935"/>
      <c r="E65" s="936"/>
      <c r="F65" s="745"/>
      <c r="G65" s="813"/>
      <c r="H65" s="905"/>
      <c r="I65" s="905"/>
      <c r="N65" s="814"/>
      <c r="O65" s="815"/>
      <c r="P65" s="814"/>
      <c r="Q65" s="814"/>
      <c r="R65" s="916"/>
      <c r="S65" s="916"/>
      <c r="T65" s="916"/>
      <c r="U65" s="917"/>
      <c r="AC65" s="917"/>
      <c r="AD65" s="910"/>
    </row>
    <row r="66" spans="2:30" s="937" customFormat="1" ht="21" thickBot="1" thickTop="1">
      <c r="B66" s="938"/>
      <c r="C66" s="939"/>
      <c r="D66" s="940"/>
      <c r="E66" s="941"/>
      <c r="F66" s="942"/>
      <c r="G66" s="943"/>
      <c r="I66"/>
      <c r="J66" s="944" t="s">
        <v>243</v>
      </c>
      <c r="K66" s="945">
        <f>IF(E62&gt;3*K25,K25*3,E62)</f>
        <v>2259.84860975104</v>
      </c>
      <c r="M66" s="946"/>
      <c r="N66" s="946"/>
      <c r="O66" s="947"/>
      <c r="P66" s="946"/>
      <c r="Q66" s="946"/>
      <c r="R66" s="948"/>
      <c r="S66" s="948"/>
      <c r="T66" s="948"/>
      <c r="U66" s="949"/>
      <c r="V66"/>
      <c r="W66"/>
      <c r="AC66" s="949"/>
      <c r="AD66" s="950"/>
    </row>
    <row r="67" spans="2:30" ht="16.5" customHeight="1" thickBot="1" thickTop="1">
      <c r="B67" s="149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350"/>
      <c r="W67" s="350"/>
      <c r="X67" s="350"/>
      <c r="Y67" s="350"/>
      <c r="Z67" s="350"/>
      <c r="AA67" s="350"/>
      <c r="AB67" s="350"/>
      <c r="AC67" s="151"/>
      <c r="AD67" s="951"/>
    </row>
    <row r="68" spans="2:23" ht="16.5" customHeight="1" thickTop="1">
      <c r="B68" s="12"/>
      <c r="C68" s="952"/>
      <c r="W68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2"/>
  <sheetViews>
    <sheetView zoomScale="75" zoomScaleNormal="75" workbookViewId="0" topLeftCell="A27">
      <selection activeCell="B49" sqref="B49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47"/>
      <c r="AD1" s="960"/>
    </row>
    <row r="2" spans="1:23" ht="27" customHeight="1">
      <c r="A2" s="7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724" customFormat="1" ht="30.75">
      <c r="A3" s="721"/>
      <c r="B3" s="722" t="str">
        <f>'tot-9911'!B2</f>
        <v>ANEXO I A LA RESOLUCION ENRE N° 320/2000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AB3" s="723"/>
      <c r="AC3" s="723"/>
      <c r="AD3" s="723"/>
    </row>
    <row r="4" spans="1:2" s="117" customFormat="1" ht="11.25">
      <c r="A4" s="953" t="s">
        <v>85</v>
      </c>
      <c r="B4" s="954"/>
    </row>
    <row r="5" spans="1:2" s="117" customFormat="1" ht="12" thickBot="1">
      <c r="A5" s="953" t="s">
        <v>86</v>
      </c>
      <c r="B5" s="953"/>
    </row>
    <row r="6" spans="1:23" ht="16.5" customHeight="1" thickTop="1">
      <c r="A6" s="16"/>
      <c r="B6" s="161"/>
      <c r="C6" s="162"/>
      <c r="D6" s="162"/>
      <c r="E6" s="163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4"/>
    </row>
    <row r="7" spans="1:23" ht="20.25">
      <c r="A7" s="16"/>
      <c r="B7" s="142"/>
      <c r="C7" s="14"/>
      <c r="D7" s="7" t="s">
        <v>214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25"/>
      <c r="Q7" s="725"/>
      <c r="R7" s="14"/>
      <c r="S7" s="14"/>
      <c r="T7" s="14"/>
      <c r="U7" s="14"/>
      <c r="V7" s="14"/>
      <c r="W7" s="165"/>
    </row>
    <row r="8" spans="1:23" ht="16.5" customHeight="1">
      <c r="A8" s="16"/>
      <c r="B8" s="14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65"/>
    </row>
    <row r="9" spans="2:23" s="15" customFormat="1" ht="20.25">
      <c r="B9" s="137"/>
      <c r="C9" s="136"/>
      <c r="D9" s="7" t="s">
        <v>215</v>
      </c>
      <c r="E9" s="136"/>
      <c r="F9" s="136"/>
      <c r="G9" s="136"/>
      <c r="H9" s="136"/>
      <c r="N9" s="136"/>
      <c r="O9" s="136"/>
      <c r="P9" s="374"/>
      <c r="Q9" s="374"/>
      <c r="R9" s="136"/>
      <c r="S9" s="136"/>
      <c r="T9" s="136"/>
      <c r="U9" s="136"/>
      <c r="V9" s="136"/>
      <c r="W9" s="375"/>
    </row>
    <row r="10" spans="1:23" ht="16.5" customHeight="1">
      <c r="A10" s="16"/>
      <c r="B10" s="14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5"/>
    </row>
    <row r="11" spans="2:23" s="15" customFormat="1" ht="20.25">
      <c r="B11" s="137"/>
      <c r="C11" s="136"/>
      <c r="D11" s="7" t="s">
        <v>268</v>
      </c>
      <c r="E11" s="136"/>
      <c r="F11" s="136"/>
      <c r="G11" s="136"/>
      <c r="H11" s="136"/>
      <c r="N11" s="136"/>
      <c r="O11" s="136"/>
      <c r="P11" s="374"/>
      <c r="Q11" s="374"/>
      <c r="R11" s="136"/>
      <c r="S11" s="136"/>
      <c r="T11" s="136"/>
      <c r="U11" s="136"/>
      <c r="V11" s="136"/>
      <c r="W11" s="375"/>
    </row>
    <row r="12" spans="1:23" ht="16.5" customHeight="1">
      <c r="A12" s="16"/>
      <c r="B12" s="142"/>
      <c r="C12" s="14"/>
      <c r="D12" s="14"/>
      <c r="E12" s="16"/>
      <c r="F12" s="16"/>
      <c r="G12" s="16"/>
      <c r="H12" s="16"/>
      <c r="I12" s="166"/>
      <c r="J12" s="166"/>
      <c r="K12" s="166"/>
      <c r="L12" s="166"/>
      <c r="M12" s="166"/>
      <c r="N12" s="166"/>
      <c r="O12" s="166"/>
      <c r="P12" s="166"/>
      <c r="Q12" s="166"/>
      <c r="R12" s="14"/>
      <c r="S12" s="14"/>
      <c r="T12" s="14"/>
      <c r="U12" s="14"/>
      <c r="V12" s="14"/>
      <c r="W12" s="165"/>
    </row>
    <row r="13" spans="2:23" s="15" customFormat="1" ht="19.5">
      <c r="B13" s="130" t="str">
        <f>'tot-9911'!B14</f>
        <v>Desde el 01 al 30 de noviembre de 1999</v>
      </c>
      <c r="C13" s="131"/>
      <c r="D13" s="133"/>
      <c r="E13" s="133"/>
      <c r="F13" s="133"/>
      <c r="G13" s="133"/>
      <c r="H13" s="133"/>
      <c r="I13" s="134"/>
      <c r="J13" s="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726"/>
      <c r="V13" s="726"/>
      <c r="W13" s="135"/>
    </row>
    <row r="14" spans="1:23" ht="16.5" customHeight="1">
      <c r="A14" s="16"/>
      <c r="B14" s="142"/>
      <c r="C14" s="14"/>
      <c r="D14" s="14"/>
      <c r="E14" s="2"/>
      <c r="F14" s="2"/>
      <c r="G14" s="14"/>
      <c r="H14" s="14"/>
      <c r="I14" s="14"/>
      <c r="J14" s="728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65"/>
    </row>
    <row r="15" spans="1:23" ht="16.5" customHeight="1">
      <c r="A15" s="16"/>
      <c r="B15" s="142"/>
      <c r="C15" s="14"/>
      <c r="D15" s="14"/>
      <c r="E15" s="2"/>
      <c r="F15" s="2"/>
      <c r="G15" s="14"/>
      <c r="H15" s="14"/>
      <c r="I15" s="729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65"/>
    </row>
    <row r="16" spans="1:23" ht="16.5" customHeight="1">
      <c r="A16" s="16"/>
      <c r="B16" s="142"/>
      <c r="C16" s="14"/>
      <c r="D16" s="14"/>
      <c r="E16" s="2"/>
      <c r="F16" s="2"/>
      <c r="G16" s="14"/>
      <c r="H16" s="14"/>
      <c r="I16" s="729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65"/>
    </row>
    <row r="17" spans="1:23" ht="16.5" customHeight="1" thickBot="1">
      <c r="A17" s="16"/>
      <c r="B17" s="142"/>
      <c r="C17" s="730" t="s">
        <v>217</v>
      </c>
      <c r="D17" s="13" t="s">
        <v>218</v>
      </c>
      <c r="E17" s="2"/>
      <c r="F17" s="2"/>
      <c r="G17" s="14"/>
      <c r="H17" s="14"/>
      <c r="I17" s="14"/>
      <c r="J17" s="728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65"/>
    </row>
    <row r="18" spans="2:23" s="124" customFormat="1" ht="16.5" customHeight="1" thickBot="1">
      <c r="B18" s="670"/>
      <c r="C18" s="126"/>
      <c r="D18" s="731"/>
      <c r="E18" s="732"/>
      <c r="F18" s="733"/>
      <c r="G18" s="126"/>
      <c r="H18" s="126"/>
      <c r="I18" s="126"/>
      <c r="J18" s="734"/>
      <c r="K18" s="126"/>
      <c r="L18" s="126"/>
      <c r="M18" s="126"/>
      <c r="N18" s="961" t="s">
        <v>111</v>
      </c>
      <c r="P18" s="126"/>
      <c r="Q18" s="126"/>
      <c r="R18" s="126"/>
      <c r="S18" s="126"/>
      <c r="T18" s="126"/>
      <c r="U18" s="126"/>
      <c r="V18" s="126"/>
      <c r="W18" s="735"/>
    </row>
    <row r="19" spans="2:23" s="124" customFormat="1" ht="16.5" customHeight="1">
      <c r="B19" s="670"/>
      <c r="C19" s="126"/>
      <c r="E19" s="739" t="s">
        <v>221</v>
      </c>
      <c r="F19" s="740">
        <v>0.025</v>
      </c>
      <c r="G19" s="737"/>
      <c r="H19" s="126"/>
      <c r="I19" s="743" t="s">
        <v>178</v>
      </c>
      <c r="J19" s="744">
        <v>0.998</v>
      </c>
      <c r="K19" s="962" t="s">
        <v>269</v>
      </c>
      <c r="L19" s="963"/>
      <c r="M19" s="964">
        <v>29.255</v>
      </c>
      <c r="N19" s="965">
        <v>200</v>
      </c>
      <c r="R19" s="126"/>
      <c r="S19" s="126"/>
      <c r="T19" s="126"/>
      <c r="U19" s="126"/>
      <c r="V19" s="126"/>
      <c r="W19" s="735"/>
    </row>
    <row r="20" spans="2:23" s="124" customFormat="1" ht="16.5" customHeight="1">
      <c r="B20" s="670"/>
      <c r="C20" s="126"/>
      <c r="E20" s="731" t="s">
        <v>223</v>
      </c>
      <c r="F20" s="126">
        <f>MID(B13,16,2)*24</f>
        <v>720</v>
      </c>
      <c r="G20" s="126" t="s">
        <v>224</v>
      </c>
      <c r="H20" s="126"/>
      <c r="I20" s="126"/>
      <c r="J20" s="126"/>
      <c r="K20" s="966" t="s">
        <v>159</v>
      </c>
      <c r="L20" s="967"/>
      <c r="M20" s="968">
        <v>26.328</v>
      </c>
      <c r="N20" s="969">
        <v>100</v>
      </c>
      <c r="O20" s="126"/>
      <c r="P20" s="955"/>
      <c r="Q20" s="126"/>
      <c r="R20" s="126"/>
      <c r="S20" s="126"/>
      <c r="T20" s="126"/>
      <c r="U20" s="126"/>
      <c r="V20" s="126"/>
      <c r="W20" s="735"/>
    </row>
    <row r="21" spans="2:23" s="124" customFormat="1" ht="16.5" customHeight="1" thickBot="1">
      <c r="B21" s="670"/>
      <c r="C21" s="126"/>
      <c r="E21" s="731" t="s">
        <v>270</v>
      </c>
      <c r="F21" s="126">
        <v>0.146</v>
      </c>
      <c r="G21" s="124" t="s">
        <v>253</v>
      </c>
      <c r="H21" s="126"/>
      <c r="I21" s="126"/>
      <c r="J21" s="126"/>
      <c r="K21" s="970" t="s">
        <v>271</v>
      </c>
      <c r="L21" s="971"/>
      <c r="M21" s="972">
        <v>23.405</v>
      </c>
      <c r="N21" s="973">
        <v>40</v>
      </c>
      <c r="O21" s="126"/>
      <c r="P21" s="955"/>
      <c r="Q21" s="126"/>
      <c r="R21" s="126"/>
      <c r="S21" s="126"/>
      <c r="T21" s="126"/>
      <c r="U21" s="126"/>
      <c r="V21" s="126"/>
      <c r="W21" s="735"/>
    </row>
    <row r="22" spans="2:23" s="124" customFormat="1" ht="16.5" customHeight="1">
      <c r="B22" s="670"/>
      <c r="C22" s="126"/>
      <c r="D22" s="126"/>
      <c r="E22" s="74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735"/>
    </row>
    <row r="23" spans="1:23" ht="16.5" customHeight="1">
      <c r="A23" s="16"/>
      <c r="B23" s="142"/>
      <c r="C23" s="730" t="s">
        <v>225</v>
      </c>
      <c r="D23" s="125" t="s">
        <v>244</v>
      </c>
      <c r="I23" s="14"/>
      <c r="J23" s="124"/>
      <c r="O23" s="14"/>
      <c r="P23" s="14"/>
      <c r="Q23" s="14"/>
      <c r="R23" s="14"/>
      <c r="S23" s="14"/>
      <c r="T23" s="14"/>
      <c r="V23" s="14"/>
      <c r="W23" s="165"/>
    </row>
    <row r="24" spans="1:23" ht="10.5" customHeight="1" thickBot="1">
      <c r="A24" s="16"/>
      <c r="B24" s="142"/>
      <c r="C24" s="2"/>
      <c r="D24" s="125"/>
      <c r="I24" s="14"/>
      <c r="J24" s="124"/>
      <c r="O24" s="14"/>
      <c r="P24" s="14"/>
      <c r="Q24" s="14"/>
      <c r="R24" s="14"/>
      <c r="S24" s="14"/>
      <c r="T24" s="14"/>
      <c r="V24" s="14"/>
      <c r="W24" s="165"/>
    </row>
    <row r="25" spans="2:23" s="124" customFormat="1" ht="16.5" customHeight="1" thickBot="1" thickTop="1">
      <c r="B25" s="670"/>
      <c r="C25" s="733"/>
      <c r="D25"/>
      <c r="E25"/>
      <c r="F25"/>
      <c r="G25"/>
      <c r="H25"/>
      <c r="I25" s="746" t="s">
        <v>226</v>
      </c>
      <c r="J25" s="974">
        <f>+J63*F19</f>
        <v>14576.977619999998</v>
      </c>
      <c r="L25"/>
      <c r="S25"/>
      <c r="T25"/>
      <c r="U25"/>
      <c r="W25" s="735"/>
    </row>
    <row r="26" spans="2:23" s="124" customFormat="1" ht="11.25" customHeight="1" thickTop="1">
      <c r="B26" s="670"/>
      <c r="C26" s="733"/>
      <c r="D26" s="126"/>
      <c r="E26" s="74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/>
      <c r="W26" s="735"/>
    </row>
    <row r="27" spans="1:23" ht="16.5" customHeight="1">
      <c r="A27" s="16"/>
      <c r="B27" s="142"/>
      <c r="C27" s="730" t="s">
        <v>227</v>
      </c>
      <c r="D27" s="125" t="s">
        <v>245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5"/>
    </row>
    <row r="28" spans="1:23" ht="13.5" customHeight="1" thickBot="1">
      <c r="A28" s="124"/>
      <c r="B28" s="142"/>
      <c r="C28" s="733"/>
      <c r="D28" s="733"/>
      <c r="E28" s="812"/>
      <c r="F28" s="745"/>
      <c r="G28" s="813"/>
      <c r="H28" s="813"/>
      <c r="I28" s="814"/>
      <c r="J28" s="814"/>
      <c r="K28" s="814"/>
      <c r="L28" s="814"/>
      <c r="M28" s="814"/>
      <c r="N28" s="814"/>
      <c r="O28" s="815"/>
      <c r="P28" s="814"/>
      <c r="Q28" s="814"/>
      <c r="R28" s="975"/>
      <c r="S28" s="976"/>
      <c r="T28" s="977"/>
      <c r="U28" s="1142"/>
      <c r="V28" s="1142"/>
      <c r="W28" s="170"/>
    </row>
    <row r="29" spans="1:26" s="16" customFormat="1" ht="33.75" customHeight="1" hidden="1" thickBot="1" thickTop="1">
      <c r="A29" s="75"/>
      <c r="B29" s="198"/>
      <c r="C29" s="221" t="s">
        <v>107</v>
      </c>
      <c r="D29" s="224" t="s">
        <v>149</v>
      </c>
      <c r="E29" s="222" t="s">
        <v>77</v>
      </c>
      <c r="F29" s="225" t="s">
        <v>150</v>
      </c>
      <c r="G29" s="226" t="s">
        <v>108</v>
      </c>
      <c r="H29" s="356" t="s">
        <v>112</v>
      </c>
      <c r="I29" s="222" t="s">
        <v>113</v>
      </c>
      <c r="J29" s="222" t="s">
        <v>114</v>
      </c>
      <c r="K29" s="224" t="s">
        <v>151</v>
      </c>
      <c r="L29" s="224" t="s">
        <v>116</v>
      </c>
      <c r="M29" s="190" t="s">
        <v>230</v>
      </c>
      <c r="N29" s="222" t="s">
        <v>120</v>
      </c>
      <c r="O29" s="830" t="s">
        <v>152</v>
      </c>
      <c r="P29" s="356" t="s">
        <v>231</v>
      </c>
      <c r="Q29" s="832" t="s">
        <v>121</v>
      </c>
      <c r="R29" s="833" t="s">
        <v>232</v>
      </c>
      <c r="S29" s="834"/>
      <c r="T29" s="835" t="s">
        <v>125</v>
      </c>
      <c r="U29" s="1140" t="s">
        <v>127</v>
      </c>
      <c r="V29" s="1141" t="s">
        <v>128</v>
      </c>
      <c r="W29" s="165"/>
      <c r="Y29"/>
      <c r="Z29"/>
    </row>
    <row r="30" spans="1:23" ht="16.5" customHeight="1" hidden="1" thickTop="1">
      <c r="A30" s="16"/>
      <c r="B30" s="142"/>
      <c r="C30" s="53"/>
      <c r="D30" s="53"/>
      <c r="E30" s="53"/>
      <c r="F30" s="53"/>
      <c r="G30" s="839"/>
      <c r="H30" s="840"/>
      <c r="I30" s="53"/>
      <c r="J30" s="53"/>
      <c r="K30" s="53"/>
      <c r="L30" s="53"/>
      <c r="M30" s="53"/>
      <c r="N30" s="842"/>
      <c r="O30" s="978"/>
      <c r="P30" s="845"/>
      <c r="Q30" s="846"/>
      <c r="R30" s="847"/>
      <c r="S30" s="848"/>
      <c r="T30" s="849"/>
      <c r="U30" s="842"/>
      <c r="V30" s="853"/>
      <c r="W30" s="165"/>
    </row>
    <row r="31" spans="1:23" ht="16.5" customHeight="1" hidden="1">
      <c r="A31" s="16"/>
      <c r="B31" s="142"/>
      <c r="C31" s="53"/>
      <c r="D31" s="54"/>
      <c r="E31" s="55"/>
      <c r="F31" s="56"/>
      <c r="G31" s="57"/>
      <c r="H31" s="854">
        <f>F31*$F$21*$J$19</f>
        <v>0</v>
      </c>
      <c r="I31" s="60"/>
      <c r="J31" s="60"/>
      <c r="K31" s="61">
        <f>IF(D31="","",(J31-I31)*24)</f>
      </c>
      <c r="L31" s="62">
        <f>IF(D31="","",(J31-I31)*24*60)</f>
      </c>
      <c r="M31" s="58"/>
      <c r="N31" s="63">
        <f>IF(D31="","",IF(OR(M31="P",M31="RP"),"--","NO"))</f>
      </c>
      <c r="O31" s="979">
        <f>IF(D31="","","NO")</f>
      </c>
      <c r="P31" s="858">
        <f>200*IF(O31="SI",1,0.1)*IF(M31="P",0.1,1)</f>
        <v>20</v>
      </c>
      <c r="Q31" s="859" t="str">
        <f>IF(M31="P",H31*P31*ROUND(L31/60,2),"--")</f>
        <v>--</v>
      </c>
      <c r="R31" s="860" t="str">
        <f>IF(AND(M31="F",N31="NO"),H31*P31,"--")</f>
        <v>--</v>
      </c>
      <c r="S31" s="861" t="str">
        <f>IF(M31="F",H31*P31*ROUND(L31/60,2),"--")</f>
        <v>--</v>
      </c>
      <c r="T31" s="558" t="str">
        <f>IF(M31="RF",H31*P31*ROUND(L31/60,2),"--")</f>
        <v>--</v>
      </c>
      <c r="U31" s="64">
        <f>IF(D31="","","SI")</f>
      </c>
      <c r="V31" s="228">
        <f>IF(D31="","",SUM(Q31:T31)*IF(U31="SI",1,2))</f>
      </c>
      <c r="W31" s="170"/>
    </row>
    <row r="32" spans="1:23" ht="16.5" customHeight="1" hidden="1">
      <c r="A32" s="16"/>
      <c r="B32" s="142"/>
      <c r="C32" s="53"/>
      <c r="D32" s="54"/>
      <c r="E32" s="55"/>
      <c r="F32" s="56"/>
      <c r="G32" s="57"/>
      <c r="H32" s="854">
        <f>F32*$F$21*$J$19</f>
        <v>0</v>
      </c>
      <c r="I32" s="59"/>
      <c r="J32" s="60"/>
      <c r="K32" s="61">
        <f>IF(D32="","",(J32-I32)*24)</f>
      </c>
      <c r="L32" s="62">
        <f>IF(D32="","",(J32-I32)*24*60)</f>
      </c>
      <c r="M32" s="58"/>
      <c r="N32" s="63">
        <f>IF(D32="","",IF(OR(M32="P",M32="RP"),"--","NO"))</f>
      </c>
      <c r="O32" s="979">
        <f>IF(D32="","","NO")</f>
      </c>
      <c r="P32" s="858">
        <f>200*IF(O32="SI",1,0.1)*IF(M32="P",0.1,1)</f>
        <v>20</v>
      </c>
      <c r="Q32" s="859" t="str">
        <f>IF(M32="P",H32*P32*ROUND(L32/60,2),"--")</f>
        <v>--</v>
      </c>
      <c r="R32" s="860" t="str">
        <f>IF(AND(M32="F",N32="NO"),H32*P32,"--")</f>
        <v>--</v>
      </c>
      <c r="S32" s="861" t="str">
        <f>IF(M32="F",H32*P32*ROUND(L32/60,2),"--")</f>
        <v>--</v>
      </c>
      <c r="T32" s="558" t="str">
        <f>IF(M32="RF",H32*P32*ROUND(L32/60,2),"--")</f>
        <v>--</v>
      </c>
      <c r="U32" s="64">
        <f>IF(D32="","","SI")</f>
      </c>
      <c r="V32" s="228">
        <f>IF(D32="","",SUM(Q32:T32)*IF(U32="SI",1,2))</f>
      </c>
      <c r="W32" s="170"/>
    </row>
    <row r="33" spans="1:23" ht="16.5" customHeight="1" hidden="1">
      <c r="A33" s="16"/>
      <c r="B33" s="142"/>
      <c r="C33" s="53"/>
      <c r="D33" s="54"/>
      <c r="E33" s="55"/>
      <c r="F33" s="56"/>
      <c r="G33" s="57"/>
      <c r="H33" s="854">
        <f>F33*$F$21*$J$19</f>
        <v>0</v>
      </c>
      <c r="I33" s="59"/>
      <c r="J33" s="60"/>
      <c r="K33" s="61">
        <f>IF(D33="","",(J33-I33)*24)</f>
      </c>
      <c r="L33" s="62">
        <f>IF(D33="","",(J33-I33)*24*60)</f>
      </c>
      <c r="M33" s="58"/>
      <c r="N33" s="63">
        <f>IF(D33="","",IF(OR(M33="P",M33="RP"),"--","NO"))</f>
      </c>
      <c r="O33" s="979">
        <f>IF(D33="","","NO")</f>
      </c>
      <c r="P33" s="858">
        <f>200*IF(O33="SI",1,0.1)*IF(M33="P",0.1,1)</f>
        <v>20</v>
      </c>
      <c r="Q33" s="859" t="str">
        <f>IF(M33="P",H33*P33*ROUND(L33/60,2),"--")</f>
        <v>--</v>
      </c>
      <c r="R33" s="860" t="str">
        <f>IF(AND(M33="F",N33="NO"),H33*P33,"--")</f>
        <v>--</v>
      </c>
      <c r="S33" s="861" t="str">
        <f>IF(M33="F",H33*P33*ROUND(L33/60,2),"--")</f>
        <v>--</v>
      </c>
      <c r="T33" s="558" t="str">
        <f>IF(M33="RF",H33*P33*ROUND(L33/60,2),"--")</f>
        <v>--</v>
      </c>
      <c r="U33" s="64">
        <f>IF(D33="","","SI")</f>
      </c>
      <c r="V33" s="228">
        <f>IF(D33="","",SUM(Q33:T33)*IF(U33="SI",1,2))</f>
      </c>
      <c r="W33" s="170"/>
    </row>
    <row r="34" spans="1:23" ht="16.5" customHeight="1" hidden="1">
      <c r="A34" s="16"/>
      <c r="B34" s="142"/>
      <c r="C34" s="53"/>
      <c r="D34" s="54"/>
      <c r="E34" s="55"/>
      <c r="F34" s="56"/>
      <c r="G34" s="57"/>
      <c r="H34" s="854">
        <f>F34*$F$21*$J$19</f>
        <v>0</v>
      </c>
      <c r="I34" s="59"/>
      <c r="J34" s="60"/>
      <c r="K34" s="61">
        <f>IF(D34="","",(J34-I34)*24)</f>
      </c>
      <c r="L34" s="62">
        <f>IF(D34="","",(J34-I34)*24*60)</f>
      </c>
      <c r="M34" s="58"/>
      <c r="N34" s="63">
        <f>IF(D34="","",IF(OR(M34="P",M34="RP"),"--","NO"))</f>
      </c>
      <c r="O34" s="979">
        <f>IF(D34="","","NO")</f>
      </c>
      <c r="P34" s="858">
        <f>200*IF(O34="SI",1,0.1)*IF(M34="P",0.1,1)</f>
        <v>20</v>
      </c>
      <c r="Q34" s="859" t="str">
        <f>IF(M34="P",H34*P34*ROUND(L34/60,2),"--")</f>
        <v>--</v>
      </c>
      <c r="R34" s="860" t="str">
        <f>IF(AND(M34="F",N34="NO"),H34*P34,"--")</f>
        <v>--</v>
      </c>
      <c r="S34" s="861" t="str">
        <f>IF(M34="F",H34*P34*ROUND(L34/60,2),"--")</f>
        <v>--</v>
      </c>
      <c r="T34" s="558" t="str">
        <f>IF(M34="RF",H34*P34*ROUND(L34/60,2),"--")</f>
        <v>--</v>
      </c>
      <c r="U34" s="64">
        <f>IF(D34="","","SI")</f>
      </c>
      <c r="V34" s="228">
        <f>IF(D34="","",SUM(Q34:T34)*IF(U34="SI",1,2))</f>
      </c>
      <c r="W34" s="170"/>
    </row>
    <row r="35" spans="1:23" ht="16.5" customHeight="1" hidden="1" thickBot="1">
      <c r="A35" s="124"/>
      <c r="B35" s="142"/>
      <c r="C35" s="66"/>
      <c r="D35" s="865"/>
      <c r="E35" s="866"/>
      <c r="F35" s="867"/>
      <c r="G35" s="868"/>
      <c r="H35" s="869"/>
      <c r="I35" s="871"/>
      <c r="J35" s="872"/>
      <c r="K35" s="873"/>
      <c r="L35" s="874"/>
      <c r="M35" s="70"/>
      <c r="N35" s="38"/>
      <c r="O35" s="980"/>
      <c r="P35" s="877"/>
      <c r="Q35" s="878"/>
      <c r="R35" s="879"/>
      <c r="S35" s="880"/>
      <c r="T35" s="881"/>
      <c r="U35" s="885"/>
      <c r="V35" s="886"/>
      <c r="W35" s="170"/>
    </row>
    <row r="36" spans="1:23" ht="16.5" customHeight="1" hidden="1" thickBot="1" thickTop="1">
      <c r="A36" s="124"/>
      <c r="B36" s="142"/>
      <c r="C36" s="199"/>
      <c r="D36" s="1"/>
      <c r="E36" s="1"/>
      <c r="F36" s="263"/>
      <c r="G36" s="887"/>
      <c r="H36" s="888"/>
      <c r="I36" s="889"/>
      <c r="J36" s="890"/>
      <c r="K36" s="891"/>
      <c r="L36" s="892"/>
      <c r="M36" s="888"/>
      <c r="N36" s="893"/>
      <c r="O36" s="45"/>
      <c r="P36" s="894"/>
      <c r="Q36" s="895"/>
      <c r="R36" s="896"/>
      <c r="S36" s="896"/>
      <c r="T36" s="896"/>
      <c r="U36" s="341"/>
      <c r="V36" s="897">
        <f>SUM(V30:V35)</f>
        <v>0</v>
      </c>
      <c r="W36" s="170"/>
    </row>
    <row r="37" spans="1:23" ht="16.5" customHeight="1" thickBot="1" thickTop="1">
      <c r="A37" s="124"/>
      <c r="B37" s="142"/>
      <c r="C37" s="199"/>
      <c r="D37" s="1"/>
      <c r="E37" s="1"/>
      <c r="F37" s="263"/>
      <c r="G37" s="887"/>
      <c r="H37" s="888"/>
      <c r="I37" s="889"/>
      <c r="L37" s="892"/>
      <c r="M37" s="888"/>
      <c r="N37" s="898"/>
      <c r="O37" s="899"/>
      <c r="P37" s="894"/>
      <c r="Q37" s="895"/>
      <c r="R37" s="896"/>
      <c r="S37" s="896"/>
      <c r="T37" s="896"/>
      <c r="U37" s="341"/>
      <c r="V37" s="341"/>
      <c r="W37" s="170"/>
    </row>
    <row r="38" spans="2:23" s="16" customFormat="1" ht="33.75" customHeight="1" thickBot="1" thickTop="1">
      <c r="B38" s="142"/>
      <c r="C38" s="182" t="s">
        <v>107</v>
      </c>
      <c r="D38" s="191" t="s">
        <v>149</v>
      </c>
      <c r="E38" s="1149" t="s">
        <v>77</v>
      </c>
      <c r="F38" s="1151"/>
      <c r="G38" s="192" t="s">
        <v>108</v>
      </c>
      <c r="H38" s="356" t="s">
        <v>112</v>
      </c>
      <c r="I38" s="185" t="s">
        <v>113</v>
      </c>
      <c r="J38" s="187" t="s">
        <v>114</v>
      </c>
      <c r="K38" s="255" t="s">
        <v>115</v>
      </c>
      <c r="L38" s="255" t="s">
        <v>116</v>
      </c>
      <c r="M38" s="190" t="s">
        <v>117</v>
      </c>
      <c r="N38" s="1149" t="s">
        <v>120</v>
      </c>
      <c r="O38" s="1150"/>
      <c r="P38" s="539" t="s">
        <v>111</v>
      </c>
      <c r="Q38" s="527" t="s">
        <v>137</v>
      </c>
      <c r="R38" s="548" t="s">
        <v>161</v>
      </c>
      <c r="S38" s="549"/>
      <c r="T38" s="561" t="s">
        <v>125</v>
      </c>
      <c r="U38" s="192" t="s">
        <v>127</v>
      </c>
      <c r="V38" s="226" t="s">
        <v>128</v>
      </c>
      <c r="W38" s="146"/>
    </row>
    <row r="39" spans="2:23" s="16" customFormat="1" ht="16.5" customHeight="1" thickTop="1">
      <c r="B39" s="142"/>
      <c r="C39" s="20"/>
      <c r="D39" s="81"/>
      <c r="E39" s="1145"/>
      <c r="F39" s="1146"/>
      <c r="G39" s="81"/>
      <c r="H39" s="367"/>
      <c r="I39" s="81"/>
      <c r="J39" s="81"/>
      <c r="K39" s="81"/>
      <c r="L39" s="81"/>
      <c r="M39" s="81"/>
      <c r="N39" s="81"/>
      <c r="O39" s="981"/>
      <c r="P39" s="538"/>
      <c r="Q39" s="543"/>
      <c r="R39" s="552"/>
      <c r="S39" s="553"/>
      <c r="T39" s="558"/>
      <c r="U39" s="81"/>
      <c r="V39" s="256"/>
      <c r="W39" s="146"/>
    </row>
    <row r="40" spans="2:23" s="16" customFormat="1" ht="16.5" customHeight="1">
      <c r="B40" s="142"/>
      <c r="C40" s="20" t="str">
        <f>'SALIDA-TIBA (2)'!C21</f>
        <v>III</v>
      </c>
      <c r="D40" s="20" t="str">
        <f>'SALIDA-TIBA (2)'!D21</f>
        <v>CAMPANA 500</v>
      </c>
      <c r="E40" s="1145" t="str">
        <f>'SALIDA-TIBA (2)'!E21</f>
        <v>LÍNEA A CAMPANA</v>
      </c>
      <c r="F40" s="1146"/>
      <c r="G40" s="82">
        <f>'SALIDA-TIBA (2)'!F21</f>
        <v>132</v>
      </c>
      <c r="H40" s="357">
        <f aca="true" t="shared" si="0" ref="H40:H48">IF(G40=500,$M$19,IF(G40=220,$M$20,$M$21))*$J$19</f>
        <v>23.35819</v>
      </c>
      <c r="I40" s="83">
        <f>'SALIDA-TIBA (2)'!H21</f>
        <v>36466.51388888889</v>
      </c>
      <c r="J40" s="83">
        <f>'SALIDA-TIBA (2)'!I21</f>
        <v>36466.86597222222</v>
      </c>
      <c r="K40" s="85">
        <f aca="true" t="shared" si="1" ref="K40:K48">IF(D40="","",(J40-I40)*24)</f>
        <v>8.449999999953434</v>
      </c>
      <c r="L40" s="31">
        <f aca="true" t="shared" si="2" ref="L40:L48">IF(D40="","",ROUND((J40-I40)*24*60,0))</f>
        <v>507</v>
      </c>
      <c r="M40" s="28" t="str">
        <f>'SALIDA-TIBA (2)'!L21</f>
        <v>P</v>
      </c>
      <c r="N40" s="1143" t="str">
        <f aca="true" t="shared" si="3" ref="N40:N48">IF(D40="","",IF(OR(M40="P",M40="RP"),"--","NO"))</f>
        <v>--</v>
      </c>
      <c r="O40" s="1144"/>
      <c r="P40" s="540">
        <f aca="true" t="shared" si="4" ref="P40:P48">IF(G40=500,$N$19,IF(G40=220,$N$20,$N$21))</f>
        <v>40</v>
      </c>
      <c r="Q40" s="544">
        <f aca="true" t="shared" si="5" ref="Q40:Q48">IF(M40="P",H40*P40*ROUND(L40/60,2)*0.1,"--")</f>
        <v>789.506822</v>
      </c>
      <c r="R40" s="552" t="str">
        <f aca="true" t="shared" si="6" ref="R40:R48">IF(AND(M40="F",N40="NO"),H40*P40,"--")</f>
        <v>--</v>
      </c>
      <c r="S40" s="553" t="str">
        <f aca="true" t="shared" si="7" ref="S40:S48">IF(M40="F",H40*P40*ROUND(L40/60,2),"--")</f>
        <v>--</v>
      </c>
      <c r="T40" s="558" t="str">
        <f aca="true" t="shared" si="8" ref="T40:T48">IF(M40="RF",H40*P40*ROUND(L40/60,2),"--")</f>
        <v>--</v>
      </c>
      <c r="U40" s="87" t="str">
        <f aca="true" t="shared" si="9" ref="U40:U48">IF(D40="","","SI")</f>
        <v>SI</v>
      </c>
      <c r="V40" s="88">
        <f aca="true" t="shared" si="10" ref="V40:V48">IF(D40="","",SUM(Q40:T40)*IF(U40="SI",1,2))</f>
        <v>789.506822</v>
      </c>
      <c r="W40" s="146"/>
    </row>
    <row r="41" spans="2:23" s="16" customFormat="1" ht="16.5" customHeight="1">
      <c r="B41" s="142"/>
      <c r="C41" s="20" t="str">
        <f>'SALIDA-TIBA (2)'!C22</f>
        <v>IV</v>
      </c>
      <c r="D41" s="20" t="str">
        <f>'SALIDA-TIBA (2)'!D22</f>
        <v>BAHÍA BLANCA 500</v>
      </c>
      <c r="E41" s="1145" t="str">
        <f>'SALIDA-TIBA (2)'!E22</f>
        <v>LÍNEA A CTPL Máq 29</v>
      </c>
      <c r="F41" s="1146"/>
      <c r="G41" s="82">
        <f>'SALIDA-TIBA (2)'!F22</f>
        <v>500</v>
      </c>
      <c r="H41" s="357">
        <f t="shared" si="0"/>
        <v>29.19649</v>
      </c>
      <c r="I41" s="83">
        <f>'SALIDA-TIBA (2)'!H22</f>
        <v>36473.44375</v>
      </c>
      <c r="J41" s="83">
        <f>'SALIDA-TIBA (2)'!I22</f>
        <v>36473.78055555555</v>
      </c>
      <c r="K41" s="85">
        <f t="shared" si="1"/>
        <v>8.08333333331393</v>
      </c>
      <c r="L41" s="31">
        <f t="shared" si="2"/>
        <v>485</v>
      </c>
      <c r="M41" s="28" t="str">
        <f>'SALIDA-TIBA (2)'!L22</f>
        <v>P</v>
      </c>
      <c r="N41" s="1143" t="str">
        <f t="shared" si="3"/>
        <v>--</v>
      </c>
      <c r="O41" s="1144"/>
      <c r="P41" s="540">
        <f t="shared" si="4"/>
        <v>200</v>
      </c>
      <c r="Q41" s="544">
        <f t="shared" si="5"/>
        <v>4718.152784</v>
      </c>
      <c r="R41" s="552" t="str">
        <f t="shared" si="6"/>
        <v>--</v>
      </c>
      <c r="S41" s="553" t="str">
        <f t="shared" si="7"/>
        <v>--</v>
      </c>
      <c r="T41" s="558" t="str">
        <f t="shared" si="8"/>
        <v>--</v>
      </c>
      <c r="U41" s="87" t="str">
        <f t="shared" si="9"/>
        <v>SI</v>
      </c>
      <c r="V41" s="88">
        <f t="shared" si="10"/>
        <v>4718.152784</v>
      </c>
      <c r="W41" s="146"/>
    </row>
    <row r="42" spans="2:23" s="16" customFormat="1" ht="16.5" customHeight="1">
      <c r="B42" s="142"/>
      <c r="C42" s="20" t="str">
        <f>'SALIDA-TIBA (2)'!C23</f>
        <v>V</v>
      </c>
      <c r="D42" s="20" t="str">
        <f>'SALIDA-TIBA (2)'!D23</f>
        <v>BAHÍA BLANCA 500</v>
      </c>
      <c r="E42" s="1145" t="str">
        <f>'SALIDA-TIBA (2)'!E23</f>
        <v>LÍNEA A CTPL Máq 29</v>
      </c>
      <c r="F42" s="1146"/>
      <c r="G42" s="82">
        <f>'SALIDA-TIBA (2)'!F23</f>
        <v>500</v>
      </c>
      <c r="H42" s="357">
        <f t="shared" si="0"/>
        <v>29.19649</v>
      </c>
      <c r="I42" s="83">
        <f>'SALIDA-TIBA (2)'!H23</f>
        <v>36474.44027777778</v>
      </c>
      <c r="J42" s="83">
        <f>'SALIDA-TIBA (2)'!I23</f>
        <v>36474.754166666666</v>
      </c>
      <c r="K42" s="85">
        <f t="shared" si="1"/>
        <v>7.533333333267365</v>
      </c>
      <c r="L42" s="31">
        <f t="shared" si="2"/>
        <v>452</v>
      </c>
      <c r="M42" s="28" t="str">
        <f>'SALIDA-TIBA (2)'!L23</f>
        <v>P</v>
      </c>
      <c r="N42" s="1143" t="str">
        <f t="shared" si="3"/>
        <v>--</v>
      </c>
      <c r="O42" s="1144"/>
      <c r="P42" s="540">
        <f t="shared" si="4"/>
        <v>200</v>
      </c>
      <c r="Q42" s="544">
        <f t="shared" si="5"/>
        <v>4396.991394</v>
      </c>
      <c r="R42" s="552" t="str">
        <f t="shared" si="6"/>
        <v>--</v>
      </c>
      <c r="S42" s="553" t="str">
        <f t="shared" si="7"/>
        <v>--</v>
      </c>
      <c r="T42" s="558" t="str">
        <f t="shared" si="8"/>
        <v>--</v>
      </c>
      <c r="U42" s="87" t="str">
        <f t="shared" si="9"/>
        <v>SI</v>
      </c>
      <c r="V42" s="88">
        <f t="shared" si="10"/>
        <v>4396.991394</v>
      </c>
      <c r="W42" s="146"/>
    </row>
    <row r="43" spans="2:23" s="16" customFormat="1" ht="16.5" customHeight="1">
      <c r="B43" s="142"/>
      <c r="C43" s="20" t="str">
        <f>'SALIDA-TIBA (2)'!C24</f>
        <v>VI</v>
      </c>
      <c r="D43" s="20" t="str">
        <f>'SALIDA-TIBA (2)'!D24</f>
        <v>BAHÍA BLANCA 500</v>
      </c>
      <c r="E43" s="1145" t="str">
        <f>'SALIDA-TIBA (2)'!E24</f>
        <v>LÍNEA A CTPL Máq 29</v>
      </c>
      <c r="F43" s="1146"/>
      <c r="G43" s="82">
        <f>'SALIDA-TIBA (2)'!F24</f>
        <v>500</v>
      </c>
      <c r="H43" s="357">
        <f t="shared" si="0"/>
        <v>29.19649</v>
      </c>
      <c r="I43" s="83">
        <f>'SALIDA-TIBA (2)'!H24</f>
        <v>36475.42152777778</v>
      </c>
      <c r="J43" s="83">
        <f>'SALIDA-TIBA (2)'!I24</f>
        <v>36475.743055555555</v>
      </c>
      <c r="K43" s="85">
        <f t="shared" si="1"/>
        <v>7.716666666674428</v>
      </c>
      <c r="L43" s="31">
        <f t="shared" si="2"/>
        <v>463</v>
      </c>
      <c r="M43" s="28" t="str">
        <f>'SALIDA-TIBA (2)'!L24</f>
        <v>P</v>
      </c>
      <c r="N43" s="1143" t="str">
        <f t="shared" si="3"/>
        <v>--</v>
      </c>
      <c r="O43" s="1144"/>
      <c r="P43" s="540">
        <f t="shared" si="4"/>
        <v>200</v>
      </c>
      <c r="Q43" s="544">
        <f t="shared" si="5"/>
        <v>4507.938056</v>
      </c>
      <c r="R43" s="552" t="str">
        <f t="shared" si="6"/>
        <v>--</v>
      </c>
      <c r="S43" s="553" t="str">
        <f t="shared" si="7"/>
        <v>--</v>
      </c>
      <c r="T43" s="558" t="str">
        <f t="shared" si="8"/>
        <v>--</v>
      </c>
      <c r="U43" s="87" t="str">
        <f t="shared" si="9"/>
        <v>SI</v>
      </c>
      <c r="V43" s="88">
        <f t="shared" si="10"/>
        <v>4507.938056</v>
      </c>
      <c r="W43" s="146"/>
    </row>
    <row r="44" spans="2:23" s="16" customFormat="1" ht="16.5" customHeight="1">
      <c r="B44" s="142"/>
      <c r="C44" s="20" t="str">
        <f>'SALIDA-TIBA (2)'!C25</f>
        <v>VII</v>
      </c>
      <c r="D44" s="20" t="str">
        <f>'SALIDA-TIBA (2)'!D25</f>
        <v>BAHÍA BLANCA 500</v>
      </c>
      <c r="E44" s="1145" t="str">
        <f>'SALIDA-TIBA (2)'!E25</f>
        <v>LÍNEA A CTPL Máq 29</v>
      </c>
      <c r="F44" s="1146"/>
      <c r="G44" s="82">
        <f>'SALIDA-TIBA (2)'!F25</f>
        <v>500</v>
      </c>
      <c r="H44" s="357">
        <f t="shared" si="0"/>
        <v>29.19649</v>
      </c>
      <c r="I44" s="83">
        <f>'SALIDA-TIBA (2)'!H25</f>
        <v>36476.498611111114</v>
      </c>
      <c r="J44" s="83">
        <f>'SALIDA-TIBA (2)'!I25</f>
        <v>36476.743055555555</v>
      </c>
      <c r="K44" s="85">
        <f t="shared" si="1"/>
        <v>5.866666666581295</v>
      </c>
      <c r="L44" s="31">
        <f t="shared" si="2"/>
        <v>352</v>
      </c>
      <c r="M44" s="28" t="str">
        <f>'SALIDA-TIBA (2)'!L25</f>
        <v>P</v>
      </c>
      <c r="N44" s="1143" t="str">
        <f t="shared" si="3"/>
        <v>--</v>
      </c>
      <c r="O44" s="1144"/>
      <c r="P44" s="540">
        <f t="shared" si="4"/>
        <v>200</v>
      </c>
      <c r="Q44" s="544">
        <f t="shared" si="5"/>
        <v>3427.667926</v>
      </c>
      <c r="R44" s="552" t="str">
        <f t="shared" si="6"/>
        <v>--</v>
      </c>
      <c r="S44" s="553" t="str">
        <f t="shared" si="7"/>
        <v>--</v>
      </c>
      <c r="T44" s="558" t="str">
        <f t="shared" si="8"/>
        <v>--</v>
      </c>
      <c r="U44" s="87" t="str">
        <f t="shared" si="9"/>
        <v>SI</v>
      </c>
      <c r="V44" s="88">
        <f t="shared" si="10"/>
        <v>3427.667926</v>
      </c>
      <c r="W44" s="146"/>
    </row>
    <row r="45" spans="2:23" s="16" customFormat="1" ht="16.5" customHeight="1">
      <c r="B45" s="142"/>
      <c r="C45" s="20" t="str">
        <f>'SALIDA-TIBA (2)'!C26</f>
        <v>VIII</v>
      </c>
      <c r="D45" s="20" t="str">
        <f>'SALIDA-TIBA (2)'!D26</f>
        <v>OLAVARRÍA 500</v>
      </c>
      <c r="E45" s="1145" t="str">
        <f>'SALIDA-TIBA (2)'!E26</f>
        <v>LÍNEA A TANDIL</v>
      </c>
      <c r="F45" s="1146"/>
      <c r="G45" s="82">
        <f>'SALIDA-TIBA (2)'!F26</f>
        <v>132</v>
      </c>
      <c r="H45" s="357">
        <f t="shared" si="0"/>
        <v>23.35819</v>
      </c>
      <c r="I45" s="83">
        <f>'SALIDA-TIBA (2)'!H26</f>
        <v>36485.3125</v>
      </c>
      <c r="J45" s="83">
        <f>'SALIDA-TIBA (2)'!I26</f>
        <v>36485.725</v>
      </c>
      <c r="K45" s="85">
        <f t="shared" si="1"/>
        <v>9.899999999965075</v>
      </c>
      <c r="L45" s="31">
        <f t="shared" si="2"/>
        <v>594</v>
      </c>
      <c r="M45" s="28" t="str">
        <f>'SALIDA-TIBA (2)'!L26</f>
        <v>P</v>
      </c>
      <c r="N45" s="1143" t="str">
        <f t="shared" si="3"/>
        <v>--</v>
      </c>
      <c r="O45" s="1144"/>
      <c r="P45" s="540">
        <f t="shared" si="4"/>
        <v>40</v>
      </c>
      <c r="Q45" s="544">
        <f t="shared" si="5"/>
        <v>924.9843240000002</v>
      </c>
      <c r="R45" s="552" t="str">
        <f t="shared" si="6"/>
        <v>--</v>
      </c>
      <c r="S45" s="553" t="str">
        <f t="shared" si="7"/>
        <v>--</v>
      </c>
      <c r="T45" s="558" t="str">
        <f t="shared" si="8"/>
        <v>--</v>
      </c>
      <c r="U45" s="87" t="str">
        <f t="shared" si="9"/>
        <v>SI</v>
      </c>
      <c r="V45" s="88">
        <f t="shared" si="10"/>
        <v>924.9843240000002</v>
      </c>
      <c r="W45" s="146"/>
    </row>
    <row r="46" spans="2:23" s="16" customFormat="1" ht="16.5" customHeight="1">
      <c r="B46" s="142"/>
      <c r="C46" s="20" t="str">
        <f>'SALIDA-TIBA (2)'!C27</f>
        <v>IX</v>
      </c>
      <c r="D46" s="20" t="str">
        <f>'SALIDA-TIBA (2)'!D27</f>
        <v>OLAVARRÍA 500</v>
      </c>
      <c r="E46" s="1145" t="str">
        <f>'SALIDA-TIBA (2)'!E27</f>
        <v>LÍNEA A G. CHAVES</v>
      </c>
      <c r="F46" s="1146"/>
      <c r="G46" s="82">
        <f>'SALIDA-TIBA (2)'!F27</f>
        <v>132</v>
      </c>
      <c r="H46" s="357">
        <f t="shared" si="0"/>
        <v>23.35819</v>
      </c>
      <c r="I46" s="83">
        <f>'SALIDA-TIBA (2)'!H27</f>
        <v>36486.30763888889</v>
      </c>
      <c r="J46" s="83">
        <f>'SALIDA-TIBA (2)'!I27</f>
        <v>36486.61597222222</v>
      </c>
      <c r="K46" s="85">
        <f t="shared" si="1"/>
        <v>7.400000000023283</v>
      </c>
      <c r="L46" s="31">
        <f t="shared" si="2"/>
        <v>444</v>
      </c>
      <c r="M46" s="28" t="str">
        <f>'SALIDA-TIBA (2)'!L27</f>
        <v>P</v>
      </c>
      <c r="N46" s="1143" t="str">
        <f t="shared" si="3"/>
        <v>--</v>
      </c>
      <c r="O46" s="1144"/>
      <c r="P46" s="540">
        <f t="shared" si="4"/>
        <v>40</v>
      </c>
      <c r="Q46" s="544">
        <f t="shared" si="5"/>
        <v>691.4024240000001</v>
      </c>
      <c r="R46" s="552" t="str">
        <f t="shared" si="6"/>
        <v>--</v>
      </c>
      <c r="S46" s="553" t="str">
        <f t="shared" si="7"/>
        <v>--</v>
      </c>
      <c r="T46" s="558" t="str">
        <f t="shared" si="8"/>
        <v>--</v>
      </c>
      <c r="U46" s="87" t="str">
        <f t="shared" si="9"/>
        <v>SI</v>
      </c>
      <c r="V46" s="88">
        <f t="shared" si="10"/>
        <v>691.4024240000001</v>
      </c>
      <c r="W46" s="146"/>
    </row>
    <row r="47" spans="2:23" s="16" customFormat="1" ht="16.5" customHeight="1">
      <c r="B47" s="142"/>
      <c r="C47" s="20" t="str">
        <f>'SALIDA-TIBA (2)'!C28</f>
        <v>X</v>
      </c>
      <c r="D47" s="20" t="str">
        <f>'SALIDA-TIBA (2)'!D28</f>
        <v>OLAVARRÍA 500</v>
      </c>
      <c r="E47" s="1145" t="str">
        <f>'SALIDA-TIBA (2)'!E28</f>
        <v>LÍNEA A G. CHAVES</v>
      </c>
      <c r="F47" s="1146"/>
      <c r="G47" s="82">
        <f>'SALIDA-TIBA (2)'!F28</f>
        <v>132</v>
      </c>
      <c r="H47" s="357">
        <f t="shared" si="0"/>
        <v>23.35819</v>
      </c>
      <c r="I47" s="83">
        <f>'SALIDA-TIBA (2)'!H28</f>
        <v>36487.30486111111</v>
      </c>
      <c r="J47" s="83">
        <f>'SALIDA-TIBA (2)'!I28</f>
        <v>36487.60277777778</v>
      </c>
      <c r="K47" s="85">
        <f t="shared" si="1"/>
        <v>7.150000000081491</v>
      </c>
      <c r="L47" s="31">
        <f t="shared" si="2"/>
        <v>429</v>
      </c>
      <c r="M47" s="28" t="str">
        <f>'SALIDA-TIBA (2)'!L28</f>
        <v>P</v>
      </c>
      <c r="N47" s="1143" t="str">
        <f t="shared" si="3"/>
        <v>--</v>
      </c>
      <c r="O47" s="1144"/>
      <c r="P47" s="540">
        <f t="shared" si="4"/>
        <v>40</v>
      </c>
      <c r="Q47" s="544">
        <f t="shared" si="5"/>
        <v>668.0442340000001</v>
      </c>
      <c r="R47" s="552" t="str">
        <f t="shared" si="6"/>
        <v>--</v>
      </c>
      <c r="S47" s="553" t="str">
        <f t="shared" si="7"/>
        <v>--</v>
      </c>
      <c r="T47" s="558" t="str">
        <f t="shared" si="8"/>
        <v>--</v>
      </c>
      <c r="U47" s="87" t="str">
        <f t="shared" si="9"/>
        <v>SI</v>
      </c>
      <c r="V47" s="88">
        <f t="shared" si="10"/>
        <v>668.0442340000001</v>
      </c>
      <c r="W47" s="146"/>
    </row>
    <row r="48" spans="2:23" s="16" customFormat="1" ht="16.5" customHeight="1">
      <c r="B48" s="142"/>
      <c r="C48" s="20" t="str">
        <f>'SALIDA-TIBA (2)'!C29</f>
        <v>XI</v>
      </c>
      <c r="D48" s="20" t="str">
        <f>'SALIDA-TIBA (2)'!D29</f>
        <v>OLAVARRÍA 500</v>
      </c>
      <c r="E48" s="1145" t="str">
        <f>'SALIDA-TIBA (2)'!E29</f>
        <v>LÍNEA A TANDIL</v>
      </c>
      <c r="F48" s="1146"/>
      <c r="G48" s="82">
        <f>'SALIDA-TIBA (2)'!F29</f>
        <v>132</v>
      </c>
      <c r="H48" s="357">
        <f t="shared" si="0"/>
        <v>23.35819</v>
      </c>
      <c r="I48" s="83">
        <f>'SALIDA-TIBA (2)'!H29</f>
        <v>36492.30416666667</v>
      </c>
      <c r="J48" s="83">
        <f>'SALIDA-TIBA (2)'!I29</f>
        <v>36492.700694444444</v>
      </c>
      <c r="K48" s="85">
        <f t="shared" si="1"/>
        <v>9.516666666604578</v>
      </c>
      <c r="L48" s="31">
        <f t="shared" si="2"/>
        <v>571</v>
      </c>
      <c r="M48" s="28" t="str">
        <f>'SALIDA-TIBA (2)'!L29</f>
        <v>P</v>
      </c>
      <c r="N48" s="1143" t="str">
        <f t="shared" si="3"/>
        <v>--</v>
      </c>
      <c r="O48" s="1144"/>
      <c r="P48" s="540">
        <f t="shared" si="4"/>
        <v>40</v>
      </c>
      <c r="Q48" s="544">
        <f t="shared" si="5"/>
        <v>889.4798752000002</v>
      </c>
      <c r="R48" s="552" t="str">
        <f t="shared" si="6"/>
        <v>--</v>
      </c>
      <c r="S48" s="553" t="str">
        <f t="shared" si="7"/>
        <v>--</v>
      </c>
      <c r="T48" s="558" t="str">
        <f t="shared" si="8"/>
        <v>--</v>
      </c>
      <c r="U48" s="87" t="str">
        <f t="shared" si="9"/>
        <v>SI</v>
      </c>
      <c r="V48" s="88">
        <f t="shared" si="10"/>
        <v>889.4798752000002</v>
      </c>
      <c r="W48" s="146"/>
    </row>
    <row r="49" spans="2:28" s="16" customFormat="1" ht="16.5" customHeight="1" thickBot="1">
      <c r="B49" s="142"/>
      <c r="C49" s="982"/>
      <c r="D49" s="983"/>
      <c r="E49" s="983"/>
      <c r="F49" s="984"/>
      <c r="G49" s="985"/>
      <c r="H49" s="986"/>
      <c r="I49" s="987"/>
      <c r="J49" s="988"/>
      <c r="K49" s="989"/>
      <c r="L49" s="990"/>
      <c r="M49" s="991"/>
      <c r="N49" s="995"/>
      <c r="O49" s="991"/>
      <c r="P49" s="996"/>
      <c r="Q49" s="997"/>
      <c r="R49" s="998"/>
      <c r="S49" s="999"/>
      <c r="T49" s="1000"/>
      <c r="U49" s="1001"/>
      <c r="V49" s="1002"/>
      <c r="W49" s="146"/>
      <c r="X49"/>
      <c r="Y49"/>
      <c r="Z49"/>
      <c r="AA49"/>
      <c r="AB49"/>
    </row>
    <row r="50" spans="1:23" ht="17.25" thickBot="1" thickTop="1">
      <c r="A50" s="124"/>
      <c r="B50" s="670"/>
      <c r="C50" s="733"/>
      <c r="D50" s="901"/>
      <c r="E50" s="902"/>
      <c r="F50" s="903"/>
      <c r="G50" s="904"/>
      <c r="H50" s="904"/>
      <c r="I50" s="902"/>
      <c r="J50" s="905"/>
      <c r="K50" s="905"/>
      <c r="L50" s="902"/>
      <c r="M50" s="902"/>
      <c r="N50" s="902"/>
      <c r="O50" s="906"/>
      <c r="P50" s="902"/>
      <c r="Q50" s="902"/>
      <c r="R50" s="907"/>
      <c r="S50" s="908"/>
      <c r="T50" s="908"/>
      <c r="U50" s="909"/>
      <c r="V50" s="897">
        <f>SUM(V40:V49)</f>
        <v>21014.1678392</v>
      </c>
      <c r="W50" s="910"/>
    </row>
    <row r="51" spans="1:23" ht="17.25" thickBot="1" thickTop="1">
      <c r="A51" s="124"/>
      <c r="B51" s="670"/>
      <c r="C51" s="733"/>
      <c r="D51" s="901"/>
      <c r="E51" s="902"/>
      <c r="F51" s="903"/>
      <c r="G51" s="904"/>
      <c r="H51" s="904"/>
      <c r="I51" s="746" t="s">
        <v>233</v>
      </c>
      <c r="J51" s="974">
        <f>+V50+V36</f>
        <v>21014.1678392</v>
      </c>
      <c r="L51" s="902"/>
      <c r="M51" s="902"/>
      <c r="N51" s="902"/>
      <c r="O51" s="906"/>
      <c r="P51" s="902"/>
      <c r="Q51" s="902"/>
      <c r="R51" s="907"/>
      <c r="S51" s="908"/>
      <c r="T51" s="908"/>
      <c r="U51" s="909"/>
      <c r="W51" s="910"/>
    </row>
    <row r="52" spans="1:23" ht="13.5" customHeight="1" thickTop="1">
      <c r="A52" s="124"/>
      <c r="B52" s="670"/>
      <c r="C52" s="733"/>
      <c r="D52" s="901"/>
      <c r="E52" s="902"/>
      <c r="F52" s="903"/>
      <c r="G52" s="904"/>
      <c r="H52" s="904"/>
      <c r="I52" s="902"/>
      <c r="J52" s="905"/>
      <c r="K52" s="905"/>
      <c r="L52" s="902"/>
      <c r="M52" s="902"/>
      <c r="N52" s="902"/>
      <c r="O52" s="906"/>
      <c r="P52" s="902"/>
      <c r="Q52" s="902"/>
      <c r="R52" s="907"/>
      <c r="S52" s="908"/>
      <c r="T52" s="908"/>
      <c r="U52" s="909"/>
      <c r="W52" s="910"/>
    </row>
    <row r="53" spans="1:23" ht="16.5" customHeight="1">
      <c r="A53" s="124"/>
      <c r="B53" s="670"/>
      <c r="C53" s="911" t="s">
        <v>234</v>
      </c>
      <c r="D53" s="912" t="s">
        <v>246</v>
      </c>
      <c r="E53" s="902"/>
      <c r="F53" s="903"/>
      <c r="G53" s="904"/>
      <c r="H53" s="904"/>
      <c r="I53" s="902"/>
      <c r="J53" s="905"/>
      <c r="K53" s="905"/>
      <c r="L53" s="902"/>
      <c r="M53" s="902"/>
      <c r="N53" s="902"/>
      <c r="O53" s="906"/>
      <c r="P53" s="902"/>
      <c r="Q53" s="902"/>
      <c r="R53" s="907"/>
      <c r="S53" s="908"/>
      <c r="T53" s="908"/>
      <c r="U53" s="909"/>
      <c r="W53" s="910"/>
    </row>
    <row r="54" spans="1:23" ht="16.5" customHeight="1">
      <c r="A54" s="124"/>
      <c r="B54" s="670"/>
      <c r="C54" s="911"/>
      <c r="D54" s="901"/>
      <c r="E54" s="902"/>
      <c r="F54" s="903"/>
      <c r="G54" s="904"/>
      <c r="H54" s="904"/>
      <c r="I54" s="902"/>
      <c r="J54" s="905"/>
      <c r="K54" s="905"/>
      <c r="L54" s="902"/>
      <c r="M54" s="902"/>
      <c r="N54" s="902"/>
      <c r="O54" s="906"/>
      <c r="P54" s="902"/>
      <c r="Q54" s="902"/>
      <c r="R54" s="902"/>
      <c r="S54" s="907"/>
      <c r="T54" s="908"/>
      <c r="W54" s="910"/>
    </row>
    <row r="55" spans="2:23" s="124" customFormat="1" ht="16.5" customHeight="1">
      <c r="B55" s="670"/>
      <c r="C55" s="733"/>
      <c r="D55" s="913" t="s">
        <v>258</v>
      </c>
      <c r="E55" s="814" t="s">
        <v>259</v>
      </c>
      <c r="F55" s="814" t="s">
        <v>236</v>
      </c>
      <c r="G55" s="914" t="s">
        <v>266</v>
      </c>
      <c r="H55"/>
      <c r="I55" s="1003"/>
      <c r="J55" s="661" t="s">
        <v>261</v>
      </c>
      <c r="K55" s="661"/>
      <c r="L55" s="814" t="s">
        <v>236</v>
      </c>
      <c r="M55" t="s">
        <v>272</v>
      </c>
      <c r="O55" s="914" t="s">
        <v>283</v>
      </c>
      <c r="P55"/>
      <c r="Q55" s="918"/>
      <c r="R55" s="918"/>
      <c r="S55" s="126"/>
      <c r="T55"/>
      <c r="U55"/>
      <c r="V55"/>
      <c r="W55" s="910"/>
    </row>
    <row r="56" spans="2:23" s="124" customFormat="1" ht="16.5" customHeight="1">
      <c r="B56" s="670"/>
      <c r="C56" s="733"/>
      <c r="D56" s="1004" t="s">
        <v>273</v>
      </c>
      <c r="E56" s="1004">
        <v>300</v>
      </c>
      <c r="F56" s="1005">
        <v>500</v>
      </c>
      <c r="G56" s="1148">
        <f>+E56*$F$20*$F$21*$J$19</f>
        <v>31472.927999999996</v>
      </c>
      <c r="H56" s="1148"/>
      <c r="I56" s="1148"/>
      <c r="J56" s="1006" t="s">
        <v>274</v>
      </c>
      <c r="K56" s="1006"/>
      <c r="L56" s="1004">
        <v>500</v>
      </c>
      <c r="M56" s="1004">
        <v>2</v>
      </c>
      <c r="O56" s="1148">
        <f>+M56*$F$20*$M$19*$J$19</f>
        <v>42042.9456</v>
      </c>
      <c r="P56" s="1148"/>
      <c r="Q56" s="1148"/>
      <c r="R56" s="1148"/>
      <c r="S56" s="1148"/>
      <c r="T56" s="1148"/>
      <c r="U56" s="1148"/>
      <c r="V56"/>
      <c r="W56" s="910"/>
    </row>
    <row r="57" spans="2:23" s="124" customFormat="1" ht="16.5" customHeight="1">
      <c r="B57" s="670"/>
      <c r="C57" s="733"/>
      <c r="D57" s="1004" t="s">
        <v>275</v>
      </c>
      <c r="E57" s="1007">
        <v>150</v>
      </c>
      <c r="F57" s="1005">
        <v>500</v>
      </c>
      <c r="G57" s="1148">
        <f>+E57*$F$20*$F$21*$J$19</f>
        <v>15736.463999999998</v>
      </c>
      <c r="H57" s="1148"/>
      <c r="I57" s="1148"/>
      <c r="J57" s="1006" t="s">
        <v>274</v>
      </c>
      <c r="K57" s="1006"/>
      <c r="L57" s="1004">
        <v>132</v>
      </c>
      <c r="M57" s="1004">
        <v>7</v>
      </c>
      <c r="O57" s="1148">
        <f>+M57*$F$20*$M$19*$J$19</f>
        <v>147150.30959999998</v>
      </c>
      <c r="P57" s="1148"/>
      <c r="Q57" s="1148"/>
      <c r="R57" s="1148"/>
      <c r="S57" s="1148"/>
      <c r="T57" s="1148"/>
      <c r="U57" s="1148"/>
      <c r="V57"/>
      <c r="W57" s="910"/>
    </row>
    <row r="58" spans="2:23" s="124" customFormat="1" ht="16.5" customHeight="1">
      <c r="B58" s="670"/>
      <c r="C58" s="733"/>
      <c r="D58" s="1008" t="s">
        <v>276</v>
      </c>
      <c r="E58" s="1007">
        <v>300</v>
      </c>
      <c r="F58" s="1005">
        <v>500</v>
      </c>
      <c r="G58" s="1148">
        <f>+E58*$F$20*$F$21*$J$19</f>
        <v>31472.927999999996</v>
      </c>
      <c r="H58" s="1148"/>
      <c r="I58" s="1148"/>
      <c r="J58" s="1006" t="s">
        <v>277</v>
      </c>
      <c r="K58" s="1006"/>
      <c r="L58" s="1004">
        <v>132</v>
      </c>
      <c r="M58" s="1004">
        <v>7</v>
      </c>
      <c r="O58" s="1148">
        <f>+M58*$F$20*$M$19*$J$19</f>
        <v>147150.30959999998</v>
      </c>
      <c r="P58" s="1148"/>
      <c r="Q58" s="1148"/>
      <c r="R58" s="1148"/>
      <c r="S58" s="1148"/>
      <c r="T58" s="1148"/>
      <c r="U58" s="1148"/>
      <c r="V58"/>
      <c r="W58" s="910"/>
    </row>
    <row r="59" spans="1:23" ht="16.5" customHeight="1">
      <c r="A59" s="124"/>
      <c r="B59" s="670"/>
      <c r="C59" s="733"/>
      <c r="D59" s="1008" t="s">
        <v>278</v>
      </c>
      <c r="E59" s="1007">
        <v>300</v>
      </c>
      <c r="F59" s="1005">
        <v>500</v>
      </c>
      <c r="G59" s="1148">
        <f>+E59*$F$20*$F$21*$J$19</f>
        <v>31472.927999999996</v>
      </c>
      <c r="H59" s="1148"/>
      <c r="I59" s="1148"/>
      <c r="J59" s="1006" t="s">
        <v>279</v>
      </c>
      <c r="K59" s="1006"/>
      <c r="L59" s="1004">
        <v>132</v>
      </c>
      <c r="M59" s="1004">
        <v>5</v>
      </c>
      <c r="O59" s="1147">
        <f>+M59*$F$20*$M$19*$J$19</f>
        <v>105107.364</v>
      </c>
      <c r="P59" s="1147"/>
      <c r="Q59" s="1147"/>
      <c r="R59" s="1147"/>
      <c r="S59" s="1147"/>
      <c r="T59" s="1147"/>
      <c r="U59" s="1147"/>
      <c r="W59" s="910"/>
    </row>
    <row r="60" spans="1:23" ht="16.5" customHeight="1">
      <c r="A60" s="124"/>
      <c r="B60" s="670"/>
      <c r="C60" s="733"/>
      <c r="D60" s="1008" t="s">
        <v>280</v>
      </c>
      <c r="E60" s="1007">
        <v>300</v>
      </c>
      <c r="F60" s="1005">
        <v>500</v>
      </c>
      <c r="G60" s="1147">
        <f>+E60*$F$20*$F$21*$J$19</f>
        <v>31472.927999999996</v>
      </c>
      <c r="H60" s="1147"/>
      <c r="I60" s="1147"/>
      <c r="M60" s="1004"/>
      <c r="O60" s="1148">
        <f>SUM(O56:P59)</f>
        <v>441450.92879999994</v>
      </c>
      <c r="P60" s="1148"/>
      <c r="Q60" s="1148"/>
      <c r="R60" s="1148"/>
      <c r="S60" s="1148"/>
      <c r="T60" s="1148"/>
      <c r="U60" s="1148"/>
      <c r="W60" s="910"/>
    </row>
    <row r="61" spans="1:23" ht="16.5" customHeight="1">
      <c r="A61" s="124"/>
      <c r="B61" s="670"/>
      <c r="C61" s="733"/>
      <c r="D61" s="1008"/>
      <c r="E61" s="1007"/>
      <c r="F61" s="1005"/>
      <c r="G61" s="1148">
        <f>SUM(G56:G60)</f>
        <v>141628.17599999998</v>
      </c>
      <c r="H61" s="1148"/>
      <c r="I61" s="1148"/>
      <c r="M61" s="1004"/>
      <c r="N61" s="1003"/>
      <c r="O61" s="1003"/>
      <c r="P61" s="956"/>
      <c r="Q61" s="956"/>
      <c r="R61" s="956"/>
      <c r="S61" s="956"/>
      <c r="W61" s="910"/>
    </row>
    <row r="62" spans="1:23" ht="16.5" customHeight="1" thickBot="1">
      <c r="A62" s="124"/>
      <c r="B62" s="670"/>
      <c r="C62" s="733"/>
      <c r="D62" s="913"/>
      <c r="E62" s="926"/>
      <c r="F62" s="926"/>
      <c r="G62" s="814"/>
      <c r="I62" s="916"/>
      <c r="J62" s="914"/>
      <c r="L62" s="915"/>
      <c r="M62" s="916"/>
      <c r="N62" s="917"/>
      <c r="O62" s="918"/>
      <c r="P62" s="918"/>
      <c r="Q62" s="918"/>
      <c r="R62" s="918"/>
      <c r="S62" s="918"/>
      <c r="W62" s="910"/>
    </row>
    <row r="63" spans="1:23" ht="16.5" customHeight="1" thickBot="1" thickTop="1">
      <c r="A63" s="124"/>
      <c r="B63" s="670"/>
      <c r="C63" s="733"/>
      <c r="D63" s="814"/>
      <c r="E63" s="958"/>
      <c r="F63" s="958"/>
      <c r="G63" s="921"/>
      <c r="H63" s="4"/>
      <c r="I63" s="746" t="s">
        <v>281</v>
      </c>
      <c r="J63" s="974">
        <f>+G61+O60</f>
        <v>583079.1047999999</v>
      </c>
      <c r="L63" s="923"/>
      <c r="M63" s="4"/>
      <c r="N63" s="924"/>
      <c r="O63" s="956"/>
      <c r="P63" s="956"/>
      <c r="Q63" s="956"/>
      <c r="R63" s="956"/>
      <c r="S63" s="956"/>
      <c r="W63" s="910"/>
    </row>
    <row r="64" spans="1:23" ht="16.5" customHeight="1" thickTop="1">
      <c r="A64" s="124"/>
      <c r="B64" s="670"/>
      <c r="C64" s="733"/>
      <c r="D64" s="905"/>
      <c r="E64" s="738"/>
      <c r="F64" s="814"/>
      <c r="G64" s="814"/>
      <c r="H64" s="815"/>
      <c r="J64" s="814"/>
      <c r="L64" s="929"/>
      <c r="M64" s="917"/>
      <c r="N64" s="917"/>
      <c r="O64" s="918"/>
      <c r="P64" s="918"/>
      <c r="Q64" s="918"/>
      <c r="R64" s="918"/>
      <c r="S64" s="918"/>
      <c r="W64" s="910"/>
    </row>
    <row r="65" spans="2:23" ht="16.5" customHeight="1">
      <c r="B65" s="670"/>
      <c r="C65" s="911" t="s">
        <v>239</v>
      </c>
      <c r="D65" s="930" t="s">
        <v>240</v>
      </c>
      <c r="E65" s="814"/>
      <c r="F65" s="931"/>
      <c r="G65" s="813"/>
      <c r="H65" s="905"/>
      <c r="I65" s="905"/>
      <c r="J65" s="905"/>
      <c r="K65" s="814"/>
      <c r="L65" s="814"/>
      <c r="M65" s="905"/>
      <c r="N65" s="814"/>
      <c r="O65" s="905"/>
      <c r="P65" s="905"/>
      <c r="Q65" s="905"/>
      <c r="R65" s="905"/>
      <c r="S65" s="905"/>
      <c r="T65" s="905"/>
      <c r="U65" s="905"/>
      <c r="W65" s="910"/>
    </row>
    <row r="66" spans="2:23" s="124" customFormat="1" ht="16.5" customHeight="1">
      <c r="B66" s="670"/>
      <c r="C66" s="733"/>
      <c r="D66" s="913" t="s">
        <v>241</v>
      </c>
      <c r="E66" s="932">
        <f>10*J51*J25/J63</f>
        <v>5253.5419598</v>
      </c>
      <c r="G66" s="813"/>
      <c r="L66" s="814"/>
      <c r="N66" s="814"/>
      <c r="O66" s="815"/>
      <c r="V66"/>
      <c r="W66" s="910"/>
    </row>
    <row r="67" spans="2:23" s="124" customFormat="1" ht="12.75" customHeight="1">
      <c r="B67" s="670"/>
      <c r="C67" s="733"/>
      <c r="E67" s="933"/>
      <c r="F67" s="745"/>
      <c r="G67" s="813"/>
      <c r="J67" s="813"/>
      <c r="K67" s="828"/>
      <c r="L67" s="814"/>
      <c r="M67" s="814"/>
      <c r="N67" s="814"/>
      <c r="O67" s="815"/>
      <c r="P67" s="814"/>
      <c r="Q67" s="814"/>
      <c r="R67" s="827"/>
      <c r="S67" s="827"/>
      <c r="T67" s="827"/>
      <c r="U67" s="934"/>
      <c r="V67"/>
      <c r="W67" s="910"/>
    </row>
    <row r="68" spans="2:23" ht="16.5" customHeight="1">
      <c r="B68" s="670"/>
      <c r="C68" s="733"/>
      <c r="D68" s="935" t="s">
        <v>282</v>
      </c>
      <c r="E68" s="936"/>
      <c r="F68" s="745"/>
      <c r="G68" s="813"/>
      <c r="H68" s="905"/>
      <c r="I68" s="905"/>
      <c r="N68" s="814"/>
      <c r="O68" s="815"/>
      <c r="P68" s="814"/>
      <c r="Q68" s="814"/>
      <c r="R68" s="916"/>
      <c r="S68" s="916"/>
      <c r="T68" s="916"/>
      <c r="U68" s="917"/>
      <c r="W68" s="910"/>
    </row>
    <row r="69" spans="2:23" ht="13.5" customHeight="1" thickBot="1">
      <c r="B69" s="670"/>
      <c r="C69" s="733"/>
      <c r="D69" s="935"/>
      <c r="E69" s="936"/>
      <c r="F69" s="745"/>
      <c r="G69" s="813"/>
      <c r="H69" s="905"/>
      <c r="I69" s="905"/>
      <c r="N69" s="814"/>
      <c r="O69" s="815"/>
      <c r="P69" s="814"/>
      <c r="Q69" s="814"/>
      <c r="R69" s="916"/>
      <c r="S69" s="916"/>
      <c r="T69" s="916"/>
      <c r="U69" s="917"/>
      <c r="W69" s="910"/>
    </row>
    <row r="70" spans="2:23" s="937" customFormat="1" ht="21" thickBot="1" thickTop="1">
      <c r="B70" s="938"/>
      <c r="C70" s="939"/>
      <c r="D70" s="940"/>
      <c r="E70" s="941"/>
      <c r="F70" s="942"/>
      <c r="G70" s="943"/>
      <c r="I70" s="944" t="s">
        <v>243</v>
      </c>
      <c r="J70" s="945">
        <f>IF(E66&gt;3*J25,J25*3,E66)</f>
        <v>5253.5419598</v>
      </c>
      <c r="M70" s="946"/>
      <c r="N70" s="946"/>
      <c r="O70" s="947"/>
      <c r="P70" s="946"/>
      <c r="Q70" s="946"/>
      <c r="R70" s="948"/>
      <c r="S70" s="948"/>
      <c r="T70" s="948"/>
      <c r="U70" s="949"/>
      <c r="V70"/>
      <c r="W70" s="950"/>
    </row>
    <row r="71" spans="2:23" ht="16.5" customHeight="1" thickBot="1" thickTop="1">
      <c r="B71" s="149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350"/>
      <c r="W71" s="951"/>
    </row>
    <row r="72" spans="2:23" ht="16.5" customHeight="1" thickTop="1">
      <c r="B72" s="12"/>
      <c r="C72" s="952"/>
      <c r="W72" s="12"/>
    </row>
  </sheetData>
  <sheetProtection password="CC12"/>
  <mergeCells count="32">
    <mergeCell ref="E38:F38"/>
    <mergeCell ref="E39:F39"/>
    <mergeCell ref="E40:F40"/>
    <mergeCell ref="E41:F41"/>
    <mergeCell ref="N38:O38"/>
    <mergeCell ref="N40:O40"/>
    <mergeCell ref="N41:O41"/>
    <mergeCell ref="N42:O42"/>
    <mergeCell ref="O56:U56"/>
    <mergeCell ref="E42:F42"/>
    <mergeCell ref="E43:F43"/>
    <mergeCell ref="N43:O43"/>
    <mergeCell ref="E44:F44"/>
    <mergeCell ref="N44:O44"/>
    <mergeCell ref="E45:F45"/>
    <mergeCell ref="N45:O45"/>
    <mergeCell ref="N47:O47"/>
    <mergeCell ref="E48:F48"/>
    <mergeCell ref="O59:U59"/>
    <mergeCell ref="O60:U60"/>
    <mergeCell ref="O57:U57"/>
    <mergeCell ref="O58:U58"/>
    <mergeCell ref="G60:I60"/>
    <mergeCell ref="G61:I61"/>
    <mergeCell ref="G56:I56"/>
    <mergeCell ref="G57:I57"/>
    <mergeCell ref="G58:I58"/>
    <mergeCell ref="G59:I59"/>
    <mergeCell ref="N48:O48"/>
    <mergeCell ref="E46:F46"/>
    <mergeCell ref="N46:O46"/>
    <mergeCell ref="E47:F4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06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24.7109375" style="16" customWidth="1"/>
    <col min="2" max="2" width="10.7109375" style="16" customWidth="1"/>
    <col min="3" max="3" width="4.7109375" style="16" customWidth="1"/>
    <col min="4" max="4" width="40.7109375" style="16" customWidth="1"/>
    <col min="5" max="5" width="7.7109375" style="16" customWidth="1"/>
    <col min="6" max="6" width="8.710937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10.7109375" style="16" customWidth="1"/>
    <col min="22" max="16384" width="11.421875" style="16" customWidth="1"/>
  </cols>
  <sheetData>
    <row r="1" spans="21:22" ht="39" customHeight="1">
      <c r="U1" s="653"/>
      <c r="V1" s="654"/>
    </row>
    <row r="2" spans="2:22" s="110" customFormat="1" ht="26.25">
      <c r="B2" s="276" t="str">
        <f>'tot-9911'!B2</f>
        <v>ANEXO I A LA RESOLUCION ENRE N° 320/2000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655"/>
    </row>
    <row r="3" spans="1:22" s="117" customFormat="1" ht="11.25">
      <c r="A3" s="953" t="s">
        <v>85</v>
      </c>
      <c r="B3" s="1022"/>
      <c r="U3" s="656"/>
      <c r="V3" s="656"/>
    </row>
    <row r="4" spans="1:22" s="117" customFormat="1" ht="11.25">
      <c r="A4" s="953" t="s">
        <v>86</v>
      </c>
      <c r="B4" s="1022"/>
      <c r="U4" s="194"/>
      <c r="V4" s="656"/>
    </row>
    <row r="5" spans="21:22" ht="6.75" customHeight="1">
      <c r="U5" s="114"/>
      <c r="V5" s="654"/>
    </row>
    <row r="6" spans="2:178" s="657" customFormat="1" ht="23.25">
      <c r="B6" s="658" t="s">
        <v>199</v>
      </c>
      <c r="C6" s="658"/>
      <c r="D6" s="659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60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  <c r="BG6" s="658"/>
      <c r="BH6" s="658"/>
      <c r="BI6" s="658"/>
      <c r="BJ6" s="658"/>
      <c r="BK6" s="658"/>
      <c r="BL6" s="658"/>
      <c r="BM6" s="658"/>
      <c r="BN6" s="658"/>
      <c r="BO6" s="658"/>
      <c r="BP6" s="658"/>
      <c r="BQ6" s="658"/>
      <c r="BR6" s="658"/>
      <c r="BS6" s="658"/>
      <c r="BT6" s="658"/>
      <c r="BU6" s="658"/>
      <c r="BV6" s="658"/>
      <c r="BW6" s="658"/>
      <c r="BX6" s="658"/>
      <c r="BY6" s="658"/>
      <c r="BZ6" s="658"/>
      <c r="CA6" s="658"/>
      <c r="CB6" s="658"/>
      <c r="CC6" s="658"/>
      <c r="CD6" s="658"/>
      <c r="CE6" s="658"/>
      <c r="CF6" s="658"/>
      <c r="CG6" s="658"/>
      <c r="CH6" s="658"/>
      <c r="CI6" s="658"/>
      <c r="CJ6" s="658"/>
      <c r="CK6" s="658"/>
      <c r="CL6" s="658"/>
      <c r="CM6" s="658"/>
      <c r="CN6" s="658"/>
      <c r="CO6" s="658"/>
      <c r="CP6" s="658"/>
      <c r="CQ6" s="658"/>
      <c r="CR6" s="658"/>
      <c r="CS6" s="658"/>
      <c r="CT6" s="658"/>
      <c r="CU6" s="658"/>
      <c r="CV6" s="658"/>
      <c r="CW6" s="658"/>
      <c r="CX6" s="658"/>
      <c r="CY6" s="658"/>
      <c r="CZ6" s="658"/>
      <c r="DA6" s="658"/>
      <c r="DB6" s="658"/>
      <c r="DC6" s="658"/>
      <c r="DD6" s="658"/>
      <c r="DE6" s="658"/>
      <c r="DF6" s="658"/>
      <c r="DG6" s="658"/>
      <c r="DH6" s="658"/>
      <c r="DI6" s="658"/>
      <c r="DJ6" s="658"/>
      <c r="DK6" s="658"/>
      <c r="DL6" s="658"/>
      <c r="DM6" s="658"/>
      <c r="DN6" s="658"/>
      <c r="DO6" s="658"/>
      <c r="DP6" s="658"/>
      <c r="DQ6" s="658"/>
      <c r="DR6" s="658"/>
      <c r="DS6" s="658"/>
      <c r="DT6" s="658"/>
      <c r="DU6" s="658"/>
      <c r="DV6" s="658"/>
      <c r="DW6" s="658"/>
      <c r="DX6" s="658"/>
      <c r="DY6" s="658"/>
      <c r="DZ6" s="658"/>
      <c r="EA6" s="658"/>
      <c r="EB6" s="658"/>
      <c r="EC6" s="658"/>
      <c r="ED6" s="658"/>
      <c r="EE6" s="658"/>
      <c r="EF6" s="658"/>
      <c r="EG6" s="658"/>
      <c r="EH6" s="658"/>
      <c r="EI6" s="658"/>
      <c r="EJ6" s="658"/>
      <c r="EK6" s="658"/>
      <c r="EL6" s="658"/>
      <c r="EM6" s="658"/>
      <c r="EN6" s="658"/>
      <c r="EO6" s="658"/>
      <c r="EP6" s="658"/>
      <c r="EQ6" s="658"/>
      <c r="ER6" s="658"/>
      <c r="ES6" s="658"/>
      <c r="ET6" s="658"/>
      <c r="EU6" s="658"/>
      <c r="EV6" s="658"/>
      <c r="EW6" s="658"/>
      <c r="EX6" s="658"/>
      <c r="EY6" s="658"/>
      <c r="EZ6" s="658"/>
      <c r="FA6" s="658"/>
      <c r="FB6" s="658"/>
      <c r="FC6" s="658"/>
      <c r="FD6" s="658"/>
      <c r="FE6" s="658"/>
      <c r="FF6" s="658"/>
      <c r="FG6" s="658"/>
      <c r="FH6" s="658"/>
      <c r="FI6" s="658"/>
      <c r="FJ6" s="658"/>
      <c r="FK6" s="658"/>
      <c r="FL6" s="658"/>
      <c r="FM6" s="658"/>
      <c r="FN6" s="658"/>
      <c r="FO6" s="658"/>
      <c r="FP6" s="658"/>
      <c r="FQ6" s="658"/>
      <c r="FR6" s="658"/>
      <c r="FS6" s="658"/>
      <c r="FT6" s="658"/>
      <c r="FU6" s="658"/>
      <c r="FV6" s="658"/>
    </row>
    <row r="7" spans="2:178" s="124" customFormat="1" ht="14.25" customHeight="1"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2"/>
      <c r="V7" s="662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661"/>
      <c r="BU7" s="661"/>
      <c r="BV7" s="661"/>
      <c r="BW7" s="661"/>
      <c r="BX7" s="661"/>
      <c r="BY7" s="661"/>
      <c r="BZ7" s="661"/>
      <c r="CA7" s="661"/>
      <c r="CB7" s="661"/>
      <c r="CC7" s="661"/>
      <c r="CD7" s="661"/>
      <c r="CE7" s="661"/>
      <c r="CF7" s="661"/>
      <c r="CG7" s="661"/>
      <c r="CH7" s="661"/>
      <c r="CI7" s="661"/>
      <c r="CJ7" s="661"/>
      <c r="CK7" s="661"/>
      <c r="CL7" s="661"/>
      <c r="CM7" s="661"/>
      <c r="CN7" s="661"/>
      <c r="CO7" s="661"/>
      <c r="CP7" s="661"/>
      <c r="CQ7" s="661"/>
      <c r="CR7" s="661"/>
      <c r="CS7" s="661"/>
      <c r="CT7" s="661"/>
      <c r="CU7" s="661"/>
      <c r="CV7" s="661"/>
      <c r="CW7" s="661"/>
      <c r="CX7" s="661"/>
      <c r="CY7" s="661"/>
      <c r="CZ7" s="661"/>
      <c r="DA7" s="661"/>
      <c r="DB7" s="661"/>
      <c r="DC7" s="661"/>
      <c r="DD7" s="661"/>
      <c r="DE7" s="661"/>
      <c r="DF7" s="661"/>
      <c r="DG7" s="661"/>
      <c r="DH7" s="661"/>
      <c r="DI7" s="661"/>
      <c r="DJ7" s="661"/>
      <c r="DK7" s="661"/>
      <c r="DL7" s="661"/>
      <c r="DM7" s="661"/>
      <c r="DN7" s="661"/>
      <c r="DO7" s="661"/>
      <c r="DP7" s="661"/>
      <c r="DQ7" s="661"/>
      <c r="DR7" s="661"/>
      <c r="DS7" s="661"/>
      <c r="DT7" s="661"/>
      <c r="DU7" s="661"/>
      <c r="DV7" s="661"/>
      <c r="DW7" s="661"/>
      <c r="DX7" s="661"/>
      <c r="DY7" s="661"/>
      <c r="DZ7" s="661"/>
      <c r="EA7" s="661"/>
      <c r="EB7" s="661"/>
      <c r="EC7" s="661"/>
      <c r="ED7" s="661"/>
      <c r="EE7" s="661"/>
      <c r="EF7" s="661"/>
      <c r="EG7" s="661"/>
      <c r="EH7" s="661"/>
      <c r="EI7" s="661"/>
      <c r="EJ7" s="661"/>
      <c r="EK7" s="661"/>
      <c r="EL7" s="661"/>
      <c r="EM7" s="661"/>
      <c r="EN7" s="661"/>
      <c r="EO7" s="661"/>
      <c r="EP7" s="661"/>
      <c r="EQ7" s="661"/>
      <c r="ER7" s="661"/>
      <c r="ES7" s="661"/>
      <c r="ET7" s="661"/>
      <c r="EU7" s="661"/>
      <c r="EV7" s="661"/>
      <c r="EW7" s="661"/>
      <c r="EX7" s="661"/>
      <c r="EY7" s="661"/>
      <c r="EZ7" s="661"/>
      <c r="FA7" s="661"/>
      <c r="FB7" s="661"/>
      <c r="FC7" s="661"/>
      <c r="FD7" s="661"/>
      <c r="FE7" s="661"/>
      <c r="FF7" s="661"/>
      <c r="FG7" s="661"/>
      <c r="FH7" s="661"/>
      <c r="FI7" s="661"/>
      <c r="FJ7" s="661"/>
      <c r="FK7" s="661"/>
      <c r="FL7" s="661"/>
      <c r="FM7" s="661"/>
      <c r="FN7" s="661"/>
      <c r="FO7" s="661"/>
      <c r="FP7" s="661"/>
      <c r="FQ7" s="661"/>
      <c r="FR7" s="661"/>
      <c r="FS7" s="661"/>
      <c r="FT7" s="661"/>
      <c r="FU7" s="661"/>
      <c r="FV7" s="661"/>
    </row>
    <row r="8" spans="2:178" s="663" customFormat="1" ht="23.25">
      <c r="B8" s="658" t="s">
        <v>1</v>
      </c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64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59"/>
      <c r="AP8" s="659"/>
      <c r="AQ8" s="659"/>
      <c r="AR8" s="659"/>
      <c r="AS8" s="659"/>
      <c r="AT8" s="659"/>
      <c r="AU8" s="659"/>
      <c r="AV8" s="659"/>
      <c r="AW8" s="659"/>
      <c r="AX8" s="659"/>
      <c r="AY8" s="659"/>
      <c r="AZ8" s="659"/>
      <c r="BA8" s="659"/>
      <c r="BB8" s="659"/>
      <c r="BC8" s="659"/>
      <c r="BD8" s="659"/>
      <c r="BE8" s="659"/>
      <c r="BF8" s="659"/>
      <c r="BG8" s="659"/>
      <c r="BH8" s="659"/>
      <c r="BI8" s="659"/>
      <c r="BJ8" s="659"/>
      <c r="BK8" s="659"/>
      <c r="BL8" s="659"/>
      <c r="BM8" s="659"/>
      <c r="BN8" s="659"/>
      <c r="BO8" s="659"/>
      <c r="BP8" s="659"/>
      <c r="BQ8" s="659"/>
      <c r="BR8" s="659"/>
      <c r="BS8" s="659"/>
      <c r="BT8" s="659"/>
      <c r="BU8" s="659"/>
      <c r="BV8" s="659"/>
      <c r="BW8" s="659"/>
      <c r="BX8" s="659"/>
      <c r="BY8" s="659"/>
      <c r="BZ8" s="659"/>
      <c r="CA8" s="659"/>
      <c r="CB8" s="659"/>
      <c r="CC8" s="659"/>
      <c r="CD8" s="659"/>
      <c r="CE8" s="659"/>
      <c r="CF8" s="659"/>
      <c r="CG8" s="659"/>
      <c r="CH8" s="659"/>
      <c r="CI8" s="659"/>
      <c r="CJ8" s="659"/>
      <c r="CK8" s="659"/>
      <c r="CL8" s="659"/>
      <c r="CM8" s="659"/>
      <c r="CN8" s="659"/>
      <c r="CO8" s="659"/>
      <c r="CP8" s="659"/>
      <c r="CQ8" s="659"/>
      <c r="CR8" s="659"/>
      <c r="CS8" s="659"/>
      <c r="CT8" s="659"/>
      <c r="CU8" s="659"/>
      <c r="CV8" s="659"/>
      <c r="CW8" s="659"/>
      <c r="CX8" s="659"/>
      <c r="CY8" s="659"/>
      <c r="CZ8" s="659"/>
      <c r="DA8" s="659"/>
      <c r="DB8" s="659"/>
      <c r="DC8" s="659"/>
      <c r="DD8" s="659"/>
      <c r="DE8" s="659"/>
      <c r="DF8" s="659"/>
      <c r="DG8" s="659"/>
      <c r="DH8" s="659"/>
      <c r="DI8" s="659"/>
      <c r="DJ8" s="659"/>
      <c r="DK8" s="659"/>
      <c r="DL8" s="659"/>
      <c r="DM8" s="659"/>
      <c r="DN8" s="659"/>
      <c r="DO8" s="659"/>
      <c r="DP8" s="659"/>
      <c r="DQ8" s="659"/>
      <c r="DR8" s="659"/>
      <c r="DS8" s="659"/>
      <c r="DT8" s="659"/>
      <c r="DU8" s="659"/>
      <c r="DV8" s="659"/>
      <c r="DW8" s="659"/>
      <c r="DX8" s="659"/>
      <c r="DY8" s="659"/>
      <c r="DZ8" s="659"/>
      <c r="EA8" s="659"/>
      <c r="EB8" s="659"/>
      <c r="EC8" s="659"/>
      <c r="ED8" s="659"/>
      <c r="EE8" s="659"/>
      <c r="EF8" s="659"/>
      <c r="EG8" s="659"/>
      <c r="EH8" s="659"/>
      <c r="EI8" s="659"/>
      <c r="EJ8" s="659"/>
      <c r="EK8" s="659"/>
      <c r="EL8" s="659"/>
      <c r="EM8" s="659"/>
      <c r="EN8" s="659"/>
      <c r="EO8" s="659"/>
      <c r="EP8" s="659"/>
      <c r="EQ8" s="659"/>
      <c r="ER8" s="659"/>
      <c r="ES8" s="659"/>
      <c r="ET8" s="659"/>
      <c r="EU8" s="659"/>
      <c r="EV8" s="659"/>
      <c r="EW8" s="659"/>
      <c r="EX8" s="659"/>
      <c r="EY8" s="659"/>
      <c r="EZ8" s="659"/>
      <c r="FA8" s="659"/>
      <c r="FB8" s="659"/>
      <c r="FC8" s="659"/>
      <c r="FD8" s="659"/>
      <c r="FE8" s="659"/>
      <c r="FF8" s="659"/>
      <c r="FG8" s="659"/>
      <c r="FH8" s="659"/>
      <c r="FI8" s="659"/>
      <c r="FJ8" s="659"/>
      <c r="FK8" s="659"/>
      <c r="FL8" s="659"/>
      <c r="FM8" s="659"/>
      <c r="FN8" s="659"/>
      <c r="FO8" s="659"/>
      <c r="FP8" s="659"/>
      <c r="FQ8" s="659"/>
      <c r="FR8" s="659"/>
      <c r="FS8" s="659"/>
      <c r="FT8" s="659"/>
      <c r="FU8" s="659"/>
      <c r="FV8" s="659"/>
    </row>
    <row r="9" spans="2:178" s="124" customFormat="1" ht="15.75"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2"/>
      <c r="V9" s="662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  <c r="DI9" s="661"/>
      <c r="DJ9" s="661"/>
      <c r="DK9" s="661"/>
      <c r="DL9" s="661"/>
      <c r="DM9" s="661"/>
      <c r="DN9" s="661"/>
      <c r="DO9" s="661"/>
      <c r="DP9" s="661"/>
      <c r="DQ9" s="661"/>
      <c r="DR9" s="661"/>
      <c r="DS9" s="661"/>
      <c r="DT9" s="661"/>
      <c r="DU9" s="661"/>
      <c r="DV9" s="661"/>
      <c r="DW9" s="661"/>
      <c r="DX9" s="661"/>
      <c r="DY9" s="661"/>
      <c r="DZ9" s="661"/>
      <c r="EA9" s="661"/>
      <c r="EB9" s="661"/>
      <c r="EC9" s="661"/>
      <c r="ED9" s="661"/>
      <c r="EE9" s="661"/>
      <c r="EF9" s="661"/>
      <c r="EG9" s="661"/>
      <c r="EH9" s="661"/>
      <c r="EI9" s="661"/>
      <c r="EJ9" s="661"/>
      <c r="EK9" s="661"/>
      <c r="EL9" s="661"/>
      <c r="EM9" s="661"/>
      <c r="EN9" s="661"/>
      <c r="EO9" s="661"/>
      <c r="EP9" s="661"/>
      <c r="EQ9" s="661"/>
      <c r="ER9" s="661"/>
      <c r="ES9" s="661"/>
      <c r="ET9" s="661"/>
      <c r="EU9" s="661"/>
      <c r="EV9" s="661"/>
      <c r="EW9" s="661"/>
      <c r="EX9" s="661"/>
      <c r="EY9" s="661"/>
      <c r="EZ9" s="661"/>
      <c r="FA9" s="661"/>
      <c r="FB9" s="661"/>
      <c r="FC9" s="661"/>
      <c r="FD9" s="661"/>
      <c r="FE9" s="661"/>
      <c r="FF9" s="661"/>
      <c r="FG9" s="661"/>
      <c r="FH9" s="661"/>
      <c r="FI9" s="661"/>
      <c r="FJ9" s="661"/>
      <c r="FK9" s="661"/>
      <c r="FL9" s="661"/>
      <c r="FM9" s="661"/>
      <c r="FN9" s="661"/>
      <c r="FO9" s="661"/>
      <c r="FP9" s="661"/>
      <c r="FQ9" s="661"/>
      <c r="FR9" s="661"/>
      <c r="FS9" s="661"/>
      <c r="FT9" s="661"/>
      <c r="FU9" s="661"/>
      <c r="FV9" s="661"/>
    </row>
    <row r="10" spans="2:178" s="663" customFormat="1" ht="23.25">
      <c r="B10" s="658" t="s">
        <v>200</v>
      </c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64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59"/>
      <c r="AR10" s="659"/>
      <c r="AS10" s="659"/>
      <c r="AT10" s="659"/>
      <c r="AU10" s="659"/>
      <c r="AV10" s="659"/>
      <c r="AW10" s="659"/>
      <c r="AX10" s="659"/>
      <c r="AY10" s="659"/>
      <c r="AZ10" s="659"/>
      <c r="BA10" s="659"/>
      <c r="BB10" s="659"/>
      <c r="BC10" s="659"/>
      <c r="BD10" s="659"/>
      <c r="BE10" s="659"/>
      <c r="BF10" s="659"/>
      <c r="BG10" s="659"/>
      <c r="BH10" s="659"/>
      <c r="BI10" s="659"/>
      <c r="BJ10" s="659"/>
      <c r="BK10" s="659"/>
      <c r="BL10" s="659"/>
      <c r="BM10" s="659"/>
      <c r="BN10" s="659"/>
      <c r="BO10" s="659"/>
      <c r="BP10" s="659"/>
      <c r="BQ10" s="659"/>
      <c r="BR10" s="659"/>
      <c r="BS10" s="659"/>
      <c r="BT10" s="659"/>
      <c r="BU10" s="659"/>
      <c r="BV10" s="659"/>
      <c r="BW10" s="659"/>
      <c r="BX10" s="659"/>
      <c r="BY10" s="659"/>
      <c r="BZ10" s="659"/>
      <c r="CA10" s="659"/>
      <c r="CB10" s="659"/>
      <c r="CC10" s="659"/>
      <c r="CD10" s="659"/>
      <c r="CE10" s="659"/>
      <c r="CF10" s="659"/>
      <c r="CG10" s="659"/>
      <c r="CH10" s="659"/>
      <c r="CI10" s="659"/>
      <c r="CJ10" s="659"/>
      <c r="CK10" s="659"/>
      <c r="CL10" s="659"/>
      <c r="CM10" s="659"/>
      <c r="CN10" s="659"/>
      <c r="CO10" s="659"/>
      <c r="CP10" s="659"/>
      <c r="CQ10" s="659"/>
      <c r="CR10" s="659"/>
      <c r="CS10" s="659"/>
      <c r="CT10" s="659"/>
      <c r="CU10" s="659"/>
      <c r="CV10" s="659"/>
      <c r="CW10" s="659"/>
      <c r="CX10" s="659"/>
      <c r="CY10" s="659"/>
      <c r="CZ10" s="659"/>
      <c r="DA10" s="659"/>
      <c r="DB10" s="659"/>
      <c r="DC10" s="659"/>
      <c r="DD10" s="659"/>
      <c r="DE10" s="659"/>
      <c r="DF10" s="659"/>
      <c r="DG10" s="659"/>
      <c r="DH10" s="659"/>
      <c r="DI10" s="659"/>
      <c r="DJ10" s="659"/>
      <c r="DK10" s="659"/>
      <c r="DL10" s="659"/>
      <c r="DM10" s="659"/>
      <c r="DN10" s="659"/>
      <c r="DO10" s="659"/>
      <c r="DP10" s="659"/>
      <c r="DQ10" s="659"/>
      <c r="DR10" s="659"/>
      <c r="DS10" s="659"/>
      <c r="DT10" s="659"/>
      <c r="DU10" s="659"/>
      <c r="DV10" s="659"/>
      <c r="DW10" s="659"/>
      <c r="DX10" s="659"/>
      <c r="DY10" s="659"/>
      <c r="DZ10" s="659"/>
      <c r="EA10" s="659"/>
      <c r="EB10" s="659"/>
      <c r="EC10" s="659"/>
      <c r="ED10" s="659"/>
      <c r="EE10" s="659"/>
      <c r="EF10" s="659"/>
      <c r="EG10" s="659"/>
      <c r="EH10" s="659"/>
      <c r="EI10" s="659"/>
      <c r="EJ10" s="659"/>
      <c r="EK10" s="659"/>
      <c r="EL10" s="659"/>
      <c r="EM10" s="659"/>
      <c r="EN10" s="659"/>
      <c r="EO10" s="659"/>
      <c r="EP10" s="659"/>
      <c r="EQ10" s="659"/>
      <c r="ER10" s="659"/>
      <c r="ES10" s="659"/>
      <c r="ET10" s="659"/>
      <c r="EU10" s="659"/>
      <c r="EV10" s="659"/>
      <c r="EW10" s="659"/>
      <c r="EX10" s="659"/>
      <c r="EY10" s="659"/>
      <c r="EZ10" s="659"/>
      <c r="FA10" s="659"/>
      <c r="FB10" s="659"/>
      <c r="FC10" s="659"/>
      <c r="FD10" s="659"/>
      <c r="FE10" s="659"/>
      <c r="FF10" s="659"/>
      <c r="FG10" s="659"/>
      <c r="FH10" s="659"/>
      <c r="FI10" s="659"/>
      <c r="FJ10" s="659"/>
      <c r="FK10" s="659"/>
      <c r="FL10" s="659"/>
      <c r="FM10" s="659"/>
      <c r="FN10" s="659"/>
      <c r="FO10" s="659"/>
      <c r="FP10" s="659"/>
      <c r="FQ10" s="659"/>
      <c r="FR10" s="659"/>
      <c r="FS10" s="659"/>
      <c r="FT10" s="659"/>
      <c r="FU10" s="659"/>
      <c r="FV10" s="659"/>
    </row>
    <row r="11" spans="2:178" s="124" customFormat="1" ht="16.5" thickBot="1"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2"/>
      <c r="V11" s="662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/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1"/>
      <c r="EO11" s="661"/>
      <c r="EP11" s="661"/>
      <c r="EQ11" s="661"/>
      <c r="ER11" s="661"/>
      <c r="ES11" s="661"/>
      <c r="ET11" s="661"/>
      <c r="EU11" s="661"/>
      <c r="EV11" s="661"/>
      <c r="EW11" s="661"/>
      <c r="EX11" s="661"/>
      <c r="EY11" s="661"/>
      <c r="EZ11" s="661"/>
      <c r="FA11" s="661"/>
      <c r="FB11" s="661"/>
      <c r="FC11" s="661"/>
      <c r="FD11" s="661"/>
      <c r="FE11" s="661"/>
      <c r="FF11" s="661"/>
      <c r="FG11" s="661"/>
      <c r="FH11" s="661"/>
      <c r="FI11" s="661"/>
      <c r="FJ11" s="661"/>
      <c r="FK11" s="661"/>
      <c r="FL11" s="661"/>
      <c r="FM11" s="661"/>
      <c r="FN11" s="661"/>
      <c r="FO11" s="661"/>
      <c r="FP11" s="661"/>
      <c r="FQ11" s="661"/>
      <c r="FR11" s="661"/>
      <c r="FS11" s="661"/>
      <c r="FT11" s="661"/>
      <c r="FU11" s="661"/>
      <c r="FV11" s="661"/>
    </row>
    <row r="12" spans="2:178" s="124" customFormat="1" ht="16.5" thickTop="1">
      <c r="B12" s="665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7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61"/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1"/>
      <c r="EO12" s="661"/>
      <c r="EP12" s="661"/>
      <c r="EQ12" s="661"/>
      <c r="ER12" s="661"/>
      <c r="ES12" s="661"/>
      <c r="ET12" s="661"/>
      <c r="EU12" s="661"/>
      <c r="EV12" s="661"/>
      <c r="EW12" s="661"/>
      <c r="EX12" s="661"/>
      <c r="EY12" s="661"/>
      <c r="EZ12" s="661"/>
      <c r="FA12" s="661"/>
      <c r="FB12" s="661"/>
      <c r="FC12" s="661"/>
      <c r="FD12" s="661"/>
      <c r="FE12" s="661"/>
      <c r="FF12" s="661"/>
      <c r="FG12" s="661"/>
      <c r="FH12" s="661"/>
      <c r="FI12" s="661"/>
      <c r="FJ12" s="661"/>
      <c r="FK12" s="661"/>
      <c r="FL12" s="661"/>
      <c r="FM12" s="661"/>
      <c r="FN12" s="661"/>
      <c r="FO12" s="661"/>
      <c r="FP12" s="661"/>
      <c r="FQ12" s="661"/>
      <c r="FR12" s="661"/>
      <c r="FS12" s="661"/>
      <c r="FT12" s="661"/>
      <c r="FU12" s="661"/>
      <c r="FV12" s="661"/>
    </row>
    <row r="13" spans="2:178" s="124" customFormat="1" ht="19.5">
      <c r="B13" s="130" t="s">
        <v>308</v>
      </c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9"/>
      <c r="V13" s="662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/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1"/>
      <c r="EO13" s="661"/>
      <c r="EP13" s="661"/>
      <c r="EQ13" s="661"/>
      <c r="ER13" s="661"/>
      <c r="ES13" s="661"/>
      <c r="ET13" s="661"/>
      <c r="EU13" s="661"/>
      <c r="EV13" s="661"/>
      <c r="EW13" s="661"/>
      <c r="EX13" s="661"/>
      <c r="EY13" s="661"/>
      <c r="EZ13" s="661"/>
      <c r="FA13" s="661"/>
      <c r="FB13" s="661"/>
      <c r="FC13" s="661"/>
      <c r="FD13" s="661"/>
      <c r="FE13" s="661"/>
      <c r="FF13" s="661"/>
      <c r="FG13" s="661"/>
      <c r="FH13" s="661"/>
      <c r="FI13" s="661"/>
      <c r="FJ13" s="661"/>
      <c r="FK13" s="661"/>
      <c r="FL13" s="661"/>
      <c r="FM13" s="661"/>
      <c r="FN13" s="661"/>
      <c r="FO13" s="661"/>
      <c r="FP13" s="661"/>
      <c r="FQ13" s="661"/>
      <c r="FR13" s="661"/>
      <c r="FS13" s="661"/>
      <c r="FT13" s="661"/>
      <c r="FU13" s="661"/>
      <c r="FV13" s="661"/>
    </row>
    <row r="14" spans="2:21" s="124" customFormat="1" ht="16.5" thickBot="1">
      <c r="B14" s="670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671"/>
    </row>
    <row r="15" spans="2:21" s="672" customFormat="1" ht="33.75" customHeight="1" thickBot="1" thickTop="1">
      <c r="B15" s="673"/>
      <c r="C15" s="182"/>
      <c r="D15" s="182" t="s">
        <v>88</v>
      </c>
      <c r="E15" s="192" t="s">
        <v>108</v>
      </c>
      <c r="F15" s="192" t="s">
        <v>109</v>
      </c>
      <c r="G15" s="674" t="s">
        <v>201</v>
      </c>
      <c r="H15" s="674">
        <f>IF('[1]BASE'!BO15=0,"",'[1]BASE'!BO15)</f>
        <v>36100</v>
      </c>
      <c r="I15" s="674">
        <f>IF('[1]BASE'!BP15=0,"",'[1]BASE'!BP15)</f>
        <v>36130</v>
      </c>
      <c r="J15" s="674">
        <f>IF('[1]BASE'!BQ15=0,"",'[1]BASE'!BQ15)</f>
        <v>36161</v>
      </c>
      <c r="K15" s="674">
        <f>IF('[1]BASE'!BR15=0,"",'[1]BASE'!BR15)</f>
        <v>36192</v>
      </c>
      <c r="L15" s="674">
        <f>IF('[1]BASE'!BS15=0,"",'[1]BASE'!BS15)</f>
        <v>36220</v>
      </c>
      <c r="M15" s="674">
        <f>IF('[1]BASE'!BT15=0,"",'[1]BASE'!BT15)</f>
        <v>36251</v>
      </c>
      <c r="N15" s="674">
        <f>IF('[1]BASE'!BU15=0,"",'[1]BASE'!BU15)</f>
        <v>36281</v>
      </c>
      <c r="O15" s="674">
        <f>IF('[1]BASE'!BV15=0,"",'[1]BASE'!BV15)</f>
        <v>36312</v>
      </c>
      <c r="P15" s="674">
        <f>IF('[1]BASE'!BW15=0,"",'[1]BASE'!BW15)</f>
        <v>36342</v>
      </c>
      <c r="Q15" s="674">
        <f>IF('[1]BASE'!BX15=0,"",'[1]BASE'!BX15)</f>
        <v>36373</v>
      </c>
      <c r="R15" s="674">
        <f>IF('[1]BASE'!BY15=0,"",'[1]BASE'!BY15)</f>
        <v>36404</v>
      </c>
      <c r="S15" s="674">
        <f>IF('[1]BASE'!BZ15=0,"",'[1]BASE'!BZ15)</f>
        <v>36434</v>
      </c>
      <c r="T15" s="674">
        <f>IF('[1]BASE'!CA15=0,"",'[1]BASE'!CA15)</f>
        <v>36465</v>
      </c>
      <c r="U15" s="675"/>
    </row>
    <row r="16" spans="2:21" s="676" customFormat="1" ht="19.5" customHeight="1" thickTop="1">
      <c r="B16" s="677"/>
      <c r="C16" s="678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80"/>
      <c r="U16" s="681"/>
    </row>
    <row r="17" spans="2:21" s="676" customFormat="1" ht="19.5" customHeight="1">
      <c r="B17" s="677"/>
      <c r="C17" s="682">
        <f>IF('[1]BASE'!C17=0,"",'[1]BASE'!C17)</f>
        <v>1</v>
      </c>
      <c r="D17" s="682" t="str">
        <f>IF('[1]BASE'!D17=0,"",'[1]BASE'!D17)</f>
        <v>ABASTO - OLAVARRIA 1</v>
      </c>
      <c r="E17" s="682">
        <f>IF('[1]BASE'!E17=0,"",'[1]BASE'!E17)</f>
        <v>500</v>
      </c>
      <c r="F17" s="682">
        <f>IF('[1]BASE'!F17=0,"",'[1]BASE'!F17)</f>
        <v>291</v>
      </c>
      <c r="G17" s="683" t="str">
        <f>IF('[1]BASE'!G17=0,"",'[1]BASE'!G17)</f>
        <v>B</v>
      </c>
      <c r="H17" s="683">
        <f>IF('[1]BASE'!BO17=0,"",'[1]BASE'!BO17)</f>
      </c>
      <c r="I17" s="683">
        <f>IF('[1]BASE'!BP17=0,"",'[1]BASE'!BP17)</f>
      </c>
      <c r="J17" s="683">
        <f>IF('[1]BASE'!BQ17=0,"",'[1]BASE'!BQ17)</f>
      </c>
      <c r="K17" s="683">
        <f>IF('[1]BASE'!BR17=0,"",'[1]BASE'!BR17)</f>
      </c>
      <c r="L17" s="683">
        <f>IF('[1]BASE'!BS17=0,"",'[1]BASE'!BS17)</f>
      </c>
      <c r="M17" s="683">
        <f>IF('[1]BASE'!BT17=0,"",'[1]BASE'!BT17)</f>
      </c>
      <c r="N17" s="683">
        <f>IF('[1]BASE'!BU17=0,"",'[1]BASE'!BU17)</f>
      </c>
      <c r="O17" s="683">
        <f>IF('[1]BASE'!BV17=0,"",'[1]BASE'!BV17)</f>
      </c>
      <c r="P17" s="683">
        <f>IF('[1]BASE'!BW17=0,"",'[1]BASE'!BW17)</f>
      </c>
      <c r="Q17" s="683">
        <f>IF('[1]BASE'!BX17=0,"",'[1]BASE'!BX17)</f>
      </c>
      <c r="R17" s="683">
        <f>IF('[1]BASE'!BY17=0,"",'[1]BASE'!BY17)</f>
      </c>
      <c r="S17" s="683">
        <f>IF('[1]BASE'!BZ17=0,"",'[1]BASE'!BZ17)</f>
      </c>
      <c r="T17" s="684"/>
      <c r="U17" s="681"/>
    </row>
    <row r="18" spans="2:21" s="676" customFormat="1" ht="19.5" customHeight="1">
      <c r="B18" s="677"/>
      <c r="C18" s="685">
        <f>IF('[1]BASE'!C18=0,"",'[1]BASE'!C18)</f>
        <v>2</v>
      </c>
      <c r="D18" s="685" t="str">
        <f>IF('[1]BASE'!D18=0,"",'[1]BASE'!D18)</f>
        <v>ABASTO - OLAVARRIA 2</v>
      </c>
      <c r="E18" s="685">
        <f>IF('[1]BASE'!E18=0,"",'[1]BASE'!E18)</f>
        <v>500</v>
      </c>
      <c r="F18" s="685">
        <f>IF('[1]BASE'!F18=0,"",'[1]BASE'!F18)</f>
        <v>301.9</v>
      </c>
      <c r="G18" s="686">
        <f>IF('[1]BASE'!G18=0,"",'[1]BASE'!G18)</f>
      </c>
      <c r="H18" s="686" t="str">
        <f>IF('[1]BASE'!BO18=0,"",'[1]BASE'!BO18)</f>
        <v>XXXX</v>
      </c>
      <c r="I18" s="686" t="str">
        <f>IF('[1]BASE'!BP18=0,"",'[1]BASE'!BP18)</f>
        <v>XXXX</v>
      </c>
      <c r="J18" s="686" t="str">
        <f>IF('[1]BASE'!BQ18=0,"",'[1]BASE'!BQ18)</f>
        <v>XXXX</v>
      </c>
      <c r="K18" s="686" t="str">
        <f>IF('[1]BASE'!BR18=0,"",'[1]BASE'!BR18)</f>
        <v>XXXX</v>
      </c>
      <c r="L18" s="686" t="str">
        <f>IF('[1]BASE'!BS18=0,"",'[1]BASE'!BS18)</f>
        <v>XXXX</v>
      </c>
      <c r="M18" s="686" t="str">
        <f>IF('[1]BASE'!BT18=0,"",'[1]BASE'!BT18)</f>
        <v>XXXX</v>
      </c>
      <c r="N18" s="686" t="str">
        <f>IF('[1]BASE'!BU18=0,"",'[1]BASE'!BU18)</f>
        <v>XXXX</v>
      </c>
      <c r="O18" s="686" t="str">
        <f>IF('[1]BASE'!BV18=0,"",'[1]BASE'!BV18)</f>
        <v>XXXX</v>
      </c>
      <c r="P18" s="686" t="str">
        <f>IF('[1]BASE'!BW18=0,"",'[1]BASE'!BW18)</f>
        <v>XXXX</v>
      </c>
      <c r="Q18" s="686" t="str">
        <f>IF('[1]BASE'!BX18=0,"",'[1]BASE'!BX18)</f>
        <v>XXXX</v>
      </c>
      <c r="R18" s="686" t="str">
        <f>IF('[1]BASE'!BY18=0,"",'[1]BASE'!BY18)</f>
        <v>XXXX</v>
      </c>
      <c r="S18" s="686" t="str">
        <f>IF('[1]BASE'!BZ18=0,"",'[1]BASE'!BZ18)</f>
        <v>XXXX</v>
      </c>
      <c r="T18" s="684"/>
      <c r="U18" s="681"/>
    </row>
    <row r="19" spans="2:21" s="676" customFormat="1" ht="19.5" customHeight="1">
      <c r="B19" s="677"/>
      <c r="C19" s="687">
        <f>IF('[1]BASE'!C19=0,"",'[1]BASE'!C19)</f>
        <v>3</v>
      </c>
      <c r="D19" s="687" t="str">
        <f>IF('[1]BASE'!D19=0,"",'[1]BASE'!D19)</f>
        <v>AGUA DEL CAJON - CHOCON OESTE</v>
      </c>
      <c r="E19" s="687">
        <f>IF('[1]BASE'!E19=0,"",'[1]BASE'!E19)</f>
        <v>500</v>
      </c>
      <c r="F19" s="687">
        <f>IF('[1]BASE'!F19=0,"",'[1]BASE'!F19)</f>
        <v>52</v>
      </c>
      <c r="G19" s="688">
        <f>IF('[1]BASE'!G19=0,"",'[1]BASE'!G19)</f>
      </c>
      <c r="H19" s="688" t="str">
        <f>IF('[1]BASE'!BO19=0,"",'[1]BASE'!BO19)</f>
        <v>XXXX</v>
      </c>
      <c r="I19" s="688" t="str">
        <f>IF('[1]BASE'!BP19=0,"",'[1]BASE'!BP19)</f>
        <v>XXXX</v>
      </c>
      <c r="J19" s="688" t="str">
        <f>IF('[1]BASE'!BQ19=0,"",'[1]BASE'!BQ19)</f>
        <v>XXXX</v>
      </c>
      <c r="K19" s="688" t="str">
        <f>IF('[1]BASE'!BR19=0,"",'[1]BASE'!BR19)</f>
        <v>XXXX</v>
      </c>
      <c r="L19" s="688" t="str">
        <f>IF('[1]BASE'!BS19=0,"",'[1]BASE'!BS19)</f>
        <v>XXXX</v>
      </c>
      <c r="M19" s="688" t="str">
        <f>IF('[1]BASE'!BT19=0,"",'[1]BASE'!BT19)</f>
        <v>XXXX</v>
      </c>
      <c r="N19" s="688" t="str">
        <f>IF('[1]BASE'!BU19=0,"",'[1]BASE'!BU19)</f>
        <v>XXXX</v>
      </c>
      <c r="O19" s="688" t="str">
        <f>IF('[1]BASE'!BV19=0,"",'[1]BASE'!BV19)</f>
        <v>XXXX</v>
      </c>
      <c r="P19" s="688" t="str">
        <f>IF('[1]BASE'!BW19=0,"",'[1]BASE'!BW19)</f>
        <v>XXXX</v>
      </c>
      <c r="Q19" s="688">
        <f>IF('[1]BASE'!BX19=0,"",'[1]BASE'!BX19)</f>
        <v>2</v>
      </c>
      <c r="R19" s="688">
        <f>IF('[1]BASE'!BY19=0,"",'[1]BASE'!BY19)</f>
      </c>
      <c r="S19" s="688">
        <f>IF('[1]BASE'!BZ19=0,"",'[1]BASE'!BZ19)</f>
      </c>
      <c r="T19" s="684"/>
      <c r="U19" s="681"/>
    </row>
    <row r="20" spans="2:21" s="676" customFormat="1" ht="19.5" customHeight="1">
      <c r="B20" s="677"/>
      <c r="C20" s="685">
        <f>IF('[1]BASE'!C20=0,"",'[1]BASE'!C20)</f>
        <v>4</v>
      </c>
      <c r="D20" s="685" t="str">
        <f>IF('[1]BASE'!D20=0,"",'[1]BASE'!D20)</f>
        <v>ALICURA - E.T. P.del A. 1 (5LG1)</v>
      </c>
      <c r="E20" s="685">
        <f>IF('[1]BASE'!E20=0,"",'[1]BASE'!E20)</f>
        <v>500</v>
      </c>
      <c r="F20" s="685">
        <f>IF('[1]BASE'!F20=0,"",'[1]BASE'!F20)</f>
        <v>77.2</v>
      </c>
      <c r="G20" s="686" t="str">
        <f>IF('[1]BASE'!G20=0,"",'[1]BASE'!G20)</f>
        <v>C</v>
      </c>
      <c r="H20" s="686">
        <f>IF('[1]BASE'!BO20=0,"",'[1]BASE'!BO20)</f>
      </c>
      <c r="I20" s="686">
        <f>IF('[1]BASE'!BP20=0,"",'[1]BASE'!BP20)</f>
      </c>
      <c r="J20" s="686">
        <f>IF('[1]BASE'!BQ20=0,"",'[1]BASE'!BQ20)</f>
      </c>
      <c r="K20" s="686">
        <f>IF('[1]BASE'!BR20=0,"",'[1]BASE'!BR20)</f>
      </c>
      <c r="L20" s="686">
        <f>IF('[1]BASE'!BS20=0,"",'[1]BASE'!BS20)</f>
      </c>
      <c r="M20" s="686">
        <f>IF('[1]BASE'!BT20=0,"",'[1]BASE'!BT20)</f>
      </c>
      <c r="N20" s="686">
        <f>IF('[1]BASE'!BU20=0,"",'[1]BASE'!BU20)</f>
      </c>
      <c r="O20" s="686">
        <f>IF('[1]BASE'!BV20=0,"",'[1]BASE'!BV20)</f>
      </c>
      <c r="P20" s="686">
        <f>IF('[1]BASE'!BW20=0,"",'[1]BASE'!BW20)</f>
      </c>
      <c r="Q20" s="686">
        <f>IF('[1]BASE'!BX20=0,"",'[1]BASE'!BX20)</f>
      </c>
      <c r="R20" s="686">
        <f>IF('[1]BASE'!BY20=0,"",'[1]BASE'!BY20)</f>
      </c>
      <c r="S20" s="686">
        <f>IF('[1]BASE'!BZ20=0,"",'[1]BASE'!BZ20)</f>
      </c>
      <c r="T20" s="684"/>
      <c r="U20" s="681"/>
    </row>
    <row r="21" spans="2:21" s="676" customFormat="1" ht="19.5" customHeight="1">
      <c r="B21" s="677"/>
      <c r="C21" s="687">
        <f>IF('[1]BASE'!C21=0,"",'[1]BASE'!C21)</f>
        <v>5</v>
      </c>
      <c r="D21" s="687" t="str">
        <f>IF('[1]BASE'!D21=0,"",'[1]BASE'!D21)</f>
        <v>ALICURA - E.T. P.del A. 2 (5LG2)</v>
      </c>
      <c r="E21" s="687">
        <f>IF('[1]BASE'!E21=0,"",'[1]BASE'!E21)</f>
        <v>500</v>
      </c>
      <c r="F21" s="687">
        <f>IF('[1]BASE'!F21=0,"",'[1]BASE'!F21)</f>
        <v>77.1</v>
      </c>
      <c r="G21" s="688" t="str">
        <f>IF('[1]BASE'!G21=0,"",'[1]BASE'!G21)</f>
        <v>C</v>
      </c>
      <c r="H21" s="688">
        <f>IF('[1]BASE'!BO21=0,"",'[1]BASE'!BO21)</f>
      </c>
      <c r="I21" s="688">
        <f>IF('[1]BASE'!BP21=0,"",'[1]BASE'!BP21)</f>
      </c>
      <c r="J21" s="688">
        <f>IF('[1]BASE'!BQ21=0,"",'[1]BASE'!BQ21)</f>
      </c>
      <c r="K21" s="688">
        <f>IF('[1]BASE'!BR21=0,"",'[1]BASE'!BR21)</f>
      </c>
      <c r="L21" s="688">
        <f>IF('[1]BASE'!BS21=0,"",'[1]BASE'!BS21)</f>
      </c>
      <c r="M21" s="688">
        <f>IF('[1]BASE'!BT21=0,"",'[1]BASE'!BT21)</f>
      </c>
      <c r="N21" s="688">
        <f>IF('[1]BASE'!BU21=0,"",'[1]BASE'!BU21)</f>
      </c>
      <c r="O21" s="688">
        <f>IF('[1]BASE'!BV21=0,"",'[1]BASE'!BV21)</f>
      </c>
      <c r="P21" s="688">
        <f>IF('[1]BASE'!BW21=0,"",'[1]BASE'!BW21)</f>
      </c>
      <c r="Q21" s="688">
        <f>IF('[1]BASE'!BX21=0,"",'[1]BASE'!BX21)</f>
      </c>
      <c r="R21" s="688">
        <f>IF('[1]BASE'!BY21=0,"",'[1]BASE'!BY21)</f>
      </c>
      <c r="S21" s="688">
        <f>IF('[1]BASE'!BZ21=0,"",'[1]BASE'!BZ21)</f>
      </c>
      <c r="T21" s="684"/>
      <c r="U21" s="681"/>
    </row>
    <row r="22" spans="2:21" s="676" customFormat="1" ht="19.5" customHeight="1">
      <c r="B22" s="677"/>
      <c r="C22" s="685">
        <f>IF('[1]BASE'!C22=0,"",'[1]BASE'!C22)</f>
        <v>6</v>
      </c>
      <c r="D22" s="685" t="str">
        <f>IF('[1]BASE'!D22=0,"",'[1]BASE'!D22)</f>
        <v>ALMAFUERTE - EMBALSE </v>
      </c>
      <c r="E22" s="685">
        <f>IF('[1]BASE'!E22=0,"",'[1]BASE'!E22)</f>
        <v>500</v>
      </c>
      <c r="F22" s="685">
        <f>IF('[1]BASE'!F22=0,"",'[1]BASE'!F22)</f>
        <v>12</v>
      </c>
      <c r="G22" s="686" t="str">
        <f>IF('[1]BASE'!G22=0,"",'[1]BASE'!G22)</f>
        <v>A</v>
      </c>
      <c r="H22" s="686">
        <f>IF('[1]BASE'!BO22=0,"",'[1]BASE'!BO22)</f>
      </c>
      <c r="I22" s="686">
        <f>IF('[1]BASE'!BP22=0,"",'[1]BASE'!BP22)</f>
      </c>
      <c r="J22" s="686">
        <f>IF('[1]BASE'!BQ22=0,"",'[1]BASE'!BQ22)</f>
      </c>
      <c r="K22" s="686">
        <f>IF('[1]BASE'!BR22=0,"",'[1]BASE'!BR22)</f>
      </c>
      <c r="L22" s="686">
        <f>IF('[1]BASE'!BS22=0,"",'[1]BASE'!BS22)</f>
      </c>
      <c r="M22" s="686">
        <f>IF('[1]BASE'!BT22=0,"",'[1]BASE'!BT22)</f>
      </c>
      <c r="N22" s="686">
        <f>IF('[1]BASE'!BU22=0,"",'[1]BASE'!BU22)</f>
      </c>
      <c r="O22" s="686">
        <f>IF('[1]BASE'!BV22=0,"",'[1]BASE'!BV22)</f>
      </c>
      <c r="P22" s="686">
        <f>IF('[1]BASE'!BW22=0,"",'[1]BASE'!BW22)</f>
        <v>1</v>
      </c>
      <c r="Q22" s="686">
        <f>IF('[1]BASE'!BX22=0,"",'[1]BASE'!BX22)</f>
      </c>
      <c r="R22" s="686">
        <f>IF('[1]BASE'!BY22=0,"",'[1]BASE'!BY22)</f>
      </c>
      <c r="S22" s="686">
        <f>IF('[1]BASE'!BZ22=0,"",'[1]BASE'!BZ22)</f>
      </c>
      <c r="T22" s="684"/>
      <c r="U22" s="681"/>
    </row>
    <row r="23" spans="2:21" s="676" customFormat="1" ht="19.5" customHeight="1">
      <c r="B23" s="677"/>
      <c r="C23" s="687">
        <f>IF('[1]BASE'!C23=0,"",'[1]BASE'!C23)</f>
        <v>7</v>
      </c>
      <c r="D23" s="687" t="str">
        <f>IF('[1]BASE'!D23=0,"",'[1]BASE'!D23)</f>
        <v> ALMAFUERTE - ROSARIO OESTE</v>
      </c>
      <c r="E23" s="687">
        <f>IF('[1]BASE'!E23=0,"",'[1]BASE'!E23)</f>
        <v>500</v>
      </c>
      <c r="F23" s="687">
        <f>IF('[1]BASE'!F23=0,"",'[1]BASE'!F23)</f>
        <v>345</v>
      </c>
      <c r="G23" s="688" t="str">
        <f>IF('[1]BASE'!G23=0,"",'[1]BASE'!G23)</f>
        <v>A</v>
      </c>
      <c r="H23" s="688">
        <f>IF('[1]BASE'!BO23=0,"",'[1]BASE'!BO23)</f>
      </c>
      <c r="I23" s="688">
        <f>IF('[1]BASE'!BP23=0,"",'[1]BASE'!BP23)</f>
      </c>
      <c r="J23" s="688">
        <f>IF('[1]BASE'!BQ23=0,"",'[1]BASE'!BQ23)</f>
      </c>
      <c r="K23" s="688">
        <f>IF('[1]BASE'!BR23=0,"",'[1]BASE'!BR23)</f>
      </c>
      <c r="L23" s="688">
        <f>IF('[1]BASE'!BS23=0,"",'[1]BASE'!BS23)</f>
      </c>
      <c r="M23" s="688">
        <f>IF('[1]BASE'!BT23=0,"",'[1]BASE'!BT23)</f>
      </c>
      <c r="N23" s="688">
        <f>IF('[1]BASE'!BU23=0,"",'[1]BASE'!BU23)</f>
      </c>
      <c r="O23" s="688">
        <f>IF('[1]BASE'!BV23=0,"",'[1]BASE'!BV23)</f>
      </c>
      <c r="P23" s="688">
        <f>IF('[1]BASE'!BW23=0,"",'[1]BASE'!BW23)</f>
      </c>
      <c r="Q23" s="688">
        <f>IF('[1]BASE'!BX23=0,"",'[1]BASE'!BX23)</f>
      </c>
      <c r="R23" s="688">
        <f>IF('[1]BASE'!BY23=0,"",'[1]BASE'!BY23)</f>
      </c>
      <c r="S23" s="688">
        <f>IF('[1]BASE'!BZ23=0,"",'[1]BASE'!BZ23)</f>
      </c>
      <c r="T23" s="684"/>
      <c r="U23" s="681"/>
    </row>
    <row r="24" spans="2:21" s="676" customFormat="1" ht="19.5" customHeight="1">
      <c r="B24" s="677"/>
      <c r="C24" s="685">
        <f>IF('[1]BASE'!C24=0,"",'[1]BASE'!C24)</f>
        <v>8</v>
      </c>
      <c r="D24" s="685" t="str">
        <f>IF('[1]BASE'!D24=0,"",'[1]BASE'!D24)</f>
        <v>BAHIA BLANCA - CHOELE CHOEL 1</v>
      </c>
      <c r="E24" s="685">
        <f>IF('[1]BASE'!E24=0,"",'[1]BASE'!E24)</f>
        <v>500</v>
      </c>
      <c r="F24" s="685">
        <f>IF('[1]BASE'!F24=0,"",'[1]BASE'!F24)</f>
        <v>348</v>
      </c>
      <c r="G24" s="686" t="str">
        <f>IF('[1]BASE'!G24=0,"",'[1]BASE'!G24)</f>
        <v>B</v>
      </c>
      <c r="H24" s="686">
        <f>IF('[1]BASE'!BO24=0,"",'[1]BASE'!BO24)</f>
      </c>
      <c r="I24" s="686">
        <f>IF('[1]BASE'!BP24=0,"",'[1]BASE'!BP24)</f>
      </c>
      <c r="J24" s="686">
        <f>IF('[1]BASE'!BQ24=0,"",'[1]BASE'!BQ24)</f>
      </c>
      <c r="K24" s="686">
        <f>IF('[1]BASE'!BR24=0,"",'[1]BASE'!BR24)</f>
      </c>
      <c r="L24" s="686">
        <f>IF('[1]BASE'!BS24=0,"",'[1]BASE'!BS24)</f>
      </c>
      <c r="M24" s="686">
        <f>IF('[1]BASE'!BT24=0,"",'[1]BASE'!BT24)</f>
      </c>
      <c r="N24" s="686">
        <f>IF('[1]BASE'!BU24=0,"",'[1]BASE'!BU24)</f>
      </c>
      <c r="O24" s="686">
        <f>IF('[1]BASE'!BV24=0,"",'[1]BASE'!BV24)</f>
      </c>
      <c r="P24" s="686">
        <f>IF('[1]BASE'!BW24=0,"",'[1]BASE'!BW24)</f>
      </c>
      <c r="Q24" s="686">
        <f>IF('[1]BASE'!BX24=0,"",'[1]BASE'!BX24)</f>
        <v>1</v>
      </c>
      <c r="R24" s="686">
        <f>IF('[1]BASE'!BY24=0,"",'[1]BASE'!BY24)</f>
      </c>
      <c r="S24" s="686">
        <f>IF('[1]BASE'!BZ24=0,"",'[1]BASE'!BZ24)</f>
      </c>
      <c r="T24" s="684"/>
      <c r="U24" s="681"/>
    </row>
    <row r="25" spans="2:21" s="676" customFormat="1" ht="19.5" customHeight="1">
      <c r="B25" s="677"/>
      <c r="C25" s="687">
        <f>IF('[1]BASE'!C25=0,"",'[1]BASE'!C25)</f>
        <v>9</v>
      </c>
      <c r="D25" s="687" t="str">
        <f>IF('[1]BASE'!D25=0,"",'[1]BASE'!D25)</f>
        <v>BAHIA BLANCA - CHOELE CHOEL 2</v>
      </c>
      <c r="E25" s="687">
        <f>IF('[1]BASE'!E25=0,"",'[1]BASE'!E25)</f>
        <v>500</v>
      </c>
      <c r="F25" s="687">
        <f>IF('[1]BASE'!F25=0,"",'[1]BASE'!F25)</f>
        <v>348.4</v>
      </c>
      <c r="G25" s="688">
        <f>IF('[1]BASE'!G25=0,"",'[1]BASE'!G25)</f>
      </c>
      <c r="H25" s="688" t="str">
        <f>IF('[1]BASE'!BO25=0,"",'[1]BASE'!BO25)</f>
        <v>XXXX</v>
      </c>
      <c r="I25" s="688" t="str">
        <f>IF('[1]BASE'!BP25=0,"",'[1]BASE'!BP25)</f>
        <v>XXXX</v>
      </c>
      <c r="J25" s="688" t="str">
        <f>IF('[1]BASE'!BQ25=0,"",'[1]BASE'!BQ25)</f>
        <v>XXXX</v>
      </c>
      <c r="K25" s="688" t="str">
        <f>IF('[1]BASE'!BR25=0,"",'[1]BASE'!BR25)</f>
        <v>XXXX</v>
      </c>
      <c r="L25" s="688" t="str">
        <f>IF('[1]BASE'!BS25=0,"",'[1]BASE'!BS25)</f>
        <v>XXXX</v>
      </c>
      <c r="M25" s="688" t="str">
        <f>IF('[1]BASE'!BT25=0,"",'[1]BASE'!BT25)</f>
        <v>XXXX</v>
      </c>
      <c r="N25" s="688" t="str">
        <f>IF('[1]BASE'!BU25=0,"",'[1]BASE'!BU25)</f>
        <v>XXXX</v>
      </c>
      <c r="O25" s="688" t="str">
        <f>IF('[1]BASE'!BV25=0,"",'[1]BASE'!BV25)</f>
        <v>XXXX</v>
      </c>
      <c r="P25" s="688" t="str">
        <f>IF('[1]BASE'!BW25=0,"",'[1]BASE'!BW25)</f>
        <v>XXXX</v>
      </c>
      <c r="Q25" s="688" t="str">
        <f>IF('[1]BASE'!BX25=0,"",'[1]BASE'!BX25)</f>
        <v>XXXX</v>
      </c>
      <c r="R25" s="688" t="str">
        <f>IF('[1]BASE'!BY25=0,"",'[1]BASE'!BY25)</f>
        <v>XXXX</v>
      </c>
      <c r="S25" s="688" t="str">
        <f>IF('[1]BASE'!BZ25=0,"",'[1]BASE'!BZ25)</f>
        <v>XXXX</v>
      </c>
      <c r="T25" s="684"/>
      <c r="U25" s="681"/>
    </row>
    <row r="26" spans="2:21" s="676" customFormat="1" ht="19.5" customHeight="1">
      <c r="B26" s="677"/>
      <c r="C26" s="685">
        <f>IF('[1]BASE'!C26=0,"",'[1]BASE'!C26)</f>
        <v>10</v>
      </c>
      <c r="D26" s="685" t="str">
        <f>IF('[1]BASE'!D26=0,"",'[1]BASE'!D26)</f>
        <v>CERR. de la CTA - P.BAND. (A3)</v>
      </c>
      <c r="E26" s="685">
        <f>IF('[1]BASE'!E26=0,"",'[1]BASE'!E26)</f>
        <v>500</v>
      </c>
      <c r="F26" s="685">
        <f>IF('[1]BASE'!F26=0,"",'[1]BASE'!F26)</f>
        <v>27</v>
      </c>
      <c r="G26" s="686" t="str">
        <f>IF('[1]BASE'!G26=0,"",'[1]BASE'!G26)</f>
        <v>C</v>
      </c>
      <c r="H26" s="686">
        <f>IF('[1]BASE'!BO26=0,"",'[1]BASE'!BO26)</f>
      </c>
      <c r="I26" s="686">
        <f>IF('[1]BASE'!BP26=0,"",'[1]BASE'!BP26)</f>
      </c>
      <c r="J26" s="686">
        <f>IF('[1]BASE'!BQ26=0,"",'[1]BASE'!BQ26)</f>
      </c>
      <c r="K26" s="686">
        <f>IF('[1]BASE'!BR26=0,"",'[1]BASE'!BR26)</f>
      </c>
      <c r="L26" s="686">
        <f>IF('[1]BASE'!BS26=0,"",'[1]BASE'!BS26)</f>
      </c>
      <c r="M26" s="686">
        <f>IF('[1]BASE'!BT26=0,"",'[1]BASE'!BT26)</f>
      </c>
      <c r="N26" s="686">
        <f>IF('[1]BASE'!BU26=0,"",'[1]BASE'!BU26)</f>
      </c>
      <c r="O26" s="686">
        <f>IF('[1]BASE'!BV26=0,"",'[1]BASE'!BV26)</f>
      </c>
      <c r="P26" s="686">
        <f>IF('[1]BASE'!BW26=0,"",'[1]BASE'!BW26)</f>
      </c>
      <c r="Q26" s="686">
        <f>IF('[1]BASE'!BX26=0,"",'[1]BASE'!BX26)</f>
      </c>
      <c r="R26" s="686">
        <f>IF('[1]BASE'!BY26=0,"",'[1]BASE'!BY26)</f>
      </c>
      <c r="S26" s="686">
        <f>IF('[1]BASE'!BZ26=0,"",'[1]BASE'!BZ26)</f>
      </c>
      <c r="T26" s="684"/>
      <c r="U26" s="681"/>
    </row>
    <row r="27" spans="2:21" s="676" customFormat="1" ht="19.5" customHeight="1">
      <c r="B27" s="677"/>
      <c r="C27" s="687">
        <f>IF('[1]BASE'!C27=0,"",'[1]BASE'!C27)</f>
        <v>11</v>
      </c>
      <c r="D27" s="687" t="str">
        <f>IF('[1]BASE'!D27=0,"",'[1]BASE'!D27)</f>
        <v>COLONIA ELIA - CAMPANA</v>
      </c>
      <c r="E27" s="687">
        <f>IF('[1]BASE'!E27=0,"",'[1]BASE'!E27)</f>
        <v>500</v>
      </c>
      <c r="F27" s="687">
        <f>IF('[1]BASE'!F27=0,"",'[1]BASE'!F27)</f>
        <v>166</v>
      </c>
      <c r="G27" s="688" t="str">
        <f>IF('[1]BASE'!G27=0,"",'[1]BASE'!G27)</f>
        <v>A</v>
      </c>
      <c r="H27" s="688">
        <f>IF('[1]BASE'!BO27=0,"",'[1]BASE'!BO27)</f>
      </c>
      <c r="I27" s="688">
        <f>IF('[1]BASE'!BP27=0,"",'[1]BASE'!BP27)</f>
        <v>1</v>
      </c>
      <c r="J27" s="688">
        <f>IF('[1]BASE'!BQ27=0,"",'[1]BASE'!BQ27)</f>
      </c>
      <c r="K27" s="688">
        <f>IF('[1]BASE'!BR27=0,"",'[1]BASE'!BR27)</f>
      </c>
      <c r="L27" s="688">
        <f>IF('[1]BASE'!BS27=0,"",'[1]BASE'!BS27)</f>
      </c>
      <c r="M27" s="688">
        <f>IF('[1]BASE'!BT27=0,"",'[1]BASE'!BT27)</f>
      </c>
      <c r="N27" s="688">
        <f>IF('[1]BASE'!BU27=0,"",'[1]BASE'!BU27)</f>
      </c>
      <c r="O27" s="688">
        <f>IF('[1]BASE'!BV27=0,"",'[1]BASE'!BV27)</f>
      </c>
      <c r="P27" s="688">
        <f>IF('[1]BASE'!BW27=0,"",'[1]BASE'!BW27)</f>
      </c>
      <c r="Q27" s="688">
        <f>IF('[1]BASE'!BX27=0,"",'[1]BASE'!BX27)</f>
      </c>
      <c r="R27" s="688">
        <f>IF('[1]BASE'!BY27=0,"",'[1]BASE'!BY27)</f>
      </c>
      <c r="S27" s="688">
        <f>IF('[1]BASE'!BZ27=0,"",'[1]BASE'!BZ27)</f>
        <v>1</v>
      </c>
      <c r="T27" s="684"/>
      <c r="U27" s="681"/>
    </row>
    <row r="28" spans="2:21" s="676" customFormat="1" ht="19.5" customHeight="1">
      <c r="B28" s="677"/>
      <c r="C28" s="685">
        <f>IF('[1]BASE'!C28=0,"",'[1]BASE'!C28)</f>
        <v>12</v>
      </c>
      <c r="D28" s="685" t="str">
        <f>IF('[1]BASE'!D28=0,"",'[1]BASE'!D28)</f>
        <v>CHO. W. - CHOELE CHOEL (5WH1)</v>
      </c>
      <c r="E28" s="685">
        <f>IF('[1]BASE'!E28=0,"",'[1]BASE'!E28)</f>
        <v>500</v>
      </c>
      <c r="F28" s="685">
        <f>IF('[1]BASE'!F28=0,"",'[1]BASE'!F28)</f>
        <v>269</v>
      </c>
      <c r="G28" s="686" t="str">
        <f>IF('[1]BASE'!G28=0,"",'[1]BASE'!G28)</f>
        <v>B</v>
      </c>
      <c r="H28" s="686">
        <f>IF('[1]BASE'!BO28=0,"",'[1]BASE'!BO28)</f>
      </c>
      <c r="I28" s="686">
        <f>IF('[1]BASE'!BP28=0,"",'[1]BASE'!BP28)</f>
      </c>
      <c r="J28" s="686">
        <f>IF('[1]BASE'!BQ28=0,"",'[1]BASE'!BQ28)</f>
      </c>
      <c r="K28" s="686">
        <f>IF('[1]BASE'!BR28=0,"",'[1]BASE'!BR28)</f>
      </c>
      <c r="L28" s="686">
        <f>IF('[1]BASE'!BS28=0,"",'[1]BASE'!BS28)</f>
      </c>
      <c r="M28" s="686">
        <f>IF('[1]BASE'!BT28=0,"",'[1]BASE'!BT28)</f>
      </c>
      <c r="N28" s="686">
        <f>IF('[1]BASE'!BU28=0,"",'[1]BASE'!BU28)</f>
        <v>1</v>
      </c>
      <c r="O28" s="686">
        <f>IF('[1]BASE'!BV28=0,"",'[1]BASE'!BV28)</f>
      </c>
      <c r="P28" s="686">
        <f>IF('[1]BASE'!BW28=0,"",'[1]BASE'!BW28)</f>
      </c>
      <c r="Q28" s="686">
        <f>IF('[1]BASE'!BX28=0,"",'[1]BASE'!BX28)</f>
        <v>1</v>
      </c>
      <c r="R28" s="686">
        <f>IF('[1]BASE'!BY28=0,"",'[1]BASE'!BY28)</f>
      </c>
      <c r="S28" s="686">
        <f>IF('[1]BASE'!BZ28=0,"",'[1]BASE'!BZ28)</f>
      </c>
      <c r="T28" s="684"/>
      <c r="U28" s="681"/>
    </row>
    <row r="29" spans="2:21" s="676" customFormat="1" ht="19.5" customHeight="1">
      <c r="B29" s="677"/>
      <c r="C29" s="687">
        <f>IF('[1]BASE'!C29=0,"",'[1]BASE'!C29)</f>
        <v>13</v>
      </c>
      <c r="D29" s="687" t="str">
        <f>IF('[1]BASE'!D29=0,"",'[1]BASE'!D29)</f>
        <v>CHO.W. - CHO. 1 (5WC1)</v>
      </c>
      <c r="E29" s="687">
        <f>IF('[1]BASE'!E29=0,"",'[1]BASE'!E29)</f>
        <v>500</v>
      </c>
      <c r="F29" s="687">
        <f>IF('[1]BASE'!F29=0,"",'[1]BASE'!F29)</f>
        <v>4.5</v>
      </c>
      <c r="G29" s="688" t="str">
        <f>IF('[1]BASE'!G29=0,"",'[1]BASE'!G29)</f>
        <v>C</v>
      </c>
      <c r="H29" s="688">
        <f>IF('[1]BASE'!BO29=0,"",'[1]BASE'!BO29)</f>
      </c>
      <c r="I29" s="688">
        <f>IF('[1]BASE'!BP29=0,"",'[1]BASE'!BP29)</f>
      </c>
      <c r="J29" s="688">
        <f>IF('[1]BASE'!BQ29=0,"",'[1]BASE'!BQ29)</f>
      </c>
      <c r="K29" s="688">
        <f>IF('[1]BASE'!BR29=0,"",'[1]BASE'!BR29)</f>
      </c>
      <c r="L29" s="688">
        <f>IF('[1]BASE'!BS29=0,"",'[1]BASE'!BS29)</f>
      </c>
      <c r="M29" s="688">
        <f>IF('[1]BASE'!BT29=0,"",'[1]BASE'!BT29)</f>
      </c>
      <c r="N29" s="688">
        <f>IF('[1]BASE'!BU29=0,"",'[1]BASE'!BU29)</f>
      </c>
      <c r="O29" s="688">
        <f>IF('[1]BASE'!BV29=0,"",'[1]BASE'!BV29)</f>
      </c>
      <c r="P29" s="688">
        <f>IF('[1]BASE'!BW29=0,"",'[1]BASE'!BW29)</f>
      </c>
      <c r="Q29" s="688">
        <f>IF('[1]BASE'!BX29=0,"",'[1]BASE'!BX29)</f>
      </c>
      <c r="R29" s="688">
        <f>IF('[1]BASE'!BY29=0,"",'[1]BASE'!BY29)</f>
      </c>
      <c r="S29" s="688">
        <f>IF('[1]BASE'!BZ29=0,"",'[1]BASE'!BZ29)</f>
      </c>
      <c r="T29" s="684"/>
      <c r="U29" s="681"/>
    </row>
    <row r="30" spans="2:21" s="676" customFormat="1" ht="19.5" customHeight="1">
      <c r="B30" s="677"/>
      <c r="C30" s="685">
        <f>IF('[1]BASE'!C30=0,"",'[1]BASE'!C30)</f>
        <v>14</v>
      </c>
      <c r="D30" s="685" t="str">
        <f>IF('[1]BASE'!D30=0,"",'[1]BASE'!D30)</f>
        <v>CHO.W. - CHO. 2 (5WC2)</v>
      </c>
      <c r="E30" s="685">
        <f>IF('[1]BASE'!E30=0,"",'[1]BASE'!E30)</f>
        <v>500</v>
      </c>
      <c r="F30" s="685">
        <f>IF('[1]BASE'!F30=0,"",'[1]BASE'!F30)</f>
        <v>4.5</v>
      </c>
      <c r="G30" s="686" t="str">
        <f>IF('[1]BASE'!G30=0,"",'[1]BASE'!G30)</f>
        <v>C</v>
      </c>
      <c r="H30" s="686">
        <f>IF('[1]BASE'!BO30=0,"",'[1]BASE'!BO30)</f>
      </c>
      <c r="I30" s="686">
        <f>IF('[1]BASE'!BP30=0,"",'[1]BASE'!BP30)</f>
      </c>
      <c r="J30" s="686">
        <f>IF('[1]BASE'!BQ30=0,"",'[1]BASE'!BQ30)</f>
      </c>
      <c r="K30" s="686">
        <f>IF('[1]BASE'!BR30=0,"",'[1]BASE'!BR30)</f>
      </c>
      <c r="L30" s="686">
        <f>IF('[1]BASE'!BS30=0,"",'[1]BASE'!BS30)</f>
      </c>
      <c r="M30" s="686">
        <f>IF('[1]BASE'!BT30=0,"",'[1]BASE'!BT30)</f>
      </c>
      <c r="N30" s="686">
        <f>IF('[1]BASE'!BU30=0,"",'[1]BASE'!BU30)</f>
      </c>
      <c r="O30" s="686">
        <f>IF('[1]BASE'!BV30=0,"",'[1]BASE'!BV30)</f>
      </c>
      <c r="P30" s="686">
        <f>IF('[1]BASE'!BW30=0,"",'[1]BASE'!BW30)</f>
      </c>
      <c r="Q30" s="686">
        <f>IF('[1]BASE'!BX30=0,"",'[1]BASE'!BX30)</f>
      </c>
      <c r="R30" s="686">
        <f>IF('[1]BASE'!BY30=0,"",'[1]BASE'!BY30)</f>
      </c>
      <c r="S30" s="686">
        <f>IF('[1]BASE'!BZ30=0,"",'[1]BASE'!BZ30)</f>
      </c>
      <c r="T30" s="684"/>
      <c r="U30" s="681"/>
    </row>
    <row r="31" spans="2:21" s="676" customFormat="1" ht="19.5" customHeight="1">
      <c r="B31" s="677"/>
      <c r="C31" s="687">
        <f>IF('[1]BASE'!C31=0,"",'[1]BASE'!C31)</f>
        <v>15</v>
      </c>
      <c r="D31" s="687" t="str">
        <f>IF('[1]BASE'!D31=0,"",'[1]BASE'!D31)</f>
        <v>CHOCON - C.H. CHOCON 1</v>
      </c>
      <c r="E31" s="687">
        <f>IF('[1]BASE'!E31=0,"",'[1]BASE'!E31)</f>
        <v>500</v>
      </c>
      <c r="F31" s="687">
        <f>IF('[1]BASE'!F31=0,"",'[1]BASE'!F31)</f>
        <v>3</v>
      </c>
      <c r="G31" s="688" t="str">
        <f>IF('[1]BASE'!G31=0,"",'[1]BASE'!G31)</f>
        <v>C</v>
      </c>
      <c r="H31" s="688">
        <f>IF('[1]BASE'!BO31=0,"",'[1]BASE'!BO31)</f>
      </c>
      <c r="I31" s="688">
        <f>IF('[1]BASE'!BP31=0,"",'[1]BASE'!BP31)</f>
      </c>
      <c r="J31" s="688">
        <f>IF('[1]BASE'!BQ31=0,"",'[1]BASE'!BQ31)</f>
      </c>
      <c r="K31" s="688">
        <f>IF('[1]BASE'!BR31=0,"",'[1]BASE'!BR31)</f>
      </c>
      <c r="L31" s="688">
        <f>IF('[1]BASE'!BS31=0,"",'[1]BASE'!BS31)</f>
      </c>
      <c r="M31" s="688">
        <f>IF('[1]BASE'!BT31=0,"",'[1]BASE'!BT31)</f>
      </c>
      <c r="N31" s="688">
        <f>IF('[1]BASE'!BU31=0,"",'[1]BASE'!BU31)</f>
      </c>
      <c r="O31" s="688">
        <f>IF('[1]BASE'!BV31=0,"",'[1]BASE'!BV31)</f>
      </c>
      <c r="P31" s="688">
        <f>IF('[1]BASE'!BW31=0,"",'[1]BASE'!BW31)</f>
      </c>
      <c r="Q31" s="688">
        <f>IF('[1]BASE'!BX31=0,"",'[1]BASE'!BX31)</f>
        <v>1</v>
      </c>
      <c r="R31" s="688">
        <f>IF('[1]BASE'!BY31=0,"",'[1]BASE'!BY31)</f>
      </c>
      <c r="S31" s="688">
        <f>IF('[1]BASE'!BZ31=0,"",'[1]BASE'!BZ31)</f>
      </c>
      <c r="T31" s="684"/>
      <c r="U31" s="681"/>
    </row>
    <row r="32" spans="2:21" s="676" customFormat="1" ht="19.5" customHeight="1">
      <c r="B32" s="677"/>
      <c r="C32" s="685">
        <f>IF('[1]BASE'!C32=0,"",'[1]BASE'!C32)</f>
        <v>16</v>
      </c>
      <c r="D32" s="685" t="str">
        <f>IF('[1]BASE'!D32=0,"",'[1]BASE'!D32)</f>
        <v>CHOCON - C.H. CHOCON 2</v>
      </c>
      <c r="E32" s="685">
        <f>IF('[1]BASE'!E32=0,"",'[1]BASE'!E32)</f>
        <v>500</v>
      </c>
      <c r="F32" s="685">
        <f>IF('[1]BASE'!F32=0,"",'[1]BASE'!F32)</f>
        <v>3</v>
      </c>
      <c r="G32" s="686" t="str">
        <f>IF('[1]BASE'!G32=0,"",'[1]BASE'!G32)</f>
        <v>C</v>
      </c>
      <c r="H32" s="686">
        <f>IF('[1]BASE'!BO32=0,"",'[1]BASE'!BO32)</f>
      </c>
      <c r="I32" s="686">
        <f>IF('[1]BASE'!BP32=0,"",'[1]BASE'!BP32)</f>
      </c>
      <c r="J32" s="686">
        <f>IF('[1]BASE'!BQ32=0,"",'[1]BASE'!BQ32)</f>
      </c>
      <c r="K32" s="686">
        <f>IF('[1]BASE'!BR32=0,"",'[1]BASE'!BR32)</f>
      </c>
      <c r="L32" s="686">
        <f>IF('[1]BASE'!BS32=0,"",'[1]BASE'!BS32)</f>
      </c>
      <c r="M32" s="686">
        <f>IF('[1]BASE'!BT32=0,"",'[1]BASE'!BT32)</f>
      </c>
      <c r="N32" s="686">
        <f>IF('[1]BASE'!BU32=0,"",'[1]BASE'!BU32)</f>
      </c>
      <c r="O32" s="686">
        <f>IF('[1]BASE'!BV32=0,"",'[1]BASE'!BV32)</f>
      </c>
      <c r="P32" s="686">
        <f>IF('[1]BASE'!BW32=0,"",'[1]BASE'!BW32)</f>
      </c>
      <c r="Q32" s="686">
        <f>IF('[1]BASE'!BX32=0,"",'[1]BASE'!BX32)</f>
        <v>1</v>
      </c>
      <c r="R32" s="686">
        <f>IF('[1]BASE'!BY32=0,"",'[1]BASE'!BY32)</f>
      </c>
      <c r="S32" s="686">
        <f>IF('[1]BASE'!BZ32=0,"",'[1]BASE'!BZ32)</f>
      </c>
      <c r="T32" s="684"/>
      <c r="U32" s="681"/>
    </row>
    <row r="33" spans="2:21" s="676" customFormat="1" ht="19.5" customHeight="1">
      <c r="B33" s="677"/>
      <c r="C33" s="687">
        <f>IF('[1]BASE'!C33=0,"",'[1]BASE'!C33)</f>
        <v>17</v>
      </c>
      <c r="D33" s="687" t="str">
        <f>IF('[1]BASE'!D33=0,"",'[1]BASE'!D33)</f>
        <v>CHOCON - C.H. CHOCON 3</v>
      </c>
      <c r="E33" s="687">
        <f>IF('[1]BASE'!E33=0,"",'[1]BASE'!E33)</f>
        <v>500</v>
      </c>
      <c r="F33" s="687">
        <f>IF('[1]BASE'!F33=0,"",'[1]BASE'!F33)</f>
        <v>3</v>
      </c>
      <c r="G33" s="688" t="str">
        <f>IF('[1]BASE'!G33=0,"",'[1]BASE'!G33)</f>
        <v>C</v>
      </c>
      <c r="H33" s="688">
        <f>IF('[1]BASE'!BO33=0,"",'[1]BASE'!BO33)</f>
      </c>
      <c r="I33" s="688">
        <f>IF('[1]BASE'!BP33=0,"",'[1]BASE'!BP33)</f>
      </c>
      <c r="J33" s="688">
        <f>IF('[1]BASE'!BQ33=0,"",'[1]BASE'!BQ33)</f>
      </c>
      <c r="K33" s="688">
        <f>IF('[1]BASE'!BR33=0,"",'[1]BASE'!BR33)</f>
      </c>
      <c r="L33" s="688">
        <f>IF('[1]BASE'!BS33=0,"",'[1]BASE'!BS33)</f>
      </c>
      <c r="M33" s="688">
        <f>IF('[1]BASE'!BT33=0,"",'[1]BASE'!BT33)</f>
      </c>
      <c r="N33" s="688">
        <f>IF('[1]BASE'!BU33=0,"",'[1]BASE'!BU33)</f>
      </c>
      <c r="O33" s="688">
        <f>IF('[1]BASE'!BV33=0,"",'[1]BASE'!BV33)</f>
      </c>
      <c r="P33" s="688">
        <f>IF('[1]BASE'!BW33=0,"",'[1]BASE'!BW33)</f>
      </c>
      <c r="Q33" s="688">
        <f>IF('[1]BASE'!BX33=0,"",'[1]BASE'!BX33)</f>
      </c>
      <c r="R33" s="688">
        <f>IF('[1]BASE'!BY33=0,"",'[1]BASE'!BY33)</f>
      </c>
      <c r="S33" s="688">
        <f>IF('[1]BASE'!BZ33=0,"",'[1]BASE'!BZ33)</f>
      </c>
      <c r="T33" s="684"/>
      <c r="U33" s="681"/>
    </row>
    <row r="34" spans="2:21" s="676" customFormat="1" ht="19.5" customHeight="1">
      <c r="B34" s="677"/>
      <c r="C34" s="685">
        <f>IF('[1]BASE'!C34=0,"",'[1]BASE'!C34)</f>
        <v>18</v>
      </c>
      <c r="D34" s="685" t="str">
        <f>IF('[1]BASE'!D34=0,"",'[1]BASE'!D34)</f>
        <v>CHOCON - PUELCHES 1</v>
      </c>
      <c r="E34" s="685">
        <f>IF('[1]BASE'!E34=0,"",'[1]BASE'!E34)</f>
        <v>500</v>
      </c>
      <c r="F34" s="685">
        <f>IF('[1]BASE'!F34=0,"",'[1]BASE'!F34)</f>
        <v>304</v>
      </c>
      <c r="G34" s="686" t="str">
        <f>IF('[1]BASE'!G34=0,"",'[1]BASE'!G34)</f>
        <v>A</v>
      </c>
      <c r="H34" s="686">
        <f>IF('[1]BASE'!BO34=0,"",'[1]BASE'!BO34)</f>
      </c>
      <c r="I34" s="686">
        <f>IF('[1]BASE'!BP34=0,"",'[1]BASE'!BP34)</f>
      </c>
      <c r="J34" s="686">
        <f>IF('[1]BASE'!BQ34=0,"",'[1]BASE'!BQ34)</f>
      </c>
      <c r="K34" s="686">
        <f>IF('[1]BASE'!BR34=0,"",'[1]BASE'!BR34)</f>
      </c>
      <c r="L34" s="686">
        <f>IF('[1]BASE'!BS34=0,"",'[1]BASE'!BS34)</f>
      </c>
      <c r="M34" s="686">
        <f>IF('[1]BASE'!BT34=0,"",'[1]BASE'!BT34)</f>
      </c>
      <c r="N34" s="686">
        <f>IF('[1]BASE'!BU34=0,"",'[1]BASE'!BU34)</f>
      </c>
      <c r="O34" s="686">
        <f>IF('[1]BASE'!BV34=0,"",'[1]BASE'!BV34)</f>
      </c>
      <c r="P34" s="686">
        <f>IF('[1]BASE'!BW34=0,"",'[1]BASE'!BW34)</f>
      </c>
      <c r="Q34" s="686">
        <f>IF('[1]BASE'!BX34=0,"",'[1]BASE'!BX34)</f>
      </c>
      <c r="R34" s="686">
        <f>IF('[1]BASE'!BY34=0,"",'[1]BASE'!BY34)</f>
      </c>
      <c r="S34" s="686">
        <f>IF('[1]BASE'!BZ34=0,"",'[1]BASE'!BZ34)</f>
      </c>
      <c r="T34" s="684"/>
      <c r="U34" s="681"/>
    </row>
    <row r="35" spans="2:21" s="676" customFormat="1" ht="19.5" customHeight="1">
      <c r="B35" s="677"/>
      <c r="C35" s="687">
        <f>IF('[1]BASE'!C35=0,"",'[1]BASE'!C35)</f>
        <v>19</v>
      </c>
      <c r="D35" s="687" t="str">
        <f>IF('[1]BASE'!D35=0,"",'[1]BASE'!D35)</f>
        <v>CHOCON - PUELCHES 2</v>
      </c>
      <c r="E35" s="687">
        <f>IF('[1]BASE'!E35=0,"",'[1]BASE'!E35)</f>
        <v>500</v>
      </c>
      <c r="F35" s="687">
        <f>IF('[1]BASE'!F35=0,"",'[1]BASE'!F35)</f>
        <v>304</v>
      </c>
      <c r="G35" s="688" t="str">
        <f>IF('[1]BASE'!G35=0,"",'[1]BASE'!G35)</f>
        <v>A</v>
      </c>
      <c r="H35" s="688">
        <f>IF('[1]BASE'!BO35=0,"",'[1]BASE'!BO35)</f>
      </c>
      <c r="I35" s="688">
        <f>IF('[1]BASE'!BP35=0,"",'[1]BASE'!BP35)</f>
      </c>
      <c r="J35" s="688">
        <f>IF('[1]BASE'!BQ35=0,"",'[1]BASE'!BQ35)</f>
      </c>
      <c r="K35" s="688">
        <f>IF('[1]BASE'!BR35=0,"",'[1]BASE'!BR35)</f>
      </c>
      <c r="L35" s="688">
        <f>IF('[1]BASE'!BS35=0,"",'[1]BASE'!BS35)</f>
      </c>
      <c r="M35" s="688">
        <f>IF('[1]BASE'!BT35=0,"",'[1]BASE'!BT35)</f>
      </c>
      <c r="N35" s="688">
        <f>IF('[1]BASE'!BU35=0,"",'[1]BASE'!BU35)</f>
      </c>
      <c r="O35" s="688">
        <f>IF('[1]BASE'!BV35=0,"",'[1]BASE'!BV35)</f>
      </c>
      <c r="P35" s="688">
        <f>IF('[1]BASE'!BW35=0,"",'[1]BASE'!BW35)</f>
      </c>
      <c r="Q35" s="688">
        <f>IF('[1]BASE'!BX35=0,"",'[1]BASE'!BX35)</f>
      </c>
      <c r="R35" s="688">
        <f>IF('[1]BASE'!BY35=0,"",'[1]BASE'!BY35)</f>
      </c>
      <c r="S35" s="688">
        <f>IF('[1]BASE'!BZ35=0,"",'[1]BASE'!BZ35)</f>
      </c>
      <c r="T35" s="684"/>
      <c r="U35" s="681"/>
    </row>
    <row r="36" spans="2:21" s="676" customFormat="1" ht="19.5" customHeight="1">
      <c r="B36" s="677"/>
      <c r="C36" s="685">
        <f>IF('[1]BASE'!C36=0,"",'[1]BASE'!C36)</f>
        <v>20</v>
      </c>
      <c r="D36" s="685" t="str">
        <f>IF('[1]BASE'!D36=0,"",'[1]BASE'!D36)</f>
        <v>E.T.P.del AGUILA - CENTRAL P.del A. 1</v>
      </c>
      <c r="E36" s="685">
        <f>IF('[1]BASE'!E36=0,"",'[1]BASE'!E36)</f>
        <v>500</v>
      </c>
      <c r="F36" s="685">
        <f>IF('[1]BASE'!F36=0,"",'[1]BASE'!F36)</f>
        <v>5.4</v>
      </c>
      <c r="G36" s="686" t="str">
        <f>IF('[1]BASE'!G36=0,"",'[1]BASE'!G36)</f>
        <v>C</v>
      </c>
      <c r="H36" s="686">
        <f>IF('[1]BASE'!BO36=0,"",'[1]BASE'!BO36)</f>
      </c>
      <c r="I36" s="686">
        <f>IF('[1]BASE'!BP36=0,"",'[1]BASE'!BP36)</f>
      </c>
      <c r="J36" s="686">
        <f>IF('[1]BASE'!BQ36=0,"",'[1]BASE'!BQ36)</f>
      </c>
      <c r="K36" s="686">
        <f>IF('[1]BASE'!BR36=0,"",'[1]BASE'!BR36)</f>
      </c>
      <c r="L36" s="686">
        <f>IF('[1]BASE'!BS36=0,"",'[1]BASE'!BS36)</f>
      </c>
      <c r="M36" s="686">
        <f>IF('[1]BASE'!BT36=0,"",'[1]BASE'!BT36)</f>
      </c>
      <c r="N36" s="686">
        <f>IF('[1]BASE'!BU36=0,"",'[1]BASE'!BU36)</f>
      </c>
      <c r="O36" s="686">
        <f>IF('[1]BASE'!BV36=0,"",'[1]BASE'!BV36)</f>
      </c>
      <c r="P36" s="686">
        <f>IF('[1]BASE'!BW36=0,"",'[1]BASE'!BW36)</f>
      </c>
      <c r="Q36" s="686">
        <f>IF('[1]BASE'!BX36=0,"",'[1]BASE'!BX36)</f>
      </c>
      <c r="R36" s="686">
        <f>IF('[1]BASE'!BY36=0,"",'[1]BASE'!BY36)</f>
        <v>1</v>
      </c>
      <c r="S36" s="686">
        <f>IF('[1]BASE'!BZ36=0,"",'[1]BASE'!BZ36)</f>
      </c>
      <c r="T36" s="684"/>
      <c r="U36" s="681"/>
    </row>
    <row r="37" spans="2:21" s="676" customFormat="1" ht="19.5" customHeight="1">
      <c r="B37" s="677"/>
      <c r="C37" s="687">
        <f>IF('[1]BASE'!C37=0,"",'[1]BASE'!C37)</f>
        <v>21</v>
      </c>
      <c r="D37" s="687" t="str">
        <f>IF('[1]BASE'!D37=0,"",'[1]BASE'!D37)</f>
        <v>E.T.P.del AGUILA - CENTRAL P.del A. 2</v>
      </c>
      <c r="E37" s="687">
        <f>IF('[1]BASE'!E37=0,"",'[1]BASE'!E37)</f>
        <v>500</v>
      </c>
      <c r="F37" s="687">
        <f>IF('[1]BASE'!F37=0,"",'[1]BASE'!F37)</f>
        <v>5.3</v>
      </c>
      <c r="G37" s="688" t="str">
        <f>IF('[1]BASE'!G37=0,"",'[1]BASE'!G37)</f>
        <v>C</v>
      </c>
      <c r="H37" s="688">
        <f>IF('[1]BASE'!BO37=0,"",'[1]BASE'!BO37)</f>
      </c>
      <c r="I37" s="688">
        <f>IF('[1]BASE'!BP37=0,"",'[1]BASE'!BP37)</f>
      </c>
      <c r="J37" s="688">
        <f>IF('[1]BASE'!BQ37=0,"",'[1]BASE'!BQ37)</f>
      </c>
      <c r="K37" s="688">
        <f>IF('[1]BASE'!BR37=0,"",'[1]BASE'!BR37)</f>
      </c>
      <c r="L37" s="688">
        <f>IF('[1]BASE'!BS37=0,"",'[1]BASE'!BS37)</f>
      </c>
      <c r="M37" s="688">
        <f>IF('[1]BASE'!BT37=0,"",'[1]BASE'!BT37)</f>
      </c>
      <c r="N37" s="688">
        <f>IF('[1]BASE'!BU37=0,"",'[1]BASE'!BU37)</f>
      </c>
      <c r="O37" s="688">
        <f>IF('[1]BASE'!BV37=0,"",'[1]BASE'!BV37)</f>
      </c>
      <c r="P37" s="688">
        <f>IF('[1]BASE'!BW37=0,"",'[1]BASE'!BW37)</f>
      </c>
      <c r="Q37" s="688">
        <f>IF('[1]BASE'!BX37=0,"",'[1]BASE'!BX37)</f>
      </c>
      <c r="R37" s="688">
        <f>IF('[1]BASE'!BY37=0,"",'[1]BASE'!BY37)</f>
      </c>
      <c r="S37" s="688">
        <f>IF('[1]BASE'!BZ37=0,"",'[1]BASE'!BZ37)</f>
      </c>
      <c r="T37" s="684"/>
      <c r="U37" s="681"/>
    </row>
    <row r="38" spans="2:21" s="676" customFormat="1" ht="19.5" customHeight="1">
      <c r="B38" s="677"/>
      <c r="C38" s="685">
        <f>IF('[1]BASE'!C38=0,"",'[1]BASE'!C38)</f>
        <v>22</v>
      </c>
      <c r="D38" s="685" t="str">
        <f>IF('[1]BASE'!D38=0,"",'[1]BASE'!D38)</f>
        <v>EL BRACHO - RECREO(5)</v>
      </c>
      <c r="E38" s="685">
        <f>IF('[1]BASE'!E38=0,"",'[1]BASE'!E38)</f>
        <v>500</v>
      </c>
      <c r="F38" s="685">
        <f>IF('[1]BASE'!F38=0,"",'[1]BASE'!F38)</f>
        <v>255</v>
      </c>
      <c r="G38" s="686" t="str">
        <f>IF('[1]BASE'!G38=0,"",'[1]BASE'!G38)</f>
        <v>C</v>
      </c>
      <c r="H38" s="686">
        <f>IF('[1]BASE'!BO38=0,"",'[1]BASE'!BO38)</f>
      </c>
      <c r="I38" s="686">
        <f>IF('[1]BASE'!BP38=0,"",'[1]BASE'!BP38)</f>
      </c>
      <c r="J38" s="686">
        <f>IF('[1]BASE'!BQ38=0,"",'[1]BASE'!BQ38)</f>
      </c>
      <c r="K38" s="686">
        <f>IF('[1]BASE'!BR38=0,"",'[1]BASE'!BR38)</f>
      </c>
      <c r="L38" s="686">
        <f>IF('[1]BASE'!BS38=0,"",'[1]BASE'!BS38)</f>
      </c>
      <c r="M38" s="686">
        <f>IF('[1]BASE'!BT38=0,"",'[1]BASE'!BT38)</f>
      </c>
      <c r="N38" s="686">
        <f>IF('[1]BASE'!BU38=0,"",'[1]BASE'!BU38)</f>
      </c>
      <c r="O38" s="686">
        <f>IF('[1]BASE'!BV38=0,"",'[1]BASE'!BV38)</f>
      </c>
      <c r="P38" s="686">
        <f>IF('[1]BASE'!BW38=0,"",'[1]BASE'!BW38)</f>
      </c>
      <c r="Q38" s="686">
        <f>IF('[1]BASE'!BX38=0,"",'[1]BASE'!BX38)</f>
        <v>1</v>
      </c>
      <c r="R38" s="686">
        <f>IF('[1]BASE'!BY38=0,"",'[1]BASE'!BY38)</f>
        <v>1</v>
      </c>
      <c r="S38" s="686">
        <f>IF('[1]BASE'!BZ38=0,"",'[1]BASE'!BZ38)</f>
      </c>
      <c r="T38" s="684"/>
      <c r="U38" s="681"/>
    </row>
    <row r="39" spans="2:21" s="676" customFormat="1" ht="19.5" customHeight="1">
      <c r="B39" s="677"/>
      <c r="C39" s="687">
        <f>IF('[1]BASE'!C39=0,"",'[1]BASE'!C39)</f>
        <v>23</v>
      </c>
      <c r="D39" s="687" t="str">
        <f>IF('[1]BASE'!D39=0,"",'[1]BASE'!D39)</f>
        <v>EZEIZA - ABASTO 1</v>
      </c>
      <c r="E39" s="687">
        <f>IF('[1]BASE'!E39=0,"",'[1]BASE'!E39)</f>
        <v>500</v>
      </c>
      <c r="F39" s="687">
        <f>IF('[1]BASE'!F39=0,"",'[1]BASE'!F39)</f>
        <v>58</v>
      </c>
      <c r="G39" s="688" t="str">
        <f>IF('[1]BASE'!G39=0,"",'[1]BASE'!G39)</f>
        <v>C</v>
      </c>
      <c r="H39" s="688">
        <f>IF('[1]BASE'!BO39=0,"",'[1]BASE'!BO39)</f>
      </c>
      <c r="I39" s="688">
        <f>IF('[1]BASE'!BP39=0,"",'[1]BASE'!BP39)</f>
      </c>
      <c r="J39" s="688">
        <f>IF('[1]BASE'!BQ39=0,"",'[1]BASE'!BQ39)</f>
      </c>
      <c r="K39" s="688">
        <f>IF('[1]BASE'!BR39=0,"",'[1]BASE'!BR39)</f>
      </c>
      <c r="L39" s="688">
        <f>IF('[1]BASE'!BS39=0,"",'[1]BASE'!BS39)</f>
      </c>
      <c r="M39" s="688">
        <f>IF('[1]BASE'!BT39=0,"",'[1]BASE'!BT39)</f>
      </c>
      <c r="N39" s="688">
        <f>IF('[1]BASE'!BU39=0,"",'[1]BASE'!BU39)</f>
      </c>
      <c r="O39" s="688">
        <f>IF('[1]BASE'!BV39=0,"",'[1]BASE'!BV39)</f>
      </c>
      <c r="P39" s="688">
        <f>IF('[1]BASE'!BW39=0,"",'[1]BASE'!BW39)</f>
      </c>
      <c r="Q39" s="688">
        <f>IF('[1]BASE'!BX39=0,"",'[1]BASE'!BX39)</f>
      </c>
      <c r="R39" s="688">
        <f>IF('[1]BASE'!BY39=0,"",'[1]BASE'!BY39)</f>
      </c>
      <c r="S39" s="688">
        <f>IF('[1]BASE'!BZ39=0,"",'[1]BASE'!BZ39)</f>
      </c>
      <c r="T39" s="684"/>
      <c r="U39" s="681"/>
    </row>
    <row r="40" spans="2:21" s="676" customFormat="1" ht="19.5" customHeight="1">
      <c r="B40" s="677"/>
      <c r="C40" s="685">
        <f>IF('[1]BASE'!C40=0,"",'[1]BASE'!C40)</f>
        <v>24</v>
      </c>
      <c r="D40" s="685" t="str">
        <f>IF('[1]BASE'!D40=0,"",'[1]BASE'!D40)</f>
        <v>EZEIZA - ABASTO 2</v>
      </c>
      <c r="E40" s="685">
        <f>IF('[1]BASE'!E40=0,"",'[1]BASE'!E40)</f>
        <v>500</v>
      </c>
      <c r="F40" s="685">
        <f>IF('[1]BASE'!F40=0,"",'[1]BASE'!F40)</f>
        <v>58</v>
      </c>
      <c r="G40" s="686" t="str">
        <f>IF('[1]BASE'!G40=0,"",'[1]BASE'!G40)</f>
        <v>C</v>
      </c>
      <c r="H40" s="686">
        <f>IF('[1]BASE'!BO40=0,"",'[1]BASE'!BO40)</f>
      </c>
      <c r="I40" s="686">
        <f>IF('[1]BASE'!BP40=0,"",'[1]BASE'!BP40)</f>
      </c>
      <c r="J40" s="686">
        <f>IF('[1]BASE'!BQ40=0,"",'[1]BASE'!BQ40)</f>
      </c>
      <c r="K40" s="686">
        <f>IF('[1]BASE'!BR40=0,"",'[1]BASE'!BR40)</f>
      </c>
      <c r="L40" s="686">
        <f>IF('[1]BASE'!BS40=0,"",'[1]BASE'!BS40)</f>
        <v>1</v>
      </c>
      <c r="M40" s="686">
        <f>IF('[1]BASE'!BT40=0,"",'[1]BASE'!BT40)</f>
      </c>
      <c r="N40" s="686">
        <f>IF('[1]BASE'!BU40=0,"",'[1]BASE'!BU40)</f>
      </c>
      <c r="O40" s="686">
        <f>IF('[1]BASE'!BV40=0,"",'[1]BASE'!BV40)</f>
      </c>
      <c r="P40" s="686">
        <f>IF('[1]BASE'!BW40=0,"",'[1]BASE'!BW40)</f>
      </c>
      <c r="Q40" s="686">
        <f>IF('[1]BASE'!BX40=0,"",'[1]BASE'!BX40)</f>
      </c>
      <c r="R40" s="686">
        <f>IF('[1]BASE'!BY40=0,"",'[1]BASE'!BY40)</f>
      </c>
      <c r="S40" s="686">
        <f>IF('[1]BASE'!BZ40=0,"",'[1]BASE'!BZ40)</f>
      </c>
      <c r="T40" s="684"/>
      <c r="U40" s="681"/>
    </row>
    <row r="41" spans="2:21" s="676" customFormat="1" ht="19.5" customHeight="1">
      <c r="B41" s="677"/>
      <c r="C41" s="687">
        <f>IF('[1]BASE'!C41=0,"",'[1]BASE'!C41)</f>
        <v>25</v>
      </c>
      <c r="D41" s="687" t="str">
        <f>IF('[1]BASE'!D41=0,"",'[1]BASE'!D41)</f>
        <v>EZEIZA - RODRIGUEZ 1</v>
      </c>
      <c r="E41" s="687">
        <f>IF('[1]BASE'!E41=0,"",'[1]BASE'!E41)</f>
        <v>500</v>
      </c>
      <c r="F41" s="687">
        <f>IF('[1]BASE'!F41=0,"",'[1]BASE'!F41)</f>
        <v>53</v>
      </c>
      <c r="G41" s="688" t="str">
        <f>IF('[1]BASE'!G41=0,"",'[1]BASE'!G41)</f>
        <v>C</v>
      </c>
      <c r="H41" s="688">
        <f>IF('[1]BASE'!BO41=0,"",'[1]BASE'!BO41)</f>
      </c>
      <c r="I41" s="688">
        <f>IF('[1]BASE'!BP41=0,"",'[1]BASE'!BP41)</f>
      </c>
      <c r="J41" s="688">
        <f>IF('[1]BASE'!BQ41=0,"",'[1]BASE'!BQ41)</f>
      </c>
      <c r="K41" s="688">
        <f>IF('[1]BASE'!BR41=0,"",'[1]BASE'!BR41)</f>
      </c>
      <c r="L41" s="688">
        <f>IF('[1]BASE'!BS41=0,"",'[1]BASE'!BS41)</f>
      </c>
      <c r="M41" s="688">
        <f>IF('[1]BASE'!BT41=0,"",'[1]BASE'!BT41)</f>
      </c>
      <c r="N41" s="688">
        <f>IF('[1]BASE'!BU41=0,"",'[1]BASE'!BU41)</f>
      </c>
      <c r="O41" s="688">
        <f>IF('[1]BASE'!BV41=0,"",'[1]BASE'!BV41)</f>
      </c>
      <c r="P41" s="688">
        <f>IF('[1]BASE'!BW41=0,"",'[1]BASE'!BW41)</f>
      </c>
      <c r="Q41" s="688">
        <f>IF('[1]BASE'!BX41=0,"",'[1]BASE'!BX41)</f>
      </c>
      <c r="R41" s="688">
        <f>IF('[1]BASE'!BY41=0,"",'[1]BASE'!BY41)</f>
      </c>
      <c r="S41" s="688">
        <f>IF('[1]BASE'!BZ41=0,"",'[1]BASE'!BZ41)</f>
      </c>
      <c r="T41" s="684"/>
      <c r="U41" s="681"/>
    </row>
    <row r="42" spans="2:21" s="676" customFormat="1" ht="19.5" customHeight="1">
      <c r="B42" s="677"/>
      <c r="C42" s="685">
        <f>IF('[1]BASE'!C42=0,"",'[1]BASE'!C42)</f>
        <v>26</v>
      </c>
      <c r="D42" s="685" t="str">
        <f>IF('[1]BASE'!D42=0,"",'[1]BASE'!D42)</f>
        <v>EZEIZA - RODRIGUEZ 2</v>
      </c>
      <c r="E42" s="685">
        <f>IF('[1]BASE'!E42=0,"",'[1]BASE'!E42)</f>
        <v>500</v>
      </c>
      <c r="F42" s="685">
        <f>IF('[1]BASE'!F42=0,"",'[1]BASE'!F42)</f>
        <v>53</v>
      </c>
      <c r="G42" s="686" t="str">
        <f>IF('[1]BASE'!G42=0,"",'[1]BASE'!G42)</f>
        <v>C</v>
      </c>
      <c r="H42" s="686">
        <f>IF('[1]BASE'!BO42=0,"",'[1]BASE'!BO42)</f>
      </c>
      <c r="I42" s="686">
        <f>IF('[1]BASE'!BP42=0,"",'[1]BASE'!BP42)</f>
      </c>
      <c r="J42" s="686">
        <f>IF('[1]BASE'!BQ42=0,"",'[1]BASE'!BQ42)</f>
      </c>
      <c r="K42" s="686">
        <f>IF('[1]BASE'!BR42=0,"",'[1]BASE'!BR42)</f>
      </c>
      <c r="L42" s="686">
        <f>IF('[1]BASE'!BS42=0,"",'[1]BASE'!BS42)</f>
      </c>
      <c r="M42" s="686">
        <f>IF('[1]BASE'!BT42=0,"",'[1]BASE'!BT42)</f>
      </c>
      <c r="N42" s="686">
        <f>IF('[1]BASE'!BU42=0,"",'[1]BASE'!BU42)</f>
      </c>
      <c r="O42" s="686">
        <f>IF('[1]BASE'!BV42=0,"",'[1]BASE'!BV42)</f>
      </c>
      <c r="P42" s="686">
        <f>IF('[1]BASE'!BW42=0,"",'[1]BASE'!BW42)</f>
      </c>
      <c r="Q42" s="686">
        <f>IF('[1]BASE'!BX42=0,"",'[1]BASE'!BX42)</f>
      </c>
      <c r="R42" s="686">
        <f>IF('[1]BASE'!BY42=0,"",'[1]BASE'!BY42)</f>
      </c>
      <c r="S42" s="686">
        <f>IF('[1]BASE'!BZ42=0,"",'[1]BASE'!BZ42)</f>
      </c>
      <c r="T42" s="684"/>
      <c r="U42" s="681"/>
    </row>
    <row r="43" spans="2:21" s="676" customFormat="1" ht="19.5" customHeight="1">
      <c r="B43" s="677"/>
      <c r="C43" s="687">
        <f>IF('[1]BASE'!C43=0,"",'[1]BASE'!C43)</f>
        <v>27</v>
      </c>
      <c r="D43" s="687" t="str">
        <f>IF('[1]BASE'!D43=0,"",'[1]BASE'!D43)</f>
        <v>EZEIZA- HENDERSON 1</v>
      </c>
      <c r="E43" s="687">
        <f>IF('[1]BASE'!E43=0,"",'[1]BASE'!E43)</f>
        <v>500</v>
      </c>
      <c r="F43" s="687">
        <f>IF('[1]BASE'!F43=0,"",'[1]BASE'!F43)</f>
        <v>313</v>
      </c>
      <c r="G43" s="688" t="str">
        <f>IF('[1]BASE'!G43=0,"",'[1]BASE'!G43)</f>
        <v>A</v>
      </c>
      <c r="H43" s="688">
        <f>IF('[1]BASE'!BO43=0,"",'[1]BASE'!BO43)</f>
      </c>
      <c r="I43" s="688">
        <f>IF('[1]BASE'!BP43=0,"",'[1]BASE'!BP43)</f>
      </c>
      <c r="J43" s="688">
        <f>IF('[1]BASE'!BQ43=0,"",'[1]BASE'!BQ43)</f>
      </c>
      <c r="K43" s="688">
        <f>IF('[1]BASE'!BR43=0,"",'[1]BASE'!BR43)</f>
      </c>
      <c r="L43" s="688">
        <f>IF('[1]BASE'!BS43=0,"",'[1]BASE'!BS43)</f>
      </c>
      <c r="M43" s="688">
        <f>IF('[1]BASE'!BT43=0,"",'[1]BASE'!BT43)</f>
      </c>
      <c r="N43" s="688">
        <f>IF('[1]BASE'!BU43=0,"",'[1]BASE'!BU43)</f>
      </c>
      <c r="O43" s="688">
        <f>IF('[1]BASE'!BV43=0,"",'[1]BASE'!BV43)</f>
      </c>
      <c r="P43" s="688">
        <f>IF('[1]BASE'!BW43=0,"",'[1]BASE'!BW43)</f>
      </c>
      <c r="Q43" s="688">
        <f>IF('[1]BASE'!BX43=0,"",'[1]BASE'!BX43)</f>
      </c>
      <c r="R43" s="688">
        <f>IF('[1]BASE'!BY43=0,"",'[1]BASE'!BY43)</f>
      </c>
      <c r="S43" s="688">
        <f>IF('[1]BASE'!BZ43=0,"",'[1]BASE'!BZ43)</f>
      </c>
      <c r="T43" s="684"/>
      <c r="U43" s="681"/>
    </row>
    <row r="44" spans="2:21" s="676" customFormat="1" ht="19.5" customHeight="1">
      <c r="B44" s="677"/>
      <c r="C44" s="685">
        <f>IF('[1]BASE'!C44=0,"",'[1]BASE'!C44)</f>
        <v>28</v>
      </c>
      <c r="D44" s="685" t="str">
        <f>IF('[1]BASE'!D44=0,"",'[1]BASE'!D44)</f>
        <v>EZEIZA - HENDERSON 2</v>
      </c>
      <c r="E44" s="685">
        <f>IF('[1]BASE'!E44=0,"",'[1]BASE'!E44)</f>
        <v>500</v>
      </c>
      <c r="F44" s="685">
        <f>IF('[1]BASE'!F44=0,"",'[1]BASE'!F44)</f>
        <v>313</v>
      </c>
      <c r="G44" s="686" t="str">
        <f>IF('[1]BASE'!G44=0,"",'[1]BASE'!G44)</f>
        <v>A</v>
      </c>
      <c r="H44" s="686">
        <f>IF('[1]BASE'!BO44=0,"",'[1]BASE'!BO44)</f>
      </c>
      <c r="I44" s="686">
        <f>IF('[1]BASE'!BP44=0,"",'[1]BASE'!BP44)</f>
      </c>
      <c r="J44" s="686">
        <f>IF('[1]BASE'!BQ44=0,"",'[1]BASE'!BQ44)</f>
      </c>
      <c r="K44" s="686">
        <f>IF('[1]BASE'!BR44=0,"",'[1]BASE'!BR44)</f>
      </c>
      <c r="L44" s="686">
        <f>IF('[1]BASE'!BS44=0,"",'[1]BASE'!BS44)</f>
      </c>
      <c r="M44" s="686">
        <f>IF('[1]BASE'!BT44=0,"",'[1]BASE'!BT44)</f>
      </c>
      <c r="N44" s="686">
        <f>IF('[1]BASE'!BU44=0,"",'[1]BASE'!BU44)</f>
      </c>
      <c r="O44" s="686">
        <f>IF('[1]BASE'!BV44=0,"",'[1]BASE'!BV44)</f>
      </c>
      <c r="P44" s="686">
        <f>IF('[1]BASE'!BW44=0,"",'[1]BASE'!BW44)</f>
      </c>
      <c r="Q44" s="686">
        <f>IF('[1]BASE'!BX44=0,"",'[1]BASE'!BX44)</f>
      </c>
      <c r="R44" s="686">
        <f>IF('[1]BASE'!BY44=0,"",'[1]BASE'!BY44)</f>
      </c>
      <c r="S44" s="686">
        <f>IF('[1]BASE'!BZ44=0,"",'[1]BASE'!BZ44)</f>
      </c>
      <c r="T44" s="684"/>
      <c r="U44" s="681"/>
    </row>
    <row r="45" spans="2:21" s="676" customFormat="1" ht="19.5" customHeight="1">
      <c r="B45" s="677"/>
      <c r="C45" s="687">
        <f>IF('[1]BASE'!C45=0,"",'[1]BASE'!C45)</f>
        <v>29</v>
      </c>
      <c r="D45" s="687" t="str">
        <f>IF('[1]BASE'!D45=0,"",'[1]BASE'!D45)</f>
        <v>GRAL. RODRIGUEZ - CAMPANA </v>
      </c>
      <c r="E45" s="687">
        <f>IF('[1]BASE'!E45=0,"",'[1]BASE'!E45)</f>
        <v>500</v>
      </c>
      <c r="F45" s="687">
        <f>IF('[1]BASE'!F45=0,"",'[1]BASE'!F45)</f>
        <v>70</v>
      </c>
      <c r="G45" s="688" t="str">
        <f>IF('[1]BASE'!G45=0,"",'[1]BASE'!G45)</f>
        <v>A</v>
      </c>
      <c r="H45" s="688">
        <f>IF('[1]BASE'!BO45=0,"",'[1]BASE'!BO45)</f>
      </c>
      <c r="I45" s="688">
        <f>IF('[1]BASE'!BP45=0,"",'[1]BASE'!BP45)</f>
      </c>
      <c r="J45" s="688">
        <f>IF('[1]BASE'!BQ45=0,"",'[1]BASE'!BQ45)</f>
      </c>
      <c r="K45" s="688">
        <f>IF('[1]BASE'!BR45=0,"",'[1]BASE'!BR45)</f>
      </c>
      <c r="L45" s="688">
        <f>IF('[1]BASE'!BS45=0,"",'[1]BASE'!BS45)</f>
      </c>
      <c r="M45" s="688">
        <f>IF('[1]BASE'!BT45=0,"",'[1]BASE'!BT45)</f>
      </c>
      <c r="N45" s="688">
        <f>IF('[1]BASE'!BU45=0,"",'[1]BASE'!BU45)</f>
      </c>
      <c r="O45" s="688">
        <f>IF('[1]BASE'!BV45=0,"",'[1]BASE'!BV45)</f>
      </c>
      <c r="P45" s="688">
        <f>IF('[1]BASE'!BW45=0,"",'[1]BASE'!BW45)</f>
      </c>
      <c r="Q45" s="688">
        <f>IF('[1]BASE'!BX45=0,"",'[1]BASE'!BX45)</f>
      </c>
      <c r="R45" s="688">
        <f>IF('[1]BASE'!BY45=0,"",'[1]BASE'!BY45)</f>
      </c>
      <c r="S45" s="688">
        <f>IF('[1]BASE'!BZ45=0,"",'[1]BASE'!BZ45)</f>
      </c>
      <c r="T45" s="684"/>
      <c r="U45" s="681"/>
    </row>
    <row r="46" spans="2:21" s="676" customFormat="1" ht="19.5" customHeight="1">
      <c r="B46" s="677"/>
      <c r="C46" s="685">
        <f>IF('[1]BASE'!C46=0,"",'[1]BASE'!C46)</f>
        <v>30</v>
      </c>
      <c r="D46" s="685" t="str">
        <f>IF('[1]BASE'!D46=0,"",'[1]BASE'!D46)</f>
        <v>GRAL. RODRIGUEZ- ROSARIO OESTE </v>
      </c>
      <c r="E46" s="685">
        <f>IF('[1]BASE'!E46=0,"",'[1]BASE'!E46)</f>
        <v>500</v>
      </c>
      <c r="F46" s="685">
        <f>IF('[1]BASE'!F46=0,"",'[1]BASE'!F46)</f>
        <v>258</v>
      </c>
      <c r="G46" s="686" t="str">
        <f>IF('[1]BASE'!G46=0,"",'[1]BASE'!G46)</f>
        <v>C</v>
      </c>
      <c r="H46" s="686">
        <f>IF('[1]BASE'!BO46=0,"",'[1]BASE'!BO46)</f>
      </c>
      <c r="I46" s="686">
        <f>IF('[1]BASE'!BP46=0,"",'[1]BASE'!BP46)</f>
        <v>2</v>
      </c>
      <c r="J46" s="686">
        <f>IF('[1]BASE'!BQ46=0,"",'[1]BASE'!BQ46)</f>
      </c>
      <c r="K46" s="686">
        <f>IF('[1]BASE'!BR46=0,"",'[1]BASE'!BR46)</f>
      </c>
      <c r="L46" s="686">
        <f>IF('[1]BASE'!BS46=0,"",'[1]BASE'!BS46)</f>
      </c>
      <c r="M46" s="686">
        <f>IF('[1]BASE'!BT46=0,"",'[1]BASE'!BT46)</f>
      </c>
      <c r="N46" s="686">
        <f>IF('[1]BASE'!BU46=0,"",'[1]BASE'!BU46)</f>
      </c>
      <c r="O46" s="686">
        <f>IF('[1]BASE'!BV46=0,"",'[1]BASE'!BV46)</f>
      </c>
      <c r="P46" s="686">
        <f>IF('[1]BASE'!BW46=0,"",'[1]BASE'!BW46)</f>
      </c>
      <c r="Q46" s="686">
        <f>IF('[1]BASE'!BX46=0,"",'[1]BASE'!BX46)</f>
      </c>
      <c r="R46" s="686">
        <f>IF('[1]BASE'!BY46=0,"",'[1]BASE'!BY46)</f>
      </c>
      <c r="S46" s="686">
        <f>IF('[1]BASE'!BZ46=0,"",'[1]BASE'!BZ46)</f>
      </c>
      <c r="T46" s="684"/>
      <c r="U46" s="681"/>
    </row>
    <row r="47" spans="2:21" s="676" customFormat="1" ht="19.5" customHeight="1">
      <c r="B47" s="677"/>
      <c r="C47" s="687">
        <f>IF('[1]BASE'!C47=0,"",'[1]BASE'!C47)</f>
        <v>31</v>
      </c>
      <c r="D47" s="687" t="str">
        <f>IF('[1]BASE'!D47=0,"",'[1]BASE'!D47)</f>
        <v>MALVINAS ARG. - ALMAFUERTE </v>
      </c>
      <c r="E47" s="687">
        <f>IF('[1]BASE'!E47=0,"",'[1]BASE'!E47)</f>
        <v>500</v>
      </c>
      <c r="F47" s="687">
        <f>IF('[1]BASE'!F47=0,"",'[1]BASE'!F47)</f>
        <v>105</v>
      </c>
      <c r="G47" s="688" t="str">
        <f>IF('[1]BASE'!G47=0,"",'[1]BASE'!G47)</f>
        <v>B</v>
      </c>
      <c r="H47" s="688">
        <f>IF('[1]BASE'!BO47=0,"",'[1]BASE'!BO47)</f>
      </c>
      <c r="I47" s="688">
        <f>IF('[1]BASE'!BP47=0,"",'[1]BASE'!BP47)</f>
      </c>
      <c r="J47" s="688">
        <f>IF('[1]BASE'!BQ47=0,"",'[1]BASE'!BQ47)</f>
      </c>
      <c r="K47" s="688">
        <f>IF('[1]BASE'!BR47=0,"",'[1]BASE'!BR47)</f>
      </c>
      <c r="L47" s="688">
        <f>IF('[1]BASE'!BS47=0,"",'[1]BASE'!BS47)</f>
      </c>
      <c r="M47" s="688">
        <f>IF('[1]BASE'!BT47=0,"",'[1]BASE'!BT47)</f>
      </c>
      <c r="N47" s="688">
        <f>IF('[1]BASE'!BU47=0,"",'[1]BASE'!BU47)</f>
      </c>
      <c r="O47" s="688">
        <f>IF('[1]BASE'!BV47=0,"",'[1]BASE'!BV47)</f>
      </c>
      <c r="P47" s="688">
        <f>IF('[1]BASE'!BW47=0,"",'[1]BASE'!BW47)</f>
      </c>
      <c r="Q47" s="688">
        <f>IF('[1]BASE'!BX47=0,"",'[1]BASE'!BX47)</f>
      </c>
      <c r="R47" s="688">
        <f>IF('[1]BASE'!BY47=0,"",'[1]BASE'!BY47)</f>
      </c>
      <c r="S47" s="688">
        <f>IF('[1]BASE'!BZ47=0,"",'[1]BASE'!BZ47)</f>
      </c>
      <c r="T47" s="684"/>
      <c r="U47" s="681"/>
    </row>
    <row r="48" spans="2:21" s="676" customFormat="1" ht="19.5" customHeight="1">
      <c r="B48" s="677"/>
      <c r="C48" s="685">
        <f>IF('[1]BASE'!C48=0,"",'[1]BASE'!C48)</f>
        <v>32</v>
      </c>
      <c r="D48" s="685" t="str">
        <f>IF('[1]BASE'!D48=0,"",'[1]BASE'!D48)</f>
        <v>OLAVARRIA - BAHIA BLANCA 1</v>
      </c>
      <c r="E48" s="685">
        <f>IF('[1]BASE'!E48=0,"",'[1]BASE'!E48)</f>
        <v>500</v>
      </c>
      <c r="F48" s="685">
        <f>IF('[1]BASE'!F48=0,"",'[1]BASE'!F48)</f>
        <v>255</v>
      </c>
      <c r="G48" s="686" t="str">
        <f>IF('[1]BASE'!G48=0,"",'[1]BASE'!G48)</f>
        <v>B</v>
      </c>
      <c r="H48" s="686">
        <f>IF('[1]BASE'!BO48=0,"",'[1]BASE'!BO48)</f>
      </c>
      <c r="I48" s="686">
        <f>IF('[1]BASE'!BP48=0,"",'[1]BASE'!BP48)</f>
      </c>
      <c r="J48" s="686">
        <f>IF('[1]BASE'!BQ48=0,"",'[1]BASE'!BQ48)</f>
      </c>
      <c r="K48" s="686">
        <f>IF('[1]BASE'!BR48=0,"",'[1]BASE'!BR48)</f>
      </c>
      <c r="L48" s="686">
        <f>IF('[1]BASE'!BS48=0,"",'[1]BASE'!BS48)</f>
        <v>1</v>
      </c>
      <c r="M48" s="686">
        <f>IF('[1]BASE'!BT48=0,"",'[1]BASE'!BT48)</f>
      </c>
      <c r="N48" s="686">
        <f>IF('[1]BASE'!BU48=0,"",'[1]BASE'!BU48)</f>
      </c>
      <c r="O48" s="686">
        <f>IF('[1]BASE'!BV48=0,"",'[1]BASE'!BV48)</f>
      </c>
      <c r="P48" s="686">
        <f>IF('[1]BASE'!BW48=0,"",'[1]BASE'!BW48)</f>
      </c>
      <c r="Q48" s="686">
        <f>IF('[1]BASE'!BX48=0,"",'[1]BASE'!BX48)</f>
        <v>1</v>
      </c>
      <c r="R48" s="686">
        <f>IF('[1]BASE'!BY48=0,"",'[1]BASE'!BY48)</f>
      </c>
      <c r="S48" s="686">
        <f>IF('[1]BASE'!BZ48=0,"",'[1]BASE'!BZ48)</f>
      </c>
      <c r="T48" s="684"/>
      <c r="U48" s="681"/>
    </row>
    <row r="49" spans="2:21" s="676" customFormat="1" ht="19.5" customHeight="1">
      <c r="B49" s="677"/>
      <c r="C49" s="687">
        <f>IF('[1]BASE'!C49=0,"",'[1]BASE'!C49)</f>
        <v>33</v>
      </c>
      <c r="D49" s="687" t="str">
        <f>IF('[1]BASE'!D49=0,"",'[1]BASE'!D49)</f>
        <v>OLAVARRIA - BAHIA BLANCA 2</v>
      </c>
      <c r="E49" s="687">
        <f>IF('[1]BASE'!E49=0,"",'[1]BASE'!E49)</f>
        <v>500</v>
      </c>
      <c r="F49" s="687">
        <f>IF('[1]BASE'!F49=0,"",'[1]BASE'!F49)</f>
        <v>254.8</v>
      </c>
      <c r="G49" s="688">
        <f>IF('[1]BASE'!G49=0,"",'[1]BASE'!G49)</f>
      </c>
      <c r="H49" s="688" t="str">
        <f>IF('[1]BASE'!BO49=0,"",'[1]BASE'!BO49)</f>
        <v>XXXX</v>
      </c>
      <c r="I49" s="688" t="str">
        <f>IF('[1]BASE'!BP49=0,"",'[1]BASE'!BP49)</f>
        <v>XXXX</v>
      </c>
      <c r="J49" s="688" t="str">
        <f>IF('[1]BASE'!BQ49=0,"",'[1]BASE'!BQ49)</f>
        <v>XXXX</v>
      </c>
      <c r="K49" s="688" t="str">
        <f>IF('[1]BASE'!BR49=0,"",'[1]BASE'!BR49)</f>
        <v>XXXX</v>
      </c>
      <c r="L49" s="688" t="str">
        <f>IF('[1]BASE'!BS49=0,"",'[1]BASE'!BS49)</f>
        <v>XXXX</v>
      </c>
      <c r="M49" s="688" t="str">
        <f>IF('[1]BASE'!BT49=0,"",'[1]BASE'!BT49)</f>
        <v>XXXX</v>
      </c>
      <c r="N49" s="688" t="str">
        <f>IF('[1]BASE'!BU49=0,"",'[1]BASE'!BU49)</f>
        <v>XXXX</v>
      </c>
      <c r="O49" s="688" t="str">
        <f>IF('[1]BASE'!BV49=0,"",'[1]BASE'!BV49)</f>
        <v>XXXX</v>
      </c>
      <c r="P49" s="688" t="str">
        <f>IF('[1]BASE'!BW49=0,"",'[1]BASE'!BW49)</f>
        <v>XXXX</v>
      </c>
      <c r="Q49" s="688" t="str">
        <f>IF('[1]BASE'!BX49=0,"",'[1]BASE'!BX49)</f>
        <v>XXXX</v>
      </c>
      <c r="R49" s="688" t="str">
        <f>IF('[1]BASE'!BY49=0,"",'[1]BASE'!BY49)</f>
        <v>XXXX</v>
      </c>
      <c r="S49" s="688" t="str">
        <f>IF('[1]BASE'!BZ49=0,"",'[1]BASE'!BZ49)</f>
        <v>XXXX</v>
      </c>
      <c r="T49" s="684"/>
      <c r="U49" s="681"/>
    </row>
    <row r="50" spans="2:21" s="676" customFormat="1" ht="19.5" customHeight="1">
      <c r="B50" s="677"/>
      <c r="C50" s="685">
        <f>IF('[1]BASE'!C50=0,"",'[1]BASE'!C50)</f>
        <v>34</v>
      </c>
      <c r="D50" s="685" t="str">
        <f>IF('[1]BASE'!D50=0,"",'[1]BASE'!D50)</f>
        <v>P.del AGUILA  - CHOELE CHOEL</v>
      </c>
      <c r="E50" s="685">
        <f>IF('[1]BASE'!E50=0,"",'[1]BASE'!E50)</f>
        <v>500</v>
      </c>
      <c r="F50" s="685">
        <f>IF('[1]BASE'!F50=0,"",'[1]BASE'!F50)</f>
        <v>386.7</v>
      </c>
      <c r="G50" s="686">
        <f>IF('[1]BASE'!G50=0,"",'[1]BASE'!G50)</f>
      </c>
      <c r="H50" s="686" t="str">
        <f>IF('[1]BASE'!BO50=0,"",'[1]BASE'!BO50)</f>
        <v>XXXX</v>
      </c>
      <c r="I50" s="686" t="str">
        <f>IF('[1]BASE'!BP50=0,"",'[1]BASE'!BP50)</f>
        <v>XXXX</v>
      </c>
      <c r="J50" s="686" t="str">
        <f>IF('[1]BASE'!BQ50=0,"",'[1]BASE'!BQ50)</f>
        <v>XXXX</v>
      </c>
      <c r="K50" s="686" t="str">
        <f>IF('[1]BASE'!BR50=0,"",'[1]BASE'!BR50)</f>
        <v>XXXX</v>
      </c>
      <c r="L50" s="686" t="str">
        <f>IF('[1]BASE'!BS50=0,"",'[1]BASE'!BS50)</f>
        <v>XXXX</v>
      </c>
      <c r="M50" s="686" t="str">
        <f>IF('[1]BASE'!BT50=0,"",'[1]BASE'!BT50)</f>
        <v>XXXX</v>
      </c>
      <c r="N50" s="686" t="str">
        <f>IF('[1]BASE'!BU50=0,"",'[1]BASE'!BU50)</f>
        <v>XXXX</v>
      </c>
      <c r="O50" s="686" t="str">
        <f>IF('[1]BASE'!BV50=0,"",'[1]BASE'!BV50)</f>
        <v>XXXX</v>
      </c>
      <c r="P50" s="686" t="str">
        <f>IF('[1]BASE'!BW50=0,"",'[1]BASE'!BW50)</f>
        <v>XXXX</v>
      </c>
      <c r="Q50" s="686" t="str">
        <f>IF('[1]BASE'!BX50=0,"",'[1]BASE'!BX50)</f>
        <v>XXXX</v>
      </c>
      <c r="R50" s="686" t="str">
        <f>IF('[1]BASE'!BY50=0,"",'[1]BASE'!BY50)</f>
        <v>XXXX</v>
      </c>
      <c r="S50" s="686" t="str">
        <f>IF('[1]BASE'!BZ50=0,"",'[1]BASE'!BZ50)</f>
        <v>XXXX</v>
      </c>
      <c r="T50" s="684"/>
      <c r="U50" s="681"/>
    </row>
    <row r="51" spans="2:21" s="676" customFormat="1" ht="19.5" customHeight="1">
      <c r="B51" s="677"/>
      <c r="C51" s="687">
        <f>IF('[1]BASE'!C51=0,"",'[1]BASE'!C51)</f>
        <v>35</v>
      </c>
      <c r="D51" s="687" t="str">
        <f>IF('[1]BASE'!D51=0,"",'[1]BASE'!D51)</f>
        <v>P.del AGUILA  - CHO. W. 1 (5GW1)</v>
      </c>
      <c r="E51" s="687">
        <f>IF('[1]BASE'!E51=0,"",'[1]BASE'!E51)</f>
        <v>500</v>
      </c>
      <c r="F51" s="687">
        <f>IF('[1]BASE'!F51=0,"",'[1]BASE'!F51)</f>
        <v>163.9</v>
      </c>
      <c r="G51" s="688" t="str">
        <f>IF('[1]BASE'!G51=0,"",'[1]BASE'!G51)</f>
        <v>A</v>
      </c>
      <c r="H51" s="688">
        <f>IF('[1]BASE'!BO51=0,"",'[1]BASE'!BO51)</f>
      </c>
      <c r="I51" s="688">
        <f>IF('[1]BASE'!BP51=0,"",'[1]BASE'!BP51)</f>
      </c>
      <c r="J51" s="688">
        <f>IF('[1]BASE'!BQ51=0,"",'[1]BASE'!BQ51)</f>
      </c>
      <c r="K51" s="688">
        <f>IF('[1]BASE'!BR51=0,"",'[1]BASE'!BR51)</f>
      </c>
      <c r="L51" s="688">
        <f>IF('[1]BASE'!BS51=0,"",'[1]BASE'!BS51)</f>
      </c>
      <c r="M51" s="688">
        <f>IF('[1]BASE'!BT51=0,"",'[1]BASE'!BT51)</f>
      </c>
      <c r="N51" s="688">
        <f>IF('[1]BASE'!BU51=0,"",'[1]BASE'!BU51)</f>
      </c>
      <c r="O51" s="688">
        <f>IF('[1]BASE'!BV51=0,"",'[1]BASE'!BV51)</f>
      </c>
      <c r="P51" s="688">
        <f>IF('[1]BASE'!BW51=0,"",'[1]BASE'!BW51)</f>
      </c>
      <c r="Q51" s="688">
        <f>IF('[1]BASE'!BX51=0,"",'[1]BASE'!BX51)</f>
        <v>1</v>
      </c>
      <c r="R51" s="688">
        <f>IF('[1]BASE'!BY51=0,"",'[1]BASE'!BY51)</f>
      </c>
      <c r="S51" s="688">
        <f>IF('[1]BASE'!BZ51=0,"",'[1]BASE'!BZ51)</f>
      </c>
      <c r="T51" s="684"/>
      <c r="U51" s="681"/>
    </row>
    <row r="52" spans="2:21" s="676" customFormat="1" ht="19.5" customHeight="1">
      <c r="B52" s="677"/>
      <c r="C52" s="685">
        <f>IF('[1]BASE'!C52=0,"",'[1]BASE'!C52)</f>
        <v>36</v>
      </c>
      <c r="D52" s="685" t="str">
        <f>IF('[1]BASE'!D52=0,"",'[1]BASE'!D52)</f>
        <v>P.del AGUILA  - CHO. W. 2 (5GW2)</v>
      </c>
      <c r="E52" s="685">
        <f>IF('[1]BASE'!E52=0,"",'[1]BASE'!E52)</f>
        <v>500</v>
      </c>
      <c r="F52" s="685">
        <f>IF('[1]BASE'!F52=0,"",'[1]BASE'!F52)</f>
        <v>164.1</v>
      </c>
      <c r="G52" s="686" t="str">
        <f>IF('[1]BASE'!G52=0,"",'[1]BASE'!G52)</f>
        <v>A</v>
      </c>
      <c r="H52" s="686">
        <f>IF('[1]BASE'!BO52=0,"",'[1]BASE'!BO52)</f>
      </c>
      <c r="I52" s="686">
        <f>IF('[1]BASE'!BP52=0,"",'[1]BASE'!BP52)</f>
      </c>
      <c r="J52" s="686">
        <f>IF('[1]BASE'!BQ52=0,"",'[1]BASE'!BQ52)</f>
      </c>
      <c r="K52" s="686">
        <f>IF('[1]BASE'!BR52=0,"",'[1]BASE'!BR52)</f>
      </c>
      <c r="L52" s="686">
        <f>IF('[1]BASE'!BS52=0,"",'[1]BASE'!BS52)</f>
      </c>
      <c r="M52" s="686">
        <f>IF('[1]BASE'!BT52=0,"",'[1]BASE'!BT52)</f>
      </c>
      <c r="N52" s="686">
        <f>IF('[1]BASE'!BU52=0,"",'[1]BASE'!BU52)</f>
      </c>
      <c r="O52" s="686">
        <f>IF('[1]BASE'!BV52=0,"",'[1]BASE'!BV52)</f>
      </c>
      <c r="P52" s="686">
        <f>IF('[1]BASE'!BW52=0,"",'[1]BASE'!BW52)</f>
      </c>
      <c r="Q52" s="686">
        <f>IF('[1]BASE'!BX52=0,"",'[1]BASE'!BX52)</f>
        <v>1</v>
      </c>
      <c r="R52" s="686">
        <f>IF('[1]BASE'!BY52=0,"",'[1]BASE'!BY52)</f>
        <v>1</v>
      </c>
      <c r="S52" s="686">
        <f>IF('[1]BASE'!BZ52=0,"",'[1]BASE'!BZ52)</f>
      </c>
      <c r="T52" s="684"/>
      <c r="U52" s="681"/>
    </row>
    <row r="53" spans="2:21" s="676" customFormat="1" ht="19.5" customHeight="1">
      <c r="B53" s="677"/>
      <c r="C53" s="687">
        <f>IF('[1]BASE'!C53=0,"",'[1]BASE'!C53)</f>
        <v>37</v>
      </c>
      <c r="D53" s="687" t="str">
        <f>IF('[1]BASE'!D53=0,"",'[1]BASE'!D53)</f>
        <v>PUELCHES - HENDERSON 1 (B1)</v>
      </c>
      <c r="E53" s="687">
        <f>IF('[1]BASE'!E53=0,"",'[1]BASE'!E53)</f>
        <v>500</v>
      </c>
      <c r="F53" s="687">
        <f>IF('[1]BASE'!F53=0,"",'[1]BASE'!F53)</f>
        <v>421</v>
      </c>
      <c r="G53" s="688" t="str">
        <f>IF('[1]BASE'!G53=0,"",'[1]BASE'!G53)</f>
        <v>A</v>
      </c>
      <c r="H53" s="688">
        <f>IF('[1]BASE'!BO53=0,"",'[1]BASE'!BO53)</f>
      </c>
      <c r="I53" s="688">
        <f>IF('[1]BASE'!BP53=0,"",'[1]BASE'!BP53)</f>
      </c>
      <c r="J53" s="688">
        <f>IF('[1]BASE'!BQ53=0,"",'[1]BASE'!BQ53)</f>
      </c>
      <c r="K53" s="688">
        <f>IF('[1]BASE'!BR53=0,"",'[1]BASE'!BR53)</f>
      </c>
      <c r="L53" s="688">
        <f>IF('[1]BASE'!BS53=0,"",'[1]BASE'!BS53)</f>
      </c>
      <c r="M53" s="688">
        <f>IF('[1]BASE'!BT53=0,"",'[1]BASE'!BT53)</f>
      </c>
      <c r="N53" s="688">
        <f>IF('[1]BASE'!BU53=0,"",'[1]BASE'!BU53)</f>
      </c>
      <c r="O53" s="688">
        <f>IF('[1]BASE'!BV53=0,"",'[1]BASE'!BV53)</f>
      </c>
      <c r="P53" s="688">
        <f>IF('[1]BASE'!BW53=0,"",'[1]BASE'!BW53)</f>
      </c>
      <c r="Q53" s="688">
        <f>IF('[1]BASE'!BX53=0,"",'[1]BASE'!BX53)</f>
        <v>1</v>
      </c>
      <c r="R53" s="688">
        <f>IF('[1]BASE'!BY53=0,"",'[1]BASE'!BY53)</f>
      </c>
      <c r="S53" s="688">
        <f>IF('[1]BASE'!BZ53=0,"",'[1]BASE'!BZ53)</f>
      </c>
      <c r="T53" s="684"/>
      <c r="U53" s="681"/>
    </row>
    <row r="54" spans="2:21" s="676" customFormat="1" ht="19.5" customHeight="1">
      <c r="B54" s="677"/>
      <c r="C54" s="685">
        <f>IF('[1]BASE'!C54=0,"",'[1]BASE'!C54)</f>
        <v>38</v>
      </c>
      <c r="D54" s="685" t="str">
        <f>IF('[1]BASE'!D54=0,"",'[1]BASE'!D54)</f>
        <v>PUELCHES - HENDERSON 2 (B2)</v>
      </c>
      <c r="E54" s="685">
        <f>IF('[1]BASE'!E54=0,"",'[1]BASE'!E54)</f>
        <v>500</v>
      </c>
      <c r="F54" s="685">
        <f>IF('[1]BASE'!F54=0,"",'[1]BASE'!F54)</f>
        <v>421</v>
      </c>
      <c r="G54" s="686" t="str">
        <f>IF('[1]BASE'!G54=0,"",'[1]BASE'!G54)</f>
        <v>A</v>
      </c>
      <c r="H54" s="686">
        <f>IF('[1]BASE'!BO54=0,"",'[1]BASE'!BO54)</f>
      </c>
      <c r="I54" s="686">
        <f>IF('[1]BASE'!BP54=0,"",'[1]BASE'!BP54)</f>
      </c>
      <c r="J54" s="686">
        <f>IF('[1]BASE'!BQ54=0,"",'[1]BASE'!BQ54)</f>
      </c>
      <c r="K54" s="686">
        <f>IF('[1]BASE'!BR54=0,"",'[1]BASE'!BR54)</f>
      </c>
      <c r="L54" s="686">
        <f>IF('[1]BASE'!BS54=0,"",'[1]BASE'!BS54)</f>
      </c>
      <c r="M54" s="686">
        <f>IF('[1]BASE'!BT54=0,"",'[1]BASE'!BT54)</f>
      </c>
      <c r="N54" s="686">
        <f>IF('[1]BASE'!BU54=0,"",'[1]BASE'!BU54)</f>
      </c>
      <c r="O54" s="686">
        <f>IF('[1]BASE'!BV54=0,"",'[1]BASE'!BV54)</f>
      </c>
      <c r="P54" s="686">
        <f>IF('[1]BASE'!BW54=0,"",'[1]BASE'!BW54)</f>
      </c>
      <c r="Q54" s="686">
        <f>IF('[1]BASE'!BX54=0,"",'[1]BASE'!BX54)</f>
      </c>
      <c r="R54" s="686">
        <f>IF('[1]BASE'!BY54=0,"",'[1]BASE'!BY54)</f>
      </c>
      <c r="S54" s="686">
        <f>IF('[1]BASE'!BZ54=0,"",'[1]BASE'!BZ54)</f>
      </c>
      <c r="T54" s="684"/>
      <c r="U54" s="681"/>
    </row>
    <row r="55" spans="2:21" s="676" customFormat="1" ht="19.5" customHeight="1">
      <c r="B55" s="677"/>
      <c r="C55" s="687">
        <f>IF('[1]BASE'!C55=0,"",'[1]BASE'!C55)</f>
        <v>39</v>
      </c>
      <c r="D55" s="687" t="str">
        <f>IF('[1]BASE'!D55=0,"",'[1]BASE'!D55)</f>
        <v>RECREO - MALVINAS ARG. </v>
      </c>
      <c r="E55" s="687">
        <f>IF('[1]BASE'!E55=0,"",'[1]BASE'!E55)</f>
        <v>500</v>
      </c>
      <c r="F55" s="687">
        <f>IF('[1]BASE'!F55=0,"",'[1]BASE'!F55)</f>
        <v>259</v>
      </c>
      <c r="G55" s="688" t="str">
        <f>IF('[1]BASE'!G55=0,"",'[1]BASE'!G55)</f>
        <v>C</v>
      </c>
      <c r="H55" s="688">
        <f>IF('[1]BASE'!BO55=0,"",'[1]BASE'!BO55)</f>
      </c>
      <c r="I55" s="688">
        <f>IF('[1]BASE'!BP55=0,"",'[1]BASE'!BP55)</f>
      </c>
      <c r="J55" s="688">
        <f>IF('[1]BASE'!BQ55=0,"",'[1]BASE'!BQ55)</f>
      </c>
      <c r="K55" s="688">
        <f>IF('[1]BASE'!BR55=0,"",'[1]BASE'!BR55)</f>
      </c>
      <c r="L55" s="688">
        <f>IF('[1]BASE'!BS55=0,"",'[1]BASE'!BS55)</f>
      </c>
      <c r="M55" s="688">
        <f>IF('[1]BASE'!BT55=0,"",'[1]BASE'!BT55)</f>
      </c>
      <c r="N55" s="688">
        <f>IF('[1]BASE'!BU55=0,"",'[1]BASE'!BU55)</f>
        <v>3</v>
      </c>
      <c r="O55" s="688">
        <f>IF('[1]BASE'!BV55=0,"",'[1]BASE'!BV55)</f>
      </c>
      <c r="P55" s="688">
        <f>IF('[1]BASE'!BW55=0,"",'[1]BASE'!BW55)</f>
      </c>
      <c r="Q55" s="688">
        <f>IF('[1]BASE'!BX55=0,"",'[1]BASE'!BX55)</f>
      </c>
      <c r="R55" s="688">
        <f>IF('[1]BASE'!BY55=0,"",'[1]BASE'!BY55)</f>
      </c>
      <c r="S55" s="688">
        <f>IF('[1]BASE'!BZ55=0,"",'[1]BASE'!BZ55)</f>
      </c>
      <c r="T55" s="684"/>
      <c r="U55" s="681"/>
    </row>
    <row r="56" spans="2:21" s="676" customFormat="1" ht="19.5" customHeight="1">
      <c r="B56" s="677"/>
      <c r="C56" s="685">
        <f>IF('[1]BASE'!C56=0,"",'[1]BASE'!C56)</f>
        <v>40</v>
      </c>
      <c r="D56" s="685" t="str">
        <f>IF('[1]BASE'!D56=0,"",'[1]BASE'!D56)</f>
        <v>RIO GRANDE - EMBALSE</v>
      </c>
      <c r="E56" s="685">
        <f>IF('[1]BASE'!E56=0,"",'[1]BASE'!E56)</f>
        <v>500</v>
      </c>
      <c r="F56" s="685">
        <f>IF('[1]BASE'!F56=0,"",'[1]BASE'!F56)</f>
        <v>30</v>
      </c>
      <c r="G56" s="686" t="str">
        <f>IF('[1]BASE'!G56=0,"",'[1]BASE'!G56)</f>
        <v>B</v>
      </c>
      <c r="H56" s="686">
        <f>IF('[1]BASE'!BO56=0,"",'[1]BASE'!BO56)</f>
      </c>
      <c r="I56" s="686">
        <f>IF('[1]BASE'!BP56=0,"",'[1]BASE'!BP56)</f>
      </c>
      <c r="J56" s="686">
        <f>IF('[1]BASE'!BQ56=0,"",'[1]BASE'!BQ56)</f>
      </c>
      <c r="K56" s="686">
        <f>IF('[1]BASE'!BR56=0,"",'[1]BASE'!BR56)</f>
      </c>
      <c r="L56" s="686">
        <f>IF('[1]BASE'!BS56=0,"",'[1]BASE'!BS56)</f>
      </c>
      <c r="M56" s="686">
        <f>IF('[1]BASE'!BT56=0,"",'[1]BASE'!BT56)</f>
      </c>
      <c r="N56" s="686">
        <f>IF('[1]BASE'!BU56=0,"",'[1]BASE'!BU56)</f>
      </c>
      <c r="O56" s="686">
        <f>IF('[1]BASE'!BV56=0,"",'[1]BASE'!BV56)</f>
      </c>
      <c r="P56" s="686">
        <f>IF('[1]BASE'!BW56=0,"",'[1]BASE'!BW56)</f>
      </c>
      <c r="Q56" s="686">
        <f>IF('[1]BASE'!BX56=0,"",'[1]BASE'!BX56)</f>
      </c>
      <c r="R56" s="686">
        <f>IF('[1]BASE'!BY56=0,"",'[1]BASE'!BY56)</f>
      </c>
      <c r="S56" s="686">
        <f>IF('[1]BASE'!BZ56=0,"",'[1]BASE'!BZ56)</f>
      </c>
      <c r="T56" s="684"/>
      <c r="U56" s="681"/>
    </row>
    <row r="57" spans="2:21" s="676" customFormat="1" ht="19.5" customHeight="1">
      <c r="B57" s="677"/>
      <c r="C57" s="687">
        <f>IF('[1]BASE'!C57=0,"",'[1]BASE'!C57)</f>
        <v>41</v>
      </c>
      <c r="D57" s="687" t="str">
        <f>IF('[1]BASE'!D57=0,"",'[1]BASE'!D57)</f>
        <v>RIO GRANDE - GRAN MENDOZA</v>
      </c>
      <c r="E57" s="687">
        <f>IF('[1]BASE'!E57=0,"",'[1]BASE'!E57)</f>
        <v>500</v>
      </c>
      <c r="F57" s="687">
        <f>IF('[1]BASE'!F57=0,"",'[1]BASE'!F57)</f>
        <v>407</v>
      </c>
      <c r="G57" s="688" t="str">
        <f>IF('[1]BASE'!G57=0,"",'[1]BASE'!G57)</f>
        <v>B</v>
      </c>
      <c r="H57" s="688" t="str">
        <f>IF('[1]BASE'!BO57=0,"",'[1]BASE'!BO57)</f>
        <v>XXXX</v>
      </c>
      <c r="I57" s="688" t="str">
        <f>IF('[1]BASE'!BP57=0,"",'[1]BASE'!BP57)</f>
        <v>XXXX</v>
      </c>
      <c r="J57" s="688" t="str">
        <f>IF('[1]BASE'!BQ57=0,"",'[1]BASE'!BQ57)</f>
        <v>XXXX</v>
      </c>
      <c r="K57" s="688" t="str">
        <f>IF('[1]BASE'!BR57=0,"",'[1]BASE'!BR57)</f>
        <v>XXXX</v>
      </c>
      <c r="L57" s="688" t="str">
        <f>IF('[1]BASE'!BS57=0,"",'[1]BASE'!BS57)</f>
        <v>XXXX</v>
      </c>
      <c r="M57" s="688" t="str">
        <f>IF('[1]BASE'!BT57=0,"",'[1]BASE'!BT57)</f>
        <v>XXXX</v>
      </c>
      <c r="N57" s="688" t="str">
        <f>IF('[1]BASE'!BU57=0,"",'[1]BASE'!BU57)</f>
        <v>XXXX</v>
      </c>
      <c r="O57" s="688" t="str">
        <f>IF('[1]BASE'!BV57=0,"",'[1]BASE'!BV57)</f>
        <v>XXXX</v>
      </c>
      <c r="P57" s="688" t="str">
        <f>IF('[1]BASE'!BW57=0,"",'[1]BASE'!BW57)</f>
        <v>XXXX</v>
      </c>
      <c r="Q57" s="688" t="str">
        <f>IF('[1]BASE'!BX57=0,"",'[1]BASE'!BX57)</f>
        <v>XXXX</v>
      </c>
      <c r="R57" s="688" t="str">
        <f>IF('[1]BASE'!BY57=0,"",'[1]BASE'!BY57)</f>
        <v>XXXX</v>
      </c>
      <c r="S57" s="688" t="str">
        <f>IF('[1]BASE'!BZ57=0,"",'[1]BASE'!BZ57)</f>
        <v>XXXX</v>
      </c>
      <c r="T57" s="684"/>
      <c r="U57" s="681"/>
    </row>
    <row r="58" spans="2:21" s="676" customFormat="1" ht="19.5" customHeight="1">
      <c r="B58" s="677"/>
      <c r="C58" s="685">
        <f>IF('[1]BASE'!C58=0,"",'[1]BASE'!C58)</f>
        <v>42</v>
      </c>
      <c r="D58" s="685" t="str">
        <f>IF('[1]BASE'!D58=0,"",'[1]BASE'!D58)</f>
        <v>RIO GRANDE - LUJAN</v>
      </c>
      <c r="E58" s="685">
        <f>IF('[1]BASE'!E58=0,"",'[1]BASE'!E58)</f>
        <v>500</v>
      </c>
      <c r="F58" s="685">
        <f>IF('[1]BASE'!F58=0,"",'[1]BASE'!F58)</f>
        <v>149</v>
      </c>
      <c r="G58" s="686" t="str">
        <f>IF('[1]BASE'!G58=0,"",'[1]BASE'!G58)</f>
        <v>A</v>
      </c>
      <c r="H58" s="686">
        <f>IF('[1]BASE'!BO58=0,"",'[1]BASE'!BO58)</f>
      </c>
      <c r="I58" s="686">
        <f>IF('[1]BASE'!BP58=0,"",'[1]BASE'!BP58)</f>
      </c>
      <c r="J58" s="686">
        <f>IF('[1]BASE'!BQ58=0,"",'[1]BASE'!BQ58)</f>
      </c>
      <c r="K58" s="686">
        <f>IF('[1]BASE'!BR58=0,"",'[1]BASE'!BR58)</f>
      </c>
      <c r="L58" s="686">
        <f>IF('[1]BASE'!BS58=0,"",'[1]BASE'!BS58)</f>
      </c>
      <c r="M58" s="686">
        <f>IF('[1]BASE'!BT58=0,"",'[1]BASE'!BT58)</f>
      </c>
      <c r="N58" s="686">
        <f>IF('[1]BASE'!BU58=0,"",'[1]BASE'!BU58)</f>
      </c>
      <c r="O58" s="686">
        <f>IF('[1]BASE'!BV58=0,"",'[1]BASE'!BV58)</f>
      </c>
      <c r="P58" s="686">
        <f>IF('[1]BASE'!BW58=0,"",'[1]BASE'!BW58)</f>
      </c>
      <c r="Q58" s="686">
        <f>IF('[1]BASE'!BX58=0,"",'[1]BASE'!BX58)</f>
      </c>
      <c r="R58" s="686">
        <f>IF('[1]BASE'!BY58=0,"",'[1]BASE'!BY58)</f>
      </c>
      <c r="S58" s="686">
        <f>IF('[1]BASE'!BZ58=0,"",'[1]BASE'!BZ58)</f>
      </c>
      <c r="T58" s="684"/>
      <c r="U58" s="681"/>
    </row>
    <row r="59" spans="2:21" s="676" customFormat="1" ht="19.5" customHeight="1">
      <c r="B59" s="677"/>
      <c r="C59" s="687">
        <f>IF('[1]BASE'!C59=0,"",'[1]BASE'!C59)</f>
        <v>43</v>
      </c>
      <c r="D59" s="687" t="str">
        <f>IF('[1]BASE'!D59=0,"",'[1]BASE'!D59)</f>
        <v>LUJAN - GRAN MENDOZA</v>
      </c>
      <c r="E59" s="687">
        <f>IF('[1]BASE'!E59=0,"",'[1]BASE'!E59)</f>
        <v>500</v>
      </c>
      <c r="F59" s="687">
        <f>IF('[1]BASE'!F59=0,"",'[1]BASE'!F59)</f>
        <v>258</v>
      </c>
      <c r="G59" s="688" t="str">
        <f>IF('[1]BASE'!G59=0,"",'[1]BASE'!G59)</f>
        <v>B</v>
      </c>
      <c r="H59" s="688">
        <f>IF('[1]BASE'!BO59=0,"",'[1]BASE'!BO59)</f>
      </c>
      <c r="I59" s="688">
        <f>IF('[1]BASE'!BP59=0,"",'[1]BASE'!BP59)</f>
      </c>
      <c r="J59" s="688">
        <f>IF('[1]BASE'!BQ59=0,"",'[1]BASE'!BQ59)</f>
      </c>
      <c r="K59" s="688">
        <f>IF('[1]BASE'!BR59=0,"",'[1]BASE'!BR59)</f>
      </c>
      <c r="L59" s="688">
        <f>IF('[1]BASE'!BS59=0,"",'[1]BASE'!BS59)</f>
      </c>
      <c r="M59" s="688">
        <f>IF('[1]BASE'!BT59=0,"",'[1]BASE'!BT59)</f>
      </c>
      <c r="N59" s="688">
        <f>IF('[1]BASE'!BU59=0,"",'[1]BASE'!BU59)</f>
      </c>
      <c r="O59" s="688">
        <f>IF('[1]BASE'!BV59=0,"",'[1]BASE'!BV59)</f>
      </c>
      <c r="P59" s="688">
        <f>IF('[1]BASE'!BW59=0,"",'[1]BASE'!BW59)</f>
      </c>
      <c r="Q59" s="688">
        <f>IF('[1]BASE'!BX59=0,"",'[1]BASE'!BX59)</f>
      </c>
      <c r="R59" s="688">
        <f>IF('[1]BASE'!BY59=0,"",'[1]BASE'!BY59)</f>
      </c>
      <c r="S59" s="688">
        <f>IF('[1]BASE'!BZ59=0,"",'[1]BASE'!BZ59)</f>
      </c>
      <c r="T59" s="684"/>
      <c r="U59" s="681"/>
    </row>
    <row r="60" spans="2:21" s="676" customFormat="1" ht="19.5" customHeight="1">
      <c r="B60" s="677"/>
      <c r="C60" s="685">
        <f>IF('[1]BASE'!C60=0,"",'[1]BASE'!C60)</f>
        <v>44</v>
      </c>
      <c r="D60" s="685" t="str">
        <f>IF('[1]BASE'!D60=0,"",'[1]BASE'!D60)</f>
        <v>ROMANG - RESISTENCIA</v>
      </c>
      <c r="E60" s="685">
        <f>IF('[1]BASE'!E60=0,"",'[1]BASE'!E60)</f>
        <v>500</v>
      </c>
      <c r="F60" s="685">
        <f>IF('[1]BASE'!F60=0,"",'[1]BASE'!F60)</f>
        <v>256</v>
      </c>
      <c r="G60" s="686" t="str">
        <f>IF('[1]BASE'!G60=0,"",'[1]BASE'!G60)</f>
        <v>A</v>
      </c>
      <c r="H60" s="686">
        <f>IF('[1]BASE'!BO60=0,"",'[1]BASE'!BO60)</f>
      </c>
      <c r="I60" s="686">
        <f>IF('[1]BASE'!BP60=0,"",'[1]BASE'!BP60)</f>
      </c>
      <c r="J60" s="686">
        <f>IF('[1]BASE'!BQ60=0,"",'[1]BASE'!BQ60)</f>
      </c>
      <c r="K60" s="686">
        <f>IF('[1]BASE'!BR60=0,"",'[1]BASE'!BR60)</f>
      </c>
      <c r="L60" s="686">
        <f>IF('[1]BASE'!BS60=0,"",'[1]BASE'!BS60)</f>
      </c>
      <c r="M60" s="686">
        <f>IF('[1]BASE'!BT60=0,"",'[1]BASE'!BT60)</f>
      </c>
      <c r="N60" s="686">
        <f>IF('[1]BASE'!BU60=0,"",'[1]BASE'!BU60)</f>
      </c>
      <c r="O60" s="686">
        <f>IF('[1]BASE'!BV60=0,"",'[1]BASE'!BV60)</f>
      </c>
      <c r="P60" s="686">
        <f>IF('[1]BASE'!BW60=0,"",'[1]BASE'!BW60)</f>
      </c>
      <c r="Q60" s="686">
        <f>IF('[1]BASE'!BX60=0,"",'[1]BASE'!BX60)</f>
      </c>
      <c r="R60" s="686">
        <f>IF('[1]BASE'!BY60=0,"",'[1]BASE'!BY60)</f>
        <v>1</v>
      </c>
      <c r="S60" s="686">
        <f>IF('[1]BASE'!BZ60=0,"",'[1]BASE'!BZ60)</f>
        <v>1</v>
      </c>
      <c r="T60" s="684"/>
      <c r="U60" s="681"/>
    </row>
    <row r="61" spans="2:21" s="676" customFormat="1" ht="19.5" customHeight="1">
      <c r="B61" s="677"/>
      <c r="C61" s="687">
        <f>IF('[1]BASE'!C61=0,"",'[1]BASE'!C61)</f>
        <v>45</v>
      </c>
      <c r="D61" s="687" t="str">
        <f>IF('[1]BASE'!D61=0,"",'[1]BASE'!D61)</f>
        <v>ROSARIO OESTE -SANTO TOME</v>
      </c>
      <c r="E61" s="687">
        <f>IF('[1]BASE'!E61=0,"",'[1]BASE'!E61)</f>
        <v>500</v>
      </c>
      <c r="F61" s="687">
        <f>IF('[1]BASE'!F61=0,"",'[1]BASE'!F61)</f>
        <v>159</v>
      </c>
      <c r="G61" s="688" t="str">
        <f>IF('[1]BASE'!G61=0,"",'[1]BASE'!G61)</f>
        <v>C</v>
      </c>
      <c r="H61" s="688">
        <f>IF('[1]BASE'!BO61=0,"",'[1]BASE'!BO61)</f>
      </c>
      <c r="I61" s="688">
        <f>IF('[1]BASE'!BP61=0,"",'[1]BASE'!BP61)</f>
      </c>
      <c r="J61" s="688">
        <f>IF('[1]BASE'!BQ61=0,"",'[1]BASE'!BQ61)</f>
      </c>
      <c r="K61" s="688">
        <f>IF('[1]BASE'!BR61=0,"",'[1]BASE'!BR61)</f>
      </c>
      <c r="L61" s="688">
        <f>IF('[1]BASE'!BS61=0,"",'[1]BASE'!BS61)</f>
      </c>
      <c r="M61" s="688">
        <f>IF('[1]BASE'!BT61=0,"",'[1]BASE'!BT61)</f>
      </c>
      <c r="N61" s="688">
        <f>IF('[1]BASE'!BU61=0,"",'[1]BASE'!BU61)</f>
      </c>
      <c r="O61" s="688">
        <f>IF('[1]BASE'!BV61=0,"",'[1]BASE'!BV61)</f>
      </c>
      <c r="P61" s="688">
        <f>IF('[1]BASE'!BW61=0,"",'[1]BASE'!BW61)</f>
      </c>
      <c r="Q61" s="688">
        <f>IF('[1]BASE'!BX61=0,"",'[1]BASE'!BX61)</f>
      </c>
      <c r="R61" s="688">
        <f>IF('[1]BASE'!BY61=0,"",'[1]BASE'!BY61)</f>
        <v>2</v>
      </c>
      <c r="S61" s="688">
        <f>IF('[1]BASE'!BZ61=0,"",'[1]BASE'!BZ61)</f>
      </c>
      <c r="T61" s="684"/>
      <c r="U61" s="681"/>
    </row>
    <row r="62" spans="2:21" s="676" customFormat="1" ht="19.5" customHeight="1">
      <c r="B62" s="677"/>
      <c r="C62" s="685">
        <f>IF('[1]BASE'!C62=0,"",'[1]BASE'!C62)</f>
        <v>46</v>
      </c>
      <c r="D62" s="685" t="str">
        <f>IF('[1]BASE'!D62=0,"",'[1]BASE'!D62)</f>
        <v>SALTO GRANDE - SANTO TOME </v>
      </c>
      <c r="E62" s="685">
        <f>IF('[1]BASE'!E62=0,"",'[1]BASE'!E62)</f>
        <v>500</v>
      </c>
      <c r="F62" s="685">
        <f>IF('[1]BASE'!F62=0,"",'[1]BASE'!F62)</f>
        <v>289</v>
      </c>
      <c r="G62" s="686" t="str">
        <f>IF('[1]BASE'!G62=0,"",'[1]BASE'!G62)</f>
        <v>C</v>
      </c>
      <c r="H62" s="686">
        <f>IF('[1]BASE'!BO62=0,"",'[1]BASE'!BO62)</f>
      </c>
      <c r="I62" s="686">
        <f>IF('[1]BASE'!BP62=0,"",'[1]BASE'!BP62)</f>
        <v>2</v>
      </c>
      <c r="J62" s="686">
        <f>IF('[1]BASE'!BQ62=0,"",'[1]BASE'!BQ62)</f>
      </c>
      <c r="K62" s="686">
        <f>IF('[1]BASE'!BR62=0,"",'[1]BASE'!BR62)</f>
        <v>1</v>
      </c>
      <c r="L62" s="686">
        <f>IF('[1]BASE'!BS62=0,"",'[1]BASE'!BS62)</f>
      </c>
      <c r="M62" s="686">
        <f>IF('[1]BASE'!BT62=0,"",'[1]BASE'!BT62)</f>
        <v>1</v>
      </c>
      <c r="N62" s="686">
        <f>IF('[1]BASE'!BU62=0,"",'[1]BASE'!BU62)</f>
      </c>
      <c r="O62" s="686">
        <f>IF('[1]BASE'!BV62=0,"",'[1]BASE'!BV62)</f>
      </c>
      <c r="P62" s="686">
        <f>IF('[1]BASE'!BW62=0,"",'[1]BASE'!BW62)</f>
      </c>
      <c r="Q62" s="686">
        <f>IF('[1]BASE'!BX62=0,"",'[1]BASE'!BX62)</f>
      </c>
      <c r="R62" s="686">
        <f>IF('[1]BASE'!BY62=0,"",'[1]BASE'!BY62)</f>
      </c>
      <c r="S62" s="686">
        <f>IF('[1]BASE'!BZ62=0,"",'[1]BASE'!BZ62)</f>
      </c>
      <c r="T62" s="684"/>
      <c r="U62" s="681"/>
    </row>
    <row r="63" spans="2:21" s="676" customFormat="1" ht="19.5" customHeight="1">
      <c r="B63" s="677"/>
      <c r="C63" s="687">
        <f>IF('[1]BASE'!C63=0,"",'[1]BASE'!C63)</f>
        <v>47</v>
      </c>
      <c r="D63" s="687" t="str">
        <f>IF('[1]BASE'!D63=0,"",'[1]BASE'!D63)</f>
        <v>SANTO TOME - ROMANG </v>
      </c>
      <c r="E63" s="687">
        <f>IF('[1]BASE'!E63=0,"",'[1]BASE'!E63)</f>
        <v>500</v>
      </c>
      <c r="F63" s="687">
        <f>IF('[1]BASE'!F63=0,"",'[1]BASE'!F63)</f>
        <v>270</v>
      </c>
      <c r="G63" s="688" t="str">
        <f>IF('[1]BASE'!G63=0,"",'[1]BASE'!G63)</f>
        <v>A</v>
      </c>
      <c r="H63" s="688">
        <f>IF('[1]BASE'!BO63=0,"",'[1]BASE'!BO63)</f>
      </c>
      <c r="I63" s="688">
        <f>IF('[1]BASE'!BP63=0,"",'[1]BASE'!BP63)</f>
      </c>
      <c r="J63" s="688">
        <f>IF('[1]BASE'!BQ63=0,"",'[1]BASE'!BQ63)</f>
      </c>
      <c r="K63" s="688">
        <f>IF('[1]BASE'!BR63=0,"",'[1]BASE'!BR63)</f>
      </c>
      <c r="L63" s="688">
        <f>IF('[1]BASE'!BS63=0,"",'[1]BASE'!BS63)</f>
      </c>
      <c r="M63" s="688">
        <f>IF('[1]BASE'!BT63=0,"",'[1]BASE'!BT63)</f>
      </c>
      <c r="N63" s="688">
        <f>IF('[1]BASE'!BU63=0,"",'[1]BASE'!BU63)</f>
      </c>
      <c r="O63" s="688">
        <f>IF('[1]BASE'!BV63=0,"",'[1]BASE'!BV63)</f>
      </c>
      <c r="P63" s="688">
        <f>IF('[1]BASE'!BW63=0,"",'[1]BASE'!BW63)</f>
      </c>
      <c r="Q63" s="688">
        <f>IF('[1]BASE'!BX63=0,"",'[1]BASE'!BX63)</f>
      </c>
      <c r="R63" s="688">
        <f>IF('[1]BASE'!BY63=0,"",'[1]BASE'!BY63)</f>
      </c>
      <c r="S63" s="688">
        <f>IF('[1]BASE'!BZ63=0,"",'[1]BASE'!BZ63)</f>
      </c>
      <c r="T63" s="684"/>
      <c r="U63" s="681"/>
    </row>
    <row r="64" spans="2:21" s="676" customFormat="1" ht="19.5" customHeight="1">
      <c r="B64" s="677"/>
      <c r="C64" s="685">
        <f>IF('[1]BASE'!C64=0,"",'[1]BASE'!C64)</f>
      </c>
      <c r="D64" s="685">
        <f>IF('[1]BASE'!D64=0,"",'[1]BASE'!D64)</f>
      </c>
      <c r="E64" s="685">
        <f>IF('[1]BASE'!E64=0,"",'[1]BASE'!E64)</f>
      </c>
      <c r="F64" s="685">
        <f>IF('[1]BASE'!F64=0,"",'[1]BASE'!F64)</f>
      </c>
      <c r="G64" s="686">
        <f>IF('[1]BASE'!G64=0,"",'[1]BASE'!G64)</f>
      </c>
      <c r="H64" s="686">
        <f>IF('[1]BASE'!BO64=0,"",'[1]BASE'!BO64)</f>
      </c>
      <c r="I64" s="686">
        <f>IF('[1]BASE'!BP64=0,"",'[1]BASE'!BP64)</f>
      </c>
      <c r="J64" s="686">
        <f>IF('[1]BASE'!BQ64=0,"",'[1]BASE'!BQ64)</f>
      </c>
      <c r="K64" s="686">
        <f>IF('[1]BASE'!BR64=0,"",'[1]BASE'!BR64)</f>
      </c>
      <c r="L64" s="686">
        <f>IF('[1]BASE'!BS64=0,"",'[1]BASE'!BS64)</f>
      </c>
      <c r="M64" s="686">
        <f>IF('[1]BASE'!BT64=0,"",'[1]BASE'!BT64)</f>
      </c>
      <c r="N64" s="686">
        <f>IF('[1]BASE'!BU64=0,"",'[1]BASE'!BU64)</f>
      </c>
      <c r="O64" s="686">
        <f>IF('[1]BASE'!BV64=0,"",'[1]BASE'!BV64)</f>
      </c>
      <c r="P64" s="686">
        <f>IF('[1]BASE'!BW64=0,"",'[1]BASE'!BW64)</f>
      </c>
      <c r="Q64" s="686">
        <f>IF('[1]BASE'!BX64=0,"",'[1]BASE'!BX64)</f>
      </c>
      <c r="R64" s="686">
        <f>IF('[1]BASE'!BY64=0,"",'[1]BASE'!BY64)</f>
      </c>
      <c r="S64" s="686">
        <f>IF('[1]BASE'!BZ64=0,"",'[1]BASE'!BZ64)</f>
      </c>
      <c r="T64" s="684"/>
      <c r="U64" s="681"/>
    </row>
    <row r="65" spans="2:21" s="676" customFormat="1" ht="19.5" customHeight="1">
      <c r="B65" s="677"/>
      <c r="C65" s="687">
        <f>IF('[1]BASE'!C65=0,"",'[1]BASE'!C65)</f>
        <v>48</v>
      </c>
      <c r="D65" s="687" t="str">
        <f>IF('[1]BASE'!D65=0,"",'[1]BASE'!D65)</f>
        <v>GRAL. RODRIGUEZ - VILLA  LIA 1</v>
      </c>
      <c r="E65" s="687">
        <f>IF('[1]BASE'!E65=0,"",'[1]BASE'!E65)</f>
        <v>220</v>
      </c>
      <c r="F65" s="687">
        <f>IF('[1]BASE'!F65=0,"",'[1]BASE'!F65)</f>
        <v>61</v>
      </c>
      <c r="G65" s="688" t="str">
        <f>IF('[1]BASE'!G65=0,"",'[1]BASE'!G65)</f>
        <v>C</v>
      </c>
      <c r="H65" s="688">
        <f>IF('[1]BASE'!BO65=0,"",'[1]BASE'!BO65)</f>
      </c>
      <c r="I65" s="688">
        <f>IF('[1]BASE'!BP65=0,"",'[1]BASE'!BP65)</f>
      </c>
      <c r="J65" s="688">
        <f>IF('[1]BASE'!BQ65=0,"",'[1]BASE'!BQ65)</f>
      </c>
      <c r="K65" s="688">
        <f>IF('[1]BASE'!BR65=0,"",'[1]BASE'!BR65)</f>
      </c>
      <c r="L65" s="688">
        <f>IF('[1]BASE'!BS65=0,"",'[1]BASE'!BS65)</f>
      </c>
      <c r="M65" s="688">
        <f>IF('[1]BASE'!BT65=0,"",'[1]BASE'!BT65)</f>
      </c>
      <c r="N65" s="688">
        <f>IF('[1]BASE'!BU65=0,"",'[1]BASE'!BU65)</f>
        <v>1</v>
      </c>
      <c r="O65" s="688">
        <f>IF('[1]BASE'!BV65=0,"",'[1]BASE'!BV65)</f>
      </c>
      <c r="P65" s="688">
        <f>IF('[1]BASE'!BW65=0,"",'[1]BASE'!BW65)</f>
        <v>1</v>
      </c>
      <c r="Q65" s="688">
        <f>IF('[1]BASE'!BX65=0,"",'[1]BASE'!BX65)</f>
      </c>
      <c r="R65" s="688">
        <f>IF('[1]BASE'!BY65=0,"",'[1]BASE'!BY65)</f>
      </c>
      <c r="S65" s="688">
        <f>IF('[1]BASE'!BZ65=0,"",'[1]BASE'!BZ65)</f>
      </c>
      <c r="T65" s="684"/>
      <c r="U65" s="681"/>
    </row>
    <row r="66" spans="2:21" s="676" customFormat="1" ht="19.5" customHeight="1">
      <c r="B66" s="677"/>
      <c r="C66" s="685">
        <f>IF('[1]BASE'!C66=0,"",'[1]BASE'!C66)</f>
        <v>49</v>
      </c>
      <c r="D66" s="685" t="str">
        <f>IF('[1]BASE'!D66=0,"",'[1]BASE'!D66)</f>
        <v>GRAL. RODRIGUEZ - VILLA  LIA 2</v>
      </c>
      <c r="E66" s="685">
        <f>IF('[1]BASE'!E66=0,"",'[1]BASE'!E66)</f>
        <v>220</v>
      </c>
      <c r="F66" s="685">
        <f>IF('[1]BASE'!F66=0,"",'[1]BASE'!F66)</f>
        <v>61</v>
      </c>
      <c r="G66" s="686" t="str">
        <f>IF('[1]BASE'!G66=0,"",'[1]BASE'!G66)</f>
        <v>C</v>
      </c>
      <c r="H66" s="686">
        <f>IF('[1]BASE'!BO66=0,"",'[1]BASE'!BO66)</f>
      </c>
      <c r="I66" s="686">
        <f>IF('[1]BASE'!BP66=0,"",'[1]BASE'!BP66)</f>
      </c>
      <c r="J66" s="686">
        <f>IF('[1]BASE'!BQ66=0,"",'[1]BASE'!BQ66)</f>
      </c>
      <c r="K66" s="686">
        <f>IF('[1]BASE'!BR66=0,"",'[1]BASE'!BR66)</f>
      </c>
      <c r="L66" s="686">
        <f>IF('[1]BASE'!BS66=0,"",'[1]BASE'!BS66)</f>
      </c>
      <c r="M66" s="686">
        <f>IF('[1]BASE'!BT66=0,"",'[1]BASE'!BT66)</f>
      </c>
      <c r="N66" s="686">
        <f>IF('[1]BASE'!BU66=0,"",'[1]BASE'!BU66)</f>
      </c>
      <c r="O66" s="686">
        <f>IF('[1]BASE'!BV66=0,"",'[1]BASE'!BV66)</f>
      </c>
      <c r="P66" s="686">
        <f>IF('[1]BASE'!BW66=0,"",'[1]BASE'!BW66)</f>
      </c>
      <c r="Q66" s="686">
        <f>IF('[1]BASE'!BX66=0,"",'[1]BASE'!BX66)</f>
      </c>
      <c r="R66" s="686">
        <f>IF('[1]BASE'!BY66=0,"",'[1]BASE'!BY66)</f>
      </c>
      <c r="S66" s="686">
        <f>IF('[1]BASE'!BZ66=0,"",'[1]BASE'!BZ66)</f>
      </c>
      <c r="T66" s="684"/>
      <c r="U66" s="681"/>
    </row>
    <row r="67" spans="2:21" s="676" customFormat="1" ht="19.5" customHeight="1">
      <c r="B67" s="677"/>
      <c r="C67" s="687">
        <f>IF('[1]BASE'!C67=0,"",'[1]BASE'!C67)</f>
        <v>50</v>
      </c>
      <c r="D67" s="687" t="str">
        <f>IF('[1]BASE'!D67=0,"",'[1]BASE'!D67)</f>
        <v>RAMALLO - SAN NICOLAS (2)</v>
      </c>
      <c r="E67" s="687">
        <f>IF('[1]BASE'!E67=0,"",'[1]BASE'!E67)</f>
        <v>220</v>
      </c>
      <c r="F67" s="687">
        <f>IF('[1]BASE'!F67=0,"",'[1]BASE'!F67)</f>
        <v>6</v>
      </c>
      <c r="G67" s="688" t="str">
        <f>IF('[1]BASE'!G67=0,"",'[1]BASE'!G67)</f>
        <v>C</v>
      </c>
      <c r="H67" s="688">
        <f>IF('[1]BASE'!BO67=0,"",'[1]BASE'!BO67)</f>
      </c>
      <c r="I67" s="688">
        <f>IF('[1]BASE'!BP67=0,"",'[1]BASE'!BP67)</f>
      </c>
      <c r="J67" s="688">
        <f>IF('[1]BASE'!BQ67=0,"",'[1]BASE'!BQ67)</f>
      </c>
      <c r="K67" s="688">
        <f>IF('[1]BASE'!BR67=0,"",'[1]BASE'!BR67)</f>
      </c>
      <c r="L67" s="688">
        <f>IF('[1]BASE'!BS67=0,"",'[1]BASE'!BS67)</f>
      </c>
      <c r="M67" s="688">
        <f>IF('[1]BASE'!BT67=0,"",'[1]BASE'!BT67)</f>
      </c>
      <c r="N67" s="688">
        <f>IF('[1]BASE'!BU67=0,"",'[1]BASE'!BU67)</f>
      </c>
      <c r="O67" s="688">
        <f>IF('[1]BASE'!BV67=0,"",'[1]BASE'!BV67)</f>
      </c>
      <c r="P67" s="688">
        <f>IF('[1]BASE'!BW67=0,"",'[1]BASE'!BW67)</f>
      </c>
      <c r="Q67" s="688">
        <f>IF('[1]BASE'!BX67=0,"",'[1]BASE'!BX67)</f>
      </c>
      <c r="R67" s="688">
        <f>IF('[1]BASE'!BY67=0,"",'[1]BASE'!BY67)</f>
      </c>
      <c r="S67" s="688">
        <f>IF('[1]BASE'!BZ67=0,"",'[1]BASE'!BZ67)</f>
      </c>
      <c r="T67" s="684"/>
      <c r="U67" s="681"/>
    </row>
    <row r="68" spans="2:21" s="676" customFormat="1" ht="19.5" customHeight="1">
      <c r="B68" s="677"/>
      <c r="C68" s="685">
        <f>IF('[1]BASE'!C68=0,"",'[1]BASE'!C68)</f>
        <v>51</v>
      </c>
      <c r="D68" s="685" t="str">
        <f>IF('[1]BASE'!D68=0,"",'[1]BASE'!D68)</f>
        <v>RAMALLO - SAN NICOLAS (1)</v>
      </c>
      <c r="E68" s="685">
        <f>IF('[1]BASE'!E68=0,"",'[1]BASE'!E68)</f>
        <v>220</v>
      </c>
      <c r="F68" s="685">
        <f>IF('[1]BASE'!F68=0,"",'[1]BASE'!F68)</f>
        <v>6</v>
      </c>
      <c r="G68" s="686" t="str">
        <f>IF('[1]BASE'!G68=0,"",'[1]BASE'!G68)</f>
        <v>C</v>
      </c>
      <c r="H68" s="686">
        <f>IF('[1]BASE'!BO68=0,"",'[1]BASE'!BO68)</f>
      </c>
      <c r="I68" s="686">
        <f>IF('[1]BASE'!BP68=0,"",'[1]BASE'!BP68)</f>
      </c>
      <c r="J68" s="686">
        <f>IF('[1]BASE'!BQ68=0,"",'[1]BASE'!BQ68)</f>
      </c>
      <c r="K68" s="686">
        <f>IF('[1]BASE'!BR68=0,"",'[1]BASE'!BR68)</f>
      </c>
      <c r="L68" s="686">
        <f>IF('[1]BASE'!BS68=0,"",'[1]BASE'!BS68)</f>
      </c>
      <c r="M68" s="686">
        <f>IF('[1]BASE'!BT68=0,"",'[1]BASE'!BT68)</f>
      </c>
      <c r="N68" s="686">
        <f>IF('[1]BASE'!BU68=0,"",'[1]BASE'!BU68)</f>
      </c>
      <c r="O68" s="686">
        <f>IF('[1]BASE'!BV68=0,"",'[1]BASE'!BV68)</f>
      </c>
      <c r="P68" s="686">
        <f>IF('[1]BASE'!BW68=0,"",'[1]BASE'!BW68)</f>
      </c>
      <c r="Q68" s="686">
        <f>IF('[1]BASE'!BX68=0,"",'[1]BASE'!BX68)</f>
      </c>
      <c r="R68" s="686">
        <f>IF('[1]BASE'!BY68=0,"",'[1]BASE'!BY68)</f>
      </c>
      <c r="S68" s="686">
        <f>IF('[1]BASE'!BZ68=0,"",'[1]BASE'!BZ68)</f>
      </c>
      <c r="T68" s="684"/>
      <c r="U68" s="681"/>
    </row>
    <row r="69" spans="2:21" s="676" customFormat="1" ht="19.5" customHeight="1">
      <c r="B69" s="677"/>
      <c r="C69" s="687">
        <f>IF('[1]BASE'!C69=0,"",'[1]BASE'!C69)</f>
        <v>52</v>
      </c>
      <c r="D69" s="687" t="str">
        <f>IF('[1]BASE'!D69=0,"",'[1]BASE'!D69)</f>
        <v>RAMALLO - VILLA LIA  1</v>
      </c>
      <c r="E69" s="687">
        <f>IF('[1]BASE'!E69=0,"",'[1]BASE'!E69)</f>
        <v>220</v>
      </c>
      <c r="F69" s="688">
        <f>IF('[1]BASE'!F69=0,"",'[1]BASE'!F69)</f>
        <v>114</v>
      </c>
      <c r="G69" s="688" t="str">
        <f>IF('[1]BASE'!G69=0,"",'[1]BASE'!G69)</f>
        <v>C</v>
      </c>
      <c r="H69" s="688">
        <f>IF('[1]BASE'!BO69=0,"",'[1]BASE'!BO69)</f>
      </c>
      <c r="I69" s="688">
        <f>IF('[1]BASE'!BP69=0,"",'[1]BASE'!BP69)</f>
      </c>
      <c r="J69" s="688">
        <f>IF('[1]BASE'!BQ69=0,"",'[1]BASE'!BQ69)</f>
      </c>
      <c r="K69" s="688">
        <f>IF('[1]BASE'!BR69=0,"",'[1]BASE'!BR69)</f>
      </c>
      <c r="L69" s="688">
        <f>IF('[1]BASE'!BS69=0,"",'[1]BASE'!BS69)</f>
      </c>
      <c r="M69" s="688">
        <f>IF('[1]BASE'!BT69=0,"",'[1]BASE'!BT69)</f>
      </c>
      <c r="N69" s="688">
        <f>IF('[1]BASE'!BU69=0,"",'[1]BASE'!BU69)</f>
      </c>
      <c r="O69" s="688">
        <f>IF('[1]BASE'!BV69=0,"",'[1]BASE'!BV69)</f>
      </c>
      <c r="P69" s="688">
        <f>IF('[1]BASE'!BW69=0,"",'[1]BASE'!BW69)</f>
      </c>
      <c r="Q69" s="688">
        <f>IF('[1]BASE'!BX69=0,"",'[1]BASE'!BX69)</f>
      </c>
      <c r="R69" s="688">
        <f>IF('[1]BASE'!BY69=0,"",'[1]BASE'!BY69)</f>
      </c>
      <c r="S69" s="688">
        <f>IF('[1]BASE'!BZ69=0,"",'[1]BASE'!BZ69)</f>
      </c>
      <c r="T69" s="684"/>
      <c r="U69" s="681"/>
    </row>
    <row r="70" spans="2:21" s="676" customFormat="1" ht="19.5" customHeight="1">
      <c r="B70" s="677"/>
      <c r="C70" s="685">
        <f>IF('[1]BASE'!C70=0,"",'[1]BASE'!C70)</f>
        <v>53</v>
      </c>
      <c r="D70" s="685" t="str">
        <f>IF('[1]BASE'!D70=0,"",'[1]BASE'!D70)</f>
        <v>RAMALLO - VILLA LIA  2</v>
      </c>
      <c r="E70" s="685">
        <f>IF('[1]BASE'!E70=0,"",'[1]BASE'!E70)</f>
        <v>220</v>
      </c>
      <c r="F70" s="686">
        <f>IF('[1]BASE'!F70=0,"",'[1]BASE'!F70)</f>
        <v>114</v>
      </c>
      <c r="G70" s="686" t="str">
        <f>IF('[1]BASE'!G70=0,"",'[1]BASE'!G70)</f>
        <v>C</v>
      </c>
      <c r="H70" s="686">
        <f>IF('[1]BASE'!BO70=0,"",'[1]BASE'!BO70)</f>
      </c>
      <c r="I70" s="686">
        <f>IF('[1]BASE'!BP70=0,"",'[1]BASE'!BP70)</f>
      </c>
      <c r="J70" s="686">
        <f>IF('[1]BASE'!BQ70=0,"",'[1]BASE'!BQ70)</f>
      </c>
      <c r="K70" s="686">
        <f>IF('[1]BASE'!BR70=0,"",'[1]BASE'!BR70)</f>
      </c>
      <c r="L70" s="686">
        <f>IF('[1]BASE'!BS70=0,"",'[1]BASE'!BS70)</f>
      </c>
      <c r="M70" s="686">
        <f>IF('[1]BASE'!BT70=0,"",'[1]BASE'!BT70)</f>
      </c>
      <c r="N70" s="686">
        <f>IF('[1]BASE'!BU70=0,"",'[1]BASE'!BU70)</f>
      </c>
      <c r="O70" s="686">
        <f>IF('[1]BASE'!BV70=0,"",'[1]BASE'!BV70)</f>
      </c>
      <c r="P70" s="686">
        <f>IF('[1]BASE'!BW70=0,"",'[1]BASE'!BW70)</f>
      </c>
      <c r="Q70" s="686">
        <f>IF('[1]BASE'!BX70=0,"",'[1]BASE'!BX70)</f>
      </c>
      <c r="R70" s="686">
        <f>IF('[1]BASE'!BY70=0,"",'[1]BASE'!BY70)</f>
      </c>
      <c r="S70" s="686">
        <f>IF('[1]BASE'!BZ70=0,"",'[1]BASE'!BZ70)</f>
      </c>
      <c r="T70" s="684"/>
      <c r="U70" s="681"/>
    </row>
    <row r="71" spans="2:21" s="676" customFormat="1" ht="19.5" customHeight="1">
      <c r="B71" s="677"/>
      <c r="C71" s="687">
        <f>IF('[1]BASE'!C71=0,"",'[1]BASE'!C71)</f>
        <v>54</v>
      </c>
      <c r="D71" s="687" t="str">
        <f>IF('[1]BASE'!D71=0,"",'[1]BASE'!D71)</f>
        <v>ROSARIO OESTE - RAMALLO  1</v>
      </c>
      <c r="E71" s="687">
        <f>IF('[1]BASE'!E71=0,"",'[1]BASE'!E71)</f>
        <v>220</v>
      </c>
      <c r="F71" s="688">
        <f>IF('[1]BASE'!F71=0,"",'[1]BASE'!F71)</f>
        <v>77</v>
      </c>
      <c r="G71" s="688" t="str">
        <f>IF('[1]BASE'!G71=0,"",'[1]BASE'!G71)</f>
        <v>C</v>
      </c>
      <c r="H71" s="688">
        <f>IF('[1]BASE'!BO71=0,"",'[1]BASE'!BO71)</f>
      </c>
      <c r="I71" s="688">
        <f>IF('[1]BASE'!BP71=0,"",'[1]BASE'!BP71)</f>
      </c>
      <c r="J71" s="688">
        <f>IF('[1]BASE'!BQ71=0,"",'[1]BASE'!BQ71)</f>
      </c>
      <c r="K71" s="688">
        <f>IF('[1]BASE'!BR71=0,"",'[1]BASE'!BR71)</f>
      </c>
      <c r="L71" s="688">
        <f>IF('[1]BASE'!BS71=0,"",'[1]BASE'!BS71)</f>
      </c>
      <c r="M71" s="688">
        <f>IF('[1]BASE'!BT71=0,"",'[1]BASE'!BT71)</f>
      </c>
      <c r="N71" s="688">
        <f>IF('[1]BASE'!BU71=0,"",'[1]BASE'!BU71)</f>
      </c>
      <c r="O71" s="688">
        <f>IF('[1]BASE'!BV71=0,"",'[1]BASE'!BV71)</f>
      </c>
      <c r="P71" s="688">
        <f>IF('[1]BASE'!BW71=0,"",'[1]BASE'!BW71)</f>
      </c>
      <c r="Q71" s="688">
        <f>IF('[1]BASE'!BX71=0,"",'[1]BASE'!BX71)</f>
      </c>
      <c r="R71" s="688">
        <f>IF('[1]BASE'!BY71=0,"",'[1]BASE'!BY71)</f>
        <v>1</v>
      </c>
      <c r="S71" s="688">
        <f>IF('[1]BASE'!BZ71=0,"",'[1]BASE'!BZ71)</f>
      </c>
      <c r="T71" s="684"/>
      <c r="U71" s="681"/>
    </row>
    <row r="72" spans="2:21" s="676" customFormat="1" ht="19.5" customHeight="1">
      <c r="B72" s="677"/>
      <c r="C72" s="685">
        <f>IF('[1]BASE'!C72=0,"",'[1]BASE'!C72)</f>
        <v>55</v>
      </c>
      <c r="D72" s="685" t="str">
        <f>IF('[1]BASE'!D72=0,"",'[1]BASE'!D72)</f>
        <v>ROSARIO OESTE - RAMALLO  2</v>
      </c>
      <c r="E72" s="685">
        <f>IF('[1]BASE'!E72=0,"",'[1]BASE'!E72)</f>
        <v>220</v>
      </c>
      <c r="F72" s="686">
        <f>IF('[1]BASE'!F72=0,"",'[1]BASE'!F72)</f>
        <v>77</v>
      </c>
      <c r="G72" s="686" t="str">
        <f>IF('[1]BASE'!G72=0,"",'[1]BASE'!G72)</f>
        <v>C</v>
      </c>
      <c r="H72" s="686">
        <f>IF('[1]BASE'!BO72=0,"",'[1]BASE'!BO72)</f>
      </c>
      <c r="I72" s="686">
        <f>IF('[1]BASE'!BP72=0,"",'[1]BASE'!BP72)</f>
      </c>
      <c r="J72" s="686">
        <f>IF('[1]BASE'!BQ72=0,"",'[1]BASE'!BQ72)</f>
      </c>
      <c r="K72" s="686">
        <f>IF('[1]BASE'!BR72=0,"",'[1]BASE'!BR72)</f>
      </c>
      <c r="L72" s="686">
        <f>IF('[1]BASE'!BS72=0,"",'[1]BASE'!BS72)</f>
      </c>
      <c r="M72" s="686">
        <f>IF('[1]BASE'!BT72=0,"",'[1]BASE'!BT72)</f>
      </c>
      <c r="N72" s="686">
        <f>IF('[1]BASE'!BU72=0,"",'[1]BASE'!BU72)</f>
      </c>
      <c r="O72" s="686">
        <f>IF('[1]BASE'!BV72=0,"",'[1]BASE'!BV72)</f>
      </c>
      <c r="P72" s="686">
        <f>IF('[1]BASE'!BW72=0,"",'[1]BASE'!BW72)</f>
      </c>
      <c r="Q72" s="686">
        <f>IF('[1]BASE'!BX72=0,"",'[1]BASE'!BX72)</f>
      </c>
      <c r="R72" s="686">
        <f>IF('[1]BASE'!BY72=0,"",'[1]BASE'!BY72)</f>
        <v>2</v>
      </c>
      <c r="S72" s="686">
        <f>IF('[1]BASE'!BZ72=0,"",'[1]BASE'!BZ72)</f>
      </c>
      <c r="T72" s="684"/>
      <c r="U72" s="681"/>
    </row>
    <row r="73" spans="2:21" s="676" customFormat="1" ht="19.5" customHeight="1">
      <c r="B73" s="677"/>
      <c r="C73" s="687">
        <f>IF('[1]BASE'!C73=0,"",'[1]BASE'!C73)</f>
        <v>56</v>
      </c>
      <c r="D73" s="687" t="str">
        <f>IF('[1]BASE'!D73=0,"",'[1]BASE'!D73)</f>
        <v>VILLA LIA - ATUCHA 1</v>
      </c>
      <c r="E73" s="687">
        <f>IF('[1]BASE'!E73=0,"",'[1]BASE'!E73)</f>
        <v>220</v>
      </c>
      <c r="F73" s="687">
        <f>IF('[1]BASE'!F73=0,"",'[1]BASE'!F73)</f>
        <v>26</v>
      </c>
      <c r="G73" s="688" t="str">
        <f>IF('[1]BASE'!G73=0,"",'[1]BASE'!G73)</f>
        <v>C</v>
      </c>
      <c r="H73" s="688">
        <f>IF('[1]BASE'!BO73=0,"",'[1]BASE'!BO73)</f>
      </c>
      <c r="I73" s="688">
        <f>IF('[1]BASE'!BP73=0,"",'[1]BASE'!BP73)</f>
      </c>
      <c r="J73" s="688">
        <f>IF('[1]BASE'!BQ73=0,"",'[1]BASE'!BQ73)</f>
      </c>
      <c r="K73" s="688">
        <f>IF('[1]BASE'!BR73=0,"",'[1]BASE'!BR73)</f>
      </c>
      <c r="L73" s="688">
        <f>IF('[1]BASE'!BS73=0,"",'[1]BASE'!BS73)</f>
      </c>
      <c r="M73" s="688">
        <f>IF('[1]BASE'!BT73=0,"",'[1]BASE'!BT73)</f>
      </c>
      <c r="N73" s="688">
        <f>IF('[1]BASE'!BU73=0,"",'[1]BASE'!BU73)</f>
      </c>
      <c r="O73" s="688">
        <f>IF('[1]BASE'!BV73=0,"",'[1]BASE'!BV73)</f>
      </c>
      <c r="P73" s="688">
        <f>IF('[1]BASE'!BW73=0,"",'[1]BASE'!BW73)</f>
      </c>
      <c r="Q73" s="688">
        <f>IF('[1]BASE'!BX73=0,"",'[1]BASE'!BX73)</f>
      </c>
      <c r="R73" s="688">
        <f>IF('[1]BASE'!BY73=0,"",'[1]BASE'!BY73)</f>
      </c>
      <c r="S73" s="688">
        <f>IF('[1]BASE'!BZ73=0,"",'[1]BASE'!BZ73)</f>
      </c>
      <c r="T73" s="684"/>
      <c r="U73" s="681"/>
    </row>
    <row r="74" spans="2:21" s="676" customFormat="1" ht="19.5" customHeight="1">
      <c r="B74" s="677"/>
      <c r="C74" s="685">
        <f>IF('[1]BASE'!C74=0,"",'[1]BASE'!C74)</f>
        <v>57</v>
      </c>
      <c r="D74" s="685" t="str">
        <f>IF('[1]BASE'!D74=0,"",'[1]BASE'!D74)</f>
        <v>VILLA LIA - ATUCHA 2</v>
      </c>
      <c r="E74" s="685">
        <f>IF('[1]BASE'!E74=0,"",'[1]BASE'!E74)</f>
        <v>220</v>
      </c>
      <c r="F74" s="685">
        <f>IF('[1]BASE'!F74=0,"",'[1]BASE'!F74)</f>
        <v>26</v>
      </c>
      <c r="G74" s="686" t="str">
        <f>IF('[1]BASE'!G74=0,"",'[1]BASE'!G74)</f>
        <v>C</v>
      </c>
      <c r="H74" s="689">
        <f>IF('[1]BASE'!BO74=0,"",'[1]BASE'!BO74)</f>
      </c>
      <c r="I74" s="689">
        <f>IF('[1]BASE'!BP74=0,"",'[1]BASE'!BP74)</f>
      </c>
      <c r="J74" s="689">
        <f>IF('[1]BASE'!BQ74=0,"",'[1]BASE'!BQ74)</f>
      </c>
      <c r="K74" s="689">
        <f>IF('[1]BASE'!BR74=0,"",'[1]BASE'!BR74)</f>
      </c>
      <c r="L74" s="689">
        <f>IF('[1]BASE'!BS74=0,"",'[1]BASE'!BS74)</f>
      </c>
      <c r="M74" s="689">
        <f>IF('[1]BASE'!BT74=0,"",'[1]BASE'!BT74)</f>
      </c>
      <c r="N74" s="689">
        <f>IF('[1]BASE'!BU74=0,"",'[1]BASE'!BU74)</f>
      </c>
      <c r="O74" s="689">
        <f>IF('[1]BASE'!BV74=0,"",'[1]BASE'!BV74)</f>
      </c>
      <c r="P74" s="689">
        <f>IF('[1]BASE'!BW74=0,"",'[1]BASE'!BW74)</f>
      </c>
      <c r="Q74" s="689">
        <f>IF('[1]BASE'!BX74=0,"",'[1]BASE'!BX74)</f>
      </c>
      <c r="R74" s="689">
        <f>IF('[1]BASE'!BY74=0,"",'[1]BASE'!BY74)</f>
      </c>
      <c r="S74" s="689">
        <f>IF('[1]BASE'!BZ74=0,"",'[1]BASE'!BZ74)</f>
      </c>
      <c r="T74" s="684"/>
      <c r="U74" s="681"/>
    </row>
    <row r="75" spans="2:21" s="676" customFormat="1" ht="19.5" customHeight="1">
      <c r="B75" s="677"/>
      <c r="C75" s="687">
        <f>IF('[1]BASE'!C75=0,"",'[1]BASE'!C75)</f>
      </c>
      <c r="D75" s="687">
        <f>IF('[1]BASE'!D75=0,"",'[1]BASE'!D75)</f>
      </c>
      <c r="E75" s="687">
        <f>IF('[1]BASE'!E75=0,"",'[1]BASE'!E75)</f>
      </c>
      <c r="F75" s="687">
        <f>IF('[1]BASE'!F75=0,"",'[1]BASE'!F75)</f>
      </c>
      <c r="G75" s="688">
        <f>IF('[1]BASE'!G75=0,"",'[1]BASE'!G75)</f>
      </c>
      <c r="H75" s="688">
        <f>IF('[1]BASE'!BO75=0,"",'[1]BASE'!BO75)</f>
      </c>
      <c r="I75" s="688">
        <f>IF('[1]BASE'!BP75=0,"",'[1]BASE'!BP75)</f>
      </c>
      <c r="J75" s="688">
        <f>IF('[1]BASE'!BQ75=0,"",'[1]BASE'!BQ75)</f>
      </c>
      <c r="K75" s="688">
        <f>IF('[1]BASE'!BR75=0,"",'[1]BASE'!BR75)</f>
      </c>
      <c r="L75" s="688">
        <f>IF('[1]BASE'!BS75=0,"",'[1]BASE'!BS75)</f>
      </c>
      <c r="M75" s="688">
        <f>IF('[1]BASE'!BT75=0,"",'[1]BASE'!BT75)</f>
      </c>
      <c r="N75" s="688">
        <f>IF('[1]BASE'!BU75=0,"",'[1]BASE'!BU75)</f>
      </c>
      <c r="O75" s="688">
        <f>IF('[1]BASE'!BV75=0,"",'[1]BASE'!BV75)</f>
      </c>
      <c r="P75" s="688">
        <f>IF('[1]BASE'!BW75=0,"",'[1]BASE'!BW75)</f>
      </c>
      <c r="Q75" s="688">
        <f>IF('[1]BASE'!BX75=0,"",'[1]BASE'!BX75)</f>
      </c>
      <c r="R75" s="688">
        <f>IF('[1]BASE'!BY75=0,"",'[1]BASE'!BY75)</f>
      </c>
      <c r="S75" s="688">
        <f>IF('[1]BASE'!BZ75=0,"",'[1]BASE'!BZ75)</f>
      </c>
      <c r="T75" s="684"/>
      <c r="U75" s="681"/>
    </row>
    <row r="76" spans="2:21" s="676" customFormat="1" ht="19.5" customHeight="1">
      <c r="B76" s="677"/>
      <c r="C76" s="685">
        <f>IF('[1]BASE'!C76=0,"",'[1]BASE'!C76)</f>
        <v>58</v>
      </c>
      <c r="D76" s="685" t="str">
        <f>IF('[1]BASE'!D76=0,"",'[1]BASE'!D76)</f>
        <v>YACYRETÁ - RINCON I</v>
      </c>
      <c r="E76" s="685">
        <f>IF('[1]BASE'!E76=0,"",'[1]BASE'!E76)</f>
        <v>500</v>
      </c>
      <c r="F76" s="686">
        <f>IF('[1]BASE'!F76=0,"",'[1]BASE'!F76)</f>
        <v>3.6</v>
      </c>
      <c r="G76" s="686" t="str">
        <f>IF('[1]BASE'!G76=0,"",'[1]BASE'!G76)</f>
        <v>B</v>
      </c>
      <c r="H76" s="686">
        <f>IF('[1]BASE'!BO76=0,"",'[1]BASE'!BO76)</f>
      </c>
      <c r="I76" s="686">
        <f>IF('[1]BASE'!BP76=0,"",'[1]BASE'!BP76)</f>
      </c>
      <c r="J76" s="686">
        <f>IF('[1]BASE'!BQ76=0,"",'[1]BASE'!BQ76)</f>
      </c>
      <c r="K76" s="686">
        <f>IF('[1]BASE'!BR76=0,"",'[1]BASE'!BR76)</f>
      </c>
      <c r="L76" s="686">
        <f>IF('[1]BASE'!BS76=0,"",'[1]BASE'!BS76)</f>
      </c>
      <c r="M76" s="686">
        <f>IF('[1]BASE'!BT76=0,"",'[1]BASE'!BT76)</f>
      </c>
      <c r="N76" s="686">
        <f>IF('[1]BASE'!BU76=0,"",'[1]BASE'!BU76)</f>
      </c>
      <c r="O76" s="686">
        <f>IF('[1]BASE'!BV76=0,"",'[1]BASE'!BV76)</f>
      </c>
      <c r="P76" s="686">
        <f>IF('[1]BASE'!BW76=0,"",'[1]BASE'!BW76)</f>
      </c>
      <c r="Q76" s="686">
        <f>IF('[1]BASE'!BX76=0,"",'[1]BASE'!BX76)</f>
      </c>
      <c r="R76" s="686">
        <f>IF('[1]BASE'!BY76=0,"",'[1]BASE'!BY76)</f>
      </c>
      <c r="S76" s="686">
        <f>IF('[1]BASE'!BZ76=0,"",'[1]BASE'!BZ76)</f>
      </c>
      <c r="T76" s="684"/>
      <c r="U76" s="681"/>
    </row>
    <row r="77" spans="2:21" s="676" customFormat="1" ht="19.5" customHeight="1">
      <c r="B77" s="677"/>
      <c r="C77" s="687">
        <f>IF('[1]BASE'!C77=0,"",'[1]BASE'!C77)</f>
        <v>59</v>
      </c>
      <c r="D77" s="687" t="str">
        <f>IF('[1]BASE'!D77=0,"",'[1]BASE'!D77)</f>
        <v>YACYRETÁ - RINCON II</v>
      </c>
      <c r="E77" s="687">
        <f>IF('[1]BASE'!E77=0,"",'[1]BASE'!E77)</f>
        <v>500</v>
      </c>
      <c r="F77" s="688">
        <f>IF('[1]BASE'!F77=0,"",'[1]BASE'!F77)</f>
        <v>3.6</v>
      </c>
      <c r="G77" s="688" t="str">
        <f>IF('[1]BASE'!G77=0,"",'[1]BASE'!G77)</f>
        <v>B</v>
      </c>
      <c r="H77" s="688">
        <f>IF('[1]BASE'!BO77=0,"",'[1]BASE'!BO77)</f>
      </c>
      <c r="I77" s="688">
        <f>IF('[1]BASE'!BP77=0,"",'[1]BASE'!BP77)</f>
      </c>
      <c r="J77" s="688">
        <f>IF('[1]BASE'!BQ77=0,"",'[1]BASE'!BQ77)</f>
      </c>
      <c r="K77" s="688">
        <f>IF('[1]BASE'!BR77=0,"",'[1]BASE'!BR77)</f>
      </c>
      <c r="L77" s="688">
        <f>IF('[1]BASE'!BS77=0,"",'[1]BASE'!BS77)</f>
      </c>
      <c r="M77" s="688">
        <f>IF('[1]BASE'!BT77=0,"",'[1]BASE'!BT77)</f>
      </c>
      <c r="N77" s="688">
        <f>IF('[1]BASE'!BU77=0,"",'[1]BASE'!BU77)</f>
      </c>
      <c r="O77" s="688">
        <f>IF('[1]BASE'!BV77=0,"",'[1]BASE'!BV77)</f>
      </c>
      <c r="P77" s="688">
        <f>IF('[1]BASE'!BW77=0,"",'[1]BASE'!BW77)</f>
      </c>
      <c r="Q77" s="688">
        <f>IF('[1]BASE'!BX77=0,"",'[1]BASE'!BX77)</f>
      </c>
      <c r="R77" s="688">
        <f>IF('[1]BASE'!BY77=0,"",'[1]BASE'!BY77)</f>
      </c>
      <c r="S77" s="688">
        <f>IF('[1]BASE'!BZ77=0,"",'[1]BASE'!BZ77)</f>
      </c>
      <c r="T77" s="684"/>
      <c r="U77" s="681"/>
    </row>
    <row r="78" spans="2:21" s="676" customFormat="1" ht="19.5" customHeight="1">
      <c r="B78" s="677"/>
      <c r="C78" s="685">
        <f>IF('[1]BASE'!C78=0,"",'[1]BASE'!C78)</f>
        <v>60</v>
      </c>
      <c r="D78" s="685" t="str">
        <f>IF('[1]BASE'!D78=0,"",'[1]BASE'!D78)</f>
        <v>YACYRETÁ - RINCON III</v>
      </c>
      <c r="E78" s="685">
        <f>IF('[1]BASE'!E78=0,"",'[1]BASE'!E78)</f>
        <v>500</v>
      </c>
      <c r="F78" s="686">
        <f>IF('[1]BASE'!F78=0,"",'[1]BASE'!F78)</f>
        <v>3.6</v>
      </c>
      <c r="G78" s="686" t="str">
        <f>IF('[1]BASE'!G78=0,"",'[1]BASE'!G78)</f>
        <v>B</v>
      </c>
      <c r="H78" s="686">
        <f>IF('[1]BASE'!BO78=0,"",'[1]BASE'!BO78)</f>
      </c>
      <c r="I78" s="686">
        <f>IF('[1]BASE'!BP78=0,"",'[1]BASE'!BP78)</f>
      </c>
      <c r="J78" s="686">
        <f>IF('[1]BASE'!BQ78=0,"",'[1]BASE'!BQ78)</f>
      </c>
      <c r="K78" s="686">
        <f>IF('[1]BASE'!BR78=0,"",'[1]BASE'!BR78)</f>
      </c>
      <c r="L78" s="686">
        <f>IF('[1]BASE'!BS78=0,"",'[1]BASE'!BS78)</f>
      </c>
      <c r="M78" s="686">
        <f>IF('[1]BASE'!BT78=0,"",'[1]BASE'!BT78)</f>
      </c>
      <c r="N78" s="686">
        <f>IF('[1]BASE'!BU78=0,"",'[1]BASE'!BU78)</f>
      </c>
      <c r="O78" s="686">
        <f>IF('[1]BASE'!BV78=0,"",'[1]BASE'!BV78)</f>
      </c>
      <c r="P78" s="686">
        <f>IF('[1]BASE'!BW78=0,"",'[1]BASE'!BW78)</f>
      </c>
      <c r="Q78" s="686">
        <f>IF('[1]BASE'!BX78=0,"",'[1]BASE'!BX78)</f>
      </c>
      <c r="R78" s="686">
        <f>IF('[1]BASE'!BY78=0,"",'[1]BASE'!BY78)</f>
      </c>
      <c r="S78" s="686">
        <f>IF('[1]BASE'!BZ78=0,"",'[1]BASE'!BZ78)</f>
      </c>
      <c r="T78" s="684"/>
      <c r="U78" s="681"/>
    </row>
    <row r="79" spans="2:21" s="676" customFormat="1" ht="19.5" customHeight="1">
      <c r="B79" s="677"/>
      <c r="C79" s="687">
        <f>IF('[1]BASE'!C79=0,"",'[1]BASE'!C79)</f>
        <v>61</v>
      </c>
      <c r="D79" s="687" t="str">
        <f>IF('[1]BASE'!D79=0,"",'[1]BASE'!D79)</f>
        <v>RINCON - PASO DE LA PATRIA</v>
      </c>
      <c r="E79" s="687">
        <f>IF('[1]BASE'!E79=0,"",'[1]BASE'!E79)</f>
        <v>500</v>
      </c>
      <c r="F79" s="687">
        <f>IF('[1]BASE'!F79=0,"",'[1]BASE'!F79)</f>
        <v>227</v>
      </c>
      <c r="G79" s="688" t="str">
        <f>IF('[1]BASE'!G79=0,"",'[1]BASE'!G79)</f>
        <v>A</v>
      </c>
      <c r="H79" s="688">
        <f>IF('[1]BASE'!BO79=0,"",'[1]BASE'!BO79)</f>
        <v>1</v>
      </c>
      <c r="I79" s="688">
        <f>IF('[1]BASE'!BP79=0,"",'[1]BASE'!BP79)</f>
      </c>
      <c r="J79" s="688">
        <f>IF('[1]BASE'!BQ79=0,"",'[1]BASE'!BQ79)</f>
      </c>
      <c r="K79" s="688">
        <f>IF('[1]BASE'!BR79=0,"",'[1]BASE'!BR79)</f>
      </c>
      <c r="L79" s="688">
        <f>IF('[1]BASE'!BS79=0,"",'[1]BASE'!BS79)</f>
      </c>
      <c r="M79" s="688">
        <f>IF('[1]BASE'!BT79=0,"",'[1]BASE'!BT79)</f>
      </c>
      <c r="N79" s="688">
        <f>IF('[1]BASE'!BU79=0,"",'[1]BASE'!BU79)</f>
      </c>
      <c r="O79" s="688">
        <f>IF('[1]BASE'!BV79=0,"",'[1]BASE'!BV79)</f>
      </c>
      <c r="P79" s="688">
        <f>IF('[1]BASE'!BW79=0,"",'[1]BASE'!BW79)</f>
      </c>
      <c r="Q79" s="688">
        <f>IF('[1]BASE'!BX79=0,"",'[1]BASE'!BX79)</f>
      </c>
      <c r="R79" s="688">
        <f>IF('[1]BASE'!BY79=0,"",'[1]BASE'!BY79)</f>
      </c>
      <c r="S79" s="688">
        <f>IF('[1]BASE'!BZ79=0,"",'[1]BASE'!BZ79)</f>
      </c>
      <c r="T79" s="684"/>
      <c r="U79" s="681"/>
    </row>
    <row r="80" spans="2:21" s="676" customFormat="1" ht="19.5" customHeight="1">
      <c r="B80" s="677"/>
      <c r="C80" s="685">
        <f>IF('[1]BASE'!C80=0,"",'[1]BASE'!C80)</f>
        <v>62</v>
      </c>
      <c r="D80" s="685" t="str">
        <f>IF('[1]BASE'!D80=0,"",'[1]BASE'!D80)</f>
        <v>PASO DE LA PATRIA - RESISTENCIA</v>
      </c>
      <c r="E80" s="685">
        <f>IF('[1]BASE'!E80=0,"",'[1]BASE'!E80)</f>
        <v>500</v>
      </c>
      <c r="F80" s="686">
        <f>IF('[1]BASE'!F80=0,"",'[1]BASE'!F80)</f>
        <v>40</v>
      </c>
      <c r="G80" s="686" t="str">
        <f>IF('[1]BASE'!G80=0,"",'[1]BASE'!G80)</f>
        <v>C</v>
      </c>
      <c r="H80" s="686">
        <f>IF('[1]BASE'!BO80=0,"",'[1]BASE'!BO80)</f>
      </c>
      <c r="I80" s="686">
        <f>IF('[1]BASE'!BP80=0,"",'[1]BASE'!BP80)</f>
      </c>
      <c r="J80" s="686">
        <f>IF('[1]BASE'!BQ80=0,"",'[1]BASE'!BQ80)</f>
      </c>
      <c r="K80" s="686">
        <f>IF('[1]BASE'!BR80=0,"",'[1]BASE'!BR80)</f>
      </c>
      <c r="L80" s="686">
        <f>IF('[1]BASE'!BS80=0,"",'[1]BASE'!BS80)</f>
        <v>1</v>
      </c>
      <c r="M80" s="686">
        <f>IF('[1]BASE'!BT80=0,"",'[1]BASE'!BT80)</f>
      </c>
      <c r="N80" s="686">
        <f>IF('[1]BASE'!BU80=0,"",'[1]BASE'!BU80)</f>
      </c>
      <c r="O80" s="686">
        <f>IF('[1]BASE'!BV80=0,"",'[1]BASE'!BV80)</f>
      </c>
      <c r="P80" s="686">
        <f>IF('[1]BASE'!BW80=0,"",'[1]BASE'!BW80)</f>
      </c>
      <c r="Q80" s="686">
        <f>IF('[1]BASE'!BX80=0,"",'[1]BASE'!BX80)</f>
      </c>
      <c r="R80" s="686">
        <f>IF('[1]BASE'!BY80=0,"",'[1]BASE'!BY80)</f>
      </c>
      <c r="S80" s="686">
        <f>IF('[1]BASE'!BZ80=0,"",'[1]BASE'!BZ80)</f>
      </c>
      <c r="T80" s="684"/>
      <c r="U80" s="681"/>
    </row>
    <row r="81" spans="2:21" s="676" customFormat="1" ht="19.5" customHeight="1">
      <c r="B81" s="677"/>
      <c r="C81" s="687">
        <f>IF('[1]BASE'!C81=0,"",'[1]BASE'!C81)</f>
        <v>63</v>
      </c>
      <c r="D81" s="687" t="str">
        <f>IF('[1]BASE'!D81=0,"",'[1]BASE'!D81)</f>
        <v>RINCON - RESISTENCIA</v>
      </c>
      <c r="E81" s="687">
        <f>IF('[1]BASE'!E81=0,"",'[1]BASE'!E81)</f>
        <v>500</v>
      </c>
      <c r="F81" s="688">
        <f>IF('[1]BASE'!F81=0,"",'[1]BASE'!F81)</f>
        <v>267</v>
      </c>
      <c r="G81" s="688" t="str">
        <f>IF('[1]BASE'!G81=0,"",'[1]BASE'!G81)</f>
        <v>B</v>
      </c>
      <c r="H81" s="688" t="str">
        <f>IF('[1]BASE'!BO81=0,"",'[1]BASE'!BO81)</f>
        <v>XXXX</v>
      </c>
      <c r="I81" s="688" t="str">
        <f>IF('[1]BASE'!BP81=0,"",'[1]BASE'!BP81)</f>
        <v>XXXX</v>
      </c>
      <c r="J81" s="688" t="str">
        <f>IF('[1]BASE'!BQ81=0,"",'[1]BASE'!BQ81)</f>
        <v>XXXX</v>
      </c>
      <c r="K81" s="688" t="str">
        <f>IF('[1]BASE'!BR81=0,"",'[1]BASE'!BR81)</f>
        <v>XXXX</v>
      </c>
      <c r="L81" s="688" t="str">
        <f>IF('[1]BASE'!BS81=0,"",'[1]BASE'!BS81)</f>
        <v>XXXX</v>
      </c>
      <c r="M81" s="688" t="str">
        <f>IF('[1]BASE'!BT81=0,"",'[1]BASE'!BT81)</f>
        <v>XXXX</v>
      </c>
      <c r="N81" s="688" t="str">
        <f>IF('[1]BASE'!BU81=0,"",'[1]BASE'!BU81)</f>
        <v>XXXX</v>
      </c>
      <c r="O81" s="688" t="str">
        <f>IF('[1]BASE'!BV81=0,"",'[1]BASE'!BV81)</f>
        <v>XXXX</v>
      </c>
      <c r="P81" s="688" t="str">
        <f>IF('[1]BASE'!BW81=0,"",'[1]BASE'!BW81)</f>
        <v>XXXX</v>
      </c>
      <c r="Q81" s="688" t="str">
        <f>IF('[1]BASE'!BX81=0,"",'[1]BASE'!BX81)</f>
        <v>XXXX</v>
      </c>
      <c r="R81" s="688" t="str">
        <f>IF('[1]BASE'!BY81=0,"",'[1]BASE'!BY81)</f>
        <v>XXXX</v>
      </c>
      <c r="S81" s="688" t="str">
        <f>IF('[1]BASE'!BZ81=0,"",'[1]BASE'!BZ81)</f>
        <v>XXXX</v>
      </c>
      <c r="T81" s="684"/>
      <c r="U81" s="681"/>
    </row>
    <row r="82" spans="2:21" s="676" customFormat="1" ht="19.5" customHeight="1">
      <c r="B82" s="677"/>
      <c r="C82" s="685">
        <f>IF('[1]BASE'!C82=0,"",'[1]BASE'!C82)</f>
      </c>
      <c r="D82" s="685">
        <f>IF('[1]BASE'!D82=0,"",'[1]BASE'!D82)</f>
      </c>
      <c r="E82" s="685">
        <f>IF('[1]BASE'!E82=0,"",'[1]BASE'!E82)</f>
      </c>
      <c r="F82" s="686">
        <f>IF('[1]BASE'!F82=0,"",'[1]BASE'!F82)</f>
      </c>
      <c r="G82" s="686">
        <f>IF('[1]BASE'!G82=0,"",'[1]BASE'!G82)</f>
      </c>
      <c r="H82" s="686">
        <f>IF('[1]BASE'!BO82=0,"",'[1]BASE'!BO82)</f>
      </c>
      <c r="I82" s="686">
        <f>IF('[1]BASE'!BP82=0,"",'[1]BASE'!BP82)</f>
      </c>
      <c r="J82" s="686">
        <f>IF('[1]BASE'!BQ82=0,"",'[1]BASE'!BQ82)</f>
      </c>
      <c r="K82" s="686">
        <f>IF('[1]BASE'!BR82=0,"",'[1]BASE'!BR82)</f>
      </c>
      <c r="L82" s="686">
        <f>IF('[1]BASE'!BS82=0,"",'[1]BASE'!BS82)</f>
      </c>
      <c r="M82" s="686">
        <f>IF('[1]BASE'!BT82=0,"",'[1]BASE'!BT82)</f>
      </c>
      <c r="N82" s="686">
        <f>IF('[1]BASE'!BU82=0,"",'[1]BASE'!BU82)</f>
      </c>
      <c r="O82" s="686">
        <f>IF('[1]BASE'!BV82=0,"",'[1]BASE'!BV82)</f>
      </c>
      <c r="P82" s="686">
        <f>IF('[1]BASE'!BW82=0,"",'[1]BASE'!BW82)</f>
      </c>
      <c r="Q82" s="686">
        <f>IF('[1]BASE'!BX82=0,"",'[1]BASE'!BX82)</f>
      </c>
      <c r="R82" s="686">
        <f>IF('[1]BASE'!BY82=0,"",'[1]BASE'!BY82)</f>
      </c>
      <c r="S82" s="686">
        <f>IF('[1]BASE'!BZ82=0,"",'[1]BASE'!BZ82)</f>
      </c>
      <c r="T82" s="684"/>
      <c r="U82" s="681"/>
    </row>
    <row r="83" spans="2:21" s="676" customFormat="1" ht="19.5" customHeight="1">
      <c r="B83" s="677"/>
      <c r="C83" s="687">
        <f>IF('[1]BASE'!C83=0,"",'[1]BASE'!C83)</f>
        <v>64</v>
      </c>
      <c r="D83" s="687" t="str">
        <f>IF('[1]BASE'!D83=0,"",'[1]BASE'!D83)</f>
        <v>RINCON - SALTO GRANDE</v>
      </c>
      <c r="E83" s="687">
        <f>IF('[1]BASE'!E83=0,"",'[1]BASE'!E83)</f>
        <v>500</v>
      </c>
      <c r="F83" s="687">
        <f>IF('[1]BASE'!F83=0,"",'[1]BASE'!F83)</f>
        <v>506</v>
      </c>
      <c r="G83" s="688" t="str">
        <f>IF('[1]BASE'!G83=0,"",'[1]BASE'!G83)</f>
        <v>A</v>
      </c>
      <c r="H83" s="688">
        <f>IF('[1]BASE'!BO83=0,"",'[1]BASE'!BO83)</f>
      </c>
      <c r="I83" s="688">
        <f>IF('[1]BASE'!BP83=0,"",'[1]BASE'!BP83)</f>
      </c>
      <c r="J83" s="688">
        <f>IF('[1]BASE'!BQ83=0,"",'[1]BASE'!BQ83)</f>
      </c>
      <c r="K83" s="688">
        <f>IF('[1]BASE'!BR83=0,"",'[1]BASE'!BR83)</f>
      </c>
      <c r="L83" s="688">
        <f>IF('[1]BASE'!BS83=0,"",'[1]BASE'!BS83)</f>
      </c>
      <c r="M83" s="688">
        <f>IF('[1]BASE'!BT83=0,"",'[1]BASE'!BT83)</f>
      </c>
      <c r="N83" s="688">
        <f>IF('[1]BASE'!BU83=0,"",'[1]BASE'!BU83)</f>
      </c>
      <c r="O83" s="688">
        <f>IF('[1]BASE'!BV83=0,"",'[1]BASE'!BV83)</f>
      </c>
      <c r="P83" s="688">
        <f>IF('[1]BASE'!BW83=0,"",'[1]BASE'!BW83)</f>
      </c>
      <c r="Q83" s="688">
        <f>IF('[1]BASE'!BX83=0,"",'[1]BASE'!BX83)</f>
        <v>1</v>
      </c>
      <c r="R83" s="688">
        <f>IF('[1]BASE'!BY83=0,"",'[1]BASE'!BY83)</f>
      </c>
      <c r="S83" s="688">
        <f>IF('[1]BASE'!BZ83=0,"",'[1]BASE'!BZ83)</f>
      </c>
      <c r="T83" s="684"/>
      <c r="U83" s="681"/>
    </row>
    <row r="84" spans="2:21" s="676" customFormat="1" ht="19.5" customHeight="1">
      <c r="B84" s="677"/>
      <c r="C84" s="685">
        <f>IF('[1]BASE'!C84=0,"",'[1]BASE'!C84)</f>
        <v>65</v>
      </c>
      <c r="D84" s="685" t="str">
        <f>IF('[1]BASE'!D84=0,"",'[1]BASE'!D84)</f>
        <v>RINCON - SAN ISIDRO</v>
      </c>
      <c r="E84" s="685">
        <f>IF('[1]BASE'!E84=0,"",'[1]BASE'!E84)</f>
        <v>500</v>
      </c>
      <c r="F84" s="686">
        <f>IF('[1]BASE'!F84=0,"",'[1]BASE'!F84)</f>
        <v>85</v>
      </c>
      <c r="G84" s="686" t="str">
        <f>IF('[1]BASE'!G84=0,"",'[1]BASE'!G84)</f>
        <v>C</v>
      </c>
      <c r="H84" s="686">
        <f>IF('[1]BASE'!BO84=0,"",'[1]BASE'!BO84)</f>
      </c>
      <c r="I84" s="686">
        <f>IF('[1]BASE'!BP84=0,"",'[1]BASE'!BP84)</f>
      </c>
      <c r="J84" s="686">
        <f>IF('[1]BASE'!BQ84=0,"",'[1]BASE'!BQ84)</f>
      </c>
      <c r="K84" s="686">
        <f>IF('[1]BASE'!BR84=0,"",'[1]BASE'!BR84)</f>
      </c>
      <c r="L84" s="686">
        <f>IF('[1]BASE'!BS84=0,"",'[1]BASE'!BS84)</f>
      </c>
      <c r="M84" s="686">
        <f>IF('[1]BASE'!BT84=0,"",'[1]BASE'!BT84)</f>
      </c>
      <c r="N84" s="686">
        <f>IF('[1]BASE'!BU84=0,"",'[1]BASE'!BU84)</f>
      </c>
      <c r="O84" s="686">
        <f>IF('[1]BASE'!BV84=0,"",'[1]BASE'!BV84)</f>
      </c>
      <c r="P84" s="686">
        <f>IF('[1]BASE'!BW84=0,"",'[1]BASE'!BW84)</f>
      </c>
      <c r="Q84" s="686">
        <f>IF('[1]BASE'!BX84=0,"",'[1]BASE'!BX84)</f>
      </c>
      <c r="R84" s="686">
        <f>IF('[1]BASE'!BY84=0,"",'[1]BASE'!BY84)</f>
        <v>1</v>
      </c>
      <c r="S84" s="686">
        <f>IF('[1]BASE'!BZ84=0,"",'[1]BASE'!BZ84)</f>
      </c>
      <c r="T84" s="684"/>
      <c r="U84" s="681"/>
    </row>
    <row r="85" spans="2:21" s="676" customFormat="1" ht="19.5" customHeight="1" thickBot="1">
      <c r="B85" s="677"/>
      <c r="C85" s="690"/>
      <c r="D85" s="690"/>
      <c r="E85" s="690"/>
      <c r="F85" s="690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84"/>
      <c r="U85" s="681"/>
    </row>
    <row r="86" spans="2:21" s="676" customFormat="1" ht="19.5" customHeight="1" thickBot="1" thickTop="1">
      <c r="B86" s="677"/>
      <c r="C86" s="692"/>
      <c r="D86" s="693"/>
      <c r="E86" s="694" t="s">
        <v>202</v>
      </c>
      <c r="F86" s="695">
        <f>SUM(F16:F85)-F81-F57-F50-F49-F25-F18</f>
        <v>8368.800000000001</v>
      </c>
      <c r="G86" s="696"/>
      <c r="H86" s="697"/>
      <c r="I86" s="697"/>
      <c r="J86" s="697"/>
      <c r="K86" s="697"/>
      <c r="L86" s="697"/>
      <c r="M86" s="697"/>
      <c r="N86" s="697"/>
      <c r="O86" s="697"/>
      <c r="P86" s="697"/>
      <c r="Q86" s="697"/>
      <c r="R86" s="697"/>
      <c r="S86" s="698"/>
      <c r="T86" s="684"/>
      <c r="U86" s="681"/>
    </row>
    <row r="87" spans="2:21" s="676" customFormat="1" ht="19.5" customHeight="1" thickBot="1" thickTop="1">
      <c r="B87" s="677"/>
      <c r="C87" s="699"/>
      <c r="D87" s="700"/>
      <c r="E87" s="701"/>
      <c r="F87" s="702" t="s">
        <v>203</v>
      </c>
      <c r="H87" s="703">
        <f aca="true" t="shared" si="0" ref="H87:S87">SUM(H17:H85)</f>
        <v>1</v>
      </c>
      <c r="I87" s="703">
        <f t="shared" si="0"/>
        <v>5</v>
      </c>
      <c r="J87" s="703">
        <f t="shared" si="0"/>
        <v>0</v>
      </c>
      <c r="K87" s="703">
        <f t="shared" si="0"/>
        <v>1</v>
      </c>
      <c r="L87" s="703">
        <f t="shared" si="0"/>
        <v>3</v>
      </c>
      <c r="M87" s="703">
        <f t="shared" si="0"/>
        <v>1</v>
      </c>
      <c r="N87" s="703">
        <f t="shared" si="0"/>
        <v>5</v>
      </c>
      <c r="O87" s="703">
        <f t="shared" si="0"/>
        <v>0</v>
      </c>
      <c r="P87" s="703">
        <f t="shared" si="0"/>
        <v>2</v>
      </c>
      <c r="Q87" s="703">
        <f t="shared" si="0"/>
        <v>12</v>
      </c>
      <c r="R87" s="703">
        <f t="shared" si="0"/>
        <v>10</v>
      </c>
      <c r="S87" s="703">
        <f t="shared" si="0"/>
        <v>2</v>
      </c>
      <c r="T87" s="704"/>
      <c r="U87" s="681"/>
    </row>
    <row r="88" spans="2:21" s="676" customFormat="1" ht="19.5" customHeight="1" thickBot="1" thickTop="1">
      <c r="B88" s="677"/>
      <c r="E88" s="701"/>
      <c r="F88" s="702" t="s">
        <v>204</v>
      </c>
      <c r="H88" s="705">
        <f>'[1]BASE'!BO93</f>
        <v>0.54</v>
      </c>
      <c r="I88" s="705">
        <f>'[1]BASE'!BP93</f>
        <v>0.42</v>
      </c>
      <c r="J88" s="705">
        <f>'[1]BASE'!BQ93</f>
        <v>0.46</v>
      </c>
      <c r="K88" s="705">
        <f>'[1]BASE'!BR93</f>
        <v>0.37</v>
      </c>
      <c r="L88" s="705">
        <f>'[1]BASE'!BS93</f>
        <v>0.37</v>
      </c>
      <c r="M88" s="705">
        <f>'[1]BASE'!BT93</f>
        <v>0.38</v>
      </c>
      <c r="N88" s="705">
        <f>'[1]BASE'!BU93</f>
        <v>0.37</v>
      </c>
      <c r="O88" s="705">
        <f>'[1]BASE'!BV93</f>
        <v>0.41</v>
      </c>
      <c r="P88" s="705">
        <f>'[1]BASE'!BW93</f>
        <v>0.32</v>
      </c>
      <c r="Q88" s="705">
        <f>'[1]BASE'!BX93</f>
        <v>0.32</v>
      </c>
      <c r="R88" s="705">
        <f>'[1]BASE'!BY93</f>
        <v>0.45</v>
      </c>
      <c r="S88" s="705">
        <f>'[1]BASE'!BZ93</f>
        <v>0.53</v>
      </c>
      <c r="T88" s="705">
        <f>ROUND(SUM(H87:S87)/($F$86)*100,2)</f>
        <v>0.5</v>
      </c>
      <c r="U88" s="681"/>
    </row>
    <row r="89" spans="2:21" ht="15.75" customHeight="1" thickBot="1" thickTop="1">
      <c r="B89" s="142"/>
      <c r="C89" s="76"/>
      <c r="D89" s="76"/>
      <c r="E89" s="14"/>
      <c r="F89" s="14"/>
      <c r="G89" s="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6"/>
    </row>
    <row r="90" spans="2:21" ht="21.75" thickBot="1" thickTop="1">
      <c r="B90" s="142"/>
      <c r="C90" s="2"/>
      <c r="D90" s="14"/>
      <c r="E90" s="14"/>
      <c r="F90" s="706"/>
      <c r="G90" s="706"/>
      <c r="H90" s="707"/>
      <c r="I90" s="708" t="s">
        <v>205</v>
      </c>
      <c r="J90" s="709">
        <f>+T88</f>
        <v>0.5</v>
      </c>
      <c r="K90" s="710" t="s">
        <v>206</v>
      </c>
      <c r="L90" s="707"/>
      <c r="M90" s="707"/>
      <c r="N90" s="711"/>
      <c r="O90" s="14"/>
      <c r="P90" s="14"/>
      <c r="Q90" s="14"/>
      <c r="R90" s="14"/>
      <c r="S90" s="14"/>
      <c r="T90" s="14"/>
      <c r="U90" s="146"/>
    </row>
    <row r="91" spans="2:21" s="124" customFormat="1" ht="17.25" thickBot="1" thickTop="1">
      <c r="B91" s="149"/>
      <c r="C91" s="712"/>
      <c r="D91" s="151"/>
      <c r="E91" s="151"/>
      <c r="F91" s="712"/>
      <c r="G91" s="712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2"/>
    </row>
    <row r="92" spans="3:7" ht="13.5" thickTop="1">
      <c r="C92" s="713"/>
      <c r="F92" s="713"/>
      <c r="G92" s="713"/>
    </row>
    <row r="93" spans="3:194" ht="12.75">
      <c r="C93" s="713"/>
      <c r="D93" s="2"/>
      <c r="E93" s="2"/>
      <c r="F93" s="2"/>
      <c r="G93" s="2"/>
      <c r="H93" s="714"/>
      <c r="I93" s="714"/>
      <c r="J93" s="714"/>
      <c r="K93" s="714"/>
      <c r="L93" s="714"/>
      <c r="M93" s="714"/>
      <c r="N93" s="714"/>
      <c r="O93" s="714"/>
      <c r="P93" s="714"/>
      <c r="Q93" s="714"/>
      <c r="R93" s="714"/>
      <c r="S93" s="714"/>
      <c r="T93" s="7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</row>
    <row r="94" spans="3:194" ht="12.75">
      <c r="C94" s="713"/>
      <c r="D94" s="2"/>
      <c r="E94" s="2"/>
      <c r="F94" s="2"/>
      <c r="G94" s="2"/>
      <c r="H94" s="714"/>
      <c r="I94" s="714"/>
      <c r="J94" s="714"/>
      <c r="K94" s="714"/>
      <c r="L94" s="714"/>
      <c r="M94" s="714"/>
      <c r="N94" s="714"/>
      <c r="O94" s="714"/>
      <c r="P94" s="714"/>
      <c r="Q94" s="714"/>
      <c r="R94" s="714"/>
      <c r="S94" s="714"/>
      <c r="T94" s="7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</row>
    <row r="95" spans="3:194" ht="12.75">
      <c r="C95" s="713"/>
      <c r="D95" s="2"/>
      <c r="E95" s="2"/>
      <c r="F95" s="2"/>
      <c r="G95" s="2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</row>
    <row r="96" spans="3:194" ht="12.75">
      <c r="C96" s="713"/>
      <c r="D96" s="2"/>
      <c r="E96" s="2"/>
      <c r="F96" s="2"/>
      <c r="G96" s="2"/>
      <c r="H96" s="714"/>
      <c r="I96" s="714"/>
      <c r="J96" s="714"/>
      <c r="K96" s="714"/>
      <c r="L96" s="714"/>
      <c r="M96" s="714"/>
      <c r="N96" s="714"/>
      <c r="O96" s="714"/>
      <c r="P96" s="714"/>
      <c r="Q96" s="714"/>
      <c r="R96" s="714"/>
      <c r="S96" s="714"/>
      <c r="T96" s="7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</row>
    <row r="97" spans="3:194" ht="12.75">
      <c r="C97" s="713"/>
      <c r="D97" s="2"/>
      <c r="E97" s="2"/>
      <c r="F97" s="2"/>
      <c r="G97" s="2"/>
      <c r="H97" s="714"/>
      <c r="I97" s="714"/>
      <c r="J97" s="714"/>
      <c r="K97" s="714"/>
      <c r="L97" s="714"/>
      <c r="M97" s="714"/>
      <c r="N97" s="714"/>
      <c r="O97" s="714"/>
      <c r="P97" s="714"/>
      <c r="Q97" s="714"/>
      <c r="R97" s="714"/>
      <c r="S97" s="714"/>
      <c r="T97" s="7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</row>
    <row r="98" spans="3:194" ht="12.75">
      <c r="C98" s="713"/>
      <c r="D98" s="2"/>
      <c r="E98" s="2"/>
      <c r="F98" s="2"/>
      <c r="G98" s="2"/>
      <c r="H98" s="714"/>
      <c r="I98" s="714"/>
      <c r="J98" s="714"/>
      <c r="K98" s="714"/>
      <c r="L98" s="714"/>
      <c r="M98" s="714"/>
      <c r="N98" s="714"/>
      <c r="O98" s="714"/>
      <c r="P98" s="714"/>
      <c r="Q98" s="714"/>
      <c r="R98" s="714"/>
      <c r="S98" s="714"/>
      <c r="T98" s="7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</row>
    <row r="99" spans="3:194" ht="12.75">
      <c r="C99" s="713"/>
      <c r="D99" s="2"/>
      <c r="E99" s="2"/>
      <c r="F99" s="2"/>
      <c r="G99" s="2"/>
      <c r="H99" s="714"/>
      <c r="I99" s="714"/>
      <c r="J99" s="714"/>
      <c r="K99" s="714"/>
      <c r="L99" s="714"/>
      <c r="M99" s="714"/>
      <c r="N99" s="714"/>
      <c r="O99" s="714"/>
      <c r="P99" s="714"/>
      <c r="Q99" s="714"/>
      <c r="R99" s="714"/>
      <c r="S99" s="714"/>
      <c r="T99" s="7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</row>
    <row r="100" spans="3:194" ht="12.75">
      <c r="C100" s="713"/>
      <c r="D100" s="2"/>
      <c r="E100" s="2"/>
      <c r="F100" s="2"/>
      <c r="G100" s="2"/>
      <c r="H100" s="714"/>
      <c r="I100" s="714"/>
      <c r="J100" s="714"/>
      <c r="K100" s="714"/>
      <c r="L100" s="714"/>
      <c r="M100" s="714"/>
      <c r="N100" s="714"/>
      <c r="O100" s="714"/>
      <c r="P100" s="714"/>
      <c r="Q100" s="714"/>
      <c r="R100" s="714"/>
      <c r="S100" s="714"/>
      <c r="T100" s="7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</row>
    <row r="101" spans="3:194" ht="12.75">
      <c r="C101" s="7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713"/>
      <c r="D102" s="14"/>
      <c r="E102" s="14"/>
      <c r="F102" s="2"/>
      <c r="G102" s="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7" ht="12.75">
      <c r="C103" s="713"/>
      <c r="F103" s="713"/>
      <c r="G103" s="713"/>
    </row>
    <row r="104" spans="3:7" ht="12.75">
      <c r="C104" s="713"/>
      <c r="F104" s="713"/>
      <c r="G104" s="713"/>
    </row>
    <row r="105" spans="3:7" ht="12.75">
      <c r="C105" s="713"/>
      <c r="F105" s="713"/>
      <c r="G105" s="713"/>
    </row>
    <row r="106" spans="6:7" ht="12.75">
      <c r="F106" s="713"/>
      <c r="G106" s="713"/>
    </row>
  </sheetData>
  <printOptions/>
  <pageMargins left="0.3937007874015748" right="0.1968503937007874" top="0.3937007874015748" bottom="0.3937007874015748" header="0.5118110236220472" footer="0.1968503937007874"/>
  <pageSetup fitToHeight="1" fitToWidth="1" horizontalDpi="300" verticalDpi="300" orientation="portrait" paperSize="9" scale="42" r:id="rId2"/>
  <headerFooter alignWithMargins="0">
    <oddFooter>&amp;L&amp;"Times New Roman,Normal"&amp;5&amp;F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AD48"/>
  <sheetViews>
    <sheetView zoomScale="75" zoomScaleNormal="75" workbookViewId="0" topLeftCell="A1">
      <selection activeCell="K19" sqref="K1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10" customFormat="1" ht="26.25">
      <c r="A1" s="160"/>
      <c r="AD1" s="647"/>
    </row>
    <row r="2" spans="1:30" s="110" customFormat="1" ht="26.25">
      <c r="A2" s="160"/>
      <c r="B2" s="111" t="str">
        <f>+'tot-9911'!B2</f>
        <v>ANEXO I A LA RESOLUCION ENRE N° 320/2000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30" s="16" customFormat="1" ht="13.5" thickTop="1">
      <c r="B7" s="161"/>
      <c r="C7" s="162"/>
      <c r="D7" s="162"/>
      <c r="E7" s="16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4"/>
    </row>
    <row r="8" spans="2:30" s="10" customFormat="1" ht="20.25">
      <c r="B8" s="175"/>
      <c r="C8" s="11"/>
      <c r="D8" s="7" t="s">
        <v>102</v>
      </c>
      <c r="E8" s="11"/>
      <c r="F8" s="11"/>
      <c r="G8" s="11"/>
      <c r="H8" s="11"/>
      <c r="N8" s="11"/>
      <c r="O8" s="11"/>
      <c r="P8" s="176"/>
      <c r="Q8" s="17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77"/>
    </row>
    <row r="9" spans="2:30" s="16" customFormat="1" ht="12.75">
      <c r="B9" s="1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5"/>
    </row>
    <row r="10" spans="2:30" s="10" customFormat="1" ht="20.25">
      <c r="B10" s="175"/>
      <c r="C10" s="11"/>
      <c r="D10" s="176" t="s">
        <v>103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77"/>
    </row>
    <row r="11" spans="2:30" s="16" customFormat="1" ht="12.75">
      <c r="B11" s="14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65"/>
    </row>
    <row r="12" spans="2:30" s="10" customFormat="1" ht="20.25">
      <c r="B12" s="175"/>
      <c r="C12" s="11"/>
      <c r="D12" s="176" t="s">
        <v>104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76"/>
      <c r="Q12" s="17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77"/>
    </row>
    <row r="13" spans="2:30" s="16" customFormat="1" ht="12.75">
      <c r="B13" s="14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5"/>
    </row>
    <row r="14" spans="2:30" s="10" customFormat="1" ht="20.25">
      <c r="B14" s="175"/>
      <c r="C14" s="11"/>
      <c r="D14" s="176" t="s">
        <v>304</v>
      </c>
      <c r="E14" s="11"/>
      <c r="F14" s="11"/>
      <c r="G14" s="11"/>
      <c r="I14" s="11"/>
      <c r="J14" s="11"/>
      <c r="K14" s="11"/>
      <c r="L14" s="11"/>
      <c r="M14" s="11"/>
      <c r="N14" s="11"/>
      <c r="O14" s="11"/>
      <c r="P14" s="176"/>
      <c r="Q14" s="176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77"/>
    </row>
    <row r="15" spans="2:30" s="16" customFormat="1" ht="12.75">
      <c r="B15" s="142"/>
      <c r="C15" s="14"/>
      <c r="D15" s="14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65"/>
    </row>
    <row r="16" spans="2:30" s="15" customFormat="1" ht="19.5">
      <c r="B16" s="130" t="str">
        <f>+'tot-9911'!B14</f>
        <v>Desde el 01 al 30 de noviembre de 1999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79"/>
      <c r="O16" s="179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80"/>
    </row>
    <row r="17" spans="2:30" s="16" customFormat="1" ht="16.5" customHeight="1" thickBot="1">
      <c r="B17" s="142"/>
      <c r="C17" s="14"/>
      <c r="D17" s="14"/>
      <c r="E17" s="2"/>
      <c r="F17" s="2"/>
      <c r="G17" s="14"/>
      <c r="H17" s="14"/>
      <c r="I17" s="14"/>
      <c r="J17" s="174"/>
      <c r="K17" s="14"/>
      <c r="L17" s="14"/>
      <c r="M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65"/>
    </row>
    <row r="18" spans="2:30" s="16" customFormat="1" ht="16.5" customHeight="1" thickBot="1" thickTop="1">
      <c r="B18" s="142"/>
      <c r="C18" s="14"/>
      <c r="D18" s="181" t="s">
        <v>105</v>
      </c>
      <c r="E18" s="639">
        <v>53.632</v>
      </c>
      <c r="F18" s="28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5"/>
    </row>
    <row r="19" spans="2:30" s="16" customFormat="1" ht="16.5" customHeight="1" thickBot="1" thickTop="1">
      <c r="B19" s="142"/>
      <c r="C19" s="14"/>
      <c r="D19" s="181" t="s">
        <v>106</v>
      </c>
      <c r="E19" s="639">
        <v>44.693</v>
      </c>
      <c r="F19" s="288"/>
      <c r="G19" s="14"/>
      <c r="H19" s="14"/>
      <c r="I19" s="14"/>
      <c r="J19" s="181" t="s">
        <v>178</v>
      </c>
      <c r="K19" s="649">
        <v>0.998</v>
      </c>
      <c r="L19" s="14" t="s">
        <v>179</v>
      </c>
      <c r="M19" s="14"/>
      <c r="N19" s="14"/>
      <c r="O19" s="14"/>
      <c r="P19" s="14"/>
      <c r="Q19" s="14"/>
      <c r="R19" s="14"/>
      <c r="S19" s="14"/>
      <c r="T19" s="14"/>
      <c r="U19" s="14"/>
      <c r="V19" s="167"/>
      <c r="W19" s="167"/>
      <c r="X19" s="167"/>
      <c r="Y19" s="167"/>
      <c r="Z19" s="167"/>
      <c r="AA19" s="167"/>
      <c r="AB19" s="167"/>
      <c r="AD19" s="165"/>
    </row>
    <row r="20" spans="2:30" s="16" customFormat="1" ht="16.5" customHeight="1" thickBot="1" thickTop="1">
      <c r="B20" s="142"/>
      <c r="C20" s="14"/>
      <c r="D20" s="14"/>
      <c r="E20" s="1"/>
      <c r="F20" s="14"/>
      <c r="G20" s="14"/>
      <c r="H20" s="14"/>
      <c r="I20" s="14"/>
      <c r="J20" s="14"/>
      <c r="K20" s="14"/>
      <c r="L20" s="14"/>
      <c r="M20" s="14"/>
      <c r="N20" s="16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65"/>
    </row>
    <row r="21" spans="2:30" s="16" customFormat="1" ht="33.75" customHeight="1" thickBot="1" thickTop="1">
      <c r="B21" s="142"/>
      <c r="C21" s="182" t="s">
        <v>107</v>
      </c>
      <c r="D21" s="185" t="s">
        <v>88</v>
      </c>
      <c r="E21" s="438" t="s">
        <v>108</v>
      </c>
      <c r="F21" s="191" t="s">
        <v>109</v>
      </c>
      <c r="G21" s="184" t="s">
        <v>110</v>
      </c>
      <c r="H21" s="439" t="s">
        <v>111</v>
      </c>
      <c r="I21" s="436" t="s">
        <v>112</v>
      </c>
      <c r="J21" s="185" t="s">
        <v>113</v>
      </c>
      <c r="K21" s="186" t="s">
        <v>114</v>
      </c>
      <c r="L21" s="190" t="s">
        <v>115</v>
      </c>
      <c r="M21" s="191" t="s">
        <v>116</v>
      </c>
      <c r="N21" s="190" t="s">
        <v>117</v>
      </c>
      <c r="O21" s="191" t="s">
        <v>118</v>
      </c>
      <c r="P21" s="186" t="s">
        <v>119</v>
      </c>
      <c r="Q21" s="185" t="s">
        <v>120</v>
      </c>
      <c r="R21" s="381" t="s">
        <v>121</v>
      </c>
      <c r="S21" s="387" t="s">
        <v>122</v>
      </c>
      <c r="T21" s="353" t="s">
        <v>123</v>
      </c>
      <c r="U21" s="354"/>
      <c r="V21" s="355"/>
      <c r="W21" s="396" t="s">
        <v>124</v>
      </c>
      <c r="X21" s="397"/>
      <c r="Y21" s="398"/>
      <c r="Z21" s="422" t="s">
        <v>125</v>
      </c>
      <c r="AA21" s="423" t="s">
        <v>126</v>
      </c>
      <c r="AB21" s="192" t="s">
        <v>127</v>
      </c>
      <c r="AC21" s="192" t="s">
        <v>128</v>
      </c>
      <c r="AD21" s="169"/>
    </row>
    <row r="22" spans="2:30" s="16" customFormat="1" ht="16.5" customHeight="1" hidden="1" thickTop="1">
      <c r="B22" s="142"/>
      <c r="C22" s="417"/>
      <c r="D22" s="444"/>
      <c r="E22" s="444"/>
      <c r="F22" s="417"/>
      <c r="G22" s="417"/>
      <c r="H22" s="442"/>
      <c r="I22" s="443"/>
      <c r="J22" s="417"/>
      <c r="K22" s="417"/>
      <c r="L22" s="417"/>
      <c r="M22" s="417"/>
      <c r="N22" s="417"/>
      <c r="O22" s="417"/>
      <c r="P22" s="417"/>
      <c r="Q22" s="417"/>
      <c r="R22" s="383"/>
      <c r="S22" s="388"/>
      <c r="T22" s="406"/>
      <c r="U22" s="407"/>
      <c r="V22" s="408"/>
      <c r="W22" s="409"/>
      <c r="X22" s="410"/>
      <c r="Y22" s="411"/>
      <c r="Z22" s="418"/>
      <c r="AA22" s="424"/>
      <c r="AB22" s="417"/>
      <c r="AC22" s="626"/>
      <c r="AD22" s="165"/>
    </row>
    <row r="23" spans="2:30" s="16" customFormat="1" ht="16.5" customHeight="1" thickTop="1">
      <c r="B23" s="142"/>
      <c r="C23" s="17"/>
      <c r="D23" s="17"/>
      <c r="E23" s="20"/>
      <c r="F23" s="17"/>
      <c r="G23" s="17"/>
      <c r="H23" s="434"/>
      <c r="I23" s="437"/>
      <c r="J23" s="19"/>
      <c r="K23" s="14"/>
      <c r="L23" s="17"/>
      <c r="M23" s="17"/>
      <c r="N23" s="18"/>
      <c r="O23" s="17"/>
      <c r="P23" s="17"/>
      <c r="Q23" s="17"/>
      <c r="R23" s="379"/>
      <c r="S23" s="384"/>
      <c r="T23" s="414"/>
      <c r="U23" s="389"/>
      <c r="V23" s="390"/>
      <c r="W23" s="412"/>
      <c r="X23" s="399"/>
      <c r="Y23" s="400"/>
      <c r="Z23" s="419"/>
      <c r="AA23" s="425"/>
      <c r="AB23" s="17"/>
      <c r="AC23" s="193"/>
      <c r="AD23" s="165"/>
    </row>
    <row r="24" spans="2:30" s="16" customFormat="1" ht="16.5" customHeight="1">
      <c r="B24" s="142"/>
      <c r="C24" s="20">
        <v>1</v>
      </c>
      <c r="D24" s="20" t="s">
        <v>168</v>
      </c>
      <c r="E24" s="440">
        <v>500</v>
      </c>
      <c r="F24" s="22">
        <v>149</v>
      </c>
      <c r="G24" s="440" t="s">
        <v>8</v>
      </c>
      <c r="H24" s="441">
        <f aca="true" t="shared" si="0" ref="H24:H43">IF(G24="A",200,IF(G24="B",60,20))</f>
        <v>200</v>
      </c>
      <c r="I24" s="640">
        <f aca="true" t="shared" si="1" ref="I24:I43">IF(E24=500,IF(F24&lt;100,100*$E$18/100,F24*$E$18/100),IF(F24&lt;100,100*$E$19/100,F24*$E$19/100))*$K$19</f>
        <v>79.75185663999999</v>
      </c>
      <c r="J24" s="19">
        <v>36466.45138888889</v>
      </c>
      <c r="K24" s="25">
        <v>36466.46111111111</v>
      </c>
      <c r="L24" s="26">
        <f aca="true" t="shared" si="2" ref="L24:L43">IF(D24="","",(K24-J24)*24)</f>
        <v>0.23333333322079852</v>
      </c>
      <c r="M24" s="27">
        <f aca="true" t="shared" si="3" ref="M24:M43">IF(D24="","",ROUND((K24-J24)*24*60,0))</f>
        <v>14</v>
      </c>
      <c r="N24" s="28" t="s">
        <v>196</v>
      </c>
      <c r="O24" s="378" t="str">
        <f aca="true" t="shared" si="4" ref="O24:O43">IF(D24="","","--")</f>
        <v>--</v>
      </c>
      <c r="P24" s="24" t="str">
        <f aca="true" t="shared" si="5" ref="P24:P43">IF(D24="","","NO")</f>
        <v>NO</v>
      </c>
      <c r="Q24" s="24" t="str">
        <f aca="true" t="shared" si="6" ref="Q24:Q43">IF(D24="","",IF(OR(N24="P",N24="RP"),"--","NO"))</f>
        <v>NO</v>
      </c>
      <c r="R24" s="382" t="str">
        <f aca="true" t="shared" si="7" ref="R24:R43">IF(N24="P",I24*H24*ROUND(M24/60,2)*0.01,"--")</f>
        <v>--</v>
      </c>
      <c r="S24" s="385" t="str">
        <f aca="true" t="shared" si="8" ref="S24:S43">IF(N24="RP",I24*H24*ROUND(M24/60,2)*0.01*O24/100,"--")</f>
        <v>--</v>
      </c>
      <c r="T24" s="415">
        <f aca="true" t="shared" si="9" ref="T24:T43">IF(AND(N24="F",Q24="NO"),I24*H24*IF(P24="SI",1.2,1),"--")</f>
        <v>15950.371327999997</v>
      </c>
      <c r="U24" s="391">
        <f aca="true" t="shared" si="10" ref="U24:U43">IF(AND(N24="F",M24&gt;=10),I24*H24*IF(P24="SI",1.2,1)*IF(M24&lt;=300,ROUND(M24/60,2),5),"--")</f>
        <v>3668.5854054399997</v>
      </c>
      <c r="V24" s="392" t="str">
        <f aca="true" t="shared" si="11" ref="V24:V43">IF(AND(N24="F",M24&gt;300),(ROUND(M24/60,2)-5)*I24*H24*0.1*IF(P24="SI",1.2,1),"--")</f>
        <v>--</v>
      </c>
      <c r="W24" s="413" t="str">
        <f aca="true" t="shared" si="12" ref="W24:W43">IF(AND(N24="R",Q24="NO"),I24*H24*O24/100*IF(P24="SI",1.2,1),"--")</f>
        <v>--</v>
      </c>
      <c r="X24" s="401" t="str">
        <f aca="true" t="shared" si="13" ref="X24:X43">IF(AND(N24="R",M24&gt;=10),I24*H24*O24/100*IF(P24="SI",1.2,1)*IF(M24&lt;=300,ROUND(M24/60,2),5),"--")</f>
        <v>--</v>
      </c>
      <c r="Y24" s="402" t="str">
        <f aca="true" t="shared" si="14" ref="Y24:Y43">IF(AND(N24="R",M24&gt;300),(ROUND(M24/60,2)-5)*I24*H24*0.1*O24/100*IF(P24="SI",1.2,1),"--")</f>
        <v>--</v>
      </c>
      <c r="Z24" s="420" t="str">
        <f aca="true" t="shared" si="15" ref="Z24:Z43">IF(N24="RF",ROUND(M24/60,2)*I24*H24*0.1*IF(P24="SI",1.2,1),"--")</f>
        <v>--</v>
      </c>
      <c r="AA24" s="426" t="str">
        <f aca="true" t="shared" si="16" ref="AA24:AA43">IF(N24="RR",ROUND(M24/60,2)*I24*H24*0.1*O24/100*IF(P24="SI",1.2,1),"--")</f>
        <v>--</v>
      </c>
      <c r="AB24" s="416" t="str">
        <f aca="true" t="shared" si="17" ref="AB24:AB43">IF(D24="","","SI")</f>
        <v>SI</v>
      </c>
      <c r="AC24" s="30">
        <f aca="true" t="shared" si="18" ref="AC24:AC43">IF(D24="","",SUM(R24:AA24)*IF(AB24="SI",1,2))</f>
        <v>19618.956733439998</v>
      </c>
      <c r="AD24" s="589"/>
    </row>
    <row r="25" spans="2:30" s="16" customFormat="1" ht="16.5" customHeight="1">
      <c r="B25" s="142"/>
      <c r="C25" s="20">
        <v>2</v>
      </c>
      <c r="D25" s="20" t="s">
        <v>168</v>
      </c>
      <c r="E25" s="440">
        <v>500</v>
      </c>
      <c r="F25" s="22">
        <v>149</v>
      </c>
      <c r="G25" s="440" t="s">
        <v>8</v>
      </c>
      <c r="H25" s="441">
        <f t="shared" si="0"/>
        <v>200</v>
      </c>
      <c r="I25" s="640">
        <f t="shared" si="1"/>
        <v>79.75185663999999</v>
      </c>
      <c r="J25" s="19">
        <v>36473.35277777778</v>
      </c>
      <c r="K25" s="25">
        <v>36473.79861111111</v>
      </c>
      <c r="L25" s="26">
        <f t="shared" si="2"/>
        <v>10.699999999953434</v>
      </c>
      <c r="M25" s="27">
        <f t="shared" si="3"/>
        <v>642</v>
      </c>
      <c r="N25" s="28" t="s">
        <v>197</v>
      </c>
      <c r="O25" s="378" t="str">
        <f t="shared" si="4"/>
        <v>--</v>
      </c>
      <c r="P25" s="24" t="str">
        <f t="shared" si="5"/>
        <v>NO</v>
      </c>
      <c r="Q25" s="24" t="str">
        <f t="shared" si="6"/>
        <v>--</v>
      </c>
      <c r="R25" s="382">
        <f t="shared" si="7"/>
        <v>1706.6897320959997</v>
      </c>
      <c r="S25" s="385" t="str">
        <f t="shared" si="8"/>
        <v>--</v>
      </c>
      <c r="T25" s="415" t="str">
        <f t="shared" si="9"/>
        <v>--</v>
      </c>
      <c r="U25" s="391" t="str">
        <f t="shared" si="10"/>
        <v>--</v>
      </c>
      <c r="V25" s="392" t="str">
        <f t="shared" si="11"/>
        <v>--</v>
      </c>
      <c r="W25" s="413" t="str">
        <f t="shared" si="12"/>
        <v>--</v>
      </c>
      <c r="X25" s="401" t="str">
        <f t="shared" si="13"/>
        <v>--</v>
      </c>
      <c r="Y25" s="402" t="str">
        <f t="shared" si="14"/>
        <v>--</v>
      </c>
      <c r="Z25" s="420" t="str">
        <f t="shared" si="15"/>
        <v>--</v>
      </c>
      <c r="AA25" s="426" t="str">
        <f t="shared" si="16"/>
        <v>--</v>
      </c>
      <c r="AB25" s="416" t="str">
        <f t="shared" si="17"/>
        <v>SI</v>
      </c>
      <c r="AC25" s="30">
        <f t="shared" si="18"/>
        <v>1706.6897320959997</v>
      </c>
      <c r="AD25" s="589"/>
    </row>
    <row r="26" spans="2:30" s="16" customFormat="1" ht="16.5" customHeight="1">
      <c r="B26" s="142"/>
      <c r="C26" s="20">
        <v>3</v>
      </c>
      <c r="D26" s="20" t="s">
        <v>16</v>
      </c>
      <c r="E26" s="440">
        <v>220</v>
      </c>
      <c r="F26" s="22">
        <v>114</v>
      </c>
      <c r="G26" s="440" t="s">
        <v>2</v>
      </c>
      <c r="H26" s="441">
        <f t="shared" si="0"/>
        <v>20</v>
      </c>
      <c r="I26" s="640">
        <f t="shared" si="1"/>
        <v>50.84811996</v>
      </c>
      <c r="J26" s="19">
        <v>36473.393055555556</v>
      </c>
      <c r="K26" s="25">
        <v>36473.705555555556</v>
      </c>
      <c r="L26" s="26">
        <f t="shared" si="2"/>
        <v>7.5</v>
      </c>
      <c r="M26" s="27">
        <f t="shared" si="3"/>
        <v>450</v>
      </c>
      <c r="N26" s="28" t="s">
        <v>197</v>
      </c>
      <c r="O26" s="378" t="str">
        <f t="shared" si="4"/>
        <v>--</v>
      </c>
      <c r="P26" s="24" t="str">
        <f t="shared" si="5"/>
        <v>NO</v>
      </c>
      <c r="Q26" s="24" t="str">
        <f t="shared" si="6"/>
        <v>--</v>
      </c>
      <c r="R26" s="382">
        <f t="shared" si="7"/>
        <v>76.27217994</v>
      </c>
      <c r="S26" s="385" t="str">
        <f t="shared" si="8"/>
        <v>--</v>
      </c>
      <c r="T26" s="415" t="str">
        <f t="shared" si="9"/>
        <v>--</v>
      </c>
      <c r="U26" s="391" t="str">
        <f t="shared" si="10"/>
        <v>--</v>
      </c>
      <c r="V26" s="392" t="str">
        <f t="shared" si="11"/>
        <v>--</v>
      </c>
      <c r="W26" s="413" t="str">
        <f t="shared" si="12"/>
        <v>--</v>
      </c>
      <c r="X26" s="401" t="str">
        <f t="shared" si="13"/>
        <v>--</v>
      </c>
      <c r="Y26" s="402" t="str">
        <f t="shared" si="14"/>
        <v>--</v>
      </c>
      <c r="Z26" s="420" t="str">
        <f t="shared" si="15"/>
        <v>--</v>
      </c>
      <c r="AA26" s="426" t="str">
        <f t="shared" si="16"/>
        <v>--</v>
      </c>
      <c r="AB26" s="416" t="str">
        <f t="shared" si="17"/>
        <v>SI</v>
      </c>
      <c r="AC26" s="30">
        <f t="shared" si="18"/>
        <v>76.27217994</v>
      </c>
      <c r="AD26" s="589"/>
    </row>
    <row r="27" spans="2:30" s="16" customFormat="1" ht="16.5" customHeight="1">
      <c r="B27" s="142"/>
      <c r="C27" s="20">
        <v>4</v>
      </c>
      <c r="D27" s="20" t="s">
        <v>16</v>
      </c>
      <c r="E27" s="440">
        <v>220</v>
      </c>
      <c r="F27" s="22">
        <v>114</v>
      </c>
      <c r="G27" s="440" t="s">
        <v>2</v>
      </c>
      <c r="H27" s="441">
        <f t="shared" si="0"/>
        <v>20</v>
      </c>
      <c r="I27" s="640">
        <f t="shared" si="1"/>
        <v>50.84811996</v>
      </c>
      <c r="J27" s="19">
        <v>36474.38263888889</v>
      </c>
      <c r="K27" s="25">
        <v>36474.70416666667</v>
      </c>
      <c r="L27" s="26">
        <f t="shared" si="2"/>
        <v>7.716666666674428</v>
      </c>
      <c r="M27" s="27">
        <f t="shared" si="3"/>
        <v>463</v>
      </c>
      <c r="N27" s="28" t="s">
        <v>197</v>
      </c>
      <c r="O27" s="378" t="str">
        <f t="shared" si="4"/>
        <v>--</v>
      </c>
      <c r="P27" s="24" t="str">
        <f t="shared" si="5"/>
        <v>NO</v>
      </c>
      <c r="Q27" s="24" t="str">
        <f t="shared" si="6"/>
        <v>--</v>
      </c>
      <c r="R27" s="382">
        <f t="shared" si="7"/>
        <v>78.50949721824</v>
      </c>
      <c r="S27" s="385" t="str">
        <f t="shared" si="8"/>
        <v>--</v>
      </c>
      <c r="T27" s="415" t="str">
        <f t="shared" si="9"/>
        <v>--</v>
      </c>
      <c r="U27" s="391" t="str">
        <f t="shared" si="10"/>
        <v>--</v>
      </c>
      <c r="V27" s="392" t="str">
        <f t="shared" si="11"/>
        <v>--</v>
      </c>
      <c r="W27" s="413" t="str">
        <f t="shared" si="12"/>
        <v>--</v>
      </c>
      <c r="X27" s="401" t="str">
        <f t="shared" si="13"/>
        <v>--</v>
      </c>
      <c r="Y27" s="402" t="str">
        <f t="shared" si="14"/>
        <v>--</v>
      </c>
      <c r="Z27" s="420" t="str">
        <f t="shared" si="15"/>
        <v>--</v>
      </c>
      <c r="AA27" s="426" t="str">
        <f t="shared" si="16"/>
        <v>--</v>
      </c>
      <c r="AB27" s="416" t="str">
        <f t="shared" si="17"/>
        <v>SI</v>
      </c>
      <c r="AC27" s="30">
        <f t="shared" si="18"/>
        <v>78.50949721824</v>
      </c>
      <c r="AD27" s="589"/>
    </row>
    <row r="28" spans="2:30" s="16" customFormat="1" ht="16.5" customHeight="1">
      <c r="B28" s="142"/>
      <c r="C28" s="20">
        <v>5</v>
      </c>
      <c r="D28" s="20" t="s">
        <v>16</v>
      </c>
      <c r="E28" s="440">
        <v>220</v>
      </c>
      <c r="F28" s="22">
        <v>114</v>
      </c>
      <c r="G28" s="440" t="s">
        <v>2</v>
      </c>
      <c r="H28" s="441">
        <f t="shared" si="0"/>
        <v>20</v>
      </c>
      <c r="I28" s="640">
        <f t="shared" si="1"/>
        <v>50.84811996</v>
      </c>
      <c r="J28" s="19">
        <v>36475.34583333333</v>
      </c>
      <c r="K28" s="25">
        <v>36475.70208333333</v>
      </c>
      <c r="L28" s="26">
        <f t="shared" si="2"/>
        <v>8.54999999993015</v>
      </c>
      <c r="M28" s="27">
        <f t="shared" si="3"/>
        <v>513</v>
      </c>
      <c r="N28" s="28" t="s">
        <v>197</v>
      </c>
      <c r="O28" s="378" t="str">
        <f t="shared" si="4"/>
        <v>--</v>
      </c>
      <c r="P28" s="24" t="str">
        <f t="shared" si="5"/>
        <v>NO</v>
      </c>
      <c r="Q28" s="24" t="str">
        <f t="shared" si="6"/>
        <v>--</v>
      </c>
      <c r="R28" s="382">
        <f t="shared" si="7"/>
        <v>86.9502851316</v>
      </c>
      <c r="S28" s="385" t="str">
        <f t="shared" si="8"/>
        <v>--</v>
      </c>
      <c r="T28" s="415" t="str">
        <f t="shared" si="9"/>
        <v>--</v>
      </c>
      <c r="U28" s="391" t="str">
        <f t="shared" si="10"/>
        <v>--</v>
      </c>
      <c r="V28" s="392" t="str">
        <f t="shared" si="11"/>
        <v>--</v>
      </c>
      <c r="W28" s="413" t="str">
        <f t="shared" si="12"/>
        <v>--</v>
      </c>
      <c r="X28" s="401" t="str">
        <f t="shared" si="13"/>
        <v>--</v>
      </c>
      <c r="Y28" s="402" t="str">
        <f t="shared" si="14"/>
        <v>--</v>
      </c>
      <c r="Z28" s="420" t="str">
        <f t="shared" si="15"/>
        <v>--</v>
      </c>
      <c r="AA28" s="426" t="str">
        <f t="shared" si="16"/>
        <v>--</v>
      </c>
      <c r="AB28" s="416" t="str">
        <f t="shared" si="17"/>
        <v>SI</v>
      </c>
      <c r="AC28" s="30">
        <f t="shared" si="18"/>
        <v>86.9502851316</v>
      </c>
      <c r="AD28" s="589"/>
    </row>
    <row r="29" spans="2:30" s="16" customFormat="1" ht="16.5" customHeight="1">
      <c r="B29" s="142"/>
      <c r="C29" s="20">
        <v>6</v>
      </c>
      <c r="D29" s="20" t="s">
        <v>16</v>
      </c>
      <c r="E29" s="440">
        <v>220</v>
      </c>
      <c r="F29" s="22">
        <v>114</v>
      </c>
      <c r="G29" s="440" t="s">
        <v>2</v>
      </c>
      <c r="H29" s="441">
        <f t="shared" si="0"/>
        <v>20</v>
      </c>
      <c r="I29" s="640">
        <f t="shared" si="1"/>
        <v>50.84811996</v>
      </c>
      <c r="J29" s="19">
        <v>36476.336805555555</v>
      </c>
      <c r="K29" s="25">
        <v>36476.688888888886</v>
      </c>
      <c r="L29" s="26">
        <f t="shared" si="2"/>
        <v>8.449999999953434</v>
      </c>
      <c r="M29" s="27">
        <f t="shared" si="3"/>
        <v>507</v>
      </c>
      <c r="N29" s="28" t="s">
        <v>197</v>
      </c>
      <c r="O29" s="378" t="str">
        <f t="shared" si="4"/>
        <v>--</v>
      </c>
      <c r="P29" s="24" t="str">
        <f t="shared" si="5"/>
        <v>NO</v>
      </c>
      <c r="Q29" s="24" t="str">
        <f t="shared" si="6"/>
        <v>--</v>
      </c>
      <c r="R29" s="382">
        <f t="shared" si="7"/>
        <v>85.9333227324</v>
      </c>
      <c r="S29" s="385" t="str">
        <f t="shared" si="8"/>
        <v>--</v>
      </c>
      <c r="T29" s="415" t="str">
        <f t="shared" si="9"/>
        <v>--</v>
      </c>
      <c r="U29" s="391" t="str">
        <f t="shared" si="10"/>
        <v>--</v>
      </c>
      <c r="V29" s="392" t="str">
        <f t="shared" si="11"/>
        <v>--</v>
      </c>
      <c r="W29" s="413" t="str">
        <f t="shared" si="12"/>
        <v>--</v>
      </c>
      <c r="X29" s="401" t="str">
        <f t="shared" si="13"/>
        <v>--</v>
      </c>
      <c r="Y29" s="402" t="str">
        <f t="shared" si="14"/>
        <v>--</v>
      </c>
      <c r="Z29" s="420" t="str">
        <f t="shared" si="15"/>
        <v>--</v>
      </c>
      <c r="AA29" s="426" t="str">
        <f t="shared" si="16"/>
        <v>--</v>
      </c>
      <c r="AB29" s="416" t="str">
        <f t="shared" si="17"/>
        <v>SI</v>
      </c>
      <c r="AC29" s="30">
        <f t="shared" si="18"/>
        <v>85.9333227324</v>
      </c>
      <c r="AD29" s="589"/>
    </row>
    <row r="30" spans="2:30" s="16" customFormat="1" ht="16.5" customHeight="1">
      <c r="B30" s="142"/>
      <c r="C30" s="20">
        <v>7</v>
      </c>
      <c r="D30" s="20" t="s">
        <v>17</v>
      </c>
      <c r="E30" s="440">
        <v>500</v>
      </c>
      <c r="F30" s="22">
        <v>259</v>
      </c>
      <c r="G30" s="440" t="s">
        <v>2</v>
      </c>
      <c r="H30" s="441">
        <f t="shared" si="0"/>
        <v>20</v>
      </c>
      <c r="I30" s="640">
        <f t="shared" si="1"/>
        <v>138.62906624000001</v>
      </c>
      <c r="J30" s="19">
        <v>36478.42986111111</v>
      </c>
      <c r="K30" s="25">
        <v>36478.763194444444</v>
      </c>
      <c r="L30" s="26">
        <f t="shared" si="2"/>
        <v>8.000000000058208</v>
      </c>
      <c r="M30" s="27">
        <f t="shared" si="3"/>
        <v>480</v>
      </c>
      <c r="N30" s="28" t="s">
        <v>197</v>
      </c>
      <c r="O30" s="378" t="str">
        <f t="shared" si="4"/>
        <v>--</v>
      </c>
      <c r="P30" s="24" t="str">
        <f t="shared" si="5"/>
        <v>NO</v>
      </c>
      <c r="Q30" s="24" t="str">
        <f t="shared" si="6"/>
        <v>--</v>
      </c>
      <c r="R30" s="382">
        <f t="shared" si="7"/>
        <v>221.80650598400004</v>
      </c>
      <c r="S30" s="385" t="str">
        <f t="shared" si="8"/>
        <v>--</v>
      </c>
      <c r="T30" s="415" t="str">
        <f t="shared" si="9"/>
        <v>--</v>
      </c>
      <c r="U30" s="391" t="str">
        <f t="shared" si="10"/>
        <v>--</v>
      </c>
      <c r="V30" s="392" t="str">
        <f t="shared" si="11"/>
        <v>--</v>
      </c>
      <c r="W30" s="413" t="str">
        <f t="shared" si="12"/>
        <v>--</v>
      </c>
      <c r="X30" s="401" t="str">
        <f t="shared" si="13"/>
        <v>--</v>
      </c>
      <c r="Y30" s="402" t="str">
        <f t="shared" si="14"/>
        <v>--</v>
      </c>
      <c r="Z30" s="420" t="str">
        <f t="shared" si="15"/>
        <v>--</v>
      </c>
      <c r="AA30" s="426" t="str">
        <f t="shared" si="16"/>
        <v>--</v>
      </c>
      <c r="AB30" s="416" t="str">
        <f t="shared" si="17"/>
        <v>SI</v>
      </c>
      <c r="AC30" s="30">
        <f t="shared" si="18"/>
        <v>221.80650598400004</v>
      </c>
      <c r="AD30" s="589"/>
    </row>
    <row r="31" spans="2:30" s="16" customFormat="1" ht="16.5" customHeight="1">
      <c r="B31" s="142"/>
      <c r="C31" s="20">
        <v>8</v>
      </c>
      <c r="D31" s="20" t="s">
        <v>16</v>
      </c>
      <c r="E31" s="440">
        <v>220</v>
      </c>
      <c r="F31" s="22">
        <v>114</v>
      </c>
      <c r="G31" s="440" t="s">
        <v>2</v>
      </c>
      <c r="H31" s="441">
        <f t="shared" si="0"/>
        <v>20</v>
      </c>
      <c r="I31" s="640">
        <f t="shared" si="1"/>
        <v>50.84811996</v>
      </c>
      <c r="J31" s="19">
        <v>36479.345138888886</v>
      </c>
      <c r="K31" s="25">
        <v>36479.70347222222</v>
      </c>
      <c r="L31" s="26">
        <f t="shared" si="2"/>
        <v>8.600000000093132</v>
      </c>
      <c r="M31" s="27">
        <f t="shared" si="3"/>
        <v>516</v>
      </c>
      <c r="N31" s="28" t="s">
        <v>197</v>
      </c>
      <c r="O31" s="378" t="str">
        <f t="shared" si="4"/>
        <v>--</v>
      </c>
      <c r="P31" s="24" t="str">
        <f t="shared" si="5"/>
        <v>NO</v>
      </c>
      <c r="Q31" s="24" t="str">
        <f t="shared" si="6"/>
        <v>--</v>
      </c>
      <c r="R31" s="382">
        <f t="shared" si="7"/>
        <v>87.45876633119998</v>
      </c>
      <c r="S31" s="385" t="str">
        <f t="shared" si="8"/>
        <v>--</v>
      </c>
      <c r="T31" s="415" t="str">
        <f t="shared" si="9"/>
        <v>--</v>
      </c>
      <c r="U31" s="391" t="str">
        <f t="shared" si="10"/>
        <v>--</v>
      </c>
      <c r="V31" s="392" t="str">
        <f t="shared" si="11"/>
        <v>--</v>
      </c>
      <c r="W31" s="413" t="str">
        <f t="shared" si="12"/>
        <v>--</v>
      </c>
      <c r="X31" s="401" t="str">
        <f t="shared" si="13"/>
        <v>--</v>
      </c>
      <c r="Y31" s="402" t="str">
        <f t="shared" si="14"/>
        <v>--</v>
      </c>
      <c r="Z31" s="420" t="str">
        <f t="shared" si="15"/>
        <v>--</v>
      </c>
      <c r="AA31" s="426" t="str">
        <f t="shared" si="16"/>
        <v>--</v>
      </c>
      <c r="AB31" s="416" t="str">
        <f t="shared" si="17"/>
        <v>SI</v>
      </c>
      <c r="AC31" s="30">
        <f t="shared" si="18"/>
        <v>87.45876633119998</v>
      </c>
      <c r="AD31" s="589"/>
    </row>
    <row r="32" spans="2:30" s="16" customFormat="1" ht="16.5" customHeight="1">
      <c r="B32" s="142"/>
      <c r="C32" s="20">
        <v>9</v>
      </c>
      <c r="D32" s="20" t="s">
        <v>15</v>
      </c>
      <c r="E32" s="440">
        <v>220</v>
      </c>
      <c r="F32" s="22">
        <v>114</v>
      </c>
      <c r="G32" s="440" t="s">
        <v>2</v>
      </c>
      <c r="H32" s="441">
        <f t="shared" si="0"/>
        <v>20</v>
      </c>
      <c r="I32" s="640">
        <f t="shared" si="1"/>
        <v>50.84811996</v>
      </c>
      <c r="J32" s="19">
        <v>36480.34027777778</v>
      </c>
      <c r="K32" s="25">
        <v>36480.697916666664</v>
      </c>
      <c r="L32" s="26">
        <f t="shared" si="2"/>
        <v>8.583333333197515</v>
      </c>
      <c r="M32" s="27">
        <f t="shared" si="3"/>
        <v>515</v>
      </c>
      <c r="N32" s="28" t="s">
        <v>197</v>
      </c>
      <c r="O32" s="378" t="str">
        <f t="shared" si="4"/>
        <v>--</v>
      </c>
      <c r="P32" s="24" t="str">
        <f t="shared" si="5"/>
        <v>NO</v>
      </c>
      <c r="Q32" s="24" t="str">
        <f t="shared" si="6"/>
        <v>--</v>
      </c>
      <c r="R32" s="382">
        <f t="shared" si="7"/>
        <v>87.25537385136</v>
      </c>
      <c r="S32" s="385" t="str">
        <f t="shared" si="8"/>
        <v>--</v>
      </c>
      <c r="T32" s="415" t="str">
        <f t="shared" si="9"/>
        <v>--</v>
      </c>
      <c r="U32" s="391" t="str">
        <f t="shared" si="10"/>
        <v>--</v>
      </c>
      <c r="V32" s="392" t="str">
        <f t="shared" si="11"/>
        <v>--</v>
      </c>
      <c r="W32" s="413" t="str">
        <f t="shared" si="12"/>
        <v>--</v>
      </c>
      <c r="X32" s="401" t="str">
        <f t="shared" si="13"/>
        <v>--</v>
      </c>
      <c r="Y32" s="402" t="str">
        <f t="shared" si="14"/>
        <v>--</v>
      </c>
      <c r="Z32" s="420" t="str">
        <f t="shared" si="15"/>
        <v>--</v>
      </c>
      <c r="AA32" s="426" t="str">
        <f t="shared" si="16"/>
        <v>--</v>
      </c>
      <c r="AB32" s="416" t="str">
        <f t="shared" si="17"/>
        <v>SI</v>
      </c>
      <c r="AC32" s="30">
        <f t="shared" si="18"/>
        <v>87.25537385136</v>
      </c>
      <c r="AD32" s="589"/>
    </row>
    <row r="33" spans="2:30" s="16" customFormat="1" ht="16.5" customHeight="1">
      <c r="B33" s="142"/>
      <c r="C33" s="20">
        <v>10</v>
      </c>
      <c r="D33" s="20" t="s">
        <v>15</v>
      </c>
      <c r="E33" s="440">
        <v>220</v>
      </c>
      <c r="F33" s="22">
        <v>114</v>
      </c>
      <c r="G33" s="440" t="s">
        <v>2</v>
      </c>
      <c r="H33" s="441">
        <f t="shared" si="0"/>
        <v>20</v>
      </c>
      <c r="I33" s="640">
        <f t="shared" si="1"/>
        <v>50.84811996</v>
      </c>
      <c r="J33" s="19">
        <v>36481.336805555555</v>
      </c>
      <c r="K33" s="25">
        <v>36481.697222222225</v>
      </c>
      <c r="L33" s="26">
        <f t="shared" si="2"/>
        <v>8.65000000008149</v>
      </c>
      <c r="M33" s="27">
        <f t="shared" si="3"/>
        <v>519</v>
      </c>
      <c r="N33" s="28" t="s">
        <v>197</v>
      </c>
      <c r="O33" s="378" t="str">
        <f t="shared" si="4"/>
        <v>--</v>
      </c>
      <c r="P33" s="24" t="str">
        <f t="shared" si="5"/>
        <v>NO</v>
      </c>
      <c r="Q33" s="24" t="str">
        <f t="shared" si="6"/>
        <v>--</v>
      </c>
      <c r="R33" s="382">
        <f t="shared" si="7"/>
        <v>87.9672475308</v>
      </c>
      <c r="S33" s="385" t="str">
        <f t="shared" si="8"/>
        <v>--</v>
      </c>
      <c r="T33" s="415" t="str">
        <f t="shared" si="9"/>
        <v>--</v>
      </c>
      <c r="U33" s="391" t="str">
        <f t="shared" si="10"/>
        <v>--</v>
      </c>
      <c r="V33" s="392" t="str">
        <f t="shared" si="11"/>
        <v>--</v>
      </c>
      <c r="W33" s="413" t="str">
        <f t="shared" si="12"/>
        <v>--</v>
      </c>
      <c r="X33" s="401" t="str">
        <f t="shared" si="13"/>
        <v>--</v>
      </c>
      <c r="Y33" s="402" t="str">
        <f t="shared" si="14"/>
        <v>--</v>
      </c>
      <c r="Z33" s="420" t="str">
        <f t="shared" si="15"/>
        <v>--</v>
      </c>
      <c r="AA33" s="426" t="str">
        <f t="shared" si="16"/>
        <v>--</v>
      </c>
      <c r="AB33" s="416" t="str">
        <f t="shared" si="17"/>
        <v>SI</v>
      </c>
      <c r="AC33" s="30">
        <f t="shared" si="18"/>
        <v>87.9672475308</v>
      </c>
      <c r="AD33" s="589"/>
    </row>
    <row r="34" spans="2:30" s="16" customFormat="1" ht="16.5" customHeight="1">
      <c r="B34" s="142"/>
      <c r="C34" s="20">
        <v>11</v>
      </c>
      <c r="D34" s="20" t="s">
        <v>6</v>
      </c>
      <c r="E34" s="440">
        <v>500</v>
      </c>
      <c r="F34" s="22">
        <v>3</v>
      </c>
      <c r="G34" s="440" t="s">
        <v>2</v>
      </c>
      <c r="H34" s="441">
        <f t="shared" si="0"/>
        <v>20</v>
      </c>
      <c r="I34" s="640">
        <f t="shared" si="1"/>
        <v>53.524736</v>
      </c>
      <c r="J34" s="19">
        <v>36481.89513888889</v>
      </c>
      <c r="K34" s="25">
        <v>36481.959027777775</v>
      </c>
      <c r="L34" s="26">
        <f t="shared" si="2"/>
        <v>1.5333333332673647</v>
      </c>
      <c r="M34" s="27">
        <f t="shared" si="3"/>
        <v>92</v>
      </c>
      <c r="N34" s="28" t="s">
        <v>196</v>
      </c>
      <c r="O34" s="378" t="str">
        <f t="shared" si="4"/>
        <v>--</v>
      </c>
      <c r="P34" s="24" t="str">
        <f t="shared" si="5"/>
        <v>NO</v>
      </c>
      <c r="Q34" s="24" t="s">
        <v>167</v>
      </c>
      <c r="R34" s="382" t="str">
        <f t="shared" si="7"/>
        <v>--</v>
      </c>
      <c r="S34" s="385" t="str">
        <f t="shared" si="8"/>
        <v>--</v>
      </c>
      <c r="T34" s="415" t="str">
        <f t="shared" si="9"/>
        <v>--</v>
      </c>
      <c r="U34" s="391">
        <f t="shared" si="10"/>
        <v>1637.8569215999999</v>
      </c>
      <c r="V34" s="392" t="str">
        <f t="shared" si="11"/>
        <v>--</v>
      </c>
      <c r="W34" s="413" t="str">
        <f t="shared" si="12"/>
        <v>--</v>
      </c>
      <c r="X34" s="401" t="str">
        <f t="shared" si="13"/>
        <v>--</v>
      </c>
      <c r="Y34" s="402" t="str">
        <f t="shared" si="14"/>
        <v>--</v>
      </c>
      <c r="Z34" s="420" t="str">
        <f t="shared" si="15"/>
        <v>--</v>
      </c>
      <c r="AA34" s="426" t="str">
        <f t="shared" si="16"/>
        <v>--</v>
      </c>
      <c r="AB34" s="416" t="str">
        <f t="shared" si="17"/>
        <v>SI</v>
      </c>
      <c r="AC34" s="30">
        <f t="shared" si="18"/>
        <v>1637.8569215999999</v>
      </c>
      <c r="AD34" s="589"/>
    </row>
    <row r="35" spans="2:30" s="16" customFormat="1" ht="16.5" customHeight="1">
      <c r="B35" s="142"/>
      <c r="C35" s="20">
        <v>12</v>
      </c>
      <c r="D35" s="20" t="s">
        <v>7</v>
      </c>
      <c r="E35" s="440">
        <v>500</v>
      </c>
      <c r="F35" s="22">
        <v>3</v>
      </c>
      <c r="G35" s="440" t="s">
        <v>2</v>
      </c>
      <c r="H35" s="441">
        <f t="shared" si="0"/>
        <v>20</v>
      </c>
      <c r="I35" s="640">
        <f t="shared" si="1"/>
        <v>53.524736</v>
      </c>
      <c r="J35" s="19">
        <v>36481.899305555555</v>
      </c>
      <c r="K35" s="32">
        <v>36481.964583333334</v>
      </c>
      <c r="L35" s="26">
        <f t="shared" si="2"/>
        <v>1.5666666667093523</v>
      </c>
      <c r="M35" s="27">
        <f t="shared" si="3"/>
        <v>94</v>
      </c>
      <c r="N35" s="28" t="s">
        <v>196</v>
      </c>
      <c r="O35" s="378" t="str">
        <f t="shared" si="4"/>
        <v>--</v>
      </c>
      <c r="P35" s="24" t="str">
        <f t="shared" si="5"/>
        <v>NO</v>
      </c>
      <c r="Q35" s="24" t="s">
        <v>167</v>
      </c>
      <c r="R35" s="382" t="str">
        <f t="shared" si="7"/>
        <v>--</v>
      </c>
      <c r="S35" s="385" t="str">
        <f t="shared" si="8"/>
        <v>--</v>
      </c>
      <c r="T35" s="415" t="str">
        <f t="shared" si="9"/>
        <v>--</v>
      </c>
      <c r="U35" s="391">
        <f t="shared" si="10"/>
        <v>1680.6767104</v>
      </c>
      <c r="V35" s="392" t="str">
        <f t="shared" si="11"/>
        <v>--</v>
      </c>
      <c r="W35" s="413" t="str">
        <f t="shared" si="12"/>
        <v>--</v>
      </c>
      <c r="X35" s="401" t="str">
        <f t="shared" si="13"/>
        <v>--</v>
      </c>
      <c r="Y35" s="402" t="str">
        <f t="shared" si="14"/>
        <v>--</v>
      </c>
      <c r="Z35" s="420" t="str">
        <f t="shared" si="15"/>
        <v>--</v>
      </c>
      <c r="AA35" s="426" t="str">
        <f t="shared" si="16"/>
        <v>--</v>
      </c>
      <c r="AB35" s="416" t="str">
        <f t="shared" si="17"/>
        <v>SI</v>
      </c>
      <c r="AC35" s="30">
        <f t="shared" si="18"/>
        <v>1680.6767104</v>
      </c>
      <c r="AD35" s="589"/>
    </row>
    <row r="36" spans="2:30" s="16" customFormat="1" ht="16.5" customHeight="1">
      <c r="B36" s="142"/>
      <c r="C36" s="20">
        <v>13</v>
      </c>
      <c r="D36" s="20" t="s">
        <v>15</v>
      </c>
      <c r="E36" s="440">
        <v>220</v>
      </c>
      <c r="F36" s="22">
        <v>114</v>
      </c>
      <c r="G36" s="440" t="s">
        <v>2</v>
      </c>
      <c r="H36" s="441">
        <f t="shared" si="0"/>
        <v>20</v>
      </c>
      <c r="I36" s="640">
        <f t="shared" si="1"/>
        <v>50.84811996</v>
      </c>
      <c r="J36" s="19">
        <v>36482.33541666667</v>
      </c>
      <c r="K36" s="32">
        <v>36482.69583333333</v>
      </c>
      <c r="L36" s="26">
        <f t="shared" si="2"/>
        <v>8.649999999906868</v>
      </c>
      <c r="M36" s="27">
        <f t="shared" si="3"/>
        <v>519</v>
      </c>
      <c r="N36" s="28" t="s">
        <v>197</v>
      </c>
      <c r="O36" s="378" t="str">
        <f t="shared" si="4"/>
        <v>--</v>
      </c>
      <c r="P36" s="24" t="str">
        <f t="shared" si="5"/>
        <v>NO</v>
      </c>
      <c r="Q36" s="24" t="str">
        <f t="shared" si="6"/>
        <v>--</v>
      </c>
      <c r="R36" s="382">
        <f t="shared" si="7"/>
        <v>87.9672475308</v>
      </c>
      <c r="S36" s="385" t="str">
        <f t="shared" si="8"/>
        <v>--</v>
      </c>
      <c r="T36" s="415" t="str">
        <f t="shared" si="9"/>
        <v>--</v>
      </c>
      <c r="U36" s="391" t="str">
        <f t="shared" si="10"/>
        <v>--</v>
      </c>
      <c r="V36" s="392" t="str">
        <f t="shared" si="11"/>
        <v>--</v>
      </c>
      <c r="W36" s="413" t="str">
        <f t="shared" si="12"/>
        <v>--</v>
      </c>
      <c r="X36" s="401" t="str">
        <f t="shared" si="13"/>
        <v>--</v>
      </c>
      <c r="Y36" s="402" t="str">
        <f t="shared" si="14"/>
        <v>--</v>
      </c>
      <c r="Z36" s="420" t="str">
        <f t="shared" si="15"/>
        <v>--</v>
      </c>
      <c r="AA36" s="426" t="str">
        <f t="shared" si="16"/>
        <v>--</v>
      </c>
      <c r="AB36" s="416" t="str">
        <f t="shared" si="17"/>
        <v>SI</v>
      </c>
      <c r="AC36" s="30">
        <f t="shared" si="18"/>
        <v>87.9672475308</v>
      </c>
      <c r="AD36" s="589"/>
    </row>
    <row r="37" spans="2:30" s="16" customFormat="1" ht="16.5" customHeight="1">
      <c r="B37" s="142"/>
      <c r="C37" s="20">
        <v>14</v>
      </c>
      <c r="D37" s="20" t="s">
        <v>15</v>
      </c>
      <c r="E37" s="440">
        <v>220</v>
      </c>
      <c r="F37" s="22">
        <v>114</v>
      </c>
      <c r="G37" s="440" t="s">
        <v>2</v>
      </c>
      <c r="H37" s="441">
        <f t="shared" si="0"/>
        <v>20</v>
      </c>
      <c r="I37" s="640">
        <f t="shared" si="1"/>
        <v>50.84811996</v>
      </c>
      <c r="J37" s="19">
        <v>36483.333333333336</v>
      </c>
      <c r="K37" s="32">
        <v>36483.69652777778</v>
      </c>
      <c r="L37" s="26">
        <f t="shared" si="2"/>
        <v>8.71666666661622</v>
      </c>
      <c r="M37" s="27">
        <f t="shared" si="3"/>
        <v>523</v>
      </c>
      <c r="N37" s="28" t="s">
        <v>197</v>
      </c>
      <c r="O37" s="378" t="str">
        <f t="shared" si="4"/>
        <v>--</v>
      </c>
      <c r="P37" s="24" t="str">
        <f t="shared" si="5"/>
        <v>NO</v>
      </c>
      <c r="Q37" s="24" t="str">
        <f t="shared" si="6"/>
        <v>--</v>
      </c>
      <c r="R37" s="382">
        <f t="shared" si="7"/>
        <v>88.67912121024001</v>
      </c>
      <c r="S37" s="385" t="str">
        <f t="shared" si="8"/>
        <v>--</v>
      </c>
      <c r="T37" s="415" t="str">
        <f t="shared" si="9"/>
        <v>--</v>
      </c>
      <c r="U37" s="391" t="str">
        <f t="shared" si="10"/>
        <v>--</v>
      </c>
      <c r="V37" s="392" t="str">
        <f t="shared" si="11"/>
        <v>--</v>
      </c>
      <c r="W37" s="413" t="str">
        <f t="shared" si="12"/>
        <v>--</v>
      </c>
      <c r="X37" s="401" t="str">
        <f t="shared" si="13"/>
        <v>--</v>
      </c>
      <c r="Y37" s="402" t="str">
        <f t="shared" si="14"/>
        <v>--</v>
      </c>
      <c r="Z37" s="420" t="str">
        <f t="shared" si="15"/>
        <v>--</v>
      </c>
      <c r="AA37" s="426" t="str">
        <f t="shared" si="16"/>
        <v>--</v>
      </c>
      <c r="AB37" s="416" t="str">
        <f t="shared" si="17"/>
        <v>SI</v>
      </c>
      <c r="AC37" s="30">
        <f t="shared" si="18"/>
        <v>88.67912121024001</v>
      </c>
      <c r="AD37" s="589"/>
    </row>
    <row r="38" spans="2:30" s="16" customFormat="1" ht="16.5" customHeight="1">
      <c r="B38" s="142"/>
      <c r="C38" s="20">
        <v>15</v>
      </c>
      <c r="D38" s="20" t="s">
        <v>5</v>
      </c>
      <c r="E38" s="440">
        <v>500</v>
      </c>
      <c r="F38" s="22">
        <v>27</v>
      </c>
      <c r="G38" s="440" t="s">
        <v>2</v>
      </c>
      <c r="H38" s="441">
        <f t="shared" si="0"/>
        <v>20</v>
      </c>
      <c r="I38" s="640">
        <f t="shared" si="1"/>
        <v>53.524736</v>
      </c>
      <c r="J38" s="19">
        <v>36483.37569444445</v>
      </c>
      <c r="K38" s="32">
        <v>36483.65277777778</v>
      </c>
      <c r="L38" s="26">
        <f t="shared" si="2"/>
        <v>6.650000000023283</v>
      </c>
      <c r="M38" s="27">
        <f t="shared" si="3"/>
        <v>399</v>
      </c>
      <c r="N38" s="28" t="s">
        <v>197</v>
      </c>
      <c r="O38" s="378" t="str">
        <f t="shared" si="4"/>
        <v>--</v>
      </c>
      <c r="P38" s="24" t="str">
        <f t="shared" si="5"/>
        <v>NO</v>
      </c>
      <c r="Q38" s="24" t="str">
        <f t="shared" si="6"/>
        <v>--</v>
      </c>
      <c r="R38" s="382">
        <f t="shared" si="7"/>
        <v>71.18789888</v>
      </c>
      <c r="S38" s="385" t="str">
        <f t="shared" si="8"/>
        <v>--</v>
      </c>
      <c r="T38" s="415" t="str">
        <f t="shared" si="9"/>
        <v>--</v>
      </c>
      <c r="U38" s="391" t="str">
        <f t="shared" si="10"/>
        <v>--</v>
      </c>
      <c r="V38" s="392" t="str">
        <f t="shared" si="11"/>
        <v>--</v>
      </c>
      <c r="W38" s="413" t="str">
        <f t="shared" si="12"/>
        <v>--</v>
      </c>
      <c r="X38" s="401" t="str">
        <f t="shared" si="13"/>
        <v>--</v>
      </c>
      <c r="Y38" s="402" t="str">
        <f t="shared" si="14"/>
        <v>--</v>
      </c>
      <c r="Z38" s="420" t="str">
        <f t="shared" si="15"/>
        <v>--</v>
      </c>
      <c r="AA38" s="426" t="str">
        <f t="shared" si="16"/>
        <v>--</v>
      </c>
      <c r="AB38" s="416" t="str">
        <f t="shared" si="17"/>
        <v>SI</v>
      </c>
      <c r="AC38" s="30">
        <f t="shared" si="18"/>
        <v>71.18789888</v>
      </c>
      <c r="AD38" s="589"/>
    </row>
    <row r="39" spans="2:30" s="16" customFormat="1" ht="16.5" customHeight="1">
      <c r="B39" s="142"/>
      <c r="C39" s="20">
        <v>16</v>
      </c>
      <c r="D39" s="20" t="s">
        <v>5</v>
      </c>
      <c r="E39" s="440">
        <v>500</v>
      </c>
      <c r="F39" s="22">
        <v>27</v>
      </c>
      <c r="G39" s="440" t="s">
        <v>2</v>
      </c>
      <c r="H39" s="441">
        <f t="shared" si="0"/>
        <v>20</v>
      </c>
      <c r="I39" s="640">
        <f t="shared" si="1"/>
        <v>53.524736</v>
      </c>
      <c r="J39" s="19">
        <v>36484.35763888889</v>
      </c>
      <c r="K39" s="32">
        <v>36484.65138888889</v>
      </c>
      <c r="L39" s="26">
        <f t="shared" si="2"/>
        <v>7.049999999930151</v>
      </c>
      <c r="M39" s="27">
        <f t="shared" si="3"/>
        <v>423</v>
      </c>
      <c r="N39" s="28" t="s">
        <v>197</v>
      </c>
      <c r="O39" s="378" t="str">
        <f t="shared" si="4"/>
        <v>--</v>
      </c>
      <c r="P39" s="24" t="str">
        <f t="shared" si="5"/>
        <v>NO</v>
      </c>
      <c r="Q39" s="24" t="str">
        <f t="shared" si="6"/>
        <v>--</v>
      </c>
      <c r="R39" s="382">
        <f t="shared" si="7"/>
        <v>75.46987775999999</v>
      </c>
      <c r="S39" s="385" t="str">
        <f t="shared" si="8"/>
        <v>--</v>
      </c>
      <c r="T39" s="415" t="str">
        <f t="shared" si="9"/>
        <v>--</v>
      </c>
      <c r="U39" s="391" t="str">
        <f t="shared" si="10"/>
        <v>--</v>
      </c>
      <c r="V39" s="392" t="str">
        <f t="shared" si="11"/>
        <v>--</v>
      </c>
      <c r="W39" s="413" t="str">
        <f t="shared" si="12"/>
        <v>--</v>
      </c>
      <c r="X39" s="401" t="str">
        <f t="shared" si="13"/>
        <v>--</v>
      </c>
      <c r="Y39" s="402" t="str">
        <f t="shared" si="14"/>
        <v>--</v>
      </c>
      <c r="Z39" s="420" t="str">
        <f t="shared" si="15"/>
        <v>--</v>
      </c>
      <c r="AA39" s="426" t="str">
        <f t="shared" si="16"/>
        <v>--</v>
      </c>
      <c r="AB39" s="416" t="str">
        <f t="shared" si="17"/>
        <v>SI</v>
      </c>
      <c r="AC39" s="30">
        <f t="shared" si="18"/>
        <v>75.46987775999999</v>
      </c>
      <c r="AD39" s="589"/>
    </row>
    <row r="40" spans="2:30" s="16" customFormat="1" ht="16.5" customHeight="1">
      <c r="B40" s="142"/>
      <c r="C40" s="20">
        <v>17</v>
      </c>
      <c r="D40" s="20" t="s">
        <v>11</v>
      </c>
      <c r="E40" s="440">
        <v>500</v>
      </c>
      <c r="F40" s="22">
        <v>53</v>
      </c>
      <c r="G40" s="440" t="s">
        <v>2</v>
      </c>
      <c r="H40" s="441">
        <f t="shared" si="0"/>
        <v>20</v>
      </c>
      <c r="I40" s="640">
        <f t="shared" si="1"/>
        <v>53.524736</v>
      </c>
      <c r="J40" s="19">
        <v>36485.32847222222</v>
      </c>
      <c r="K40" s="32">
        <v>36485.688888888886</v>
      </c>
      <c r="L40" s="26">
        <f t="shared" si="2"/>
        <v>8.649999999906868</v>
      </c>
      <c r="M40" s="27">
        <f t="shared" si="3"/>
        <v>519</v>
      </c>
      <c r="N40" s="28" t="s">
        <v>197</v>
      </c>
      <c r="O40" s="378" t="str">
        <f t="shared" si="4"/>
        <v>--</v>
      </c>
      <c r="P40" s="24" t="str">
        <f t="shared" si="5"/>
        <v>NO</v>
      </c>
      <c r="Q40" s="24" t="str">
        <f t="shared" si="6"/>
        <v>--</v>
      </c>
      <c r="R40" s="382">
        <f t="shared" si="7"/>
        <v>92.59779328</v>
      </c>
      <c r="S40" s="385" t="str">
        <f t="shared" si="8"/>
        <v>--</v>
      </c>
      <c r="T40" s="415" t="str">
        <f t="shared" si="9"/>
        <v>--</v>
      </c>
      <c r="U40" s="391" t="str">
        <f t="shared" si="10"/>
        <v>--</v>
      </c>
      <c r="V40" s="392" t="str">
        <f t="shared" si="11"/>
        <v>--</v>
      </c>
      <c r="W40" s="413" t="str">
        <f t="shared" si="12"/>
        <v>--</v>
      </c>
      <c r="X40" s="401" t="str">
        <f t="shared" si="13"/>
        <v>--</v>
      </c>
      <c r="Y40" s="402" t="str">
        <f t="shared" si="14"/>
        <v>--</v>
      </c>
      <c r="Z40" s="420" t="str">
        <f t="shared" si="15"/>
        <v>--</v>
      </c>
      <c r="AA40" s="426" t="str">
        <f t="shared" si="16"/>
        <v>--</v>
      </c>
      <c r="AB40" s="416" t="str">
        <f t="shared" si="17"/>
        <v>SI</v>
      </c>
      <c r="AC40" s="30">
        <f t="shared" si="18"/>
        <v>92.59779328</v>
      </c>
      <c r="AD40" s="589"/>
    </row>
    <row r="41" spans="2:30" s="16" customFormat="1" ht="16.5" customHeight="1">
      <c r="B41" s="142"/>
      <c r="C41" s="20">
        <v>18</v>
      </c>
      <c r="D41" s="20" t="s">
        <v>9</v>
      </c>
      <c r="E41" s="440">
        <v>500</v>
      </c>
      <c r="F41" s="22">
        <v>255</v>
      </c>
      <c r="G41" s="440" t="s">
        <v>4</v>
      </c>
      <c r="H41" s="441">
        <f t="shared" si="0"/>
        <v>60</v>
      </c>
      <c r="I41" s="640">
        <f t="shared" si="1"/>
        <v>136.4880768</v>
      </c>
      <c r="J41" s="19">
        <v>36485.34583333333</v>
      </c>
      <c r="K41" s="32">
        <v>36485.768055555556</v>
      </c>
      <c r="L41" s="26">
        <f t="shared" si="2"/>
        <v>10.133333333360497</v>
      </c>
      <c r="M41" s="27">
        <f t="shared" si="3"/>
        <v>608</v>
      </c>
      <c r="N41" s="28" t="s">
        <v>197</v>
      </c>
      <c r="O41" s="378" t="str">
        <f t="shared" si="4"/>
        <v>--</v>
      </c>
      <c r="P41" s="24" t="str">
        <f t="shared" si="5"/>
        <v>NO</v>
      </c>
      <c r="Q41" s="24" t="str">
        <f t="shared" si="6"/>
        <v>--</v>
      </c>
      <c r="R41" s="382">
        <f t="shared" si="7"/>
        <v>829.5745307904</v>
      </c>
      <c r="S41" s="385" t="str">
        <f t="shared" si="8"/>
        <v>--</v>
      </c>
      <c r="T41" s="415" t="str">
        <f t="shared" si="9"/>
        <v>--</v>
      </c>
      <c r="U41" s="391" t="str">
        <f t="shared" si="10"/>
        <v>--</v>
      </c>
      <c r="V41" s="392" t="str">
        <f t="shared" si="11"/>
        <v>--</v>
      </c>
      <c r="W41" s="413" t="str">
        <f t="shared" si="12"/>
        <v>--</v>
      </c>
      <c r="X41" s="401" t="str">
        <f t="shared" si="13"/>
        <v>--</v>
      </c>
      <c r="Y41" s="402" t="str">
        <f t="shared" si="14"/>
        <v>--</v>
      </c>
      <c r="Z41" s="420" t="str">
        <f t="shared" si="15"/>
        <v>--</v>
      </c>
      <c r="AA41" s="426" t="str">
        <f t="shared" si="16"/>
        <v>--</v>
      </c>
      <c r="AB41" s="416" t="str">
        <f t="shared" si="17"/>
        <v>SI</v>
      </c>
      <c r="AC41" s="30">
        <f t="shared" si="18"/>
        <v>829.5745307904</v>
      </c>
      <c r="AD41" s="589"/>
    </row>
    <row r="42" spans="2:30" s="16" customFormat="1" ht="16.5" customHeight="1">
      <c r="B42" s="142"/>
      <c r="C42" s="20">
        <v>19</v>
      </c>
      <c r="D42" s="20" t="s">
        <v>5</v>
      </c>
      <c r="E42" s="440">
        <v>500</v>
      </c>
      <c r="F42" s="22">
        <v>27</v>
      </c>
      <c r="G42" s="440" t="s">
        <v>2</v>
      </c>
      <c r="H42" s="441">
        <f t="shared" si="0"/>
        <v>20</v>
      </c>
      <c r="I42" s="640">
        <f t="shared" si="1"/>
        <v>53.524736</v>
      </c>
      <c r="J42" s="19">
        <v>36485.3625</v>
      </c>
      <c r="K42" s="32">
        <v>36485.65555555555</v>
      </c>
      <c r="L42" s="26">
        <f t="shared" si="2"/>
        <v>7.033333333209157</v>
      </c>
      <c r="M42" s="27">
        <f t="shared" si="3"/>
        <v>422</v>
      </c>
      <c r="N42" s="28" t="s">
        <v>197</v>
      </c>
      <c r="O42" s="378" t="str">
        <f t="shared" si="4"/>
        <v>--</v>
      </c>
      <c r="P42" s="24" t="str">
        <f t="shared" si="5"/>
        <v>NO</v>
      </c>
      <c r="Q42" s="24" t="str">
        <f t="shared" si="6"/>
        <v>--</v>
      </c>
      <c r="R42" s="382">
        <f t="shared" si="7"/>
        <v>75.25577881599999</v>
      </c>
      <c r="S42" s="385" t="str">
        <f t="shared" si="8"/>
        <v>--</v>
      </c>
      <c r="T42" s="415" t="str">
        <f t="shared" si="9"/>
        <v>--</v>
      </c>
      <c r="U42" s="391" t="str">
        <f t="shared" si="10"/>
        <v>--</v>
      </c>
      <c r="V42" s="392" t="str">
        <f t="shared" si="11"/>
        <v>--</v>
      </c>
      <c r="W42" s="413" t="str">
        <f t="shared" si="12"/>
        <v>--</v>
      </c>
      <c r="X42" s="401" t="str">
        <f t="shared" si="13"/>
        <v>--</v>
      </c>
      <c r="Y42" s="402" t="str">
        <f t="shared" si="14"/>
        <v>--</v>
      </c>
      <c r="Z42" s="420" t="str">
        <f t="shared" si="15"/>
        <v>--</v>
      </c>
      <c r="AA42" s="426" t="str">
        <f t="shared" si="16"/>
        <v>--</v>
      </c>
      <c r="AB42" s="416" t="str">
        <f t="shared" si="17"/>
        <v>SI</v>
      </c>
      <c r="AC42" s="30">
        <f t="shared" si="18"/>
        <v>75.25577881599999</v>
      </c>
      <c r="AD42" s="589"/>
    </row>
    <row r="43" spans="2:30" s="16" customFormat="1" ht="16.5" customHeight="1">
      <c r="B43" s="142"/>
      <c r="C43" s="20">
        <v>20</v>
      </c>
      <c r="D43" s="20" t="s">
        <v>15</v>
      </c>
      <c r="E43" s="440">
        <v>220</v>
      </c>
      <c r="F43" s="22">
        <v>114</v>
      </c>
      <c r="G43" s="440" t="s">
        <v>2</v>
      </c>
      <c r="H43" s="441">
        <f t="shared" si="0"/>
        <v>20</v>
      </c>
      <c r="I43" s="640">
        <f t="shared" si="1"/>
        <v>50.84811996</v>
      </c>
      <c r="J43" s="19">
        <v>36486.33611111111</v>
      </c>
      <c r="K43" s="32">
        <v>36486.677083333336</v>
      </c>
      <c r="L43" s="26">
        <f t="shared" si="2"/>
        <v>8.18333333346527</v>
      </c>
      <c r="M43" s="27">
        <f t="shared" si="3"/>
        <v>491</v>
      </c>
      <c r="N43" s="28" t="s">
        <v>197</v>
      </c>
      <c r="O43" s="378" t="str">
        <f t="shared" si="4"/>
        <v>--</v>
      </c>
      <c r="P43" s="24" t="str">
        <f t="shared" si="5"/>
        <v>NO</v>
      </c>
      <c r="Q43" s="24" t="str">
        <f t="shared" si="6"/>
        <v>--</v>
      </c>
      <c r="R43" s="382">
        <f t="shared" si="7"/>
        <v>83.18752425455999</v>
      </c>
      <c r="S43" s="385" t="str">
        <f t="shared" si="8"/>
        <v>--</v>
      </c>
      <c r="T43" s="415" t="str">
        <f t="shared" si="9"/>
        <v>--</v>
      </c>
      <c r="U43" s="391" t="str">
        <f t="shared" si="10"/>
        <v>--</v>
      </c>
      <c r="V43" s="392" t="str">
        <f t="shared" si="11"/>
        <v>--</v>
      </c>
      <c r="W43" s="413" t="str">
        <f t="shared" si="12"/>
        <v>--</v>
      </c>
      <c r="X43" s="401" t="str">
        <f t="shared" si="13"/>
        <v>--</v>
      </c>
      <c r="Y43" s="402" t="str">
        <f t="shared" si="14"/>
        <v>--</v>
      </c>
      <c r="Z43" s="420" t="str">
        <f t="shared" si="15"/>
        <v>--</v>
      </c>
      <c r="AA43" s="426" t="str">
        <f t="shared" si="16"/>
        <v>--</v>
      </c>
      <c r="AB43" s="416" t="str">
        <f t="shared" si="17"/>
        <v>SI</v>
      </c>
      <c r="AC43" s="30">
        <f t="shared" si="18"/>
        <v>83.18752425455999</v>
      </c>
      <c r="AD43" s="589"/>
    </row>
    <row r="44" spans="2:30" s="16" customFormat="1" ht="16.5" customHeight="1" thickBot="1">
      <c r="B44" s="142"/>
      <c r="C44" s="34"/>
      <c r="D44" s="34"/>
      <c r="E44" s="35"/>
      <c r="F44" s="36"/>
      <c r="G44" s="37"/>
      <c r="H44" s="435"/>
      <c r="I44" s="641"/>
      <c r="J44" s="38"/>
      <c r="K44" s="38"/>
      <c r="L44" s="38"/>
      <c r="M44" s="38"/>
      <c r="N44" s="38"/>
      <c r="O44" s="39"/>
      <c r="P44" s="38"/>
      <c r="Q44" s="38"/>
      <c r="R44" s="380"/>
      <c r="S44" s="386"/>
      <c r="T44" s="393"/>
      <c r="U44" s="394"/>
      <c r="V44" s="395"/>
      <c r="W44" s="403"/>
      <c r="X44" s="404"/>
      <c r="Y44" s="405"/>
      <c r="Z44" s="421"/>
      <c r="AA44" s="427"/>
      <c r="AB44" s="40"/>
      <c r="AC44" s="41"/>
      <c r="AD44" s="589"/>
    </row>
    <row r="45" spans="2:30" s="16" customFormat="1" ht="16.5" customHeight="1" thickBot="1" thickTop="1">
      <c r="B45" s="142"/>
      <c r="C45" s="289" t="s">
        <v>129</v>
      </c>
      <c r="D45" s="290" t="s">
        <v>177</v>
      </c>
      <c r="E45" s="43"/>
      <c r="F45" s="1"/>
      <c r="G45" s="44"/>
      <c r="H45" s="1"/>
      <c r="I45" s="45"/>
      <c r="J45" s="45"/>
      <c r="K45" s="45"/>
      <c r="L45" s="45"/>
      <c r="M45" s="45"/>
      <c r="N45" s="45"/>
      <c r="O45" s="46"/>
      <c r="P45" s="45"/>
      <c r="Q45" s="45"/>
      <c r="R45" s="428">
        <f aca="true" t="shared" si="19" ref="R45:AA45">SUM(R22:R44)</f>
        <v>3922.7626833375994</v>
      </c>
      <c r="S45" s="429">
        <f t="shared" si="19"/>
        <v>0</v>
      </c>
      <c r="T45" s="430">
        <f t="shared" si="19"/>
        <v>15950.371327999997</v>
      </c>
      <c r="U45" s="430">
        <f t="shared" si="19"/>
        <v>6987.119037439999</v>
      </c>
      <c r="V45" s="430">
        <f t="shared" si="19"/>
        <v>0</v>
      </c>
      <c r="W45" s="431">
        <f t="shared" si="19"/>
        <v>0</v>
      </c>
      <c r="X45" s="431">
        <f t="shared" si="19"/>
        <v>0</v>
      </c>
      <c r="Y45" s="431">
        <f t="shared" si="19"/>
        <v>0</v>
      </c>
      <c r="Z45" s="432">
        <f t="shared" si="19"/>
        <v>0</v>
      </c>
      <c r="AA45" s="433">
        <f t="shared" si="19"/>
        <v>0</v>
      </c>
      <c r="AB45" s="47"/>
      <c r="AC45" s="99">
        <f>ROUND(SUM(AC22:AC44),2)</f>
        <v>26860.25</v>
      </c>
      <c r="AD45" s="589"/>
    </row>
    <row r="46" spans="2:30" s="294" customFormat="1" ht="9.75" thickTop="1">
      <c r="B46" s="295"/>
      <c r="C46" s="291"/>
      <c r="D46" s="293" t="s">
        <v>131</v>
      </c>
      <c r="E46" s="296"/>
      <c r="F46" s="297"/>
      <c r="G46" s="298"/>
      <c r="H46" s="297"/>
      <c r="I46" s="299"/>
      <c r="J46" s="299"/>
      <c r="K46" s="299"/>
      <c r="L46" s="299"/>
      <c r="M46" s="299"/>
      <c r="N46" s="299"/>
      <c r="O46" s="300"/>
      <c r="P46" s="299"/>
      <c r="Q46" s="299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2"/>
      <c r="AD46" s="303"/>
    </row>
    <row r="47" spans="2:30" s="16" customFormat="1" ht="16.5" customHeight="1" thickBot="1"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3"/>
    </row>
    <row r="48" spans="2:30" ht="16.5" customHeight="1" thickTop="1">
      <c r="B48" s="12"/>
      <c r="AD48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AD48"/>
  <sheetViews>
    <sheetView zoomScale="75" zoomScaleNormal="75" workbookViewId="0" topLeftCell="A1">
      <selection activeCell="J19" sqref="J19:L1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10" customFormat="1" ht="26.25">
      <c r="A1" s="160"/>
      <c r="AD1" s="647"/>
    </row>
    <row r="2" spans="1:30" s="110" customFormat="1" ht="26.25">
      <c r="A2" s="160"/>
      <c r="B2" s="111" t="str">
        <f>+'tot-9911'!B2</f>
        <v>ANEXO I A LA RESOLUCION ENRE N° 320/2000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30" s="16" customFormat="1" ht="13.5" thickTop="1">
      <c r="B7" s="161"/>
      <c r="C7" s="162"/>
      <c r="D7" s="162"/>
      <c r="E7" s="16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4"/>
    </row>
    <row r="8" spans="2:30" s="10" customFormat="1" ht="20.25">
      <c r="B8" s="175"/>
      <c r="C8" s="11"/>
      <c r="D8" s="7" t="s">
        <v>102</v>
      </c>
      <c r="E8" s="11"/>
      <c r="F8" s="11"/>
      <c r="G8" s="11"/>
      <c r="H8" s="11"/>
      <c r="N8" s="11"/>
      <c r="O8" s="11"/>
      <c r="P8" s="176"/>
      <c r="Q8" s="17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77"/>
    </row>
    <row r="9" spans="2:30" s="16" customFormat="1" ht="12.75">
      <c r="B9" s="1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5"/>
    </row>
    <row r="10" spans="2:30" s="10" customFormat="1" ht="20.25">
      <c r="B10" s="175"/>
      <c r="C10" s="11"/>
      <c r="D10" s="176" t="s">
        <v>103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77"/>
    </row>
    <row r="11" spans="2:30" s="16" customFormat="1" ht="12.75">
      <c r="B11" s="14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65"/>
    </row>
    <row r="12" spans="2:30" s="10" customFormat="1" ht="20.25">
      <c r="B12" s="175"/>
      <c r="C12" s="11"/>
      <c r="D12" s="176" t="s">
        <v>104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76"/>
      <c r="Q12" s="17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77"/>
    </row>
    <row r="13" spans="2:30" s="16" customFormat="1" ht="12.75">
      <c r="B13" s="14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5"/>
    </row>
    <row r="14" spans="2:30" s="10" customFormat="1" ht="20.25">
      <c r="B14" s="175"/>
      <c r="C14" s="11"/>
      <c r="D14" s="176" t="s">
        <v>304</v>
      </c>
      <c r="E14" s="11"/>
      <c r="F14" s="11"/>
      <c r="G14" s="11"/>
      <c r="I14" s="11"/>
      <c r="J14" s="11"/>
      <c r="K14" s="11"/>
      <c r="L14" s="11"/>
      <c r="M14" s="11"/>
      <c r="N14" s="11"/>
      <c r="O14" s="11"/>
      <c r="P14" s="176"/>
      <c r="Q14" s="176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77"/>
    </row>
    <row r="15" spans="2:30" s="16" customFormat="1" ht="12.75">
      <c r="B15" s="142"/>
      <c r="C15" s="14"/>
      <c r="D15" s="14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65"/>
    </row>
    <row r="16" spans="2:30" s="15" customFormat="1" ht="19.5">
      <c r="B16" s="130" t="str">
        <f>+'tot-9911'!B14</f>
        <v>Desde el 01 al 30 de noviembre de 1999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79"/>
      <c r="O16" s="179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80"/>
    </row>
    <row r="17" spans="2:30" s="16" customFormat="1" ht="16.5" customHeight="1" thickBot="1">
      <c r="B17" s="142"/>
      <c r="C17" s="14"/>
      <c r="D17" s="14"/>
      <c r="E17" s="2"/>
      <c r="F17" s="2"/>
      <c r="G17" s="14"/>
      <c r="H17" s="14"/>
      <c r="I17" s="14"/>
      <c r="J17" s="174"/>
      <c r="K17" s="14"/>
      <c r="L17" s="14"/>
      <c r="M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65"/>
    </row>
    <row r="18" spans="2:30" s="16" customFormat="1" ht="16.5" customHeight="1" thickBot="1" thickTop="1">
      <c r="B18" s="142"/>
      <c r="C18" s="14"/>
      <c r="D18" s="181" t="s">
        <v>105</v>
      </c>
      <c r="E18" s="639">
        <v>53.632</v>
      </c>
      <c r="F18" s="28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5"/>
    </row>
    <row r="19" spans="2:30" s="16" customFormat="1" ht="16.5" customHeight="1" thickBot="1" thickTop="1">
      <c r="B19" s="142"/>
      <c r="C19" s="14"/>
      <c r="D19" s="181" t="s">
        <v>106</v>
      </c>
      <c r="E19" s="639">
        <v>44.693</v>
      </c>
      <c r="F19" s="288"/>
      <c r="G19" s="14"/>
      <c r="H19" s="14"/>
      <c r="I19" s="14"/>
      <c r="J19" s="181" t="s">
        <v>178</v>
      </c>
      <c r="K19" s="649">
        <v>0.998</v>
      </c>
      <c r="L19" s="14" t="s">
        <v>179</v>
      </c>
      <c r="M19" s="14"/>
      <c r="N19" s="14"/>
      <c r="O19" s="14"/>
      <c r="P19" s="14"/>
      <c r="Q19" s="14"/>
      <c r="R19" s="14"/>
      <c r="S19" s="14"/>
      <c r="T19" s="14"/>
      <c r="U19" s="14"/>
      <c r="V19" s="167"/>
      <c r="W19" s="167"/>
      <c r="X19" s="167"/>
      <c r="Y19" s="167"/>
      <c r="Z19" s="167"/>
      <c r="AA19" s="167"/>
      <c r="AB19" s="167"/>
      <c r="AD19" s="165"/>
    </row>
    <row r="20" spans="2:30" s="16" customFormat="1" ht="16.5" customHeight="1" thickBot="1" thickTop="1">
      <c r="B20" s="142"/>
      <c r="C20" s="14"/>
      <c r="D20" s="14"/>
      <c r="E20" s="1"/>
      <c r="F20" s="14"/>
      <c r="G20" s="14"/>
      <c r="H20" s="14"/>
      <c r="I20" s="14"/>
      <c r="J20" s="14"/>
      <c r="K20" s="14"/>
      <c r="L20" s="14"/>
      <c r="M20" s="14"/>
      <c r="N20" s="16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65"/>
    </row>
    <row r="21" spans="2:30" s="16" customFormat="1" ht="33.75" customHeight="1" thickBot="1" thickTop="1">
      <c r="B21" s="142"/>
      <c r="C21" s="182" t="s">
        <v>107</v>
      </c>
      <c r="D21" s="185" t="s">
        <v>88</v>
      </c>
      <c r="E21" s="438" t="s">
        <v>108</v>
      </c>
      <c r="F21" s="191" t="s">
        <v>109</v>
      </c>
      <c r="G21" s="184" t="s">
        <v>110</v>
      </c>
      <c r="H21" s="439" t="s">
        <v>111</v>
      </c>
      <c r="I21" s="436" t="s">
        <v>112</v>
      </c>
      <c r="J21" s="185" t="s">
        <v>113</v>
      </c>
      <c r="K21" s="186" t="s">
        <v>114</v>
      </c>
      <c r="L21" s="190" t="s">
        <v>115</v>
      </c>
      <c r="M21" s="191" t="s">
        <v>116</v>
      </c>
      <c r="N21" s="190" t="s">
        <v>117</v>
      </c>
      <c r="O21" s="191" t="s">
        <v>118</v>
      </c>
      <c r="P21" s="186" t="s">
        <v>119</v>
      </c>
      <c r="Q21" s="185" t="s">
        <v>120</v>
      </c>
      <c r="R21" s="381" t="s">
        <v>121</v>
      </c>
      <c r="S21" s="387" t="s">
        <v>122</v>
      </c>
      <c r="T21" s="353" t="s">
        <v>123</v>
      </c>
      <c r="U21" s="354"/>
      <c r="V21" s="355"/>
      <c r="W21" s="396" t="s">
        <v>124</v>
      </c>
      <c r="X21" s="397"/>
      <c r="Y21" s="398"/>
      <c r="Z21" s="422" t="s">
        <v>125</v>
      </c>
      <c r="AA21" s="423" t="s">
        <v>126</v>
      </c>
      <c r="AB21" s="192" t="s">
        <v>127</v>
      </c>
      <c r="AC21" s="192" t="s">
        <v>128</v>
      </c>
      <c r="AD21" s="169"/>
    </row>
    <row r="22" spans="2:30" s="16" customFormat="1" ht="16.5" customHeight="1" thickTop="1">
      <c r="B22" s="142"/>
      <c r="C22" s="417"/>
      <c r="D22" s="444" t="s">
        <v>182</v>
      </c>
      <c r="E22" s="444"/>
      <c r="F22" s="417"/>
      <c r="G22" s="417"/>
      <c r="H22" s="442"/>
      <c r="I22" s="443"/>
      <c r="J22" s="417"/>
      <c r="K22" s="417"/>
      <c r="L22" s="417"/>
      <c r="M22" s="417"/>
      <c r="N22" s="417"/>
      <c r="O22" s="417"/>
      <c r="P22" s="417"/>
      <c r="Q22" s="417"/>
      <c r="R22" s="383"/>
      <c r="S22" s="388"/>
      <c r="T22" s="406"/>
      <c r="U22" s="407"/>
      <c r="V22" s="408"/>
      <c r="W22" s="409"/>
      <c r="X22" s="410"/>
      <c r="Y22" s="411"/>
      <c r="Z22" s="418"/>
      <c r="AA22" s="424"/>
      <c r="AB22" s="417"/>
      <c r="AC22" s="626">
        <f>ROUND('LI-9911'!AC45,2)</f>
        <v>26860.25</v>
      </c>
      <c r="AD22" s="165"/>
    </row>
    <row r="23" spans="2:30" s="16" customFormat="1" ht="16.5" customHeight="1">
      <c r="B23" s="142"/>
      <c r="C23" s="17"/>
      <c r="D23" s="17"/>
      <c r="E23" s="20"/>
      <c r="F23" s="17"/>
      <c r="G23" s="17"/>
      <c r="H23" s="434"/>
      <c r="I23" s="437"/>
      <c r="J23" s="19"/>
      <c r="K23" s="14"/>
      <c r="L23" s="17"/>
      <c r="M23" s="17"/>
      <c r="N23" s="18"/>
      <c r="O23" s="17"/>
      <c r="P23" s="17"/>
      <c r="Q23" s="17"/>
      <c r="R23" s="379"/>
      <c r="S23" s="384"/>
      <c r="T23" s="414"/>
      <c r="U23" s="389"/>
      <c r="V23" s="390"/>
      <c r="W23" s="412"/>
      <c r="X23" s="399"/>
      <c r="Y23" s="400"/>
      <c r="Z23" s="419"/>
      <c r="AA23" s="425"/>
      <c r="AB23" s="17"/>
      <c r="AC23" s="193"/>
      <c r="AD23" s="165"/>
    </row>
    <row r="24" spans="2:30" s="16" customFormat="1" ht="16.5" customHeight="1">
      <c r="B24" s="142"/>
      <c r="C24" s="20">
        <v>21</v>
      </c>
      <c r="D24" s="20" t="s">
        <v>180</v>
      </c>
      <c r="E24" s="440">
        <v>500</v>
      </c>
      <c r="F24" s="22">
        <v>52</v>
      </c>
      <c r="G24" s="440" t="s">
        <v>2</v>
      </c>
      <c r="H24" s="441">
        <f aca="true" t="shared" si="0" ref="H24:H43">IF(G24="A",200,IF(G24="B",60,20))</f>
        <v>20</v>
      </c>
      <c r="I24" s="640">
        <f aca="true" t="shared" si="1" ref="I24:I43">IF(E24=500,IF(F24&lt;100,100*$E$18/100,F24*$E$18/100),IF(F24&lt;100,100*$E$19/100,F24*$E$19/100))*$K$19</f>
        <v>53.524736</v>
      </c>
      <c r="J24" s="19">
        <v>36488.29305555556</v>
      </c>
      <c r="K24" s="25">
        <v>36488.319444444445</v>
      </c>
      <c r="L24" s="26">
        <f aca="true" t="shared" si="2" ref="L24:L43">IF(D24="","",(K24-J24)*24)</f>
        <v>0.6333333333022892</v>
      </c>
      <c r="M24" s="27">
        <f aca="true" t="shared" si="3" ref="M24:M43">IF(D24="","",ROUND((K24-J24)*24*60,0))</f>
        <v>38</v>
      </c>
      <c r="N24" s="28" t="s">
        <v>196</v>
      </c>
      <c r="O24" s="378" t="str">
        <f aca="true" t="shared" si="4" ref="O24:O43">IF(D24="","","--")</f>
        <v>--</v>
      </c>
      <c r="P24" s="24" t="str">
        <f aca="true" t="shared" si="5" ref="P24:P43">IF(D24="","","NO")</f>
        <v>NO</v>
      </c>
      <c r="Q24" s="24" t="str">
        <f aca="true" t="shared" si="6" ref="Q24:Q43">IF(D24="","",IF(OR(N24="P",N24="RP"),"--","NO"))</f>
        <v>NO</v>
      </c>
      <c r="R24" s="382" t="str">
        <f aca="true" t="shared" si="7" ref="R24:R43">IF(N24="P",I24*H24*ROUND(M24/60,2)*0.01,"--")</f>
        <v>--</v>
      </c>
      <c r="S24" s="385" t="str">
        <f aca="true" t="shared" si="8" ref="S24:S43">IF(N24="RP",I24*H24*ROUND(M24/60,2)*0.01*O24/100,"--")</f>
        <v>--</v>
      </c>
      <c r="T24" s="415">
        <f aca="true" t="shared" si="9" ref="T24:T43">IF(AND(N24="F",Q24="NO"),I24*H24*IF(P24="SI",1.2,1),"--")</f>
        <v>1070.49472</v>
      </c>
      <c r="U24" s="391">
        <f aca="true" t="shared" si="10" ref="U24:U43">IF(AND(N24="F",M24&gt;=10),I24*H24*IF(P24="SI",1.2,1)*IF(M24&lt;=300,ROUND(M24/60,2),5),"--")</f>
        <v>674.4116736</v>
      </c>
      <c r="V24" s="392" t="str">
        <f aca="true" t="shared" si="11" ref="V24:V43">IF(AND(N24="F",M24&gt;300),(ROUND(M24/60,2)-5)*I24*H24*0.1*IF(P24="SI",1.2,1),"--")</f>
        <v>--</v>
      </c>
      <c r="W24" s="413" t="str">
        <f aca="true" t="shared" si="12" ref="W24:W43">IF(AND(N24="R",Q24="NO"),I24*H24*O24/100*IF(P24="SI",1.2,1),"--")</f>
        <v>--</v>
      </c>
      <c r="X24" s="401" t="str">
        <f aca="true" t="shared" si="13" ref="X24:X43">IF(AND(N24="R",M24&gt;=10),I24*H24*O24/100*IF(P24="SI",1.2,1)*IF(M24&lt;=300,ROUND(M24/60,2),5),"--")</f>
        <v>--</v>
      </c>
      <c r="Y24" s="402" t="str">
        <f aca="true" t="shared" si="14" ref="Y24:Y43">IF(AND(N24="R",M24&gt;300),(ROUND(M24/60,2)-5)*I24*H24*0.1*O24/100*IF(P24="SI",1.2,1),"--")</f>
        <v>--</v>
      </c>
      <c r="Z24" s="420" t="str">
        <f aca="true" t="shared" si="15" ref="Z24:Z43">IF(N24="RF",ROUND(M24/60,2)*I24*H24*0.1*IF(P24="SI",1.2,1),"--")</f>
        <v>--</v>
      </c>
      <c r="AA24" s="426" t="str">
        <f aca="true" t="shared" si="16" ref="AA24:AA43">IF(N24="RR",ROUND(M24/60,2)*I24*H24*0.1*O24/100*IF(P24="SI",1.2,1),"--")</f>
        <v>--</v>
      </c>
      <c r="AB24" s="416" t="str">
        <f aca="true" t="shared" si="17" ref="AB24:AB43">IF(D24="","","SI")</f>
        <v>SI</v>
      </c>
      <c r="AC24" s="30">
        <f aca="true" t="shared" si="18" ref="AC24:AC43">IF(D24="","",SUM(R24:AA24)*IF(AB24="SI",1,2))</f>
        <v>1744.9063935999998</v>
      </c>
      <c r="AD24" s="589"/>
    </row>
    <row r="25" spans="2:30" s="16" customFormat="1" ht="16.5" customHeight="1">
      <c r="B25" s="142"/>
      <c r="C25" s="20">
        <v>22</v>
      </c>
      <c r="D25" s="20" t="s">
        <v>18</v>
      </c>
      <c r="E25" s="440">
        <v>500</v>
      </c>
      <c r="F25" s="22">
        <v>159</v>
      </c>
      <c r="G25" s="440" t="s">
        <v>2</v>
      </c>
      <c r="H25" s="441">
        <f t="shared" si="0"/>
        <v>20</v>
      </c>
      <c r="I25" s="640">
        <f t="shared" si="1"/>
        <v>85.10433024</v>
      </c>
      <c r="J25" s="19">
        <v>36490.25555555556</v>
      </c>
      <c r="K25" s="25">
        <v>36490.72222222222</v>
      </c>
      <c r="L25" s="26">
        <f t="shared" si="2"/>
        <v>11.199999999837019</v>
      </c>
      <c r="M25" s="27">
        <f t="shared" si="3"/>
        <v>672</v>
      </c>
      <c r="N25" s="28" t="s">
        <v>197</v>
      </c>
      <c r="O25" s="378" t="str">
        <f t="shared" si="4"/>
        <v>--</v>
      </c>
      <c r="P25" s="24" t="str">
        <f t="shared" si="5"/>
        <v>NO</v>
      </c>
      <c r="Q25" s="24" t="str">
        <f t="shared" si="6"/>
        <v>--</v>
      </c>
      <c r="R25" s="382">
        <f t="shared" si="7"/>
        <v>190.63369973759995</v>
      </c>
      <c r="S25" s="385" t="str">
        <f t="shared" si="8"/>
        <v>--</v>
      </c>
      <c r="T25" s="415" t="str">
        <f t="shared" si="9"/>
        <v>--</v>
      </c>
      <c r="U25" s="391" t="str">
        <f t="shared" si="10"/>
        <v>--</v>
      </c>
      <c r="V25" s="392" t="str">
        <f t="shared" si="11"/>
        <v>--</v>
      </c>
      <c r="W25" s="413" t="str">
        <f t="shared" si="12"/>
        <v>--</v>
      </c>
      <c r="X25" s="401" t="str">
        <f t="shared" si="13"/>
        <v>--</v>
      </c>
      <c r="Y25" s="402" t="str">
        <f t="shared" si="14"/>
        <v>--</v>
      </c>
      <c r="Z25" s="420" t="str">
        <f t="shared" si="15"/>
        <v>--</v>
      </c>
      <c r="AA25" s="426" t="str">
        <f t="shared" si="16"/>
        <v>--</v>
      </c>
      <c r="AB25" s="416" t="str">
        <f t="shared" si="17"/>
        <v>SI</v>
      </c>
      <c r="AC25" s="30">
        <f t="shared" si="18"/>
        <v>190.63369973759995</v>
      </c>
      <c r="AD25" s="589"/>
    </row>
    <row r="26" spans="2:30" s="16" customFormat="1" ht="16.5" customHeight="1">
      <c r="B26" s="142"/>
      <c r="C26" s="20">
        <v>23</v>
      </c>
      <c r="D26" s="20" t="s">
        <v>13</v>
      </c>
      <c r="E26" s="440">
        <v>500</v>
      </c>
      <c r="F26" s="22">
        <v>258</v>
      </c>
      <c r="G26" s="440" t="s">
        <v>2</v>
      </c>
      <c r="H26" s="441">
        <f t="shared" si="0"/>
        <v>20</v>
      </c>
      <c r="I26" s="640">
        <f t="shared" si="1"/>
        <v>138.09381888</v>
      </c>
      <c r="J26" s="19">
        <v>36491.24097222222</v>
      </c>
      <c r="K26" s="25">
        <v>36491.714583333334</v>
      </c>
      <c r="L26" s="26">
        <f t="shared" si="2"/>
        <v>11.36666666669771</v>
      </c>
      <c r="M26" s="27">
        <f t="shared" si="3"/>
        <v>682</v>
      </c>
      <c r="N26" s="28" t="s">
        <v>197</v>
      </c>
      <c r="O26" s="378" t="str">
        <f t="shared" si="4"/>
        <v>--</v>
      </c>
      <c r="P26" s="24" t="str">
        <f t="shared" si="5"/>
        <v>NO</v>
      </c>
      <c r="Q26" s="24" t="str">
        <f t="shared" si="6"/>
        <v>--</v>
      </c>
      <c r="R26" s="382">
        <f t="shared" si="7"/>
        <v>314.02534413312</v>
      </c>
      <c r="S26" s="385" t="str">
        <f t="shared" si="8"/>
        <v>--</v>
      </c>
      <c r="T26" s="415" t="str">
        <f t="shared" si="9"/>
        <v>--</v>
      </c>
      <c r="U26" s="391" t="str">
        <f t="shared" si="10"/>
        <v>--</v>
      </c>
      <c r="V26" s="392" t="str">
        <f t="shared" si="11"/>
        <v>--</v>
      </c>
      <c r="W26" s="413" t="str">
        <f t="shared" si="12"/>
        <v>--</v>
      </c>
      <c r="X26" s="401" t="str">
        <f t="shared" si="13"/>
        <v>--</v>
      </c>
      <c r="Y26" s="402" t="str">
        <f t="shared" si="14"/>
        <v>--</v>
      </c>
      <c r="Z26" s="420" t="str">
        <f t="shared" si="15"/>
        <v>--</v>
      </c>
      <c r="AA26" s="426" t="str">
        <f t="shared" si="16"/>
        <v>--</v>
      </c>
      <c r="AB26" s="416" t="str">
        <f t="shared" si="17"/>
        <v>SI</v>
      </c>
      <c r="AC26" s="30">
        <f t="shared" si="18"/>
        <v>314.02534413312</v>
      </c>
      <c r="AD26" s="589"/>
    </row>
    <row r="27" spans="2:30" s="16" customFormat="1" ht="16.5" customHeight="1">
      <c r="B27" s="142"/>
      <c r="C27" s="20">
        <v>24</v>
      </c>
      <c r="D27" s="20" t="s">
        <v>19</v>
      </c>
      <c r="E27" s="440">
        <v>500</v>
      </c>
      <c r="F27" s="22">
        <v>289</v>
      </c>
      <c r="G27" s="440" t="s">
        <v>2</v>
      </c>
      <c r="H27" s="441">
        <f t="shared" si="0"/>
        <v>20</v>
      </c>
      <c r="I27" s="640">
        <f t="shared" si="1"/>
        <v>154.68648704</v>
      </c>
      <c r="J27" s="19">
        <v>36494.575694444444</v>
      </c>
      <c r="K27" s="25">
        <v>36494.580555555556</v>
      </c>
      <c r="L27" s="26">
        <f t="shared" si="2"/>
        <v>0.11666666669771075</v>
      </c>
      <c r="M27" s="27">
        <f t="shared" si="3"/>
        <v>7</v>
      </c>
      <c r="N27" s="28" t="s">
        <v>196</v>
      </c>
      <c r="O27" s="378" t="str">
        <f t="shared" si="4"/>
        <v>--</v>
      </c>
      <c r="P27" s="24" t="str">
        <f t="shared" si="5"/>
        <v>NO</v>
      </c>
      <c r="Q27" s="24" t="str">
        <f t="shared" si="6"/>
        <v>NO</v>
      </c>
      <c r="R27" s="382" t="str">
        <f t="shared" si="7"/>
        <v>--</v>
      </c>
      <c r="S27" s="385" t="str">
        <f t="shared" si="8"/>
        <v>--</v>
      </c>
      <c r="T27" s="415">
        <f t="shared" si="9"/>
        <v>3093.7297408</v>
      </c>
      <c r="U27" s="391" t="str">
        <f t="shared" si="10"/>
        <v>--</v>
      </c>
      <c r="V27" s="392" t="str">
        <f t="shared" si="11"/>
        <v>--</v>
      </c>
      <c r="W27" s="413" t="str">
        <f t="shared" si="12"/>
        <v>--</v>
      </c>
      <c r="X27" s="401" t="str">
        <f t="shared" si="13"/>
        <v>--</v>
      </c>
      <c r="Y27" s="402" t="str">
        <f t="shared" si="14"/>
        <v>--</v>
      </c>
      <c r="Z27" s="420" t="str">
        <f t="shared" si="15"/>
        <v>--</v>
      </c>
      <c r="AA27" s="426" t="str">
        <f t="shared" si="16"/>
        <v>--</v>
      </c>
      <c r="AB27" s="416" t="str">
        <f t="shared" si="17"/>
        <v>SI</v>
      </c>
      <c r="AC27" s="30">
        <f t="shared" si="18"/>
        <v>3093.7297408</v>
      </c>
      <c r="AD27" s="589"/>
    </row>
    <row r="28" spans="2:30" s="16" customFormat="1" ht="16.5" customHeight="1">
      <c r="B28" s="142"/>
      <c r="C28" s="20">
        <v>27</v>
      </c>
      <c r="D28" s="20" t="s">
        <v>3</v>
      </c>
      <c r="E28" s="440">
        <v>500</v>
      </c>
      <c r="F28" s="22">
        <v>345</v>
      </c>
      <c r="G28" s="440" t="s">
        <v>4</v>
      </c>
      <c r="H28" s="441">
        <f t="shared" si="0"/>
        <v>60</v>
      </c>
      <c r="I28" s="640">
        <f t="shared" si="1"/>
        <v>184.6603392</v>
      </c>
      <c r="J28" s="19">
        <v>36494.88402777778</v>
      </c>
      <c r="K28" s="25">
        <v>36494.89375</v>
      </c>
      <c r="L28" s="26">
        <f t="shared" si="2"/>
        <v>0.2333333333954215</v>
      </c>
      <c r="M28" s="27">
        <f t="shared" si="3"/>
        <v>14</v>
      </c>
      <c r="N28" s="28" t="s">
        <v>196</v>
      </c>
      <c r="O28" s="378" t="str">
        <f t="shared" si="4"/>
        <v>--</v>
      </c>
      <c r="P28" s="24" t="str">
        <f t="shared" si="5"/>
        <v>NO</v>
      </c>
      <c r="Q28" s="24" t="str">
        <f t="shared" si="6"/>
        <v>NO</v>
      </c>
      <c r="R28" s="382" t="str">
        <f t="shared" si="7"/>
        <v>--</v>
      </c>
      <c r="S28" s="385" t="str">
        <f t="shared" si="8"/>
        <v>--</v>
      </c>
      <c r="T28" s="415">
        <f t="shared" si="9"/>
        <v>11079.620352</v>
      </c>
      <c r="U28" s="391">
        <f t="shared" si="10"/>
        <v>2548.3126809600003</v>
      </c>
      <c r="V28" s="392" t="str">
        <f t="shared" si="11"/>
        <v>--</v>
      </c>
      <c r="W28" s="413" t="str">
        <f t="shared" si="12"/>
        <v>--</v>
      </c>
      <c r="X28" s="401" t="str">
        <f t="shared" si="13"/>
        <v>--</v>
      </c>
      <c r="Y28" s="402" t="str">
        <f t="shared" si="14"/>
        <v>--</v>
      </c>
      <c r="Z28" s="420" t="str">
        <f t="shared" si="15"/>
        <v>--</v>
      </c>
      <c r="AA28" s="426" t="str">
        <f t="shared" si="16"/>
        <v>--</v>
      </c>
      <c r="AB28" s="416" t="str">
        <f t="shared" si="17"/>
        <v>SI</v>
      </c>
      <c r="AC28" s="30">
        <f t="shared" si="18"/>
        <v>13627.93303296</v>
      </c>
      <c r="AD28" s="589"/>
    </row>
    <row r="29" spans="2:30" s="16" customFormat="1" ht="16.5" customHeight="1">
      <c r="B29" s="142"/>
      <c r="C29" s="20">
        <v>28</v>
      </c>
      <c r="D29" s="20" t="s">
        <v>14</v>
      </c>
      <c r="E29" s="440">
        <v>500</v>
      </c>
      <c r="F29" s="22">
        <v>421</v>
      </c>
      <c r="G29" s="440" t="s">
        <v>8</v>
      </c>
      <c r="H29" s="441">
        <f t="shared" si="0"/>
        <v>200</v>
      </c>
      <c r="I29" s="640">
        <f t="shared" si="1"/>
        <v>225.33913855999998</v>
      </c>
      <c r="J29" s="19">
        <v>36494.90833333333</v>
      </c>
      <c r="K29" s="25">
        <v>36494.96111111111</v>
      </c>
      <c r="L29" s="26">
        <f t="shared" si="2"/>
        <v>1.2666666666045785</v>
      </c>
      <c r="M29" s="27">
        <f t="shared" si="3"/>
        <v>76</v>
      </c>
      <c r="N29" s="28" t="s">
        <v>196</v>
      </c>
      <c r="O29" s="378" t="str">
        <f t="shared" si="4"/>
        <v>--</v>
      </c>
      <c r="P29" s="24" t="str">
        <f t="shared" si="5"/>
        <v>NO</v>
      </c>
      <c r="Q29" s="24" t="str">
        <f t="shared" si="6"/>
        <v>NO</v>
      </c>
      <c r="R29" s="382" t="str">
        <f t="shared" si="7"/>
        <v>--</v>
      </c>
      <c r="S29" s="385" t="str">
        <f t="shared" si="8"/>
        <v>--</v>
      </c>
      <c r="T29" s="415">
        <f t="shared" si="9"/>
        <v>45067.827712</v>
      </c>
      <c r="U29" s="391">
        <f t="shared" si="10"/>
        <v>57236.14119424</v>
      </c>
      <c r="V29" s="392" t="str">
        <f t="shared" si="11"/>
        <v>--</v>
      </c>
      <c r="W29" s="413" t="str">
        <f t="shared" si="12"/>
        <v>--</v>
      </c>
      <c r="X29" s="401" t="str">
        <f t="shared" si="13"/>
        <v>--</v>
      </c>
      <c r="Y29" s="402" t="str">
        <f t="shared" si="14"/>
        <v>--</v>
      </c>
      <c r="Z29" s="420" t="str">
        <f t="shared" si="15"/>
        <v>--</v>
      </c>
      <c r="AA29" s="426" t="str">
        <f t="shared" si="16"/>
        <v>--</v>
      </c>
      <c r="AB29" s="416" t="str">
        <f t="shared" si="17"/>
        <v>SI</v>
      </c>
      <c r="AC29" s="30">
        <f t="shared" si="18"/>
        <v>102303.96890624</v>
      </c>
      <c r="AD29" s="589"/>
    </row>
    <row r="30" spans="2:30" s="16" customFormat="1" ht="16.5" customHeight="1">
      <c r="B30" s="142"/>
      <c r="C30" s="20">
        <v>29</v>
      </c>
      <c r="D30" s="20" t="s">
        <v>7</v>
      </c>
      <c r="E30" s="440">
        <v>500</v>
      </c>
      <c r="F30" s="22">
        <v>3</v>
      </c>
      <c r="G30" s="440" t="s">
        <v>2</v>
      </c>
      <c r="H30" s="441">
        <f t="shared" si="0"/>
        <v>20</v>
      </c>
      <c r="I30" s="640">
        <f t="shared" si="1"/>
        <v>53.524736</v>
      </c>
      <c r="J30" s="19">
        <v>36494.916666666664</v>
      </c>
      <c r="K30" s="25">
        <v>36494.94652777778</v>
      </c>
      <c r="L30" s="26">
        <f t="shared" si="2"/>
        <v>0.7166666667326353</v>
      </c>
      <c r="M30" s="27">
        <f t="shared" si="3"/>
        <v>43</v>
      </c>
      <c r="N30" s="28" t="s">
        <v>196</v>
      </c>
      <c r="O30" s="378" t="str">
        <f t="shared" si="4"/>
        <v>--</v>
      </c>
      <c r="P30" s="24" t="str">
        <f t="shared" si="5"/>
        <v>NO</v>
      </c>
      <c r="Q30" s="24" t="str">
        <f t="shared" si="6"/>
        <v>NO</v>
      </c>
      <c r="R30" s="382" t="str">
        <f t="shared" si="7"/>
        <v>--</v>
      </c>
      <c r="S30" s="385" t="str">
        <f t="shared" si="8"/>
        <v>--</v>
      </c>
      <c r="T30" s="415">
        <f t="shared" si="9"/>
        <v>1070.49472</v>
      </c>
      <c r="U30" s="391">
        <f t="shared" si="10"/>
        <v>770.7561983999999</v>
      </c>
      <c r="V30" s="392" t="str">
        <f t="shared" si="11"/>
        <v>--</v>
      </c>
      <c r="W30" s="413" t="str">
        <f t="shared" si="12"/>
        <v>--</v>
      </c>
      <c r="X30" s="401" t="str">
        <f t="shared" si="13"/>
        <v>--</v>
      </c>
      <c r="Y30" s="402" t="str">
        <f t="shared" si="14"/>
        <v>--</v>
      </c>
      <c r="Z30" s="420" t="str">
        <f t="shared" si="15"/>
        <v>--</v>
      </c>
      <c r="AA30" s="426" t="str">
        <f t="shared" si="16"/>
        <v>--</v>
      </c>
      <c r="AB30" s="416" t="str">
        <f t="shared" si="17"/>
        <v>SI</v>
      </c>
      <c r="AC30" s="30">
        <f t="shared" si="18"/>
        <v>1841.2509183999998</v>
      </c>
      <c r="AD30" s="589"/>
    </row>
    <row r="31" spans="2:30" s="16" customFormat="1" ht="16.5" customHeight="1">
      <c r="B31" s="142"/>
      <c r="C31" s="20"/>
      <c r="D31" s="20"/>
      <c r="E31" s="440"/>
      <c r="F31" s="22"/>
      <c r="G31" s="440"/>
      <c r="H31" s="441">
        <f t="shared" si="0"/>
        <v>20</v>
      </c>
      <c r="I31" s="640">
        <f t="shared" si="1"/>
        <v>44.60361400000001</v>
      </c>
      <c r="J31" s="19"/>
      <c r="K31" s="25"/>
      <c r="L31" s="26">
        <f t="shared" si="2"/>
      </c>
      <c r="M31" s="27">
        <f t="shared" si="3"/>
      </c>
      <c r="N31" s="28"/>
      <c r="O31" s="378">
        <f t="shared" si="4"/>
      </c>
      <c r="P31" s="24">
        <f t="shared" si="5"/>
      </c>
      <c r="Q31" s="24">
        <f t="shared" si="6"/>
      </c>
      <c r="R31" s="382" t="str">
        <f t="shared" si="7"/>
        <v>--</v>
      </c>
      <c r="S31" s="385" t="str">
        <f t="shared" si="8"/>
        <v>--</v>
      </c>
      <c r="T31" s="415" t="str">
        <f t="shared" si="9"/>
        <v>--</v>
      </c>
      <c r="U31" s="391" t="str">
        <f t="shared" si="10"/>
        <v>--</v>
      </c>
      <c r="V31" s="392" t="str">
        <f t="shared" si="11"/>
        <v>--</v>
      </c>
      <c r="W31" s="413" t="str">
        <f t="shared" si="12"/>
        <v>--</v>
      </c>
      <c r="X31" s="401" t="str">
        <f t="shared" si="13"/>
        <v>--</v>
      </c>
      <c r="Y31" s="402" t="str">
        <f t="shared" si="14"/>
        <v>--</v>
      </c>
      <c r="Z31" s="420" t="str">
        <f t="shared" si="15"/>
        <v>--</v>
      </c>
      <c r="AA31" s="426" t="str">
        <f t="shared" si="16"/>
        <v>--</v>
      </c>
      <c r="AB31" s="416">
        <f t="shared" si="17"/>
      </c>
      <c r="AC31" s="30">
        <f t="shared" si="18"/>
      </c>
      <c r="AD31" s="589"/>
    </row>
    <row r="32" spans="2:30" s="16" customFormat="1" ht="16.5" customHeight="1">
      <c r="B32" s="142"/>
      <c r="C32" s="20"/>
      <c r="D32" s="20"/>
      <c r="E32" s="440"/>
      <c r="F32" s="22"/>
      <c r="G32" s="440"/>
      <c r="H32" s="441">
        <f t="shared" si="0"/>
        <v>20</v>
      </c>
      <c r="I32" s="640">
        <f t="shared" si="1"/>
        <v>44.60361400000001</v>
      </c>
      <c r="J32" s="19"/>
      <c r="K32" s="32"/>
      <c r="L32" s="26">
        <f t="shared" si="2"/>
      </c>
      <c r="M32" s="27">
        <f t="shared" si="3"/>
      </c>
      <c r="N32" s="28"/>
      <c r="O32" s="378">
        <f t="shared" si="4"/>
      </c>
      <c r="P32" s="24">
        <f t="shared" si="5"/>
      </c>
      <c r="Q32" s="24">
        <f t="shared" si="6"/>
      </c>
      <c r="R32" s="382" t="str">
        <f t="shared" si="7"/>
        <v>--</v>
      </c>
      <c r="S32" s="385" t="str">
        <f t="shared" si="8"/>
        <v>--</v>
      </c>
      <c r="T32" s="415" t="str">
        <f t="shared" si="9"/>
        <v>--</v>
      </c>
      <c r="U32" s="391" t="str">
        <f t="shared" si="10"/>
        <v>--</v>
      </c>
      <c r="V32" s="392" t="str">
        <f t="shared" si="11"/>
        <v>--</v>
      </c>
      <c r="W32" s="413" t="str">
        <f t="shared" si="12"/>
        <v>--</v>
      </c>
      <c r="X32" s="401" t="str">
        <f t="shared" si="13"/>
        <v>--</v>
      </c>
      <c r="Y32" s="402" t="str">
        <f t="shared" si="14"/>
        <v>--</v>
      </c>
      <c r="Z32" s="420" t="str">
        <f t="shared" si="15"/>
        <v>--</v>
      </c>
      <c r="AA32" s="426" t="str">
        <f t="shared" si="16"/>
        <v>--</v>
      </c>
      <c r="AB32" s="416">
        <f t="shared" si="17"/>
      </c>
      <c r="AC32" s="30">
        <f t="shared" si="18"/>
      </c>
      <c r="AD32" s="589"/>
    </row>
    <row r="33" spans="2:30" s="16" customFormat="1" ht="16.5" customHeight="1">
      <c r="B33" s="142"/>
      <c r="C33" s="20"/>
      <c r="D33" s="20"/>
      <c r="E33" s="440"/>
      <c r="F33" s="22"/>
      <c r="G33" s="440"/>
      <c r="H33" s="441">
        <f t="shared" si="0"/>
        <v>20</v>
      </c>
      <c r="I33" s="640">
        <f t="shared" si="1"/>
        <v>44.60361400000001</v>
      </c>
      <c r="J33" s="19"/>
      <c r="K33" s="32"/>
      <c r="L33" s="26">
        <f t="shared" si="2"/>
      </c>
      <c r="M33" s="27">
        <f t="shared" si="3"/>
      </c>
      <c r="N33" s="28"/>
      <c r="O33" s="378">
        <f t="shared" si="4"/>
      </c>
      <c r="P33" s="24">
        <f t="shared" si="5"/>
      </c>
      <c r="Q33" s="24">
        <f t="shared" si="6"/>
      </c>
      <c r="R33" s="382" t="str">
        <f t="shared" si="7"/>
        <v>--</v>
      </c>
      <c r="S33" s="385" t="str">
        <f t="shared" si="8"/>
        <v>--</v>
      </c>
      <c r="T33" s="415" t="str">
        <f t="shared" si="9"/>
        <v>--</v>
      </c>
      <c r="U33" s="391" t="str">
        <f t="shared" si="10"/>
        <v>--</v>
      </c>
      <c r="V33" s="392" t="str">
        <f t="shared" si="11"/>
        <v>--</v>
      </c>
      <c r="W33" s="413" t="str">
        <f t="shared" si="12"/>
        <v>--</v>
      </c>
      <c r="X33" s="401" t="str">
        <f t="shared" si="13"/>
        <v>--</v>
      </c>
      <c r="Y33" s="402" t="str">
        <f t="shared" si="14"/>
        <v>--</v>
      </c>
      <c r="Z33" s="420" t="str">
        <f t="shared" si="15"/>
        <v>--</v>
      </c>
      <c r="AA33" s="426" t="str">
        <f t="shared" si="16"/>
        <v>--</v>
      </c>
      <c r="AB33" s="416">
        <f t="shared" si="17"/>
      </c>
      <c r="AC33" s="30">
        <f t="shared" si="18"/>
      </c>
      <c r="AD33" s="589"/>
    </row>
    <row r="34" spans="2:30" s="16" customFormat="1" ht="16.5" customHeight="1">
      <c r="B34" s="142"/>
      <c r="C34" s="20"/>
      <c r="D34" s="20"/>
      <c r="E34" s="440"/>
      <c r="F34" s="22"/>
      <c r="G34" s="440"/>
      <c r="H34" s="441">
        <f t="shared" si="0"/>
        <v>20</v>
      </c>
      <c r="I34" s="640">
        <f t="shared" si="1"/>
        <v>44.60361400000001</v>
      </c>
      <c r="J34" s="19"/>
      <c r="K34" s="32"/>
      <c r="L34" s="26">
        <f t="shared" si="2"/>
      </c>
      <c r="M34" s="27">
        <f t="shared" si="3"/>
      </c>
      <c r="N34" s="28"/>
      <c r="O34" s="378">
        <f t="shared" si="4"/>
      </c>
      <c r="P34" s="24">
        <f t="shared" si="5"/>
      </c>
      <c r="Q34" s="24">
        <f t="shared" si="6"/>
      </c>
      <c r="R34" s="382" t="str">
        <f t="shared" si="7"/>
        <v>--</v>
      </c>
      <c r="S34" s="385" t="str">
        <f t="shared" si="8"/>
        <v>--</v>
      </c>
      <c r="T34" s="415" t="str">
        <f t="shared" si="9"/>
        <v>--</v>
      </c>
      <c r="U34" s="391" t="str">
        <f t="shared" si="10"/>
        <v>--</v>
      </c>
      <c r="V34" s="392" t="str">
        <f t="shared" si="11"/>
        <v>--</v>
      </c>
      <c r="W34" s="413" t="str">
        <f t="shared" si="12"/>
        <v>--</v>
      </c>
      <c r="X34" s="401" t="str">
        <f t="shared" si="13"/>
        <v>--</v>
      </c>
      <c r="Y34" s="402" t="str">
        <f t="shared" si="14"/>
        <v>--</v>
      </c>
      <c r="Z34" s="420" t="str">
        <f t="shared" si="15"/>
        <v>--</v>
      </c>
      <c r="AA34" s="426" t="str">
        <f t="shared" si="16"/>
        <v>--</v>
      </c>
      <c r="AB34" s="416">
        <f t="shared" si="17"/>
      </c>
      <c r="AC34" s="30">
        <f t="shared" si="18"/>
      </c>
      <c r="AD34" s="589"/>
    </row>
    <row r="35" spans="2:30" s="16" customFormat="1" ht="16.5" customHeight="1">
      <c r="B35" s="142"/>
      <c r="C35" s="20"/>
      <c r="D35" s="20"/>
      <c r="E35" s="440"/>
      <c r="F35" s="22"/>
      <c r="G35" s="440"/>
      <c r="H35" s="441">
        <f t="shared" si="0"/>
        <v>20</v>
      </c>
      <c r="I35" s="640">
        <f t="shared" si="1"/>
        <v>44.60361400000001</v>
      </c>
      <c r="J35" s="19"/>
      <c r="K35" s="32"/>
      <c r="L35" s="26">
        <f t="shared" si="2"/>
      </c>
      <c r="M35" s="27">
        <f t="shared" si="3"/>
      </c>
      <c r="N35" s="28"/>
      <c r="O35" s="378">
        <f t="shared" si="4"/>
      </c>
      <c r="P35" s="24">
        <f t="shared" si="5"/>
      </c>
      <c r="Q35" s="24">
        <f t="shared" si="6"/>
      </c>
      <c r="R35" s="382" t="str">
        <f t="shared" si="7"/>
        <v>--</v>
      </c>
      <c r="S35" s="385" t="str">
        <f t="shared" si="8"/>
        <v>--</v>
      </c>
      <c r="T35" s="415" t="str">
        <f t="shared" si="9"/>
        <v>--</v>
      </c>
      <c r="U35" s="391" t="str">
        <f t="shared" si="10"/>
        <v>--</v>
      </c>
      <c r="V35" s="392" t="str">
        <f t="shared" si="11"/>
        <v>--</v>
      </c>
      <c r="W35" s="413" t="str">
        <f t="shared" si="12"/>
        <v>--</v>
      </c>
      <c r="X35" s="401" t="str">
        <f t="shared" si="13"/>
        <v>--</v>
      </c>
      <c r="Y35" s="402" t="str">
        <f t="shared" si="14"/>
        <v>--</v>
      </c>
      <c r="Z35" s="420" t="str">
        <f t="shared" si="15"/>
        <v>--</v>
      </c>
      <c r="AA35" s="426" t="str">
        <f t="shared" si="16"/>
        <v>--</v>
      </c>
      <c r="AB35" s="416">
        <f t="shared" si="17"/>
      </c>
      <c r="AC35" s="30">
        <f t="shared" si="18"/>
      </c>
      <c r="AD35" s="589"/>
    </row>
    <row r="36" spans="2:30" s="16" customFormat="1" ht="16.5" customHeight="1">
      <c r="B36" s="142"/>
      <c r="C36" s="20"/>
      <c r="D36" s="20"/>
      <c r="E36" s="440"/>
      <c r="F36" s="22"/>
      <c r="G36" s="440"/>
      <c r="H36" s="441">
        <f t="shared" si="0"/>
        <v>20</v>
      </c>
      <c r="I36" s="640">
        <f t="shared" si="1"/>
        <v>44.60361400000001</v>
      </c>
      <c r="J36" s="19"/>
      <c r="K36" s="32"/>
      <c r="L36" s="26">
        <f t="shared" si="2"/>
      </c>
      <c r="M36" s="27">
        <f t="shared" si="3"/>
      </c>
      <c r="N36" s="28"/>
      <c r="O36" s="378">
        <f t="shared" si="4"/>
      </c>
      <c r="P36" s="24">
        <f t="shared" si="5"/>
      </c>
      <c r="Q36" s="24">
        <f t="shared" si="6"/>
      </c>
      <c r="R36" s="382" t="str">
        <f t="shared" si="7"/>
        <v>--</v>
      </c>
      <c r="S36" s="385" t="str">
        <f t="shared" si="8"/>
        <v>--</v>
      </c>
      <c r="T36" s="415" t="str">
        <f t="shared" si="9"/>
        <v>--</v>
      </c>
      <c r="U36" s="391" t="str">
        <f t="shared" si="10"/>
        <v>--</v>
      </c>
      <c r="V36" s="392" t="str">
        <f t="shared" si="11"/>
        <v>--</v>
      </c>
      <c r="W36" s="413" t="str">
        <f t="shared" si="12"/>
        <v>--</v>
      </c>
      <c r="X36" s="401" t="str">
        <f t="shared" si="13"/>
        <v>--</v>
      </c>
      <c r="Y36" s="402" t="str">
        <f t="shared" si="14"/>
        <v>--</v>
      </c>
      <c r="Z36" s="420" t="str">
        <f t="shared" si="15"/>
        <v>--</v>
      </c>
      <c r="AA36" s="426" t="str">
        <f t="shared" si="16"/>
        <v>--</v>
      </c>
      <c r="AB36" s="416">
        <f t="shared" si="17"/>
      </c>
      <c r="AC36" s="30">
        <f t="shared" si="18"/>
      </c>
      <c r="AD36" s="589"/>
    </row>
    <row r="37" spans="2:30" s="16" customFormat="1" ht="16.5" customHeight="1">
      <c r="B37" s="142"/>
      <c r="C37" s="20"/>
      <c r="D37" s="20"/>
      <c r="E37" s="440"/>
      <c r="F37" s="22"/>
      <c r="G37" s="440"/>
      <c r="H37" s="441">
        <f t="shared" si="0"/>
        <v>20</v>
      </c>
      <c r="I37" s="640">
        <f>IF(E37=500,IF(F37&lt;100,100*$E$18/100,F37*$E$18/100),IF(F37&lt;100,100*$E$19/100,F37*$E$19/100))*$K$19</f>
        <v>44.60361400000001</v>
      </c>
      <c r="J37" s="19"/>
      <c r="K37" s="32"/>
      <c r="L37" s="26">
        <f>IF(D37="","",(K37-J37)*24)</f>
      </c>
      <c r="M37" s="27">
        <f>IF(D37="","",ROUND((K37-J37)*24*60,0))</f>
      </c>
      <c r="N37" s="28"/>
      <c r="O37" s="378">
        <f>IF(D37="","","--")</f>
      </c>
      <c r="P37" s="24">
        <f>IF(D37="","","NO")</f>
      </c>
      <c r="Q37" s="24">
        <f>IF(D37="","",IF(OR(N37="P",N37="RP"),"--","NO"))</f>
      </c>
      <c r="R37" s="382" t="str">
        <f>IF(N37="P",I37*H37*ROUND(M37/60,2)*0.01,"--")</f>
        <v>--</v>
      </c>
      <c r="S37" s="385" t="str">
        <f>IF(N37="RP",I37*H37*ROUND(M37/60,2)*0.01*O37/100,"--")</f>
        <v>--</v>
      </c>
      <c r="T37" s="415" t="str">
        <f>IF(AND(N37="F",Q37="NO"),I37*H37*IF(P37="SI",1.2,1),"--")</f>
        <v>--</v>
      </c>
      <c r="U37" s="391" t="str">
        <f>IF(AND(N37="F",M37&gt;=10),I37*H37*IF(P37="SI",1.2,1)*IF(M37&lt;=300,ROUND(M37/60,2),5),"--")</f>
        <v>--</v>
      </c>
      <c r="V37" s="392" t="str">
        <f>IF(AND(N37="F",M37&gt;300),(ROUND(M37/60,2)-5)*I37*H37*0.1*IF(P37="SI",1.2,1),"--")</f>
        <v>--</v>
      </c>
      <c r="W37" s="413" t="str">
        <f>IF(AND(N37="R",Q37="NO"),I37*H37*O37/100*IF(P37="SI",1.2,1),"--")</f>
        <v>--</v>
      </c>
      <c r="X37" s="401" t="str">
        <f>IF(AND(N37="R",M37&gt;=10),I37*H37*O37/100*IF(P37="SI",1.2,1)*IF(M37&lt;=300,ROUND(M37/60,2),5),"--")</f>
        <v>--</v>
      </c>
      <c r="Y37" s="402" t="str">
        <f>IF(AND(N37="R",M37&gt;300),(ROUND(M37/60,2)-5)*I37*H37*0.1*O37/100*IF(P37="SI",1.2,1),"--")</f>
        <v>--</v>
      </c>
      <c r="Z37" s="420" t="str">
        <f>IF(N37="RF",ROUND(M37/60,2)*I37*H37*0.1*IF(P37="SI",1.2,1),"--")</f>
        <v>--</v>
      </c>
      <c r="AA37" s="426" t="str">
        <f>IF(N37="RR",ROUND(M37/60,2)*I37*H37*0.1*O37/100*IF(P37="SI",1.2,1),"--")</f>
        <v>--</v>
      </c>
      <c r="AB37" s="416">
        <f>IF(D37="","","SI")</f>
      </c>
      <c r="AC37" s="30">
        <f>IF(D37="","",SUM(R37:AA37)*IF(AB37="SI",1,2))</f>
      </c>
      <c r="AD37" s="589"/>
    </row>
    <row r="38" spans="2:30" s="16" customFormat="1" ht="16.5" customHeight="1">
      <c r="B38" s="142"/>
      <c r="C38" s="20"/>
      <c r="D38" s="20"/>
      <c r="E38" s="440"/>
      <c r="F38" s="22"/>
      <c r="G38" s="440"/>
      <c r="H38" s="441">
        <f t="shared" si="0"/>
        <v>20</v>
      </c>
      <c r="I38" s="640">
        <f>IF(E38=500,IF(F38&lt;100,100*$E$18/100,F38*$E$18/100),IF(F38&lt;100,100*$E$19/100,F38*$E$19/100))*$K$19</f>
        <v>44.60361400000001</v>
      </c>
      <c r="J38" s="19"/>
      <c r="K38" s="32"/>
      <c r="L38" s="26">
        <f>IF(D38="","",(K38-J38)*24)</f>
      </c>
      <c r="M38" s="27">
        <f>IF(D38="","",ROUND((K38-J38)*24*60,0))</f>
      </c>
      <c r="N38" s="28"/>
      <c r="O38" s="378">
        <f>IF(D38="","","--")</f>
      </c>
      <c r="P38" s="24">
        <f>IF(D38="","","NO")</f>
      </c>
      <c r="Q38" s="24">
        <f>IF(D38="","",IF(OR(N38="P",N38="RP"),"--","NO"))</f>
      </c>
      <c r="R38" s="382" t="str">
        <f>IF(N38="P",I38*H38*ROUND(M38/60,2)*0.01,"--")</f>
        <v>--</v>
      </c>
      <c r="S38" s="385" t="str">
        <f>IF(N38="RP",I38*H38*ROUND(M38/60,2)*0.01*O38/100,"--")</f>
        <v>--</v>
      </c>
      <c r="T38" s="415" t="str">
        <f>IF(AND(N38="F",Q38="NO"),I38*H38*IF(P38="SI",1.2,1),"--")</f>
        <v>--</v>
      </c>
      <c r="U38" s="391" t="str">
        <f>IF(AND(N38="F",M38&gt;=10),I38*H38*IF(P38="SI",1.2,1)*IF(M38&lt;=300,ROUND(M38/60,2),5),"--")</f>
        <v>--</v>
      </c>
      <c r="V38" s="392" t="str">
        <f>IF(AND(N38="F",M38&gt;300),(ROUND(M38/60,2)-5)*I38*H38*0.1*IF(P38="SI",1.2,1),"--")</f>
        <v>--</v>
      </c>
      <c r="W38" s="413" t="str">
        <f>IF(AND(N38="R",Q38="NO"),I38*H38*O38/100*IF(P38="SI",1.2,1),"--")</f>
        <v>--</v>
      </c>
      <c r="X38" s="401" t="str">
        <f>IF(AND(N38="R",M38&gt;=10),I38*H38*O38/100*IF(P38="SI",1.2,1)*IF(M38&lt;=300,ROUND(M38/60,2),5),"--")</f>
        <v>--</v>
      </c>
      <c r="Y38" s="402" t="str">
        <f>IF(AND(N38="R",M38&gt;300),(ROUND(M38/60,2)-5)*I38*H38*0.1*O38/100*IF(P38="SI",1.2,1),"--")</f>
        <v>--</v>
      </c>
      <c r="Z38" s="420" t="str">
        <f>IF(N38="RF",ROUND(M38/60,2)*I38*H38*0.1*IF(P38="SI",1.2,1),"--")</f>
        <v>--</v>
      </c>
      <c r="AA38" s="426" t="str">
        <f>IF(N38="RR",ROUND(M38/60,2)*I38*H38*0.1*O38/100*IF(P38="SI",1.2,1),"--")</f>
        <v>--</v>
      </c>
      <c r="AB38" s="416">
        <f>IF(D38="","","SI")</f>
      </c>
      <c r="AC38" s="30">
        <f>IF(D38="","",SUM(R38:AA38)*IF(AB38="SI",1,2))</f>
      </c>
      <c r="AD38" s="589"/>
    </row>
    <row r="39" spans="2:30" s="16" customFormat="1" ht="16.5" customHeight="1">
      <c r="B39" s="142"/>
      <c r="C39" s="20"/>
      <c r="D39" s="20"/>
      <c r="E39" s="440"/>
      <c r="F39" s="22"/>
      <c r="G39" s="440"/>
      <c r="H39" s="441">
        <f t="shared" si="0"/>
        <v>20</v>
      </c>
      <c r="I39" s="640">
        <f>IF(E39=500,IF(F39&lt;100,100*$E$18/100,F39*$E$18/100),IF(F39&lt;100,100*$E$19/100,F39*$E$19/100))*$K$19</f>
        <v>44.60361400000001</v>
      </c>
      <c r="J39" s="19"/>
      <c r="K39" s="32"/>
      <c r="L39" s="26">
        <f>IF(D39="","",(K39-J39)*24)</f>
      </c>
      <c r="M39" s="27">
        <f>IF(D39="","",ROUND((K39-J39)*24*60,0))</f>
      </c>
      <c r="N39" s="28"/>
      <c r="O39" s="378">
        <f>IF(D39="","","--")</f>
      </c>
      <c r="P39" s="24">
        <f>IF(D39="","","NO")</f>
      </c>
      <c r="Q39" s="24">
        <f>IF(D39="","",IF(OR(N39="P",N39="RP"),"--","NO"))</f>
      </c>
      <c r="R39" s="382" t="str">
        <f>IF(N39="P",I39*H39*ROUND(M39/60,2)*0.01,"--")</f>
        <v>--</v>
      </c>
      <c r="S39" s="385" t="str">
        <f>IF(N39="RP",I39*H39*ROUND(M39/60,2)*0.01*O39/100,"--")</f>
        <v>--</v>
      </c>
      <c r="T39" s="415" t="str">
        <f>IF(AND(N39="F",Q39="NO"),I39*H39*IF(P39="SI",1.2,1),"--")</f>
        <v>--</v>
      </c>
      <c r="U39" s="391" t="str">
        <f>IF(AND(N39="F",M39&gt;=10),I39*H39*IF(P39="SI",1.2,1)*IF(M39&lt;=300,ROUND(M39/60,2),5),"--")</f>
        <v>--</v>
      </c>
      <c r="V39" s="392" t="str">
        <f>IF(AND(N39="F",M39&gt;300),(ROUND(M39/60,2)-5)*I39*H39*0.1*IF(P39="SI",1.2,1),"--")</f>
        <v>--</v>
      </c>
      <c r="W39" s="413" t="str">
        <f>IF(AND(N39="R",Q39="NO"),I39*H39*O39/100*IF(P39="SI",1.2,1),"--")</f>
        <v>--</v>
      </c>
      <c r="X39" s="401" t="str">
        <f>IF(AND(N39="R",M39&gt;=10),I39*H39*O39/100*IF(P39="SI",1.2,1)*IF(M39&lt;=300,ROUND(M39/60,2),5),"--")</f>
        <v>--</v>
      </c>
      <c r="Y39" s="402" t="str">
        <f>IF(AND(N39="R",M39&gt;300),(ROUND(M39/60,2)-5)*I39*H39*0.1*O39/100*IF(P39="SI",1.2,1),"--")</f>
        <v>--</v>
      </c>
      <c r="Z39" s="420" t="str">
        <f>IF(N39="RF",ROUND(M39/60,2)*I39*H39*0.1*IF(P39="SI",1.2,1),"--")</f>
        <v>--</v>
      </c>
      <c r="AA39" s="426" t="str">
        <f>IF(N39="RR",ROUND(M39/60,2)*I39*H39*0.1*O39/100*IF(P39="SI",1.2,1),"--")</f>
        <v>--</v>
      </c>
      <c r="AB39" s="416">
        <f>IF(D39="","","SI")</f>
      </c>
      <c r="AC39" s="30">
        <f>IF(D39="","",SUM(R39:AA39)*IF(AB39="SI",1,2))</f>
      </c>
      <c r="AD39" s="589"/>
    </row>
    <row r="40" spans="2:30" s="16" customFormat="1" ht="16.5" customHeight="1">
      <c r="B40" s="142"/>
      <c r="C40" s="20"/>
      <c r="D40" s="20"/>
      <c r="E40" s="440"/>
      <c r="F40" s="22"/>
      <c r="G40" s="440"/>
      <c r="H40" s="441">
        <f t="shared" si="0"/>
        <v>20</v>
      </c>
      <c r="I40" s="640">
        <f t="shared" si="1"/>
        <v>44.60361400000001</v>
      </c>
      <c r="J40" s="19"/>
      <c r="K40" s="32"/>
      <c r="L40" s="26">
        <f t="shared" si="2"/>
      </c>
      <c r="M40" s="27">
        <f t="shared" si="3"/>
      </c>
      <c r="N40" s="28"/>
      <c r="O40" s="378">
        <f t="shared" si="4"/>
      </c>
      <c r="P40" s="24">
        <f t="shared" si="5"/>
      </c>
      <c r="Q40" s="24">
        <f t="shared" si="6"/>
      </c>
      <c r="R40" s="382" t="str">
        <f t="shared" si="7"/>
        <v>--</v>
      </c>
      <c r="S40" s="385" t="str">
        <f t="shared" si="8"/>
        <v>--</v>
      </c>
      <c r="T40" s="415" t="str">
        <f t="shared" si="9"/>
        <v>--</v>
      </c>
      <c r="U40" s="391" t="str">
        <f t="shared" si="10"/>
        <v>--</v>
      </c>
      <c r="V40" s="392" t="str">
        <f t="shared" si="11"/>
        <v>--</v>
      </c>
      <c r="W40" s="413" t="str">
        <f t="shared" si="12"/>
        <v>--</v>
      </c>
      <c r="X40" s="401" t="str">
        <f t="shared" si="13"/>
        <v>--</v>
      </c>
      <c r="Y40" s="402" t="str">
        <f t="shared" si="14"/>
        <v>--</v>
      </c>
      <c r="Z40" s="420" t="str">
        <f t="shared" si="15"/>
        <v>--</v>
      </c>
      <c r="AA40" s="426" t="str">
        <f t="shared" si="16"/>
        <v>--</v>
      </c>
      <c r="AB40" s="416">
        <f t="shared" si="17"/>
      </c>
      <c r="AC40" s="30">
        <f t="shared" si="18"/>
      </c>
      <c r="AD40" s="589"/>
    </row>
    <row r="41" spans="2:30" s="16" customFormat="1" ht="16.5" customHeight="1">
      <c r="B41" s="142"/>
      <c r="C41" s="20"/>
      <c r="D41" s="20"/>
      <c r="E41" s="440"/>
      <c r="F41" s="22"/>
      <c r="G41" s="440"/>
      <c r="H41" s="441">
        <f t="shared" si="0"/>
        <v>20</v>
      </c>
      <c r="I41" s="640">
        <f t="shared" si="1"/>
        <v>44.60361400000001</v>
      </c>
      <c r="J41" s="19"/>
      <c r="K41" s="32"/>
      <c r="L41" s="26">
        <f t="shared" si="2"/>
      </c>
      <c r="M41" s="27">
        <f t="shared" si="3"/>
      </c>
      <c r="N41" s="28"/>
      <c r="O41" s="378">
        <f t="shared" si="4"/>
      </c>
      <c r="P41" s="24">
        <f t="shared" si="5"/>
      </c>
      <c r="Q41" s="24">
        <f t="shared" si="6"/>
      </c>
      <c r="R41" s="382" t="str">
        <f t="shared" si="7"/>
        <v>--</v>
      </c>
      <c r="S41" s="385" t="str">
        <f t="shared" si="8"/>
        <v>--</v>
      </c>
      <c r="T41" s="415" t="str">
        <f t="shared" si="9"/>
        <v>--</v>
      </c>
      <c r="U41" s="391" t="str">
        <f t="shared" si="10"/>
        <v>--</v>
      </c>
      <c r="V41" s="392" t="str">
        <f t="shared" si="11"/>
        <v>--</v>
      </c>
      <c r="W41" s="413" t="str">
        <f t="shared" si="12"/>
        <v>--</v>
      </c>
      <c r="X41" s="401" t="str">
        <f t="shared" si="13"/>
        <v>--</v>
      </c>
      <c r="Y41" s="402" t="str">
        <f t="shared" si="14"/>
        <v>--</v>
      </c>
      <c r="Z41" s="420" t="str">
        <f t="shared" si="15"/>
        <v>--</v>
      </c>
      <c r="AA41" s="426" t="str">
        <f t="shared" si="16"/>
        <v>--</v>
      </c>
      <c r="AB41" s="416">
        <f t="shared" si="17"/>
      </c>
      <c r="AC41" s="30">
        <f t="shared" si="18"/>
      </c>
      <c r="AD41" s="589"/>
    </row>
    <row r="42" spans="2:30" s="16" customFormat="1" ht="16.5" customHeight="1">
      <c r="B42" s="142"/>
      <c r="C42" s="20"/>
      <c r="D42" s="20"/>
      <c r="E42" s="440"/>
      <c r="F42" s="22"/>
      <c r="G42" s="440"/>
      <c r="H42" s="441">
        <f t="shared" si="0"/>
        <v>20</v>
      </c>
      <c r="I42" s="640">
        <f t="shared" si="1"/>
        <v>44.60361400000001</v>
      </c>
      <c r="J42" s="19"/>
      <c r="K42" s="32"/>
      <c r="L42" s="26">
        <f t="shared" si="2"/>
      </c>
      <c r="M42" s="27">
        <f t="shared" si="3"/>
      </c>
      <c r="N42" s="28"/>
      <c r="O42" s="378">
        <f t="shared" si="4"/>
      </c>
      <c r="P42" s="24">
        <f t="shared" si="5"/>
      </c>
      <c r="Q42" s="24">
        <f t="shared" si="6"/>
      </c>
      <c r="R42" s="382" t="str">
        <f t="shared" si="7"/>
        <v>--</v>
      </c>
      <c r="S42" s="385" t="str">
        <f t="shared" si="8"/>
        <v>--</v>
      </c>
      <c r="T42" s="415" t="str">
        <f t="shared" si="9"/>
        <v>--</v>
      </c>
      <c r="U42" s="391" t="str">
        <f t="shared" si="10"/>
        <v>--</v>
      </c>
      <c r="V42" s="392" t="str">
        <f t="shared" si="11"/>
        <v>--</v>
      </c>
      <c r="W42" s="413" t="str">
        <f t="shared" si="12"/>
        <v>--</v>
      </c>
      <c r="X42" s="401" t="str">
        <f t="shared" si="13"/>
        <v>--</v>
      </c>
      <c r="Y42" s="402" t="str">
        <f t="shared" si="14"/>
        <v>--</v>
      </c>
      <c r="Z42" s="420" t="str">
        <f t="shared" si="15"/>
        <v>--</v>
      </c>
      <c r="AA42" s="426" t="str">
        <f t="shared" si="16"/>
        <v>--</v>
      </c>
      <c r="AB42" s="416">
        <f t="shared" si="17"/>
      </c>
      <c r="AC42" s="30">
        <f t="shared" si="18"/>
      </c>
      <c r="AD42" s="589"/>
    </row>
    <row r="43" spans="2:30" s="16" customFormat="1" ht="16.5" customHeight="1">
      <c r="B43" s="142"/>
      <c r="C43" s="20"/>
      <c r="D43" s="20"/>
      <c r="E43" s="440"/>
      <c r="F43" s="22"/>
      <c r="G43" s="440"/>
      <c r="H43" s="441">
        <f t="shared" si="0"/>
        <v>20</v>
      </c>
      <c r="I43" s="640">
        <f t="shared" si="1"/>
        <v>44.60361400000001</v>
      </c>
      <c r="J43" s="19"/>
      <c r="K43" s="32"/>
      <c r="L43" s="26">
        <f t="shared" si="2"/>
      </c>
      <c r="M43" s="27">
        <f t="shared" si="3"/>
      </c>
      <c r="N43" s="28"/>
      <c r="O43" s="378">
        <f t="shared" si="4"/>
      </c>
      <c r="P43" s="24">
        <f t="shared" si="5"/>
      </c>
      <c r="Q43" s="24">
        <f t="shared" si="6"/>
      </c>
      <c r="R43" s="382" t="str">
        <f t="shared" si="7"/>
        <v>--</v>
      </c>
      <c r="S43" s="385" t="str">
        <f t="shared" si="8"/>
        <v>--</v>
      </c>
      <c r="T43" s="415" t="str">
        <f t="shared" si="9"/>
        <v>--</v>
      </c>
      <c r="U43" s="391" t="str">
        <f t="shared" si="10"/>
        <v>--</v>
      </c>
      <c r="V43" s="392" t="str">
        <f t="shared" si="11"/>
        <v>--</v>
      </c>
      <c r="W43" s="413" t="str">
        <f t="shared" si="12"/>
        <v>--</v>
      </c>
      <c r="X43" s="401" t="str">
        <f t="shared" si="13"/>
        <v>--</v>
      </c>
      <c r="Y43" s="402" t="str">
        <f t="shared" si="14"/>
        <v>--</v>
      </c>
      <c r="Z43" s="420" t="str">
        <f t="shared" si="15"/>
        <v>--</v>
      </c>
      <c r="AA43" s="426" t="str">
        <f t="shared" si="16"/>
        <v>--</v>
      </c>
      <c r="AB43" s="416">
        <f t="shared" si="17"/>
      </c>
      <c r="AC43" s="30">
        <f t="shared" si="18"/>
      </c>
      <c r="AD43" s="589"/>
    </row>
    <row r="44" spans="2:30" s="16" customFormat="1" ht="16.5" customHeight="1" thickBot="1">
      <c r="B44" s="142"/>
      <c r="C44" s="34"/>
      <c r="D44" s="34"/>
      <c r="E44" s="35"/>
      <c r="F44" s="36"/>
      <c r="G44" s="37"/>
      <c r="H44" s="435"/>
      <c r="I44" s="641"/>
      <c r="J44" s="38"/>
      <c r="K44" s="38"/>
      <c r="L44" s="38"/>
      <c r="M44" s="38"/>
      <c r="N44" s="38"/>
      <c r="O44" s="39"/>
      <c r="P44" s="38"/>
      <c r="Q44" s="38"/>
      <c r="R44" s="380"/>
      <c r="S44" s="386"/>
      <c r="T44" s="393"/>
      <c r="U44" s="394"/>
      <c r="V44" s="395"/>
      <c r="W44" s="403"/>
      <c r="X44" s="404"/>
      <c r="Y44" s="405"/>
      <c r="Z44" s="421"/>
      <c r="AA44" s="427"/>
      <c r="AB44" s="40"/>
      <c r="AC44" s="41"/>
      <c r="AD44" s="589"/>
    </row>
    <row r="45" spans="2:30" s="16" customFormat="1" ht="16.5" customHeight="1" thickBot="1" thickTop="1">
      <c r="B45" s="142"/>
      <c r="C45" s="289" t="s">
        <v>129</v>
      </c>
      <c r="D45" s="290" t="s">
        <v>177</v>
      </c>
      <c r="E45" s="43"/>
      <c r="F45" s="1"/>
      <c r="G45" s="44"/>
      <c r="H45" s="1"/>
      <c r="I45" s="45"/>
      <c r="J45" s="45"/>
      <c r="K45" s="45"/>
      <c r="L45" s="45"/>
      <c r="M45" s="45"/>
      <c r="N45" s="45"/>
      <c r="O45" s="46"/>
      <c r="P45" s="45"/>
      <c r="Q45" s="45"/>
      <c r="R45" s="428">
        <f aca="true" t="shared" si="19" ref="R45:AA45">SUM(R22:R44)</f>
        <v>504.6590438707199</v>
      </c>
      <c r="S45" s="429">
        <f t="shared" si="19"/>
        <v>0</v>
      </c>
      <c r="T45" s="430">
        <f t="shared" si="19"/>
        <v>61382.1672448</v>
      </c>
      <c r="U45" s="430">
        <f t="shared" si="19"/>
        <v>61229.6217472</v>
      </c>
      <c r="V45" s="430">
        <f t="shared" si="19"/>
        <v>0</v>
      </c>
      <c r="W45" s="431">
        <f t="shared" si="19"/>
        <v>0</v>
      </c>
      <c r="X45" s="431">
        <f t="shared" si="19"/>
        <v>0</v>
      </c>
      <c r="Y45" s="431">
        <f t="shared" si="19"/>
        <v>0</v>
      </c>
      <c r="Z45" s="432">
        <f t="shared" si="19"/>
        <v>0</v>
      </c>
      <c r="AA45" s="433">
        <f t="shared" si="19"/>
        <v>0</v>
      </c>
      <c r="AB45" s="47"/>
      <c r="AC45" s="650">
        <f>ROUND(SUM(AC22:AC44),2)</f>
        <v>149976.7</v>
      </c>
      <c r="AD45" s="589"/>
    </row>
    <row r="46" spans="2:30" s="294" customFormat="1" ht="9.75" thickTop="1">
      <c r="B46" s="295"/>
      <c r="C46" s="291"/>
      <c r="D46" s="293" t="s">
        <v>131</v>
      </c>
      <c r="E46" s="296"/>
      <c r="F46" s="297"/>
      <c r="G46" s="298"/>
      <c r="H46" s="297"/>
      <c r="I46" s="299"/>
      <c r="J46" s="299"/>
      <c r="K46" s="299"/>
      <c r="L46" s="299"/>
      <c r="M46" s="299"/>
      <c r="N46" s="299"/>
      <c r="O46" s="300"/>
      <c r="P46" s="299"/>
      <c r="Q46" s="299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2"/>
      <c r="AD46" s="303"/>
    </row>
    <row r="47" spans="2:30" s="16" customFormat="1" ht="16.5" customHeight="1" thickBot="1"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3"/>
    </row>
    <row r="48" spans="2:30" ht="16.5" customHeight="1" thickTop="1">
      <c r="B48" s="12"/>
      <c r="AD48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A42"/>
  <sheetViews>
    <sheetView zoomScale="75" zoomScaleNormal="75" workbookViewId="0" topLeftCell="A8">
      <selection activeCell="A19" sqref="A19"/>
    </sheetView>
  </sheetViews>
  <sheetFormatPr defaultColWidth="11.421875" defaultRowHeight="12.75"/>
  <cols>
    <col min="1" max="2" width="15.7109375" style="1034" customWidth="1"/>
    <col min="3" max="3" width="4.7109375" style="1034" customWidth="1"/>
    <col min="4" max="4" width="30.00390625" style="1034" customWidth="1"/>
    <col min="5" max="5" width="7.7109375" style="1034" customWidth="1"/>
    <col min="6" max="6" width="7.57421875" style="1034" customWidth="1"/>
    <col min="7" max="9" width="7.00390625" style="1034" customWidth="1"/>
    <col min="10" max="11" width="15.7109375" style="1034" customWidth="1"/>
    <col min="12" max="12" width="7.7109375" style="1034" customWidth="1"/>
    <col min="13" max="14" width="5.8515625" style="1034" customWidth="1"/>
    <col min="15" max="15" width="6.00390625" style="1034" customWidth="1"/>
    <col min="16" max="16" width="5.00390625" style="1034" customWidth="1"/>
    <col min="17" max="18" width="10.7109375" style="1034" customWidth="1"/>
    <col min="19" max="19" width="15.00390625" style="1034" customWidth="1"/>
    <col min="20" max="20" width="15.7109375" style="1034" customWidth="1"/>
    <col min="21" max="16384" width="11.421875" style="1034" customWidth="1"/>
  </cols>
  <sheetData>
    <row r="1" spans="1:20" s="1024" customFormat="1" ht="26.25">
      <c r="A1" s="1023"/>
      <c r="T1" s="1025"/>
    </row>
    <row r="2" spans="1:26" s="1024" customFormat="1" ht="26.25">
      <c r="A2" s="1023"/>
      <c r="B2" s="1026" t="str">
        <f>+'tot-9911'!B2</f>
        <v>ANEXO I A LA RESOLUCION ENRE N° 320/2000</v>
      </c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7"/>
      <c r="V2" s="1027"/>
      <c r="W2" s="1027"/>
      <c r="X2" s="1027"/>
      <c r="Y2" s="1027"/>
      <c r="Z2" s="1027"/>
    </row>
    <row r="3" s="1029" customFormat="1" ht="12.75">
      <c r="A3" s="1028"/>
    </row>
    <row r="4" spans="1:2" s="1032" customFormat="1" ht="11.25">
      <c r="A4" s="1030" t="s">
        <v>85</v>
      </c>
      <c r="B4" s="1031"/>
    </row>
    <row r="5" spans="1:2" s="1032" customFormat="1" ht="11.25">
      <c r="A5" s="1030" t="s">
        <v>86</v>
      </c>
      <c r="B5" s="1031"/>
    </row>
    <row r="6" spans="1:20" ht="12.75">
      <c r="A6" s="1033"/>
      <c r="B6" s="1033"/>
      <c r="C6" s="1033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</row>
    <row r="7" spans="4:20" ht="13.5" thickBot="1"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/>
      <c r="Q7" s="1035"/>
      <c r="R7" s="1035"/>
      <c r="S7" s="1035"/>
      <c r="T7" s="1035"/>
    </row>
    <row r="8" spans="2:20" ht="13.5" thickTop="1">
      <c r="B8" s="1036"/>
      <c r="C8" s="1037"/>
      <c r="D8" s="1038"/>
      <c r="E8" s="1038"/>
      <c r="F8" s="1038"/>
      <c r="G8" s="1038"/>
      <c r="H8" s="1038"/>
      <c r="I8" s="1038"/>
      <c r="J8" s="1038"/>
      <c r="K8" s="1038"/>
      <c r="L8" s="1038"/>
      <c r="M8" s="1038"/>
      <c r="N8" s="1038"/>
      <c r="O8" s="1038"/>
      <c r="P8" s="1038"/>
      <c r="Q8" s="1038"/>
      <c r="R8" s="1038"/>
      <c r="S8" s="1038"/>
      <c r="T8" s="1039"/>
    </row>
    <row r="9" spans="2:25" s="1040" customFormat="1" ht="20.25">
      <c r="B9" s="1041"/>
      <c r="C9" s="1042"/>
      <c r="D9" s="1043" t="s">
        <v>102</v>
      </c>
      <c r="E9" s="1042"/>
      <c r="F9" s="1042"/>
      <c r="G9" s="1042"/>
      <c r="H9" s="1042"/>
      <c r="I9" s="1042"/>
      <c r="O9" s="1042"/>
      <c r="P9" s="1042"/>
      <c r="Q9" s="1044"/>
      <c r="R9" s="1044"/>
      <c r="S9" s="1042"/>
      <c r="T9" s="1045"/>
      <c r="U9" s="1042"/>
      <c r="V9" s="1042"/>
      <c r="W9" s="1042"/>
      <c r="X9" s="1042"/>
      <c r="Y9" s="1042"/>
    </row>
    <row r="10" spans="2:20" ht="15">
      <c r="B10" s="1046"/>
      <c r="C10" s="1047"/>
      <c r="D10" s="1048"/>
      <c r="E10" s="1049"/>
      <c r="F10" s="1050"/>
      <c r="G10" s="1050"/>
      <c r="H10" s="1050"/>
      <c r="I10" s="1050"/>
      <c r="J10" s="1051"/>
      <c r="K10" s="1051"/>
      <c r="L10" s="1051"/>
      <c r="M10" s="1051"/>
      <c r="N10" s="1050"/>
      <c r="O10" s="1050"/>
      <c r="P10" s="1050"/>
      <c r="Q10" s="1050"/>
      <c r="R10" s="1050"/>
      <c r="S10" s="1050"/>
      <c r="T10" s="1052"/>
    </row>
    <row r="11" spans="2:20" s="1040" customFormat="1" ht="20.25">
      <c r="B11" s="1041"/>
      <c r="C11" s="1042"/>
      <c r="D11" s="1053" t="s">
        <v>305</v>
      </c>
      <c r="E11" s="1042"/>
      <c r="F11" s="1042"/>
      <c r="G11" s="1042"/>
      <c r="H11" s="1042"/>
      <c r="I11" s="1042"/>
      <c r="J11" s="1042"/>
      <c r="M11" s="1044"/>
      <c r="N11" s="1042"/>
      <c r="O11" s="1042"/>
      <c r="P11" s="1042"/>
      <c r="Q11" s="1042"/>
      <c r="R11" s="1042"/>
      <c r="S11" s="1042"/>
      <c r="T11" s="1054"/>
    </row>
    <row r="12" spans="2:20" ht="15">
      <c r="B12" s="1046"/>
      <c r="C12" s="1047"/>
      <c r="D12" s="1048"/>
      <c r="E12" s="1050"/>
      <c r="F12" s="1050"/>
      <c r="G12" s="1050"/>
      <c r="H12" s="1050"/>
      <c r="I12" s="1050"/>
      <c r="J12" s="1051"/>
      <c r="M12" s="1051"/>
      <c r="N12" s="1050"/>
      <c r="O12" s="1050"/>
      <c r="P12" s="1050"/>
      <c r="Q12" s="1050"/>
      <c r="R12" s="1050"/>
      <c r="S12" s="1050"/>
      <c r="T12" s="1052"/>
    </row>
    <row r="13" spans="2:20" s="1040" customFormat="1" ht="20.25">
      <c r="B13" s="1041"/>
      <c r="C13" s="1044"/>
      <c r="D13" s="1053" t="s">
        <v>306</v>
      </c>
      <c r="E13" s="1055"/>
      <c r="F13" s="1056"/>
      <c r="G13" s="1056"/>
      <c r="H13" s="1056"/>
      <c r="I13" s="1056"/>
      <c r="J13" s="1057"/>
      <c r="M13" s="1042"/>
      <c r="N13" s="1042"/>
      <c r="O13" s="1042"/>
      <c r="P13" s="1042"/>
      <c r="Q13" s="1042"/>
      <c r="R13" s="1042"/>
      <c r="S13" s="1042"/>
      <c r="T13" s="1054"/>
    </row>
    <row r="14" spans="2:26" s="1029" customFormat="1" ht="12.75">
      <c r="B14" s="1058"/>
      <c r="C14" s="1048"/>
      <c r="D14" s="1048"/>
      <c r="J14" s="1059"/>
      <c r="K14" s="1059"/>
      <c r="L14" s="1059"/>
      <c r="M14" s="1059"/>
      <c r="N14" s="1059"/>
      <c r="O14" s="1059"/>
      <c r="P14" s="1059"/>
      <c r="Q14" s="1059"/>
      <c r="R14" s="1059"/>
      <c r="S14" s="1048"/>
      <c r="T14" s="1060"/>
      <c r="U14" s="1048"/>
      <c r="V14" s="1048"/>
      <c r="W14" s="1048"/>
      <c r="X14" s="1048"/>
      <c r="Y14" s="1048"/>
      <c r="Z14" s="1034"/>
    </row>
    <row r="15" spans="2:26" s="1040" customFormat="1" ht="19.5">
      <c r="B15" s="1061" t="str">
        <f>+'tot-9911'!B14</f>
        <v>Desde el 01 al 30 de noviembre de 1999</v>
      </c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3"/>
      <c r="P15" s="1063"/>
      <c r="Q15" s="1062"/>
      <c r="R15" s="1062"/>
      <c r="S15" s="1062"/>
      <c r="T15" s="1064"/>
      <c r="U15" s="1065"/>
      <c r="V15" s="1065"/>
      <c r="W15" s="1065"/>
      <c r="X15" s="1065"/>
      <c r="Y15" s="1065"/>
      <c r="Z15" s="1034"/>
    </row>
    <row r="16" spans="2:20" ht="15.75" thickBot="1">
      <c r="B16" s="1046"/>
      <c r="C16" s="1047"/>
      <c r="D16" s="1050"/>
      <c r="E16" s="1066"/>
      <c r="F16" s="1035"/>
      <c r="G16" s="1035"/>
      <c r="H16" s="1035"/>
      <c r="I16" s="1035"/>
      <c r="J16" s="1067"/>
      <c r="K16" s="1051"/>
      <c r="L16" s="1051"/>
      <c r="M16" s="1051"/>
      <c r="N16" s="1050"/>
      <c r="O16" s="1050"/>
      <c r="P16" s="1050"/>
      <c r="Q16" s="1050"/>
      <c r="R16" s="1050"/>
      <c r="S16" s="1050"/>
      <c r="T16" s="1052"/>
    </row>
    <row r="17" spans="2:20" s="1068" customFormat="1" ht="16.5" thickBot="1" thickTop="1">
      <c r="B17" s="1069"/>
      <c r="C17" s="1070"/>
      <c r="D17" s="1071" t="s">
        <v>105</v>
      </c>
      <c r="E17" s="1072">
        <v>53.632</v>
      </c>
      <c r="F17" s="1073"/>
      <c r="G17" s="1074"/>
      <c r="H17" s="1074"/>
      <c r="I17" s="1074"/>
      <c r="J17" s="1070"/>
      <c r="K17" s="1070"/>
      <c r="L17" s="1075"/>
      <c r="N17" s="1070"/>
      <c r="O17" s="1070"/>
      <c r="P17" s="1070"/>
      <c r="Q17" s="1070"/>
      <c r="R17" s="1070"/>
      <c r="S17" s="1070"/>
      <c r="T17" s="1076"/>
    </row>
    <row r="18" spans="2:20" s="1068" customFormat="1" ht="16.5" thickBot="1" thickTop="1">
      <c r="B18" s="1069"/>
      <c r="C18" s="1070"/>
      <c r="D18" s="1071" t="s">
        <v>106</v>
      </c>
      <c r="E18" s="1072">
        <v>44.693</v>
      </c>
      <c r="F18" s="1073"/>
      <c r="G18" s="1074"/>
      <c r="H18" s="1074"/>
      <c r="I18" s="1074"/>
      <c r="J18" s="181" t="s">
        <v>178</v>
      </c>
      <c r="K18" s="649">
        <v>0.998</v>
      </c>
      <c r="L18" s="14" t="s">
        <v>179</v>
      </c>
      <c r="M18" s="1070"/>
      <c r="N18" s="1070"/>
      <c r="O18" s="1070"/>
      <c r="P18" s="1070"/>
      <c r="Q18" s="1070"/>
      <c r="R18" s="1070"/>
      <c r="S18" s="1070"/>
      <c r="T18" s="1076"/>
    </row>
    <row r="19" spans="2:20" ht="14.25" thickBot="1" thickTop="1">
      <c r="B19" s="1046"/>
      <c r="C19" s="1047"/>
      <c r="D19" s="1050"/>
      <c r="E19" s="1077"/>
      <c r="F19" s="1050"/>
      <c r="G19" s="1050"/>
      <c r="H19" s="1050"/>
      <c r="I19" s="1050"/>
      <c r="J19" s="1078"/>
      <c r="K19" s="1050"/>
      <c r="L19" s="1050"/>
      <c r="M19" s="1050"/>
      <c r="N19" s="1050"/>
      <c r="O19" s="1050"/>
      <c r="P19" s="1050"/>
      <c r="Q19" s="1050"/>
      <c r="R19" s="1050"/>
      <c r="S19" s="1050"/>
      <c r="T19" s="1052"/>
    </row>
    <row r="20" spans="2:27" s="1029" customFormat="1" ht="33.75" customHeight="1" thickBot="1" thickTop="1">
      <c r="B20" s="1058"/>
      <c r="C20" s="1079" t="s">
        <v>107</v>
      </c>
      <c r="D20" s="1080" t="s">
        <v>88</v>
      </c>
      <c r="E20" s="1081" t="s">
        <v>108</v>
      </c>
      <c r="F20" s="1082" t="s">
        <v>109</v>
      </c>
      <c r="G20" s="1083" t="s">
        <v>110</v>
      </c>
      <c r="H20" s="1084" t="s">
        <v>230</v>
      </c>
      <c r="I20" s="1085" t="s">
        <v>287</v>
      </c>
      <c r="J20" s="1086" t="s">
        <v>113</v>
      </c>
      <c r="K20" s="1087" t="s">
        <v>114</v>
      </c>
      <c r="L20" s="1084" t="s">
        <v>288</v>
      </c>
      <c r="M20" s="1088" t="s">
        <v>289</v>
      </c>
      <c r="N20" s="1088" t="s">
        <v>290</v>
      </c>
      <c r="O20" s="1088" t="s">
        <v>291</v>
      </c>
      <c r="P20" s="1088" t="s">
        <v>292</v>
      </c>
      <c r="Q20" s="1084" t="s">
        <v>300</v>
      </c>
      <c r="R20" s="1082" t="s">
        <v>301</v>
      </c>
      <c r="S20" s="1089" t="s">
        <v>302</v>
      </c>
      <c r="T20" s="1090"/>
      <c r="V20" s="1091"/>
      <c r="W20" s="1091"/>
      <c r="X20" s="1092"/>
      <c r="Y20" s="1092"/>
      <c r="Z20" s="1034"/>
      <c r="AA20" s="1034"/>
    </row>
    <row r="21" spans="2:20" ht="16.5" customHeight="1" hidden="1" thickTop="1">
      <c r="B21" s="1046"/>
      <c r="C21" s="1093"/>
      <c r="D21" s="1094"/>
      <c r="E21" s="1095"/>
      <c r="F21" s="1096"/>
      <c r="G21" s="1095"/>
      <c r="H21" s="1096"/>
      <c r="I21" s="1095"/>
      <c r="J21" s="1097"/>
      <c r="K21" s="1096"/>
      <c r="L21" s="1098"/>
      <c r="M21" s="1099"/>
      <c r="N21" s="1099"/>
      <c r="O21" s="1099"/>
      <c r="P21" s="1099"/>
      <c r="Q21" s="1099"/>
      <c r="R21" s="1099"/>
      <c r="S21" s="1100"/>
      <c r="T21" s="1101"/>
    </row>
    <row r="22" spans="2:20" ht="16.5" customHeight="1" thickTop="1">
      <c r="B22" s="1046"/>
      <c r="C22" s="1093"/>
      <c r="D22" s="1093"/>
      <c r="E22" s="1102"/>
      <c r="F22" s="1102"/>
      <c r="G22" s="1103"/>
      <c r="H22" s="1102"/>
      <c r="I22" s="1103"/>
      <c r="J22" s="1103"/>
      <c r="K22" s="1104"/>
      <c r="L22" s="1105"/>
      <c r="M22" s="1106"/>
      <c r="N22" s="1106"/>
      <c r="O22" s="1106"/>
      <c r="P22" s="1106"/>
      <c r="Q22" s="1106"/>
      <c r="R22" s="1106"/>
      <c r="S22" s="1107"/>
      <c r="T22" s="1101"/>
    </row>
    <row r="23" spans="2:21" ht="16.5" customHeight="1">
      <c r="B23" s="1046"/>
      <c r="C23" s="1093">
        <v>25</v>
      </c>
      <c r="D23" s="1105" t="s">
        <v>12</v>
      </c>
      <c r="E23" s="1108">
        <v>500</v>
      </c>
      <c r="F23" s="1109">
        <v>313</v>
      </c>
      <c r="G23" s="1110" t="s">
        <v>8</v>
      </c>
      <c r="H23" s="1109" t="s">
        <v>196</v>
      </c>
      <c r="I23" s="1110">
        <v>1</v>
      </c>
      <c r="J23" s="1111">
        <v>36494.88333333333</v>
      </c>
      <c r="K23" s="1112">
        <v>36494.99998842592</v>
      </c>
      <c r="L23" s="1113">
        <f aca="true" t="shared" si="0" ref="L23:L28">IF(D23="","",(K23-J23)*24*60)</f>
        <v>167.98333333223127</v>
      </c>
      <c r="M23" s="1114">
        <f aca="true" t="shared" si="1" ref="M23:M28">IF(D23="","",IF(I21&lt;6,2,3)*60*24)</f>
        <v>2880</v>
      </c>
      <c r="N23" s="1115">
        <f aca="true" t="shared" si="2" ref="N23:N28">IF(D23="","",(I23+0)*60*24)</f>
        <v>1440</v>
      </c>
      <c r="O23" s="1115">
        <f aca="true" t="shared" si="3" ref="O23:O28">IF(D23="","",N23+M23)</f>
        <v>4320</v>
      </c>
      <c r="P23" s="1115">
        <f aca="true" t="shared" si="4" ref="P23:P28">IF(D23="","",IF(L23&gt;O23,L23-O23,0))</f>
        <v>0</v>
      </c>
      <c r="Q23" s="1116">
        <f aca="true" t="shared" si="5" ref="Q23:Q28">IF(D23="","",IF(M23&lt;O23,L23*$E$17/60,O23*$E$17/60)*$K$18)</f>
        <v>149.85439281679464</v>
      </c>
      <c r="R23" s="1116">
        <f aca="true" t="shared" si="6" ref="R23:R28">IF(D23="","",(P23*$E$17/60)^2)</f>
        <v>0</v>
      </c>
      <c r="S23" s="1117">
        <f aca="true" t="shared" si="7" ref="S23:S28">IF(D23="","",R23+Q23)</f>
        <v>149.85439281679464</v>
      </c>
      <c r="T23" s="1101"/>
      <c r="U23" s="1118"/>
    </row>
    <row r="24" spans="2:21" ht="16.5" customHeight="1">
      <c r="B24" s="1046"/>
      <c r="C24" s="1093">
        <v>26</v>
      </c>
      <c r="D24" s="1105" t="s">
        <v>10</v>
      </c>
      <c r="E24" s="1108">
        <v>500</v>
      </c>
      <c r="F24" s="1109">
        <v>313</v>
      </c>
      <c r="G24" s="1110" t="s">
        <v>8</v>
      </c>
      <c r="H24" s="1109" t="s">
        <v>196</v>
      </c>
      <c r="I24" s="1110">
        <v>1</v>
      </c>
      <c r="J24" s="1111">
        <v>36494.88333333333</v>
      </c>
      <c r="K24" s="1112">
        <v>36494.99998842592</v>
      </c>
      <c r="L24" s="1113">
        <f t="shared" si="0"/>
        <v>167.98333333223127</v>
      </c>
      <c r="M24" s="1114">
        <f t="shared" si="1"/>
        <v>2880</v>
      </c>
      <c r="N24" s="1115">
        <f t="shared" si="2"/>
        <v>1440</v>
      </c>
      <c r="O24" s="1115">
        <f t="shared" si="3"/>
        <v>4320</v>
      </c>
      <c r="P24" s="1115">
        <f t="shared" si="4"/>
        <v>0</v>
      </c>
      <c r="Q24" s="1116">
        <f t="shared" si="5"/>
        <v>149.85439281679464</v>
      </c>
      <c r="R24" s="1116">
        <f t="shared" si="6"/>
        <v>0</v>
      </c>
      <c r="S24" s="1117">
        <f t="shared" si="7"/>
        <v>149.85439281679464</v>
      </c>
      <c r="T24" s="1101"/>
      <c r="U24" s="1118"/>
    </row>
    <row r="25" spans="2:21" ht="16.5" customHeight="1">
      <c r="B25" s="1046"/>
      <c r="C25" s="1093">
        <v>30</v>
      </c>
      <c r="D25" s="1105" t="s">
        <v>181</v>
      </c>
      <c r="E25" s="1108">
        <v>500</v>
      </c>
      <c r="F25" s="1109">
        <v>291</v>
      </c>
      <c r="G25" s="1110" t="s">
        <v>4</v>
      </c>
      <c r="H25" s="1109" t="s">
        <v>196</v>
      </c>
      <c r="I25" s="1110">
        <v>1</v>
      </c>
      <c r="J25" s="1111">
        <v>36494.916666666664</v>
      </c>
      <c r="K25" s="1112">
        <v>36494.99998842592</v>
      </c>
      <c r="L25" s="1113">
        <f t="shared" si="0"/>
        <v>119.98333333292976</v>
      </c>
      <c r="M25" s="1114">
        <f t="shared" si="1"/>
        <v>2880</v>
      </c>
      <c r="N25" s="1115">
        <f t="shared" si="2"/>
        <v>1440</v>
      </c>
      <c r="O25" s="1115">
        <f t="shared" si="3"/>
        <v>4320</v>
      </c>
      <c r="P25" s="1115">
        <f t="shared" si="4"/>
        <v>0</v>
      </c>
      <c r="Q25" s="1116">
        <f t="shared" si="5"/>
        <v>107.03460401741775</v>
      </c>
      <c r="R25" s="1116">
        <f t="shared" si="6"/>
        <v>0</v>
      </c>
      <c r="S25" s="1117">
        <f t="shared" si="7"/>
        <v>107.03460401741775</v>
      </c>
      <c r="T25" s="1101"/>
      <c r="U25" s="1118"/>
    </row>
    <row r="26" spans="2:21" ht="16.5" customHeight="1">
      <c r="B26" s="1046"/>
      <c r="C26" s="1093"/>
      <c r="D26" s="1119"/>
      <c r="E26" s="1108"/>
      <c r="F26" s="1109"/>
      <c r="G26" s="1110"/>
      <c r="H26" s="1109"/>
      <c r="I26" s="1110"/>
      <c r="J26" s="1111"/>
      <c r="K26" s="1112"/>
      <c r="L26" s="1113">
        <f t="shared" si="0"/>
      </c>
      <c r="M26" s="1114">
        <f t="shared" si="1"/>
      </c>
      <c r="N26" s="1115">
        <f t="shared" si="2"/>
      </c>
      <c r="O26" s="1115">
        <f t="shared" si="3"/>
      </c>
      <c r="P26" s="1115">
        <f t="shared" si="4"/>
      </c>
      <c r="Q26" s="1116">
        <f t="shared" si="5"/>
      </c>
      <c r="R26" s="1116">
        <f t="shared" si="6"/>
      </c>
      <c r="S26" s="1117">
        <f t="shared" si="7"/>
      </c>
      <c r="T26" s="1101"/>
      <c r="U26" s="1118"/>
    </row>
    <row r="27" spans="2:21" ht="16.5" customHeight="1">
      <c r="B27" s="1046"/>
      <c r="C27" s="1093"/>
      <c r="D27" s="1119"/>
      <c r="E27" s="1108"/>
      <c r="F27" s="1109"/>
      <c r="G27" s="1110"/>
      <c r="H27" s="1109"/>
      <c r="I27" s="1110"/>
      <c r="J27" s="1111"/>
      <c r="K27" s="1112"/>
      <c r="L27" s="1113">
        <f t="shared" si="0"/>
      </c>
      <c r="M27" s="1114">
        <f t="shared" si="1"/>
      </c>
      <c r="N27" s="1115">
        <f t="shared" si="2"/>
      </c>
      <c r="O27" s="1115">
        <f t="shared" si="3"/>
      </c>
      <c r="P27" s="1115">
        <f t="shared" si="4"/>
      </c>
      <c r="Q27" s="1116">
        <f t="shared" si="5"/>
      </c>
      <c r="R27" s="1116">
        <f t="shared" si="6"/>
      </c>
      <c r="S27" s="1117">
        <f t="shared" si="7"/>
      </c>
      <c r="T27" s="1101"/>
      <c r="U27" s="1118"/>
    </row>
    <row r="28" spans="2:21" ht="16.5" customHeight="1">
      <c r="B28" s="1046"/>
      <c r="C28" s="1093"/>
      <c r="D28" s="1119"/>
      <c r="E28" s="1108"/>
      <c r="F28" s="1109"/>
      <c r="G28" s="1110"/>
      <c r="H28" s="1109"/>
      <c r="I28" s="1110"/>
      <c r="J28" s="1111"/>
      <c r="K28" s="1112"/>
      <c r="L28" s="1113">
        <f t="shared" si="0"/>
      </c>
      <c r="M28" s="1114">
        <f t="shared" si="1"/>
      </c>
      <c r="N28" s="1115">
        <f t="shared" si="2"/>
      </c>
      <c r="O28" s="1115">
        <f t="shared" si="3"/>
      </c>
      <c r="P28" s="1115">
        <f t="shared" si="4"/>
      </c>
      <c r="Q28" s="1116">
        <f t="shared" si="5"/>
      </c>
      <c r="R28" s="1116">
        <f t="shared" si="6"/>
      </c>
      <c r="S28" s="1117">
        <f t="shared" si="7"/>
      </c>
      <c r="T28" s="1101"/>
      <c r="U28" s="1118"/>
    </row>
    <row r="29" spans="2:20" ht="16.5" customHeight="1" thickBot="1">
      <c r="B29" s="1046"/>
      <c r="C29" s="1120"/>
      <c r="D29" s="1121"/>
      <c r="E29" s="1122"/>
      <c r="F29" s="1123"/>
      <c r="G29" s="1124"/>
      <c r="H29" s="1123"/>
      <c r="I29" s="1124"/>
      <c r="J29" s="1125"/>
      <c r="K29" s="1126"/>
      <c r="L29" s="1127"/>
      <c r="M29" s="1128"/>
      <c r="N29" s="1129"/>
      <c r="O29" s="1129"/>
      <c r="P29" s="1129"/>
      <c r="Q29" s="1130"/>
      <c r="R29" s="1129"/>
      <c r="S29" s="1131"/>
      <c r="T29" s="1101"/>
    </row>
    <row r="30" spans="2:20" ht="13.5" thickTop="1">
      <c r="B30" s="1046"/>
      <c r="C30" s="1047"/>
      <c r="D30" s="1050"/>
      <c r="E30" s="1035"/>
      <c r="F30" s="1035"/>
      <c r="G30" s="1035"/>
      <c r="H30" s="1035"/>
      <c r="I30" s="1035"/>
      <c r="J30" s="1035"/>
      <c r="K30" s="1035"/>
      <c r="L30" s="1035"/>
      <c r="M30" s="1035"/>
      <c r="N30" s="1035"/>
      <c r="O30" s="1035"/>
      <c r="P30" s="1035"/>
      <c r="Q30" s="1035"/>
      <c r="R30" s="1035"/>
      <c r="S30" s="1035"/>
      <c r="T30" s="1052"/>
    </row>
    <row r="31" spans="2:20" ht="12.75">
      <c r="B31" s="1046"/>
      <c r="C31" s="1047"/>
      <c r="D31" s="1050"/>
      <c r="E31" s="1035"/>
      <c r="F31" s="1035"/>
      <c r="G31" s="1035"/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5"/>
      <c r="T31" s="1052"/>
    </row>
    <row r="32" spans="2:20" ht="14.25">
      <c r="B32" s="1046"/>
      <c r="C32" s="1047"/>
      <c r="D32" s="1132" t="s">
        <v>293</v>
      </c>
      <c r="E32" s="1035"/>
      <c r="F32" s="1035"/>
      <c r="G32" s="1035"/>
      <c r="H32" s="1035"/>
      <c r="I32" s="1035"/>
      <c r="J32" s="1035"/>
      <c r="K32" s="1035"/>
      <c r="L32" s="1035"/>
      <c r="M32" s="1035"/>
      <c r="N32" s="1035"/>
      <c r="O32" s="1035"/>
      <c r="P32" s="1035"/>
      <c r="Q32" s="1035"/>
      <c r="R32" s="1035"/>
      <c r="S32" s="1133">
        <f>SUM(S23:S25)</f>
        <v>406.743389651007</v>
      </c>
      <c r="T32" s="1052"/>
    </row>
    <row r="33" spans="2:20" ht="13.5" thickBot="1">
      <c r="B33" s="1046"/>
      <c r="C33" s="1047"/>
      <c r="D33" s="1050"/>
      <c r="E33" s="1035"/>
      <c r="F33" s="1035"/>
      <c r="G33" s="1035"/>
      <c r="H33" s="1035"/>
      <c r="I33" s="1035"/>
      <c r="J33" s="1035"/>
      <c r="K33" s="1035"/>
      <c r="L33" s="1035"/>
      <c r="M33" s="1035"/>
      <c r="N33" s="1035"/>
      <c r="O33" s="1035"/>
      <c r="P33" s="1035"/>
      <c r="Q33" s="1035"/>
      <c r="R33" s="1035"/>
      <c r="S33" s="1035"/>
      <c r="T33" s="1052"/>
    </row>
    <row r="34" spans="2:21" ht="16.5" customHeight="1" thickBot="1" thickTop="1">
      <c r="B34" s="1046"/>
      <c r="C34" s="1047"/>
      <c r="D34" s="1050" t="s">
        <v>294</v>
      </c>
      <c r="E34" s="1035"/>
      <c r="F34" s="1035"/>
      <c r="G34" s="1035"/>
      <c r="H34" s="1035"/>
      <c r="I34" s="1035"/>
      <c r="J34" s="1035"/>
      <c r="K34" s="1035"/>
      <c r="L34" s="1035" t="s">
        <v>295</v>
      </c>
      <c r="M34" s="1035"/>
      <c r="N34" s="1035"/>
      <c r="O34" s="1035"/>
      <c r="P34" s="1035"/>
      <c r="Q34" s="1035"/>
      <c r="R34" s="1035"/>
      <c r="S34" s="1134">
        <f>S32+S22</f>
        <v>406.743389651007</v>
      </c>
      <c r="T34" s="1052"/>
      <c r="U34" s="1135"/>
    </row>
    <row r="35" spans="2:20" ht="13.5" customHeight="1" thickTop="1">
      <c r="B35" s="1046"/>
      <c r="C35" s="1047"/>
      <c r="D35" s="1050" t="s">
        <v>296</v>
      </c>
      <c r="E35" s="1035"/>
      <c r="F35" s="1035"/>
      <c r="G35" s="1035"/>
      <c r="H35" s="1035"/>
      <c r="I35" s="1035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52"/>
    </row>
    <row r="36" spans="2:20" ht="13.5" customHeight="1">
      <c r="B36" s="1046"/>
      <c r="C36" s="1047"/>
      <c r="D36" s="1050" t="s">
        <v>297</v>
      </c>
      <c r="E36" s="1035"/>
      <c r="F36" s="1035"/>
      <c r="G36" s="1035"/>
      <c r="H36" s="1035"/>
      <c r="I36" s="1035"/>
      <c r="J36" s="1035"/>
      <c r="K36" s="1035"/>
      <c r="L36" s="1035"/>
      <c r="M36" s="1035"/>
      <c r="N36" s="1035"/>
      <c r="O36" s="1035"/>
      <c r="P36" s="1035"/>
      <c r="Q36" s="1035"/>
      <c r="R36" s="1035"/>
      <c r="S36" s="1035"/>
      <c r="T36" s="1052"/>
    </row>
    <row r="37" spans="2:20" ht="13.5" customHeight="1">
      <c r="B37" s="1046"/>
      <c r="C37" s="1047"/>
      <c r="D37" s="1050" t="s">
        <v>298</v>
      </c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5"/>
      <c r="P37" s="1035"/>
      <c r="Q37" s="1035"/>
      <c r="R37" s="1035"/>
      <c r="S37" s="1035"/>
      <c r="T37" s="1052"/>
    </row>
    <row r="38" spans="2:20" ht="13.5" customHeight="1">
      <c r="B38" s="1046"/>
      <c r="C38" s="1047"/>
      <c r="D38" s="1050" t="s">
        <v>299</v>
      </c>
      <c r="E38" s="1035"/>
      <c r="F38" s="1035"/>
      <c r="G38" s="1035"/>
      <c r="H38" s="1035"/>
      <c r="I38" s="1035"/>
      <c r="J38" s="1035"/>
      <c r="K38" s="1035"/>
      <c r="L38" s="1035"/>
      <c r="M38" s="1035"/>
      <c r="N38" s="1035"/>
      <c r="O38" s="1035"/>
      <c r="P38" s="1035"/>
      <c r="Q38" s="1035"/>
      <c r="R38" s="1035"/>
      <c r="S38" s="1035"/>
      <c r="T38" s="1052"/>
    </row>
    <row r="39" spans="2:20" ht="12.75">
      <c r="B39" s="1046"/>
      <c r="C39" s="1047"/>
      <c r="D39" s="1050"/>
      <c r="E39" s="1035"/>
      <c r="F39" s="1035"/>
      <c r="G39" s="1035"/>
      <c r="H39" s="1035"/>
      <c r="I39" s="1035"/>
      <c r="J39" s="1035"/>
      <c r="K39" s="1035"/>
      <c r="L39" s="1035"/>
      <c r="M39" s="1035"/>
      <c r="N39" s="1035"/>
      <c r="O39" s="1035"/>
      <c r="P39" s="1035"/>
      <c r="Q39" s="1035"/>
      <c r="R39" s="1035"/>
      <c r="S39" s="1035"/>
      <c r="T39" s="1052"/>
    </row>
    <row r="40" spans="2:20" ht="12.75">
      <c r="B40" s="1046"/>
      <c r="C40" s="1047"/>
      <c r="D40" s="14" t="s">
        <v>309</v>
      </c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5"/>
      <c r="Q40" s="1035"/>
      <c r="R40" s="1035"/>
      <c r="S40" s="1035"/>
      <c r="T40" s="1052"/>
    </row>
    <row r="41" spans="2:20" ht="12.75">
      <c r="B41" s="1046"/>
      <c r="C41" s="1047"/>
      <c r="D41" s="1050"/>
      <c r="E41" s="1035"/>
      <c r="F41" s="1035"/>
      <c r="G41" s="1035"/>
      <c r="H41" s="1035"/>
      <c r="I41" s="1035"/>
      <c r="J41" s="1035"/>
      <c r="K41" s="1035"/>
      <c r="L41" s="1035"/>
      <c r="M41" s="1035"/>
      <c r="N41" s="1035"/>
      <c r="O41" s="1035"/>
      <c r="P41" s="1035"/>
      <c r="Q41" s="1035"/>
      <c r="R41" s="1035"/>
      <c r="S41" s="1035"/>
      <c r="T41" s="1052"/>
    </row>
    <row r="42" spans="2:20" ht="13.5" thickBot="1">
      <c r="B42" s="1136"/>
      <c r="C42" s="1137"/>
      <c r="D42" s="1138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9"/>
    </row>
  </sheetData>
  <printOptions/>
  <pageMargins left="0.1968503937007874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V153"/>
  <sheetViews>
    <sheetView zoomScale="75" zoomScaleNormal="75" workbookViewId="0" topLeftCell="D10">
      <selection activeCell="U18" sqref="U1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4.28125" style="0" customWidth="1"/>
    <col min="5" max="5" width="7.7109375" style="0" customWidth="1"/>
    <col min="6" max="7" width="15.7109375" style="0" customWidth="1"/>
    <col min="8" max="11" width="9.7109375" style="0" customWidth="1"/>
    <col min="12" max="12" width="15.8515625" style="0" hidden="1" customWidth="1"/>
    <col min="13" max="13" width="16.140625" style="0" hidden="1" customWidth="1"/>
    <col min="14" max="14" width="15.140625" style="0" hidden="1" customWidth="1"/>
    <col min="15" max="15" width="15.00390625" style="0" hidden="1" customWidth="1"/>
    <col min="16" max="16" width="18.28125" style="0" hidden="1" customWidth="1"/>
    <col min="17" max="19" width="17.7109375" style="0" hidden="1" customWidth="1"/>
    <col min="20" max="22" width="15.7109375" style="0" customWidth="1"/>
    <col min="23" max="23" width="30.4218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2" ht="27.75" customHeight="1">
      <c r="A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47"/>
    </row>
    <row r="2" spans="1:22" ht="27.75" customHeight="1">
      <c r="A2" s="3"/>
      <c r="B2" s="111" t="str">
        <f>+'tot-9911'!B2</f>
        <v>ANEXO I A LA RESOLUCION ENRE N° 320/2000</v>
      </c>
      <c r="C2" s="4"/>
      <c r="D2" s="4"/>
      <c r="E2" s="4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</row>
    <row r="3" spans="1:22" ht="12.75">
      <c r="A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pans="6:22" ht="13.5" thickBo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13.5" thickTop="1">
      <c r="B7" s="317"/>
      <c r="C7" s="318"/>
      <c r="D7" s="318"/>
      <c r="E7" s="318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</row>
    <row r="8" spans="2:22" ht="20.25">
      <c r="B8" s="321"/>
      <c r="D8" s="7" t="s">
        <v>102</v>
      </c>
      <c r="F8" s="8"/>
      <c r="G8" s="4"/>
      <c r="H8" s="4"/>
      <c r="I8" s="4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3"/>
    </row>
    <row r="9" spans="2:22" ht="20.25">
      <c r="B9" s="321"/>
      <c r="C9" s="11"/>
      <c r="D9" s="324"/>
      <c r="E9" s="11"/>
      <c r="F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25"/>
    </row>
    <row r="10" spans="2:22" ht="20.25">
      <c r="B10" s="321"/>
      <c r="D10" s="176" t="s">
        <v>135</v>
      </c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25"/>
    </row>
    <row r="11" spans="2:22" ht="20.25">
      <c r="B11" s="321"/>
      <c r="C11" s="11"/>
      <c r="D11" s="11"/>
      <c r="E11" s="11"/>
      <c r="F11" s="273"/>
      <c r="G11" s="326"/>
      <c r="H11" s="326"/>
      <c r="I11" s="326"/>
      <c r="J11" s="326"/>
      <c r="K11" s="326"/>
      <c r="L11" s="6"/>
      <c r="M11" s="6"/>
      <c r="N11" s="6"/>
      <c r="O11" s="6"/>
      <c r="P11" s="6"/>
      <c r="Q11" s="6"/>
      <c r="R11" s="6"/>
      <c r="S11" s="6"/>
      <c r="T11" s="6"/>
      <c r="U11" s="6"/>
      <c r="V11" s="325"/>
    </row>
    <row r="12" spans="2:22" ht="16.5" customHeight="1">
      <c r="B12" s="327" t="str">
        <f>+'tot-9911'!B14</f>
        <v>Desde el 01 al 30 de noviembre de 1999</v>
      </c>
      <c r="C12" s="9"/>
      <c r="D12" s="9"/>
      <c r="E12" s="9"/>
      <c r="F12" s="4"/>
      <c r="G12" s="322"/>
      <c r="H12" s="322"/>
      <c r="I12" s="322"/>
      <c r="J12" s="4"/>
      <c r="K12" s="4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3"/>
    </row>
    <row r="13" spans="2:22" ht="16.5" customHeight="1" thickBot="1">
      <c r="B13" s="321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25"/>
    </row>
    <row r="14" spans="2:22" ht="16.5" customHeight="1" thickBot="1" thickTop="1">
      <c r="B14" s="321"/>
      <c r="D14" s="590" t="s">
        <v>136</v>
      </c>
      <c r="E14" s="591">
        <v>2645471.17</v>
      </c>
      <c r="F14" s="592"/>
      <c r="L14" s="6"/>
      <c r="M14" s="6"/>
      <c r="N14" s="6"/>
      <c r="O14" s="6"/>
      <c r="P14" s="328"/>
      <c r="Q14" s="328"/>
      <c r="R14" s="328"/>
      <c r="S14" s="328"/>
      <c r="T14" s="5"/>
      <c r="U14" s="6"/>
      <c r="V14" s="325"/>
    </row>
    <row r="15" spans="2:22" ht="16.5" customHeight="1" thickBot="1" thickTop="1">
      <c r="B15" s="321"/>
      <c r="C15" s="12"/>
      <c r="D15" s="12"/>
      <c r="E15" s="12"/>
      <c r="F15" s="6"/>
      <c r="G15" s="6"/>
      <c r="H15" s="6"/>
      <c r="I15" s="6"/>
      <c r="J15" s="32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25"/>
    </row>
    <row r="16" spans="2:22" ht="33.75" customHeight="1" thickBot="1" thickTop="1">
      <c r="B16" s="321"/>
      <c r="C16" s="182" t="s">
        <v>107</v>
      </c>
      <c r="D16" s="183" t="s">
        <v>88</v>
      </c>
      <c r="E16" s="188" t="s">
        <v>108</v>
      </c>
      <c r="F16" s="185" t="s">
        <v>113</v>
      </c>
      <c r="G16" s="186" t="s">
        <v>114</v>
      </c>
      <c r="H16" s="191" t="s">
        <v>115</v>
      </c>
      <c r="I16" s="191" t="s">
        <v>116</v>
      </c>
      <c r="J16" s="191" t="s">
        <v>117</v>
      </c>
      <c r="K16" s="191" t="s">
        <v>118</v>
      </c>
      <c r="L16" s="593" t="s">
        <v>137</v>
      </c>
      <c r="M16" s="453" t="s">
        <v>122</v>
      </c>
      <c r="N16" s="599" t="s">
        <v>138</v>
      </c>
      <c r="O16" s="600"/>
      <c r="P16" s="548" t="s">
        <v>139</v>
      </c>
      <c r="Q16" s="607"/>
      <c r="R16" s="616" t="s">
        <v>125</v>
      </c>
      <c r="S16" s="621" t="s">
        <v>134</v>
      </c>
      <c r="T16" s="192" t="s">
        <v>140</v>
      </c>
      <c r="U16" s="192" t="s">
        <v>128</v>
      </c>
      <c r="V16" s="330"/>
    </row>
    <row r="17" spans="2:22" ht="16.5" customHeight="1" thickTop="1">
      <c r="B17" s="321"/>
      <c r="C17" s="417"/>
      <c r="D17" s="332"/>
      <c r="E17" s="586"/>
      <c r="F17" s="332"/>
      <c r="G17" s="333"/>
      <c r="H17" s="444"/>
      <c r="I17" s="444"/>
      <c r="J17" s="444"/>
      <c r="K17" s="444"/>
      <c r="L17" s="594"/>
      <c r="M17" s="597"/>
      <c r="N17" s="601"/>
      <c r="O17" s="602"/>
      <c r="P17" s="608"/>
      <c r="Q17" s="609"/>
      <c r="R17" s="617"/>
      <c r="S17" s="622"/>
      <c r="T17" s="444"/>
      <c r="U17" s="627"/>
      <c r="V17" s="331"/>
    </row>
    <row r="18" spans="2:22" ht="16.5" customHeight="1">
      <c r="B18" s="321"/>
      <c r="C18" s="20" t="s">
        <v>185</v>
      </c>
      <c r="D18" s="95" t="s">
        <v>169</v>
      </c>
      <c r="E18" s="315">
        <v>500</v>
      </c>
      <c r="F18" s="19">
        <v>36484.28402777778</v>
      </c>
      <c r="G18" s="32">
        <v>36484.75208333333</v>
      </c>
      <c r="H18" s="26">
        <f>IF(D18="","",ROUND((G18-F18)*24,2))</f>
        <v>11.23</v>
      </c>
      <c r="I18" s="27">
        <f>IF(D18="","",ROUND((G18-F18)*24*60,0))</f>
        <v>674</v>
      </c>
      <c r="J18" s="24" t="s">
        <v>197</v>
      </c>
      <c r="K18" s="378" t="str">
        <f aca="true" t="shared" si="0" ref="K18:K36">IF(D18="","","--")</f>
        <v>--</v>
      </c>
      <c r="L18" s="595">
        <f aca="true" t="shared" si="1" ref="L18:L36">IF(J18="P",5*ROUND(IF(I18&gt;10,I18,10)/60,2),"--")</f>
        <v>56.150000000000006</v>
      </c>
      <c r="M18" s="454" t="str">
        <f aca="true" t="shared" si="2" ref="M18:M36">IF(J18="RP",5*K18/100*ROUND(IF(I18&gt;10,I18,10)/60,2),"--")</f>
        <v>--</v>
      </c>
      <c r="N18" s="603" t="str">
        <f aca="true" t="shared" si="3" ref="N18:N36">IF(J18="F",50*IF(I18&lt;300,ROUND(IF(I18&gt;10,I18,10)/60,2),5),"--")</f>
        <v>--</v>
      </c>
      <c r="O18" s="604" t="str">
        <f aca="true" t="shared" si="4" ref="O18:O36">IF(AND(J18="F",I18&gt;300),(ROUND(I18/60,2)-5)*10,"--")</f>
        <v>--</v>
      </c>
      <c r="P18" s="552" t="str">
        <f aca="true" t="shared" si="5" ref="P18:P36">IF(J18="R",50*K18/100*IF(I18&lt;300,ROUND(IF(I18&gt;10,I18,10)/60,2),5),"--")</f>
        <v>--</v>
      </c>
      <c r="Q18" s="610" t="str">
        <f aca="true" t="shared" si="6" ref="Q18:Q36">IF(AND(J18="R",I18&gt;300),(ROUND(I18/60,2)-5)*10*K18/100,"--")</f>
        <v>--</v>
      </c>
      <c r="R18" s="618" t="str">
        <f aca="true" t="shared" si="7" ref="R18:R36">IF(J18="RF",ROUND(I18/60,2)*10,"--")</f>
        <v>--</v>
      </c>
      <c r="S18" s="623" t="str">
        <f aca="true" t="shared" si="8" ref="S18:S36">IF(J18="R",ROUND(I18/60,2)*10*K18/100,"--")</f>
        <v>--</v>
      </c>
      <c r="T18" s="585">
        <f aca="true" t="shared" si="9" ref="T18:T36">IF(D18="","",SUM(L18:S18))</f>
        <v>56.150000000000006</v>
      </c>
      <c r="U18" s="334">
        <f aca="true" t="shared" si="10" ref="U18:U36">IF(D18="","",T18/1500*$E$14)</f>
        <v>99028.80413033334</v>
      </c>
      <c r="V18" s="335"/>
    </row>
    <row r="19" spans="2:22" ht="16.5" customHeight="1">
      <c r="B19" s="321"/>
      <c r="C19" s="20"/>
      <c r="D19" s="95"/>
      <c r="E19" s="315"/>
      <c r="F19" s="19"/>
      <c r="G19" s="32"/>
      <c r="H19" s="26">
        <f aca="true" t="shared" si="11" ref="H19:H36">IF(D19="","",ROUND((G19-F19)*24,2))</f>
      </c>
      <c r="I19" s="27">
        <f aca="true" t="shared" si="12" ref="I19:I36">IF(D19="","",ROUND((G19-F19)*24*60,0))</f>
      </c>
      <c r="J19" s="24"/>
      <c r="K19" s="378">
        <f t="shared" si="0"/>
      </c>
      <c r="L19" s="595" t="str">
        <f t="shared" si="1"/>
        <v>--</v>
      </c>
      <c r="M19" s="454" t="str">
        <f t="shared" si="2"/>
        <v>--</v>
      </c>
      <c r="N19" s="603" t="str">
        <f t="shared" si="3"/>
        <v>--</v>
      </c>
      <c r="O19" s="604" t="str">
        <f t="shared" si="4"/>
        <v>--</v>
      </c>
      <c r="P19" s="552" t="str">
        <f t="shared" si="5"/>
        <v>--</v>
      </c>
      <c r="Q19" s="610" t="str">
        <f t="shared" si="6"/>
        <v>--</v>
      </c>
      <c r="R19" s="618" t="str">
        <f t="shared" si="7"/>
        <v>--</v>
      </c>
      <c r="S19" s="623" t="str">
        <f t="shared" si="8"/>
        <v>--</v>
      </c>
      <c r="T19" s="585">
        <f t="shared" si="9"/>
      </c>
      <c r="U19" s="334">
        <f t="shared" si="10"/>
      </c>
      <c r="V19" s="335"/>
    </row>
    <row r="20" spans="2:22" ht="16.5" customHeight="1">
      <c r="B20" s="321"/>
      <c r="C20" s="20"/>
      <c r="D20" s="95"/>
      <c r="E20" s="315"/>
      <c r="F20" s="19"/>
      <c r="G20" s="32"/>
      <c r="H20" s="26">
        <f t="shared" si="11"/>
      </c>
      <c r="I20" s="27">
        <f t="shared" si="12"/>
      </c>
      <c r="J20" s="24"/>
      <c r="K20" s="378">
        <f t="shared" si="0"/>
      </c>
      <c r="L20" s="595" t="str">
        <f t="shared" si="1"/>
        <v>--</v>
      </c>
      <c r="M20" s="454" t="str">
        <f t="shared" si="2"/>
        <v>--</v>
      </c>
      <c r="N20" s="603" t="str">
        <f t="shared" si="3"/>
        <v>--</v>
      </c>
      <c r="O20" s="604" t="str">
        <f t="shared" si="4"/>
        <v>--</v>
      </c>
      <c r="P20" s="552" t="str">
        <f t="shared" si="5"/>
        <v>--</v>
      </c>
      <c r="Q20" s="610" t="str">
        <f t="shared" si="6"/>
        <v>--</v>
      </c>
      <c r="R20" s="618" t="str">
        <f t="shared" si="7"/>
        <v>--</v>
      </c>
      <c r="S20" s="623" t="str">
        <f t="shared" si="8"/>
        <v>--</v>
      </c>
      <c r="T20" s="585">
        <f t="shared" si="9"/>
      </c>
      <c r="U20" s="334">
        <f t="shared" si="10"/>
      </c>
      <c r="V20" s="335"/>
    </row>
    <row r="21" spans="2:22" ht="16.5" customHeight="1">
      <c r="B21" s="321"/>
      <c r="C21" s="20"/>
      <c r="D21" s="95"/>
      <c r="E21" s="315"/>
      <c r="F21" s="19"/>
      <c r="G21" s="32"/>
      <c r="H21" s="26">
        <f t="shared" si="11"/>
      </c>
      <c r="I21" s="27">
        <f t="shared" si="12"/>
      </c>
      <c r="J21" s="24"/>
      <c r="K21" s="378">
        <f t="shared" si="0"/>
      </c>
      <c r="L21" s="595" t="str">
        <f t="shared" si="1"/>
        <v>--</v>
      </c>
      <c r="M21" s="454" t="str">
        <f t="shared" si="2"/>
        <v>--</v>
      </c>
      <c r="N21" s="603" t="str">
        <f t="shared" si="3"/>
        <v>--</v>
      </c>
      <c r="O21" s="604" t="str">
        <f t="shared" si="4"/>
        <v>--</v>
      </c>
      <c r="P21" s="552" t="str">
        <f t="shared" si="5"/>
        <v>--</v>
      </c>
      <c r="Q21" s="610" t="str">
        <f t="shared" si="6"/>
        <v>--</v>
      </c>
      <c r="R21" s="618" t="str">
        <f t="shared" si="7"/>
        <v>--</v>
      </c>
      <c r="S21" s="623" t="str">
        <f t="shared" si="8"/>
        <v>--</v>
      </c>
      <c r="T21" s="585">
        <f t="shared" si="9"/>
      </c>
      <c r="U21" s="334">
        <f t="shared" si="10"/>
      </c>
      <c r="V21" s="335"/>
    </row>
    <row r="22" spans="2:22" ht="16.5" customHeight="1">
      <c r="B22" s="321"/>
      <c r="C22" s="20"/>
      <c r="D22" s="95"/>
      <c r="E22" s="315"/>
      <c r="F22" s="19"/>
      <c r="G22" s="32"/>
      <c r="H22" s="26">
        <f t="shared" si="11"/>
      </c>
      <c r="I22" s="27">
        <f t="shared" si="12"/>
      </c>
      <c r="J22" s="24"/>
      <c r="K22" s="378">
        <f t="shared" si="0"/>
      </c>
      <c r="L22" s="595" t="str">
        <f t="shared" si="1"/>
        <v>--</v>
      </c>
      <c r="M22" s="454" t="str">
        <f t="shared" si="2"/>
        <v>--</v>
      </c>
      <c r="N22" s="603" t="str">
        <f t="shared" si="3"/>
        <v>--</v>
      </c>
      <c r="O22" s="604" t="str">
        <f t="shared" si="4"/>
        <v>--</v>
      </c>
      <c r="P22" s="552" t="str">
        <f t="shared" si="5"/>
        <v>--</v>
      </c>
      <c r="Q22" s="610" t="str">
        <f t="shared" si="6"/>
        <v>--</v>
      </c>
      <c r="R22" s="618" t="str">
        <f t="shared" si="7"/>
        <v>--</v>
      </c>
      <c r="S22" s="623" t="str">
        <f t="shared" si="8"/>
        <v>--</v>
      </c>
      <c r="T22" s="585">
        <f t="shared" si="9"/>
      </c>
      <c r="U22" s="334">
        <f t="shared" si="10"/>
      </c>
      <c r="V22" s="335"/>
    </row>
    <row r="23" spans="2:22" ht="16.5" customHeight="1">
      <c r="B23" s="321"/>
      <c r="C23" s="20"/>
      <c r="D23" s="95"/>
      <c r="E23" s="315"/>
      <c r="F23" s="19"/>
      <c r="G23" s="32"/>
      <c r="H23" s="26">
        <f t="shared" si="11"/>
      </c>
      <c r="I23" s="27">
        <f t="shared" si="12"/>
      </c>
      <c r="J23" s="24"/>
      <c r="K23" s="378">
        <f t="shared" si="0"/>
      </c>
      <c r="L23" s="595" t="str">
        <f t="shared" si="1"/>
        <v>--</v>
      </c>
      <c r="M23" s="454" t="str">
        <f t="shared" si="2"/>
        <v>--</v>
      </c>
      <c r="N23" s="603" t="str">
        <f t="shared" si="3"/>
        <v>--</v>
      </c>
      <c r="O23" s="604" t="str">
        <f t="shared" si="4"/>
        <v>--</v>
      </c>
      <c r="P23" s="552" t="str">
        <f t="shared" si="5"/>
        <v>--</v>
      </c>
      <c r="Q23" s="610" t="str">
        <f t="shared" si="6"/>
        <v>--</v>
      </c>
      <c r="R23" s="618" t="str">
        <f t="shared" si="7"/>
        <v>--</v>
      </c>
      <c r="S23" s="623" t="str">
        <f t="shared" si="8"/>
        <v>--</v>
      </c>
      <c r="T23" s="585">
        <f t="shared" si="9"/>
      </c>
      <c r="U23" s="334">
        <f t="shared" si="10"/>
      </c>
      <c r="V23" s="335"/>
    </row>
    <row r="24" spans="2:22" ht="16.5" customHeight="1">
      <c r="B24" s="321"/>
      <c r="C24" s="20"/>
      <c r="D24" s="95"/>
      <c r="E24" s="315"/>
      <c r="F24" s="19"/>
      <c r="G24" s="32"/>
      <c r="H24" s="26">
        <f t="shared" si="11"/>
      </c>
      <c r="I24" s="27">
        <f t="shared" si="12"/>
      </c>
      <c r="J24" s="24"/>
      <c r="K24" s="378">
        <f t="shared" si="0"/>
      </c>
      <c r="L24" s="595" t="str">
        <f t="shared" si="1"/>
        <v>--</v>
      </c>
      <c r="M24" s="454" t="str">
        <f t="shared" si="2"/>
        <v>--</v>
      </c>
      <c r="N24" s="603" t="str">
        <f t="shared" si="3"/>
        <v>--</v>
      </c>
      <c r="O24" s="604" t="str">
        <f t="shared" si="4"/>
        <v>--</v>
      </c>
      <c r="P24" s="552" t="str">
        <f t="shared" si="5"/>
        <v>--</v>
      </c>
      <c r="Q24" s="610" t="str">
        <f t="shared" si="6"/>
        <v>--</v>
      </c>
      <c r="R24" s="618" t="str">
        <f t="shared" si="7"/>
        <v>--</v>
      </c>
      <c r="S24" s="623" t="str">
        <f t="shared" si="8"/>
        <v>--</v>
      </c>
      <c r="T24" s="585">
        <f t="shared" si="9"/>
      </c>
      <c r="U24" s="334">
        <f t="shared" si="10"/>
      </c>
      <c r="V24" s="335"/>
    </row>
    <row r="25" spans="2:22" ht="16.5" customHeight="1">
      <c r="B25" s="321"/>
      <c r="C25" s="20"/>
      <c r="D25" s="95"/>
      <c r="E25" s="315"/>
      <c r="F25" s="19"/>
      <c r="G25" s="32"/>
      <c r="H25" s="26">
        <f t="shared" si="11"/>
      </c>
      <c r="I25" s="27">
        <f t="shared" si="12"/>
      </c>
      <c r="J25" s="24"/>
      <c r="K25" s="378">
        <f t="shared" si="0"/>
      </c>
      <c r="L25" s="595" t="str">
        <f t="shared" si="1"/>
        <v>--</v>
      </c>
      <c r="M25" s="454" t="str">
        <f t="shared" si="2"/>
        <v>--</v>
      </c>
      <c r="N25" s="603" t="str">
        <f t="shared" si="3"/>
        <v>--</v>
      </c>
      <c r="O25" s="604" t="str">
        <f t="shared" si="4"/>
        <v>--</v>
      </c>
      <c r="P25" s="552" t="str">
        <f t="shared" si="5"/>
        <v>--</v>
      </c>
      <c r="Q25" s="610" t="str">
        <f t="shared" si="6"/>
        <v>--</v>
      </c>
      <c r="R25" s="618" t="str">
        <f t="shared" si="7"/>
        <v>--</v>
      </c>
      <c r="S25" s="623" t="str">
        <f t="shared" si="8"/>
        <v>--</v>
      </c>
      <c r="T25" s="585">
        <f t="shared" si="9"/>
      </c>
      <c r="U25" s="334">
        <f t="shared" si="10"/>
      </c>
      <c r="V25" s="335"/>
    </row>
    <row r="26" spans="2:22" ht="16.5" customHeight="1">
      <c r="B26" s="321"/>
      <c r="C26" s="20"/>
      <c r="D26" s="95"/>
      <c r="E26" s="315"/>
      <c r="F26" s="19"/>
      <c r="G26" s="32"/>
      <c r="H26" s="26">
        <f t="shared" si="11"/>
      </c>
      <c r="I26" s="27">
        <f t="shared" si="12"/>
      </c>
      <c r="J26" s="24"/>
      <c r="K26" s="378">
        <f t="shared" si="0"/>
      </c>
      <c r="L26" s="595" t="str">
        <f t="shared" si="1"/>
        <v>--</v>
      </c>
      <c r="M26" s="454" t="str">
        <f t="shared" si="2"/>
        <v>--</v>
      </c>
      <c r="N26" s="603" t="str">
        <f t="shared" si="3"/>
        <v>--</v>
      </c>
      <c r="O26" s="604" t="str">
        <f t="shared" si="4"/>
        <v>--</v>
      </c>
      <c r="P26" s="552" t="str">
        <f t="shared" si="5"/>
        <v>--</v>
      </c>
      <c r="Q26" s="610" t="str">
        <f t="shared" si="6"/>
        <v>--</v>
      </c>
      <c r="R26" s="618" t="str">
        <f t="shared" si="7"/>
        <v>--</v>
      </c>
      <c r="S26" s="623" t="str">
        <f t="shared" si="8"/>
        <v>--</v>
      </c>
      <c r="T26" s="585">
        <f t="shared" si="9"/>
      </c>
      <c r="U26" s="334">
        <f t="shared" si="10"/>
      </c>
      <c r="V26" s="335"/>
    </row>
    <row r="27" spans="2:22" ht="16.5" customHeight="1">
      <c r="B27" s="321"/>
      <c r="C27" s="20"/>
      <c r="D27" s="315"/>
      <c r="E27" s="315"/>
      <c r="F27" s="19"/>
      <c r="G27" s="32"/>
      <c r="H27" s="26">
        <f t="shared" si="11"/>
      </c>
      <c r="I27" s="27">
        <f t="shared" si="12"/>
      </c>
      <c r="J27" s="24"/>
      <c r="K27" s="378">
        <f t="shared" si="0"/>
      </c>
      <c r="L27" s="595" t="str">
        <f t="shared" si="1"/>
        <v>--</v>
      </c>
      <c r="M27" s="454" t="str">
        <f t="shared" si="2"/>
        <v>--</v>
      </c>
      <c r="N27" s="603" t="str">
        <f t="shared" si="3"/>
        <v>--</v>
      </c>
      <c r="O27" s="604" t="str">
        <f t="shared" si="4"/>
        <v>--</v>
      </c>
      <c r="P27" s="552" t="str">
        <f t="shared" si="5"/>
        <v>--</v>
      </c>
      <c r="Q27" s="610" t="str">
        <f t="shared" si="6"/>
        <v>--</v>
      </c>
      <c r="R27" s="618" t="str">
        <f t="shared" si="7"/>
        <v>--</v>
      </c>
      <c r="S27" s="623" t="str">
        <f t="shared" si="8"/>
        <v>--</v>
      </c>
      <c r="T27" s="585">
        <f t="shared" si="9"/>
      </c>
      <c r="U27" s="334">
        <f t="shared" si="10"/>
      </c>
      <c r="V27" s="335"/>
    </row>
    <row r="28" spans="2:22" ht="16.5" customHeight="1">
      <c r="B28" s="321"/>
      <c r="C28" s="20"/>
      <c r="D28" s="315"/>
      <c r="E28" s="315"/>
      <c r="F28" s="19"/>
      <c r="G28" s="32"/>
      <c r="H28" s="26">
        <f t="shared" si="11"/>
      </c>
      <c r="I28" s="27">
        <f t="shared" si="12"/>
      </c>
      <c r="J28" s="24"/>
      <c r="K28" s="378">
        <f t="shared" si="0"/>
      </c>
      <c r="L28" s="595" t="str">
        <f t="shared" si="1"/>
        <v>--</v>
      </c>
      <c r="M28" s="454" t="str">
        <f t="shared" si="2"/>
        <v>--</v>
      </c>
      <c r="N28" s="603" t="str">
        <f t="shared" si="3"/>
        <v>--</v>
      </c>
      <c r="O28" s="604" t="str">
        <f t="shared" si="4"/>
        <v>--</v>
      </c>
      <c r="P28" s="552" t="str">
        <f t="shared" si="5"/>
        <v>--</v>
      </c>
      <c r="Q28" s="610" t="str">
        <f t="shared" si="6"/>
        <v>--</v>
      </c>
      <c r="R28" s="618" t="str">
        <f t="shared" si="7"/>
        <v>--</v>
      </c>
      <c r="S28" s="623" t="str">
        <f t="shared" si="8"/>
        <v>--</v>
      </c>
      <c r="T28" s="585">
        <f t="shared" si="9"/>
      </c>
      <c r="U28" s="334">
        <f t="shared" si="10"/>
      </c>
      <c r="V28" s="335"/>
    </row>
    <row r="29" spans="2:22" ht="16.5" customHeight="1">
      <c r="B29" s="321"/>
      <c r="C29" s="20"/>
      <c r="D29" s="315"/>
      <c r="E29" s="315"/>
      <c r="F29" s="19"/>
      <c r="G29" s="32"/>
      <c r="H29" s="26">
        <f t="shared" si="11"/>
      </c>
      <c r="I29" s="27">
        <f t="shared" si="12"/>
      </c>
      <c r="J29" s="24"/>
      <c r="K29" s="378">
        <f t="shared" si="0"/>
      </c>
      <c r="L29" s="595" t="str">
        <f t="shared" si="1"/>
        <v>--</v>
      </c>
      <c r="M29" s="454" t="str">
        <f t="shared" si="2"/>
        <v>--</v>
      </c>
      <c r="N29" s="603" t="str">
        <f t="shared" si="3"/>
        <v>--</v>
      </c>
      <c r="O29" s="604" t="str">
        <f t="shared" si="4"/>
        <v>--</v>
      </c>
      <c r="P29" s="552" t="str">
        <f t="shared" si="5"/>
        <v>--</v>
      </c>
      <c r="Q29" s="610" t="str">
        <f t="shared" si="6"/>
        <v>--</v>
      </c>
      <c r="R29" s="618" t="str">
        <f t="shared" si="7"/>
        <v>--</v>
      </c>
      <c r="S29" s="623" t="str">
        <f t="shared" si="8"/>
        <v>--</v>
      </c>
      <c r="T29" s="585">
        <f t="shared" si="9"/>
      </c>
      <c r="U29" s="334">
        <f t="shared" si="10"/>
      </c>
      <c r="V29" s="335"/>
    </row>
    <row r="30" spans="2:22" ht="16.5" customHeight="1">
      <c r="B30" s="321"/>
      <c r="C30" s="20"/>
      <c r="D30" s="315"/>
      <c r="E30" s="315"/>
      <c r="F30" s="19"/>
      <c r="G30" s="32"/>
      <c r="H30" s="26">
        <f t="shared" si="11"/>
      </c>
      <c r="I30" s="27">
        <f t="shared" si="12"/>
      </c>
      <c r="J30" s="24"/>
      <c r="K30" s="378">
        <f t="shared" si="0"/>
      </c>
      <c r="L30" s="595" t="str">
        <f t="shared" si="1"/>
        <v>--</v>
      </c>
      <c r="M30" s="454" t="str">
        <f t="shared" si="2"/>
        <v>--</v>
      </c>
      <c r="N30" s="603" t="str">
        <f t="shared" si="3"/>
        <v>--</v>
      </c>
      <c r="O30" s="604" t="str">
        <f t="shared" si="4"/>
        <v>--</v>
      </c>
      <c r="P30" s="552" t="str">
        <f t="shared" si="5"/>
        <v>--</v>
      </c>
      <c r="Q30" s="610" t="str">
        <f t="shared" si="6"/>
        <v>--</v>
      </c>
      <c r="R30" s="618" t="str">
        <f t="shared" si="7"/>
        <v>--</v>
      </c>
      <c r="S30" s="623" t="str">
        <f t="shared" si="8"/>
        <v>--</v>
      </c>
      <c r="T30" s="585">
        <f t="shared" si="9"/>
      </c>
      <c r="U30" s="334">
        <f t="shared" si="10"/>
      </c>
      <c r="V30" s="335"/>
    </row>
    <row r="31" spans="2:22" ht="16.5" customHeight="1">
      <c r="B31" s="321"/>
      <c r="C31" s="20"/>
      <c r="D31" s="315"/>
      <c r="E31" s="315"/>
      <c r="F31" s="19"/>
      <c r="G31" s="32"/>
      <c r="H31" s="26">
        <f t="shared" si="11"/>
      </c>
      <c r="I31" s="27">
        <f t="shared" si="12"/>
      </c>
      <c r="J31" s="24"/>
      <c r="K31" s="378">
        <f t="shared" si="0"/>
      </c>
      <c r="L31" s="595" t="str">
        <f t="shared" si="1"/>
        <v>--</v>
      </c>
      <c r="M31" s="454" t="str">
        <f t="shared" si="2"/>
        <v>--</v>
      </c>
      <c r="N31" s="603" t="str">
        <f t="shared" si="3"/>
        <v>--</v>
      </c>
      <c r="O31" s="604" t="str">
        <f t="shared" si="4"/>
        <v>--</v>
      </c>
      <c r="P31" s="552" t="str">
        <f t="shared" si="5"/>
        <v>--</v>
      </c>
      <c r="Q31" s="610" t="str">
        <f t="shared" si="6"/>
        <v>--</v>
      </c>
      <c r="R31" s="618" t="str">
        <f t="shared" si="7"/>
        <v>--</v>
      </c>
      <c r="S31" s="623" t="str">
        <f t="shared" si="8"/>
        <v>--</v>
      </c>
      <c r="T31" s="585">
        <f t="shared" si="9"/>
      </c>
      <c r="U31" s="334">
        <f t="shared" si="10"/>
      </c>
      <c r="V31" s="335"/>
    </row>
    <row r="32" spans="2:22" ht="16.5" customHeight="1">
      <c r="B32" s="321"/>
      <c r="C32" s="20"/>
      <c r="D32" s="315"/>
      <c r="E32" s="315"/>
      <c r="F32" s="19"/>
      <c r="G32" s="32"/>
      <c r="H32" s="26">
        <f t="shared" si="11"/>
      </c>
      <c r="I32" s="27">
        <f t="shared" si="12"/>
      </c>
      <c r="J32" s="24"/>
      <c r="K32" s="378">
        <f t="shared" si="0"/>
      </c>
      <c r="L32" s="595" t="str">
        <f t="shared" si="1"/>
        <v>--</v>
      </c>
      <c r="M32" s="454" t="str">
        <f t="shared" si="2"/>
        <v>--</v>
      </c>
      <c r="N32" s="603" t="str">
        <f t="shared" si="3"/>
        <v>--</v>
      </c>
      <c r="O32" s="604" t="str">
        <f t="shared" si="4"/>
        <v>--</v>
      </c>
      <c r="P32" s="552" t="str">
        <f t="shared" si="5"/>
        <v>--</v>
      </c>
      <c r="Q32" s="610" t="str">
        <f t="shared" si="6"/>
        <v>--</v>
      </c>
      <c r="R32" s="618" t="str">
        <f t="shared" si="7"/>
        <v>--</v>
      </c>
      <c r="S32" s="623" t="str">
        <f t="shared" si="8"/>
        <v>--</v>
      </c>
      <c r="T32" s="585">
        <f t="shared" si="9"/>
      </c>
      <c r="U32" s="334">
        <f t="shared" si="10"/>
      </c>
      <c r="V32" s="335"/>
    </row>
    <row r="33" spans="2:22" ht="16.5" customHeight="1">
      <c r="B33" s="321"/>
      <c r="C33" s="20"/>
      <c r="D33" s="315"/>
      <c r="E33" s="315"/>
      <c r="F33" s="19"/>
      <c r="G33" s="32"/>
      <c r="H33" s="26">
        <f t="shared" si="11"/>
      </c>
      <c r="I33" s="27">
        <f t="shared" si="12"/>
      </c>
      <c r="J33" s="24"/>
      <c r="K33" s="378">
        <f t="shared" si="0"/>
      </c>
      <c r="L33" s="595" t="str">
        <f t="shared" si="1"/>
        <v>--</v>
      </c>
      <c r="M33" s="454" t="str">
        <f t="shared" si="2"/>
        <v>--</v>
      </c>
      <c r="N33" s="603" t="str">
        <f t="shared" si="3"/>
        <v>--</v>
      </c>
      <c r="O33" s="604" t="str">
        <f t="shared" si="4"/>
        <v>--</v>
      </c>
      <c r="P33" s="552" t="str">
        <f t="shared" si="5"/>
        <v>--</v>
      </c>
      <c r="Q33" s="610" t="str">
        <f t="shared" si="6"/>
        <v>--</v>
      </c>
      <c r="R33" s="618" t="str">
        <f t="shared" si="7"/>
        <v>--</v>
      </c>
      <c r="S33" s="623" t="str">
        <f t="shared" si="8"/>
        <v>--</v>
      </c>
      <c r="T33" s="585">
        <f t="shared" si="9"/>
      </c>
      <c r="U33" s="334">
        <f t="shared" si="10"/>
      </c>
      <c r="V33" s="335"/>
    </row>
    <row r="34" spans="2:22" ht="16.5" customHeight="1">
      <c r="B34" s="321"/>
      <c r="C34" s="20"/>
      <c r="D34" s="315"/>
      <c r="E34" s="315"/>
      <c r="F34" s="19"/>
      <c r="G34" s="32"/>
      <c r="H34" s="26">
        <f t="shared" si="11"/>
      </c>
      <c r="I34" s="27">
        <f t="shared" si="12"/>
      </c>
      <c r="J34" s="24"/>
      <c r="K34" s="378">
        <f t="shared" si="0"/>
      </c>
      <c r="L34" s="595" t="str">
        <f t="shared" si="1"/>
        <v>--</v>
      </c>
      <c r="M34" s="454" t="str">
        <f t="shared" si="2"/>
        <v>--</v>
      </c>
      <c r="N34" s="603" t="str">
        <f t="shared" si="3"/>
        <v>--</v>
      </c>
      <c r="O34" s="604" t="str">
        <f t="shared" si="4"/>
        <v>--</v>
      </c>
      <c r="P34" s="552" t="str">
        <f t="shared" si="5"/>
        <v>--</v>
      </c>
      <c r="Q34" s="610" t="str">
        <f t="shared" si="6"/>
        <v>--</v>
      </c>
      <c r="R34" s="618" t="str">
        <f t="shared" si="7"/>
        <v>--</v>
      </c>
      <c r="S34" s="623" t="str">
        <f t="shared" si="8"/>
        <v>--</v>
      </c>
      <c r="T34" s="585">
        <f t="shared" si="9"/>
      </c>
      <c r="U34" s="334">
        <f t="shared" si="10"/>
      </c>
      <c r="V34" s="335"/>
    </row>
    <row r="35" spans="2:22" ht="16.5" customHeight="1">
      <c r="B35" s="321"/>
      <c r="C35" s="20"/>
      <c r="D35" s="315"/>
      <c r="E35" s="315"/>
      <c r="F35" s="19"/>
      <c r="G35" s="32"/>
      <c r="H35" s="26">
        <f t="shared" si="11"/>
      </c>
      <c r="I35" s="27">
        <f t="shared" si="12"/>
      </c>
      <c r="J35" s="24"/>
      <c r="K35" s="378">
        <f t="shared" si="0"/>
      </c>
      <c r="L35" s="595" t="str">
        <f t="shared" si="1"/>
        <v>--</v>
      </c>
      <c r="M35" s="454" t="str">
        <f t="shared" si="2"/>
        <v>--</v>
      </c>
      <c r="N35" s="603" t="str">
        <f t="shared" si="3"/>
        <v>--</v>
      </c>
      <c r="O35" s="604" t="str">
        <f t="shared" si="4"/>
        <v>--</v>
      </c>
      <c r="P35" s="552" t="str">
        <f t="shared" si="5"/>
        <v>--</v>
      </c>
      <c r="Q35" s="610" t="str">
        <f t="shared" si="6"/>
        <v>--</v>
      </c>
      <c r="R35" s="618" t="str">
        <f t="shared" si="7"/>
        <v>--</v>
      </c>
      <c r="S35" s="623" t="str">
        <f t="shared" si="8"/>
        <v>--</v>
      </c>
      <c r="T35" s="585">
        <f t="shared" si="9"/>
      </c>
      <c r="U35" s="334">
        <f t="shared" si="10"/>
      </c>
      <c r="V35" s="335"/>
    </row>
    <row r="36" spans="2:22" ht="16.5" customHeight="1">
      <c r="B36" s="321"/>
      <c r="C36" s="20"/>
      <c r="D36" s="315"/>
      <c r="E36" s="315"/>
      <c r="F36" s="19"/>
      <c r="G36" s="32"/>
      <c r="H36" s="26">
        <f t="shared" si="11"/>
      </c>
      <c r="I36" s="27">
        <f t="shared" si="12"/>
      </c>
      <c r="J36" s="24"/>
      <c r="K36" s="378">
        <f t="shared" si="0"/>
      </c>
      <c r="L36" s="595" t="str">
        <f t="shared" si="1"/>
        <v>--</v>
      </c>
      <c r="M36" s="454" t="str">
        <f t="shared" si="2"/>
        <v>--</v>
      </c>
      <c r="N36" s="603" t="str">
        <f t="shared" si="3"/>
        <v>--</v>
      </c>
      <c r="O36" s="604" t="str">
        <f t="shared" si="4"/>
        <v>--</v>
      </c>
      <c r="P36" s="552" t="str">
        <f t="shared" si="5"/>
        <v>--</v>
      </c>
      <c r="Q36" s="610" t="str">
        <f t="shared" si="6"/>
        <v>--</v>
      </c>
      <c r="R36" s="618" t="str">
        <f t="shared" si="7"/>
        <v>--</v>
      </c>
      <c r="S36" s="623" t="str">
        <f t="shared" si="8"/>
        <v>--</v>
      </c>
      <c r="T36" s="585">
        <f t="shared" si="9"/>
      </c>
      <c r="U36" s="334">
        <f t="shared" si="10"/>
      </c>
      <c r="V36" s="335"/>
    </row>
    <row r="37" spans="2:22" ht="16.5" customHeight="1" thickBot="1">
      <c r="B37" s="321"/>
      <c r="C37" s="34"/>
      <c r="D37" s="336"/>
      <c r="E37" s="336"/>
      <c r="F37" s="38"/>
      <c r="G37" s="38"/>
      <c r="H37" s="337"/>
      <c r="I37" s="337"/>
      <c r="J37" s="38"/>
      <c r="K37" s="39"/>
      <c r="L37" s="596"/>
      <c r="M37" s="598"/>
      <c r="N37" s="605"/>
      <c r="O37" s="606"/>
      <c r="P37" s="611"/>
      <c r="Q37" s="612"/>
      <c r="R37" s="619"/>
      <c r="S37" s="624"/>
      <c r="T37" s="338"/>
      <c r="U37" s="339"/>
      <c r="V37" s="335"/>
    </row>
    <row r="38" spans="2:22" ht="16.5" customHeight="1" thickBot="1" thickTop="1">
      <c r="B38" s="321"/>
      <c r="C38" s="289" t="s">
        <v>129</v>
      </c>
      <c r="D38" s="290" t="s">
        <v>130</v>
      </c>
      <c r="E38" s="42"/>
      <c r="F38" s="45"/>
      <c r="G38" s="45"/>
      <c r="H38" s="45"/>
      <c r="I38" s="45"/>
      <c r="J38" s="45"/>
      <c r="K38" s="340"/>
      <c r="L38" s="613">
        <f aca="true" t="shared" si="13" ref="L38:S38">SUM(L17:L37)</f>
        <v>56.150000000000006</v>
      </c>
      <c r="M38" s="452">
        <f t="shared" si="13"/>
        <v>0</v>
      </c>
      <c r="N38" s="614">
        <f t="shared" si="13"/>
        <v>0</v>
      </c>
      <c r="O38" s="614">
        <f t="shared" si="13"/>
        <v>0</v>
      </c>
      <c r="P38" s="615">
        <f t="shared" si="13"/>
        <v>0</v>
      </c>
      <c r="Q38" s="615">
        <f t="shared" si="13"/>
        <v>0</v>
      </c>
      <c r="R38" s="620">
        <f t="shared" si="13"/>
        <v>0</v>
      </c>
      <c r="S38" s="625">
        <f t="shared" si="13"/>
        <v>0</v>
      </c>
      <c r="T38" s="341"/>
      <c r="U38" s="93">
        <f>SUM(U17:U37)</f>
        <v>99028.80413033334</v>
      </c>
      <c r="V38" s="335"/>
    </row>
    <row r="39" spans="2:22" s="342" customFormat="1" ht="9.75" thickTop="1">
      <c r="B39" s="343"/>
      <c r="C39" s="291"/>
      <c r="D39" s="293" t="s">
        <v>131</v>
      </c>
      <c r="E39" s="292"/>
      <c r="F39" s="299"/>
      <c r="G39" s="299"/>
      <c r="H39" s="299"/>
      <c r="I39" s="299"/>
      <c r="J39" s="299"/>
      <c r="K39" s="344"/>
      <c r="L39" s="301"/>
      <c r="M39" s="301"/>
      <c r="N39" s="345"/>
      <c r="O39" s="345"/>
      <c r="P39" s="346"/>
      <c r="Q39" s="346"/>
      <c r="R39" s="346"/>
      <c r="S39" s="346"/>
      <c r="T39" s="347"/>
      <c r="U39" s="312"/>
      <c r="V39" s="348"/>
    </row>
    <row r="40" spans="2:22" ht="16.5" customHeight="1" thickBot="1">
      <c r="B40" s="349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1"/>
      <c r="U40" s="350"/>
      <c r="V40" s="352"/>
    </row>
    <row r="41" spans="2:22" ht="16.5" customHeight="1" thickTop="1">
      <c r="B41" s="12"/>
      <c r="T41" s="3"/>
      <c r="V41" s="12"/>
    </row>
    <row r="42" ht="16.5" customHeight="1">
      <c r="T42" s="3"/>
    </row>
    <row r="43" ht="16.5" customHeight="1">
      <c r="T43" s="3"/>
    </row>
    <row r="44" ht="12.75">
      <c r="T44" s="3"/>
    </row>
    <row r="45" ht="12.75">
      <c r="T45" s="3"/>
    </row>
    <row r="46" ht="12.75">
      <c r="T46" s="3"/>
    </row>
    <row r="47" ht="12.75">
      <c r="T47" s="3"/>
    </row>
    <row r="48" ht="12.75">
      <c r="T48" s="3"/>
    </row>
    <row r="49" ht="12.75">
      <c r="T49" s="3"/>
    </row>
    <row r="50" ht="12.75">
      <c r="T50" s="3"/>
    </row>
    <row r="51" ht="12.75">
      <c r="T51" s="3"/>
    </row>
    <row r="52" ht="12.75">
      <c r="T52" s="3"/>
    </row>
    <row r="53" ht="12.75">
      <c r="T53" s="3"/>
    </row>
    <row r="54" ht="12.75">
      <c r="T54" s="3"/>
    </row>
    <row r="55" ht="12.75">
      <c r="T55" s="3"/>
    </row>
    <row r="56" ht="12.75">
      <c r="T56" s="3"/>
    </row>
    <row r="57" ht="12.75">
      <c r="T57" s="3"/>
    </row>
    <row r="58" ht="12.75">
      <c r="T58" s="3"/>
    </row>
    <row r="59" ht="12.75">
      <c r="T59" s="3"/>
    </row>
    <row r="60" ht="12.75">
      <c r="T60" s="3"/>
    </row>
    <row r="61" ht="12.75">
      <c r="T61" s="3"/>
    </row>
    <row r="62" ht="12.75">
      <c r="T62" s="3"/>
    </row>
    <row r="63" ht="12.75">
      <c r="T63" s="3"/>
    </row>
    <row r="64" ht="12.75">
      <c r="T64" s="3"/>
    </row>
    <row r="65" ht="12.75">
      <c r="T65" s="3"/>
    </row>
    <row r="66" ht="12.75">
      <c r="T66" s="3"/>
    </row>
    <row r="67" ht="12.75">
      <c r="T67" s="3"/>
    </row>
    <row r="68" ht="12.75">
      <c r="T68" s="3"/>
    </row>
    <row r="69" ht="12.75">
      <c r="T69" s="3"/>
    </row>
    <row r="70" ht="12.75">
      <c r="T70" s="3"/>
    </row>
    <row r="71" ht="12.75">
      <c r="T71" s="3"/>
    </row>
    <row r="72" ht="12.75">
      <c r="T72" s="3"/>
    </row>
    <row r="73" ht="12.75"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  <row r="83" ht="12.75">
      <c r="T83" s="3"/>
    </row>
    <row r="84" ht="12.75">
      <c r="T84" s="3"/>
    </row>
    <row r="85" ht="12.75">
      <c r="T85" s="3"/>
    </row>
    <row r="86" ht="12.75">
      <c r="T86" s="3"/>
    </row>
    <row r="87" ht="12.75">
      <c r="T87" s="3"/>
    </row>
    <row r="88" ht="12.75">
      <c r="T88" s="3"/>
    </row>
    <row r="89" ht="12.75">
      <c r="T89" s="3"/>
    </row>
    <row r="90" ht="12.75">
      <c r="T90" s="3"/>
    </row>
    <row r="91" ht="12.75">
      <c r="T91" s="3"/>
    </row>
    <row r="92" ht="12.75">
      <c r="T92" s="3"/>
    </row>
    <row r="93" ht="12.75">
      <c r="T93" s="3"/>
    </row>
    <row r="94" ht="12.75">
      <c r="T94" s="3"/>
    </row>
    <row r="95" ht="12.75">
      <c r="T95" s="3"/>
    </row>
    <row r="96" ht="12.75">
      <c r="T96" s="3"/>
    </row>
    <row r="97" ht="12.75">
      <c r="T97" s="3"/>
    </row>
    <row r="98" ht="12.75">
      <c r="T98" s="3"/>
    </row>
    <row r="99" ht="12.75">
      <c r="T99" s="3"/>
    </row>
    <row r="100" ht="12.75">
      <c r="T100" s="3"/>
    </row>
    <row r="101" ht="12.75">
      <c r="T101" s="3"/>
    </row>
    <row r="102" ht="12.75">
      <c r="T102" s="3"/>
    </row>
    <row r="103" ht="12.75">
      <c r="T103" s="3"/>
    </row>
    <row r="104" ht="12.75">
      <c r="T104" s="3"/>
    </row>
    <row r="105" ht="12.75">
      <c r="T105" s="3"/>
    </row>
    <row r="106" ht="12.75">
      <c r="T106" s="3"/>
    </row>
    <row r="107" ht="12.75">
      <c r="T107" s="3"/>
    </row>
    <row r="108" ht="12.75">
      <c r="T108" s="3"/>
    </row>
    <row r="109" ht="12.75">
      <c r="T109" s="3"/>
    </row>
    <row r="110" ht="12.75">
      <c r="T110" s="3"/>
    </row>
    <row r="111" ht="12.75">
      <c r="T111" s="3"/>
    </row>
    <row r="112" ht="12.75">
      <c r="T112" s="3"/>
    </row>
    <row r="113" ht="12.75">
      <c r="T113" s="3"/>
    </row>
    <row r="114" ht="12.75">
      <c r="T114" s="3"/>
    </row>
    <row r="115" ht="12.75">
      <c r="T115" s="3"/>
    </row>
    <row r="116" ht="12.75">
      <c r="T116" s="3"/>
    </row>
    <row r="117" ht="12.75">
      <c r="T117" s="3"/>
    </row>
    <row r="118" ht="12.75">
      <c r="T118" s="3"/>
    </row>
    <row r="119" ht="12.75">
      <c r="T119" s="3"/>
    </row>
    <row r="120" ht="12.75">
      <c r="T120" s="3"/>
    </row>
    <row r="121" ht="12.75">
      <c r="T121" s="3"/>
    </row>
    <row r="122" ht="12.75">
      <c r="T122" s="3"/>
    </row>
    <row r="123" ht="12.75">
      <c r="T123" s="3"/>
    </row>
    <row r="124" ht="12.75">
      <c r="T124" s="3"/>
    </row>
    <row r="125" ht="12.75">
      <c r="T125" s="3"/>
    </row>
    <row r="126" ht="12.75">
      <c r="T126" s="3"/>
    </row>
    <row r="127" ht="12.75">
      <c r="T127" s="3"/>
    </row>
    <row r="128" ht="12.75">
      <c r="T128" s="3"/>
    </row>
    <row r="129" ht="12.75">
      <c r="T129" s="3"/>
    </row>
    <row r="130" ht="12.75">
      <c r="T130" s="3"/>
    </row>
    <row r="131" ht="12.75">
      <c r="T131" s="3"/>
    </row>
    <row r="132" ht="12.75">
      <c r="T132" s="3"/>
    </row>
    <row r="133" ht="12.75">
      <c r="T133" s="3"/>
    </row>
    <row r="134" ht="12.75">
      <c r="T134" s="3"/>
    </row>
    <row r="135" ht="12.75">
      <c r="T135" s="3"/>
    </row>
    <row r="136" ht="12.75">
      <c r="T136" s="3"/>
    </row>
    <row r="137" ht="12.75">
      <c r="T137" s="3"/>
    </row>
    <row r="138" ht="12.75">
      <c r="T138" s="3"/>
    </row>
    <row r="139" ht="12.75">
      <c r="T139" s="3"/>
    </row>
    <row r="140" ht="12.75">
      <c r="T140" s="3"/>
    </row>
    <row r="141" ht="12.75">
      <c r="T141" s="3"/>
    </row>
    <row r="142" ht="12.75">
      <c r="T142" s="3"/>
    </row>
    <row r="143" ht="12.75">
      <c r="T143" s="3"/>
    </row>
    <row r="144" ht="12.75">
      <c r="T144" s="3"/>
    </row>
    <row r="145" ht="12.75">
      <c r="T145" s="3"/>
    </row>
    <row r="146" ht="12.75">
      <c r="T146" s="3"/>
    </row>
    <row r="147" ht="12.75">
      <c r="T147" s="3"/>
    </row>
    <row r="148" ht="12.75">
      <c r="T148" s="3"/>
    </row>
    <row r="149" ht="12.75">
      <c r="T149" s="3"/>
    </row>
    <row r="150" ht="12.75">
      <c r="T150" s="3"/>
    </row>
    <row r="151" ht="12.75">
      <c r="T151" s="3"/>
    </row>
    <row r="152" ht="12.75">
      <c r="T152" s="3"/>
    </row>
    <row r="153" ht="12.75">
      <c r="T153" s="3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AE42"/>
  <sheetViews>
    <sheetView zoomScale="75" zoomScaleNormal="75" workbookViewId="0" topLeftCell="C6">
      <selection activeCell="L15" sqref="L1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10" customFormat="1" ht="31.5" customHeight="1">
      <c r="A1" s="160"/>
      <c r="AE1" s="647"/>
    </row>
    <row r="2" spans="1:31" s="110" customFormat="1" ht="26.25">
      <c r="A2" s="160"/>
      <c r="B2" s="111" t="str">
        <f>+'tot-9911'!B2</f>
        <v>ANEXO I A LA RESOLUCION ENRE N° 320/2000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31" s="16" customFormat="1" ht="13.5" thickTop="1">
      <c r="B7" s="161"/>
      <c r="C7" s="162"/>
      <c r="D7" s="162"/>
      <c r="E7" s="16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4"/>
    </row>
    <row r="8" spans="2:31" s="15" customFormat="1" ht="20.25">
      <c r="B8" s="137"/>
      <c r="C8" s="136"/>
      <c r="D8" s="373" t="s">
        <v>102</v>
      </c>
      <c r="E8" s="136"/>
      <c r="F8" s="136"/>
      <c r="G8" s="136"/>
      <c r="H8" s="136"/>
      <c r="N8" s="136"/>
      <c r="O8" s="136"/>
      <c r="P8" s="374"/>
      <c r="Q8" s="374"/>
      <c r="R8" s="136"/>
      <c r="S8" s="136"/>
      <c r="T8" s="136"/>
      <c r="U8" s="136"/>
      <c r="V8" s="136"/>
      <c r="W8" s="136"/>
      <c r="X8" s="136"/>
      <c r="Y8" s="136"/>
      <c r="Z8" s="11"/>
      <c r="AA8" s="11"/>
      <c r="AB8" s="136"/>
      <c r="AC8" s="136"/>
      <c r="AD8"/>
      <c r="AE8" s="375"/>
    </row>
    <row r="9" spans="2:31" s="16" customFormat="1" ht="12.75">
      <c r="B9" s="1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65"/>
    </row>
    <row r="10" spans="2:31" s="15" customFormat="1" ht="20.25">
      <c r="B10" s="137"/>
      <c r="C10" s="136"/>
      <c r="D10" s="373" t="s">
        <v>284</v>
      </c>
      <c r="E10" s="136"/>
      <c r="F10" s="136"/>
      <c r="G10" s="136"/>
      <c r="H10" s="136"/>
      <c r="N10" s="136"/>
      <c r="O10" s="136"/>
      <c r="P10" s="374"/>
      <c r="Q10" s="374"/>
      <c r="R10" s="136"/>
      <c r="S10" s="136"/>
      <c r="T10" s="136"/>
      <c r="U10" s="136"/>
      <c r="V10" s="136"/>
      <c r="W10" s="136"/>
      <c r="X10" s="136"/>
      <c r="Y10" s="136"/>
      <c r="Z10" s="11"/>
      <c r="AA10" s="11"/>
      <c r="AB10" s="136"/>
      <c r="AC10" s="136"/>
      <c r="AD10"/>
      <c r="AE10" s="375"/>
    </row>
    <row r="11" spans="2:31" s="16" customFormat="1" ht="12.75">
      <c r="B11" s="142"/>
      <c r="C11" s="14"/>
      <c r="D11" s="14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5"/>
    </row>
    <row r="12" spans="2:31" s="15" customFormat="1" ht="21">
      <c r="B12" s="130" t="str">
        <f>+'tot-9911'!B14</f>
        <v>Desde el 01 al 30 de noviembre de 1999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79"/>
      <c r="O12" s="179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1"/>
      <c r="AA12" s="11"/>
      <c r="AB12" s="133"/>
      <c r="AC12" s="133"/>
      <c r="AD12" s="133"/>
      <c r="AE12" s="180"/>
    </row>
    <row r="13" spans="2:31" s="16" customFormat="1" ht="16.5" customHeight="1" thickBot="1">
      <c r="B13" s="142"/>
      <c r="C13" s="14"/>
      <c r="D13" s="14"/>
      <c r="E13" s="2"/>
      <c r="F13" s="2"/>
      <c r="G13" s="14"/>
      <c r="H13" s="14"/>
      <c r="I13" s="14"/>
      <c r="J13" s="174"/>
      <c r="K13" s="14"/>
      <c r="L13" s="14"/>
      <c r="M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5"/>
    </row>
    <row r="14" spans="2:31" s="16" customFormat="1" ht="16.5" customHeight="1" thickBot="1" thickTop="1">
      <c r="B14" s="142"/>
      <c r="C14" s="14"/>
      <c r="D14" s="181" t="s">
        <v>132</v>
      </c>
      <c r="E14" s="639">
        <v>53.632</v>
      </c>
      <c r="F14" s="288"/>
      <c r="G14" s="14"/>
      <c r="H14" s="14"/>
      <c r="I14" s="14"/>
      <c r="J14"/>
      <c r="K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33"/>
      <c r="AA14" s="133"/>
      <c r="AB14" s="14"/>
      <c r="AC14" s="14"/>
      <c r="AD14" s="14"/>
      <c r="AE14" s="165"/>
    </row>
    <row r="15" spans="2:31" s="16" customFormat="1" ht="16.5" customHeight="1" thickBot="1" thickTop="1">
      <c r="B15" s="142"/>
      <c r="C15" s="14"/>
      <c r="D15" s="181" t="s">
        <v>133</v>
      </c>
      <c r="E15" s="639">
        <v>44.693</v>
      </c>
      <c r="F15" s="288"/>
      <c r="G15" s="14"/>
      <c r="H15" s="14"/>
      <c r="I15" s="14"/>
      <c r="J15" s="314" t="s">
        <v>141</v>
      </c>
      <c r="K15" s="376">
        <v>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7"/>
      <c r="W15" s="167"/>
      <c r="X15" s="167"/>
      <c r="Y15" s="167"/>
      <c r="Z15" s="14"/>
      <c r="AA15" s="14"/>
      <c r="AB15" s="167"/>
      <c r="AE15" s="165"/>
    </row>
    <row r="16" spans="2:31" s="16" customFormat="1" ht="16.5" customHeight="1" thickBot="1" thickTop="1">
      <c r="B16" s="142"/>
      <c r="C16" s="14"/>
      <c r="D16" s="14"/>
      <c r="E16" s="1"/>
      <c r="F16" s="14"/>
      <c r="G16" s="14"/>
      <c r="H16" s="14"/>
      <c r="I16" s="14"/>
      <c r="J16" s="14"/>
      <c r="K16" s="14"/>
      <c r="L16" s="14"/>
      <c r="M16" s="14"/>
      <c r="N16" s="16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65"/>
    </row>
    <row r="17" spans="2:31" s="16" customFormat="1" ht="33.75" customHeight="1" thickBot="1" thickTop="1">
      <c r="B17" s="142"/>
      <c r="C17" s="182" t="s">
        <v>107</v>
      </c>
      <c r="D17" s="377" t="s">
        <v>88</v>
      </c>
      <c r="E17" s="188" t="s">
        <v>108</v>
      </c>
      <c r="F17" s="189" t="s">
        <v>109</v>
      </c>
      <c r="G17" s="184" t="s">
        <v>110</v>
      </c>
      <c r="H17" s="445" t="s">
        <v>111</v>
      </c>
      <c r="I17" s="447" t="s">
        <v>112</v>
      </c>
      <c r="J17" s="185" t="s">
        <v>113</v>
      </c>
      <c r="K17" s="186" t="s">
        <v>114</v>
      </c>
      <c r="L17" s="190" t="s">
        <v>115</v>
      </c>
      <c r="M17" s="191" t="s">
        <v>116</v>
      </c>
      <c r="N17" s="190" t="s">
        <v>117</v>
      </c>
      <c r="O17" s="190" t="s">
        <v>118</v>
      </c>
      <c r="P17" s="186" t="s">
        <v>119</v>
      </c>
      <c r="Q17" s="185" t="s">
        <v>120</v>
      </c>
      <c r="R17" s="453" t="s">
        <v>121</v>
      </c>
      <c r="S17" s="455" t="s">
        <v>122</v>
      </c>
      <c r="T17" s="353" t="s">
        <v>142</v>
      </c>
      <c r="U17" s="354"/>
      <c r="V17" s="355"/>
      <c r="W17" s="466" t="s">
        <v>143</v>
      </c>
      <c r="X17" s="467"/>
      <c r="Y17" s="468"/>
      <c r="Z17" s="422" t="s">
        <v>125</v>
      </c>
      <c r="AA17" s="423" t="s">
        <v>126</v>
      </c>
      <c r="AB17" s="192" t="s">
        <v>127</v>
      </c>
      <c r="AC17" s="480" t="s">
        <v>128</v>
      </c>
      <c r="AD17" s="192" t="s">
        <v>128</v>
      </c>
      <c r="AE17" s="169"/>
    </row>
    <row r="18" spans="2:31" s="16" customFormat="1" ht="16.5" customHeight="1" thickTop="1">
      <c r="B18" s="142"/>
      <c r="C18" s="417"/>
      <c r="D18" s="444"/>
      <c r="E18" s="444"/>
      <c r="F18" s="417"/>
      <c r="G18" s="417"/>
      <c r="H18" s="446"/>
      <c r="I18" s="448"/>
      <c r="J18" s="417"/>
      <c r="K18" s="417"/>
      <c r="L18" s="417"/>
      <c r="M18" s="417"/>
      <c r="N18" s="417"/>
      <c r="O18" s="417"/>
      <c r="P18" s="417"/>
      <c r="Q18" s="417"/>
      <c r="R18" s="450"/>
      <c r="S18" s="456"/>
      <c r="T18" s="460"/>
      <c r="U18" s="461"/>
      <c r="V18" s="462"/>
      <c r="W18" s="469"/>
      <c r="X18" s="469"/>
      <c r="Y18" s="470"/>
      <c r="Z18" s="418"/>
      <c r="AA18" s="424"/>
      <c r="AB18" s="417"/>
      <c r="AC18" s="629"/>
      <c r="AD18" s="628"/>
      <c r="AE18" s="165"/>
    </row>
    <row r="19" spans="2:31" s="16" customFormat="1" ht="16.5" customHeight="1">
      <c r="B19" s="142"/>
      <c r="C19" s="20" t="s">
        <v>184</v>
      </c>
      <c r="D19" s="20" t="s">
        <v>20</v>
      </c>
      <c r="E19" s="23">
        <v>500</v>
      </c>
      <c r="F19" s="22">
        <v>506</v>
      </c>
      <c r="G19" s="23" t="s">
        <v>8</v>
      </c>
      <c r="H19" s="366">
        <f aca="true" t="shared" si="0" ref="H19:H37">IF(G19="A",200,IF(G19="B",60,20))</f>
        <v>200</v>
      </c>
      <c r="I19" s="642">
        <f aca="true" t="shared" si="1" ref="I19:I37">IF(E19=500,IF(F19&lt;100,$E$14,F19*$E$14/100),IF(F19&lt;100,$E$15,F19*$E$15/100))</f>
        <v>271.37791999999996</v>
      </c>
      <c r="J19" s="19">
        <v>36477.26736111111</v>
      </c>
      <c r="K19" s="25">
        <v>36477.70208333333</v>
      </c>
      <c r="L19" s="26">
        <f aca="true" t="shared" si="2" ref="L19:L37">IF(D19="","",(K19-J19)*24)</f>
        <v>10.433333333290648</v>
      </c>
      <c r="M19" s="27">
        <f aca="true" t="shared" si="3" ref="M19:M37">IF(D19="","",ROUND((K19-J19)*24*60,0))</f>
        <v>626</v>
      </c>
      <c r="N19" s="28" t="s">
        <v>197</v>
      </c>
      <c r="O19" s="29" t="str">
        <f aca="true" t="shared" si="4" ref="O19:O37">IF(D19="","","--")</f>
        <v>--</v>
      </c>
      <c r="P19" s="24" t="str">
        <f aca="true" t="shared" si="5" ref="P19:P37">IF(D19="","","NO")</f>
        <v>NO</v>
      </c>
      <c r="Q19" s="24" t="str">
        <f aca="true" t="shared" si="6" ref="Q19:Q37">IF(D19="","",IF(OR(N19="P",N19="RP"),"--","NO"))</f>
        <v>--</v>
      </c>
      <c r="R19" s="454">
        <f aca="true" t="shared" si="7" ref="R19:R37">IF(N19="P",I19*H19*ROUND(M19/60,2)*0.01,"--")</f>
        <v>5660.943411199999</v>
      </c>
      <c r="S19" s="457" t="str">
        <f aca="true" t="shared" si="8" ref="S19:S37">IF(N19="RP",I19*H19*ROUND(M19/60,2)*0.01*O19/100,"--")</f>
        <v>--</v>
      </c>
      <c r="T19" s="415" t="str">
        <f aca="true" t="shared" si="9" ref="T19:T37">IF(AND(N19="F",Q19="NO"),I19*H19*IF(P19="SI",1.2,1),"--")</f>
        <v>--</v>
      </c>
      <c r="U19" s="391" t="str">
        <f aca="true" t="shared" si="10" ref="U19:U37">IF(AND(N19="F",M19&gt;=10),I19*H19*IF(P19="SI",1.2,1)*IF(M19&lt;=300,ROUND(M19/60,2),5),"--")</f>
        <v>--</v>
      </c>
      <c r="V19" s="392" t="str">
        <f aca="true" t="shared" si="11" ref="V19:V37">IF(AND(N19="F",M19&gt;300),(ROUND(M19/60,2)-5)*I19*H19*0.1*IF(P19="SI",1.2,1),"--")</f>
        <v>--</v>
      </c>
      <c r="W19" s="471" t="str">
        <f aca="true" t="shared" si="12" ref="W19:W37">IF(AND(N19="R",Q19="NO"),I19*H19*O19/100*IF(P19="SI",1.2,1),"--")</f>
        <v>--</v>
      </c>
      <c r="X19" s="473" t="str">
        <f aca="true" t="shared" si="13" ref="X19:X37">IF(AND(N19="R",M19&gt;=10),IF(M19&lt;=300,I19*H19*O19/100*IF(P19="SI",1.2,1)*ROUND(M19/60,2),5),"--")</f>
        <v>--</v>
      </c>
      <c r="Y19" s="472" t="str">
        <f aca="true" t="shared" si="14" ref="Y19:Y37">IF(AND(N19="R",M19&gt;300),(ROUND(M19/60,2)-5)*I19*H19*0.1*O19/100*IF(P19="SI",1.2,1),"--")</f>
        <v>--</v>
      </c>
      <c r="Z19" s="420" t="str">
        <f aca="true" t="shared" si="15" ref="Z19:Z37">IF(N19="RF",ROUND(M19/60,2)*I19*H19*0.1*IF(P19="SI",1.2,1),"--")</f>
        <v>--</v>
      </c>
      <c r="AA19" s="426" t="str">
        <f aca="true" t="shared" si="16" ref="AA19:AA37">IF(N19="RR",ROUND(M19/60,2)*I19*H19*0.1*O19/100*IF(P19="SI",1.2,1),"--")</f>
        <v>--</v>
      </c>
      <c r="AB19" s="481" t="str">
        <f aca="true" t="shared" si="17" ref="AB19:AB37">IF(D19="","","SI")</f>
        <v>SI</v>
      </c>
      <c r="AC19" s="482">
        <f aca="true" t="shared" si="18" ref="AC19:AC37">SUM(R19:AA19)*IF(AB19="SI",1,2)</f>
        <v>5660.943411199999</v>
      </c>
      <c r="AD19" s="30">
        <f aca="true" t="shared" si="19" ref="AD19:AD37">IF(D19="","",AC19*$K$15)</f>
        <v>22643.773644799996</v>
      </c>
      <c r="AE19" s="165"/>
    </row>
    <row r="20" spans="2:31" s="16" customFormat="1" ht="16.5" customHeight="1">
      <c r="B20" s="142"/>
      <c r="C20" s="20"/>
      <c r="D20" s="20"/>
      <c r="E20" s="23"/>
      <c r="F20" s="22"/>
      <c r="G20" s="23"/>
      <c r="H20" s="366">
        <f t="shared" si="0"/>
        <v>20</v>
      </c>
      <c r="I20" s="642">
        <f t="shared" si="1"/>
        <v>44.693</v>
      </c>
      <c r="J20" s="19"/>
      <c r="K20" s="25"/>
      <c r="L20" s="26">
        <f t="shared" si="2"/>
      </c>
      <c r="M20" s="27">
        <f t="shared" si="3"/>
      </c>
      <c r="N20" s="28"/>
      <c r="O20" s="29">
        <f t="shared" si="4"/>
      </c>
      <c r="P20" s="24">
        <f t="shared" si="5"/>
      </c>
      <c r="Q20" s="24">
        <f t="shared" si="6"/>
      </c>
      <c r="R20" s="454" t="str">
        <f t="shared" si="7"/>
        <v>--</v>
      </c>
      <c r="S20" s="457" t="str">
        <f t="shared" si="8"/>
        <v>--</v>
      </c>
      <c r="T20" s="415" t="str">
        <f t="shared" si="9"/>
        <v>--</v>
      </c>
      <c r="U20" s="391" t="str">
        <f t="shared" si="10"/>
        <v>--</v>
      </c>
      <c r="V20" s="392" t="str">
        <f t="shared" si="11"/>
        <v>--</v>
      </c>
      <c r="W20" s="471" t="str">
        <f t="shared" si="12"/>
        <v>--</v>
      </c>
      <c r="X20" s="473" t="str">
        <f t="shared" si="13"/>
        <v>--</v>
      </c>
      <c r="Y20" s="472" t="str">
        <f t="shared" si="14"/>
        <v>--</v>
      </c>
      <c r="Z20" s="420" t="str">
        <f t="shared" si="15"/>
        <v>--</v>
      </c>
      <c r="AA20" s="426" t="str">
        <f t="shared" si="16"/>
        <v>--</v>
      </c>
      <c r="AB20" s="481">
        <f t="shared" si="17"/>
      </c>
      <c r="AC20" s="482">
        <f t="shared" si="18"/>
        <v>0</v>
      </c>
      <c r="AD20" s="30">
        <f t="shared" si="19"/>
      </c>
      <c r="AE20" s="165"/>
    </row>
    <row r="21" spans="2:31" s="16" customFormat="1" ht="16.5" customHeight="1">
      <c r="B21" s="142"/>
      <c r="C21" s="20"/>
      <c r="D21" s="20"/>
      <c r="E21" s="23"/>
      <c r="F21" s="22"/>
      <c r="G21" s="23"/>
      <c r="H21" s="366">
        <f t="shared" si="0"/>
        <v>20</v>
      </c>
      <c r="I21" s="642">
        <f t="shared" si="1"/>
        <v>44.693</v>
      </c>
      <c r="J21" s="19"/>
      <c r="K21" s="25"/>
      <c r="L21" s="26">
        <f t="shared" si="2"/>
      </c>
      <c r="M21" s="27">
        <f t="shared" si="3"/>
      </c>
      <c r="N21" s="28"/>
      <c r="O21" s="29">
        <f t="shared" si="4"/>
      </c>
      <c r="P21" s="24">
        <f t="shared" si="5"/>
      </c>
      <c r="Q21" s="24">
        <f t="shared" si="6"/>
      </c>
      <c r="R21" s="454" t="str">
        <f t="shared" si="7"/>
        <v>--</v>
      </c>
      <c r="S21" s="457" t="str">
        <f t="shared" si="8"/>
        <v>--</v>
      </c>
      <c r="T21" s="415" t="str">
        <f t="shared" si="9"/>
        <v>--</v>
      </c>
      <c r="U21" s="391" t="str">
        <f t="shared" si="10"/>
        <v>--</v>
      </c>
      <c r="V21" s="392" t="str">
        <f t="shared" si="11"/>
        <v>--</v>
      </c>
      <c r="W21" s="471" t="str">
        <f t="shared" si="12"/>
        <v>--</v>
      </c>
      <c r="X21" s="473" t="str">
        <f t="shared" si="13"/>
        <v>--</v>
      </c>
      <c r="Y21" s="472" t="str">
        <f t="shared" si="14"/>
        <v>--</v>
      </c>
      <c r="Z21" s="420" t="str">
        <f t="shared" si="15"/>
        <v>--</v>
      </c>
      <c r="AA21" s="426" t="str">
        <f t="shared" si="16"/>
        <v>--</v>
      </c>
      <c r="AB21" s="481">
        <f t="shared" si="17"/>
      </c>
      <c r="AC21" s="482">
        <f t="shared" si="18"/>
        <v>0</v>
      </c>
      <c r="AD21" s="30">
        <f t="shared" si="19"/>
      </c>
      <c r="AE21" s="165"/>
    </row>
    <row r="22" spans="2:31" s="16" customFormat="1" ht="16.5" customHeight="1">
      <c r="B22" s="142"/>
      <c r="C22" s="20"/>
      <c r="D22" s="20"/>
      <c r="E22" s="23"/>
      <c r="F22" s="22"/>
      <c r="G22" s="23"/>
      <c r="H22" s="366">
        <f t="shared" si="0"/>
        <v>20</v>
      </c>
      <c r="I22" s="642">
        <f t="shared" si="1"/>
        <v>44.693</v>
      </c>
      <c r="J22" s="19"/>
      <c r="K22" s="25"/>
      <c r="L22" s="26">
        <f t="shared" si="2"/>
      </c>
      <c r="M22" s="27">
        <f t="shared" si="3"/>
      </c>
      <c r="N22" s="28"/>
      <c r="O22" s="29">
        <f t="shared" si="4"/>
      </c>
      <c r="P22" s="24">
        <f t="shared" si="5"/>
      </c>
      <c r="Q22" s="24">
        <f t="shared" si="6"/>
      </c>
      <c r="R22" s="454" t="str">
        <f t="shared" si="7"/>
        <v>--</v>
      </c>
      <c r="S22" s="457" t="str">
        <f t="shared" si="8"/>
        <v>--</v>
      </c>
      <c r="T22" s="415" t="str">
        <f t="shared" si="9"/>
        <v>--</v>
      </c>
      <c r="U22" s="391" t="str">
        <f t="shared" si="10"/>
        <v>--</v>
      </c>
      <c r="V22" s="392" t="str">
        <f t="shared" si="11"/>
        <v>--</v>
      </c>
      <c r="W22" s="471" t="str">
        <f t="shared" si="12"/>
        <v>--</v>
      </c>
      <c r="X22" s="473" t="str">
        <f t="shared" si="13"/>
        <v>--</v>
      </c>
      <c r="Y22" s="472" t="str">
        <f t="shared" si="14"/>
        <v>--</v>
      </c>
      <c r="Z22" s="420" t="str">
        <f t="shared" si="15"/>
        <v>--</v>
      </c>
      <c r="AA22" s="426" t="str">
        <f t="shared" si="16"/>
        <v>--</v>
      </c>
      <c r="AB22" s="481">
        <f t="shared" si="17"/>
      </c>
      <c r="AC22" s="482">
        <f t="shared" si="18"/>
        <v>0</v>
      </c>
      <c r="AD22" s="30">
        <f t="shared" si="19"/>
      </c>
      <c r="AE22" s="165"/>
    </row>
    <row r="23" spans="2:31" s="16" customFormat="1" ht="16.5" customHeight="1">
      <c r="B23" s="142"/>
      <c r="C23" s="20"/>
      <c r="D23" s="20"/>
      <c r="E23" s="23"/>
      <c r="F23" s="22"/>
      <c r="G23" s="23"/>
      <c r="H23" s="366">
        <f t="shared" si="0"/>
        <v>20</v>
      </c>
      <c r="I23" s="642">
        <f t="shared" si="1"/>
        <v>44.693</v>
      </c>
      <c r="J23" s="19"/>
      <c r="K23" s="25"/>
      <c r="L23" s="26">
        <f t="shared" si="2"/>
      </c>
      <c r="M23" s="27">
        <f t="shared" si="3"/>
      </c>
      <c r="N23" s="28"/>
      <c r="O23" s="29">
        <f t="shared" si="4"/>
      </c>
      <c r="P23" s="24">
        <f t="shared" si="5"/>
      </c>
      <c r="Q23" s="24">
        <f t="shared" si="6"/>
      </c>
      <c r="R23" s="454" t="str">
        <f t="shared" si="7"/>
        <v>--</v>
      </c>
      <c r="S23" s="457" t="str">
        <f t="shared" si="8"/>
        <v>--</v>
      </c>
      <c r="T23" s="415" t="str">
        <f t="shared" si="9"/>
        <v>--</v>
      </c>
      <c r="U23" s="391" t="str">
        <f t="shared" si="10"/>
        <v>--</v>
      </c>
      <c r="V23" s="392" t="str">
        <f t="shared" si="11"/>
        <v>--</v>
      </c>
      <c r="W23" s="471" t="str">
        <f t="shared" si="12"/>
        <v>--</v>
      </c>
      <c r="X23" s="473" t="str">
        <f t="shared" si="13"/>
        <v>--</v>
      </c>
      <c r="Y23" s="472" t="str">
        <f t="shared" si="14"/>
        <v>--</v>
      </c>
      <c r="Z23" s="420" t="str">
        <f t="shared" si="15"/>
        <v>--</v>
      </c>
      <c r="AA23" s="426" t="str">
        <f t="shared" si="16"/>
        <v>--</v>
      </c>
      <c r="AB23" s="481">
        <f t="shared" si="17"/>
      </c>
      <c r="AC23" s="482">
        <f t="shared" si="18"/>
        <v>0</v>
      </c>
      <c r="AD23" s="30">
        <f t="shared" si="19"/>
      </c>
      <c r="AE23" s="165"/>
    </row>
    <row r="24" spans="2:31" s="16" customFormat="1" ht="16.5" customHeight="1">
      <c r="B24" s="142"/>
      <c r="C24" s="20"/>
      <c r="D24" s="20"/>
      <c r="E24" s="23"/>
      <c r="F24" s="22"/>
      <c r="G24" s="23"/>
      <c r="H24" s="366">
        <f t="shared" si="0"/>
        <v>20</v>
      </c>
      <c r="I24" s="642">
        <f t="shared" si="1"/>
        <v>44.693</v>
      </c>
      <c r="J24" s="19"/>
      <c r="K24" s="25"/>
      <c r="L24" s="26">
        <f t="shared" si="2"/>
      </c>
      <c r="M24" s="27">
        <f t="shared" si="3"/>
      </c>
      <c r="N24" s="28"/>
      <c r="O24" s="29">
        <f t="shared" si="4"/>
      </c>
      <c r="P24" s="24">
        <f t="shared" si="5"/>
      </c>
      <c r="Q24" s="24">
        <f t="shared" si="6"/>
      </c>
      <c r="R24" s="454" t="str">
        <f t="shared" si="7"/>
        <v>--</v>
      </c>
      <c r="S24" s="457" t="str">
        <f t="shared" si="8"/>
        <v>--</v>
      </c>
      <c r="T24" s="415" t="str">
        <f t="shared" si="9"/>
        <v>--</v>
      </c>
      <c r="U24" s="391" t="str">
        <f t="shared" si="10"/>
        <v>--</v>
      </c>
      <c r="V24" s="392" t="str">
        <f t="shared" si="11"/>
        <v>--</v>
      </c>
      <c r="W24" s="471" t="str">
        <f t="shared" si="12"/>
        <v>--</v>
      </c>
      <c r="X24" s="473" t="str">
        <f t="shared" si="13"/>
        <v>--</v>
      </c>
      <c r="Y24" s="472" t="str">
        <f t="shared" si="14"/>
        <v>--</v>
      </c>
      <c r="Z24" s="420" t="str">
        <f t="shared" si="15"/>
        <v>--</v>
      </c>
      <c r="AA24" s="426" t="str">
        <f t="shared" si="16"/>
        <v>--</v>
      </c>
      <c r="AB24" s="481">
        <f t="shared" si="17"/>
      </c>
      <c r="AC24" s="482">
        <f t="shared" si="18"/>
        <v>0</v>
      </c>
      <c r="AD24" s="30">
        <f t="shared" si="19"/>
      </c>
      <c r="AE24" s="170"/>
    </row>
    <row r="25" spans="2:31" s="16" customFormat="1" ht="16.5" customHeight="1">
      <c r="B25" s="142"/>
      <c r="C25" s="20"/>
      <c r="D25" s="20"/>
      <c r="E25" s="23"/>
      <c r="F25" s="22"/>
      <c r="G25" s="23"/>
      <c r="H25" s="366">
        <f t="shared" si="0"/>
        <v>20</v>
      </c>
      <c r="I25" s="642">
        <f t="shared" si="1"/>
        <v>44.693</v>
      </c>
      <c r="J25" s="19"/>
      <c r="K25" s="25"/>
      <c r="L25" s="26">
        <f t="shared" si="2"/>
      </c>
      <c r="M25" s="27">
        <f t="shared" si="3"/>
      </c>
      <c r="N25" s="28"/>
      <c r="O25" s="29">
        <f t="shared" si="4"/>
      </c>
      <c r="P25" s="24">
        <f t="shared" si="5"/>
      </c>
      <c r="Q25" s="24">
        <f t="shared" si="6"/>
      </c>
      <c r="R25" s="454" t="str">
        <f t="shared" si="7"/>
        <v>--</v>
      </c>
      <c r="S25" s="457" t="str">
        <f t="shared" si="8"/>
        <v>--</v>
      </c>
      <c r="T25" s="415" t="str">
        <f t="shared" si="9"/>
        <v>--</v>
      </c>
      <c r="U25" s="391" t="str">
        <f t="shared" si="10"/>
        <v>--</v>
      </c>
      <c r="V25" s="392" t="str">
        <f t="shared" si="11"/>
        <v>--</v>
      </c>
      <c r="W25" s="471" t="str">
        <f t="shared" si="12"/>
        <v>--</v>
      </c>
      <c r="X25" s="473" t="str">
        <f t="shared" si="13"/>
        <v>--</v>
      </c>
      <c r="Y25" s="472" t="str">
        <f t="shared" si="14"/>
        <v>--</v>
      </c>
      <c r="Z25" s="420" t="str">
        <f t="shared" si="15"/>
        <v>--</v>
      </c>
      <c r="AA25" s="426" t="str">
        <f t="shared" si="16"/>
        <v>--</v>
      </c>
      <c r="AB25" s="481">
        <f t="shared" si="17"/>
      </c>
      <c r="AC25" s="482">
        <f t="shared" si="18"/>
        <v>0</v>
      </c>
      <c r="AD25" s="30">
        <f t="shared" si="19"/>
      </c>
      <c r="AE25" s="170"/>
    </row>
    <row r="26" spans="2:31" s="16" customFormat="1" ht="16.5" customHeight="1">
      <c r="B26" s="142"/>
      <c r="C26" s="20"/>
      <c r="D26" s="20"/>
      <c r="E26" s="23"/>
      <c r="F26" s="22"/>
      <c r="G26" s="23"/>
      <c r="H26" s="366">
        <f t="shared" si="0"/>
        <v>20</v>
      </c>
      <c r="I26" s="642">
        <f t="shared" si="1"/>
        <v>44.693</v>
      </c>
      <c r="J26" s="19"/>
      <c r="K26" s="25"/>
      <c r="L26" s="26">
        <f t="shared" si="2"/>
      </c>
      <c r="M26" s="27">
        <f t="shared" si="3"/>
      </c>
      <c r="N26" s="28"/>
      <c r="O26" s="29">
        <f t="shared" si="4"/>
      </c>
      <c r="P26" s="24">
        <f t="shared" si="5"/>
      </c>
      <c r="Q26" s="24">
        <f t="shared" si="6"/>
      </c>
      <c r="R26" s="454" t="str">
        <f t="shared" si="7"/>
        <v>--</v>
      </c>
      <c r="S26" s="457" t="str">
        <f t="shared" si="8"/>
        <v>--</v>
      </c>
      <c r="T26" s="415" t="str">
        <f t="shared" si="9"/>
        <v>--</v>
      </c>
      <c r="U26" s="391" t="str">
        <f t="shared" si="10"/>
        <v>--</v>
      </c>
      <c r="V26" s="392" t="str">
        <f t="shared" si="11"/>
        <v>--</v>
      </c>
      <c r="W26" s="471" t="str">
        <f t="shared" si="12"/>
        <v>--</v>
      </c>
      <c r="X26" s="473" t="str">
        <f t="shared" si="13"/>
        <v>--</v>
      </c>
      <c r="Y26" s="472" t="str">
        <f t="shared" si="14"/>
        <v>--</v>
      </c>
      <c r="Z26" s="420" t="str">
        <f t="shared" si="15"/>
        <v>--</v>
      </c>
      <c r="AA26" s="426" t="str">
        <f t="shared" si="16"/>
        <v>--</v>
      </c>
      <c r="AB26" s="481">
        <f t="shared" si="17"/>
      </c>
      <c r="AC26" s="482">
        <f t="shared" si="18"/>
        <v>0</v>
      </c>
      <c r="AD26" s="30">
        <f t="shared" si="19"/>
      </c>
      <c r="AE26" s="170"/>
    </row>
    <row r="27" spans="2:31" s="16" customFormat="1" ht="16.5" customHeight="1">
      <c r="B27" s="142"/>
      <c r="C27" s="20"/>
      <c r="D27" s="20"/>
      <c r="E27" s="23"/>
      <c r="F27" s="22"/>
      <c r="G27" s="23"/>
      <c r="H27" s="366">
        <f t="shared" si="0"/>
        <v>20</v>
      </c>
      <c r="I27" s="642">
        <f t="shared" si="1"/>
        <v>44.693</v>
      </c>
      <c r="J27" s="19"/>
      <c r="K27" s="25"/>
      <c r="L27" s="26">
        <f t="shared" si="2"/>
      </c>
      <c r="M27" s="27">
        <f t="shared" si="3"/>
      </c>
      <c r="N27" s="28"/>
      <c r="O27" s="29">
        <f t="shared" si="4"/>
      </c>
      <c r="P27" s="24">
        <f t="shared" si="5"/>
      </c>
      <c r="Q27" s="24">
        <f t="shared" si="6"/>
      </c>
      <c r="R27" s="454" t="str">
        <f t="shared" si="7"/>
        <v>--</v>
      </c>
      <c r="S27" s="457" t="str">
        <f t="shared" si="8"/>
        <v>--</v>
      </c>
      <c r="T27" s="415" t="str">
        <f t="shared" si="9"/>
        <v>--</v>
      </c>
      <c r="U27" s="391" t="str">
        <f t="shared" si="10"/>
        <v>--</v>
      </c>
      <c r="V27" s="392" t="str">
        <f t="shared" si="11"/>
        <v>--</v>
      </c>
      <c r="W27" s="471" t="str">
        <f t="shared" si="12"/>
        <v>--</v>
      </c>
      <c r="X27" s="473" t="str">
        <f t="shared" si="13"/>
        <v>--</v>
      </c>
      <c r="Y27" s="472" t="str">
        <f t="shared" si="14"/>
        <v>--</v>
      </c>
      <c r="Z27" s="420" t="str">
        <f t="shared" si="15"/>
        <v>--</v>
      </c>
      <c r="AA27" s="426" t="str">
        <f t="shared" si="16"/>
        <v>--</v>
      </c>
      <c r="AB27" s="481">
        <f t="shared" si="17"/>
      </c>
      <c r="AC27" s="482">
        <f t="shared" si="18"/>
        <v>0</v>
      </c>
      <c r="AD27" s="30">
        <f t="shared" si="19"/>
      </c>
      <c r="AE27" s="170"/>
    </row>
    <row r="28" spans="2:31" s="16" customFormat="1" ht="16.5" customHeight="1">
      <c r="B28" s="142"/>
      <c r="C28" s="20"/>
      <c r="D28" s="20"/>
      <c r="E28" s="23"/>
      <c r="F28" s="22"/>
      <c r="G28" s="23"/>
      <c r="H28" s="366">
        <f t="shared" si="0"/>
        <v>20</v>
      </c>
      <c r="I28" s="642">
        <f t="shared" si="1"/>
        <v>44.693</v>
      </c>
      <c r="J28" s="19"/>
      <c r="K28" s="25"/>
      <c r="L28" s="26">
        <f t="shared" si="2"/>
      </c>
      <c r="M28" s="27">
        <f t="shared" si="3"/>
      </c>
      <c r="N28" s="28"/>
      <c r="O28" s="29">
        <f t="shared" si="4"/>
      </c>
      <c r="P28" s="24">
        <f t="shared" si="5"/>
      </c>
      <c r="Q28" s="24">
        <f t="shared" si="6"/>
      </c>
      <c r="R28" s="454" t="str">
        <f t="shared" si="7"/>
        <v>--</v>
      </c>
      <c r="S28" s="457" t="str">
        <f t="shared" si="8"/>
        <v>--</v>
      </c>
      <c r="T28" s="415" t="str">
        <f t="shared" si="9"/>
        <v>--</v>
      </c>
      <c r="U28" s="391" t="str">
        <f t="shared" si="10"/>
        <v>--</v>
      </c>
      <c r="V28" s="392" t="str">
        <f t="shared" si="11"/>
        <v>--</v>
      </c>
      <c r="W28" s="471" t="str">
        <f t="shared" si="12"/>
        <v>--</v>
      </c>
      <c r="X28" s="473" t="str">
        <f t="shared" si="13"/>
        <v>--</v>
      </c>
      <c r="Y28" s="472" t="str">
        <f t="shared" si="14"/>
        <v>--</v>
      </c>
      <c r="Z28" s="420" t="str">
        <f t="shared" si="15"/>
        <v>--</v>
      </c>
      <c r="AA28" s="426" t="str">
        <f t="shared" si="16"/>
        <v>--</v>
      </c>
      <c r="AB28" s="481">
        <f t="shared" si="17"/>
      </c>
      <c r="AC28" s="482">
        <f t="shared" si="18"/>
        <v>0</v>
      </c>
      <c r="AD28" s="30">
        <f t="shared" si="19"/>
      </c>
      <c r="AE28" s="170"/>
    </row>
    <row r="29" spans="2:31" s="16" customFormat="1" ht="16.5" customHeight="1">
      <c r="B29" s="142"/>
      <c r="C29" s="20"/>
      <c r="D29" s="20"/>
      <c r="E29" s="23"/>
      <c r="F29" s="22"/>
      <c r="G29" s="23"/>
      <c r="H29" s="366">
        <f t="shared" si="0"/>
        <v>20</v>
      </c>
      <c r="I29" s="642">
        <f t="shared" si="1"/>
        <v>44.693</v>
      </c>
      <c r="J29" s="19"/>
      <c r="K29" s="32"/>
      <c r="L29" s="26">
        <f t="shared" si="2"/>
      </c>
      <c r="M29" s="27">
        <f t="shared" si="3"/>
      </c>
      <c r="N29" s="28"/>
      <c r="O29" s="29">
        <f t="shared" si="4"/>
      </c>
      <c r="P29" s="24">
        <f t="shared" si="5"/>
      </c>
      <c r="Q29" s="24">
        <f t="shared" si="6"/>
      </c>
      <c r="R29" s="454" t="str">
        <f t="shared" si="7"/>
        <v>--</v>
      </c>
      <c r="S29" s="457" t="str">
        <f t="shared" si="8"/>
        <v>--</v>
      </c>
      <c r="T29" s="415" t="str">
        <f t="shared" si="9"/>
        <v>--</v>
      </c>
      <c r="U29" s="391" t="str">
        <f t="shared" si="10"/>
        <v>--</v>
      </c>
      <c r="V29" s="392" t="str">
        <f t="shared" si="11"/>
        <v>--</v>
      </c>
      <c r="W29" s="471" t="str">
        <f t="shared" si="12"/>
        <v>--</v>
      </c>
      <c r="X29" s="473" t="str">
        <f t="shared" si="13"/>
        <v>--</v>
      </c>
      <c r="Y29" s="472" t="str">
        <f t="shared" si="14"/>
        <v>--</v>
      </c>
      <c r="Z29" s="420" t="str">
        <f t="shared" si="15"/>
        <v>--</v>
      </c>
      <c r="AA29" s="426" t="str">
        <f t="shared" si="16"/>
        <v>--</v>
      </c>
      <c r="AB29" s="481">
        <f t="shared" si="17"/>
      </c>
      <c r="AC29" s="482">
        <f t="shared" si="18"/>
        <v>0</v>
      </c>
      <c r="AD29" s="30">
        <f t="shared" si="19"/>
      </c>
      <c r="AE29" s="170"/>
    </row>
    <row r="30" spans="2:31" s="16" customFormat="1" ht="16.5" customHeight="1">
      <c r="B30" s="142"/>
      <c r="C30" s="20"/>
      <c r="D30" s="20"/>
      <c r="E30" s="23"/>
      <c r="F30" s="22"/>
      <c r="G30" s="23"/>
      <c r="H30" s="366">
        <f t="shared" si="0"/>
        <v>20</v>
      </c>
      <c r="I30" s="642">
        <f t="shared" si="1"/>
        <v>44.693</v>
      </c>
      <c r="J30" s="19"/>
      <c r="K30" s="32"/>
      <c r="L30" s="26">
        <f t="shared" si="2"/>
      </c>
      <c r="M30" s="27">
        <f t="shared" si="3"/>
      </c>
      <c r="N30" s="28"/>
      <c r="O30" s="29">
        <f t="shared" si="4"/>
      </c>
      <c r="P30" s="24">
        <f t="shared" si="5"/>
      </c>
      <c r="Q30" s="24">
        <f t="shared" si="6"/>
      </c>
      <c r="R30" s="454" t="str">
        <f t="shared" si="7"/>
        <v>--</v>
      </c>
      <c r="S30" s="457" t="str">
        <f t="shared" si="8"/>
        <v>--</v>
      </c>
      <c r="T30" s="415" t="str">
        <f t="shared" si="9"/>
        <v>--</v>
      </c>
      <c r="U30" s="391" t="str">
        <f t="shared" si="10"/>
        <v>--</v>
      </c>
      <c r="V30" s="392" t="str">
        <f t="shared" si="11"/>
        <v>--</v>
      </c>
      <c r="W30" s="471" t="str">
        <f t="shared" si="12"/>
        <v>--</v>
      </c>
      <c r="X30" s="473" t="str">
        <f t="shared" si="13"/>
        <v>--</v>
      </c>
      <c r="Y30" s="472" t="str">
        <f t="shared" si="14"/>
        <v>--</v>
      </c>
      <c r="Z30" s="420" t="str">
        <f t="shared" si="15"/>
        <v>--</v>
      </c>
      <c r="AA30" s="426" t="str">
        <f t="shared" si="16"/>
        <v>--</v>
      </c>
      <c r="AB30" s="481">
        <f t="shared" si="17"/>
      </c>
      <c r="AC30" s="482">
        <f t="shared" si="18"/>
        <v>0</v>
      </c>
      <c r="AD30" s="30">
        <f t="shared" si="19"/>
      </c>
      <c r="AE30" s="170"/>
    </row>
    <row r="31" spans="2:31" s="16" customFormat="1" ht="16.5" customHeight="1">
      <c r="B31" s="142"/>
      <c r="C31" s="20"/>
      <c r="D31" s="20"/>
      <c r="E31" s="23"/>
      <c r="F31" s="22"/>
      <c r="G31" s="23"/>
      <c r="H31" s="366">
        <f t="shared" si="0"/>
        <v>20</v>
      </c>
      <c r="I31" s="642">
        <f t="shared" si="1"/>
        <v>44.693</v>
      </c>
      <c r="J31" s="19"/>
      <c r="K31" s="32"/>
      <c r="L31" s="26">
        <f t="shared" si="2"/>
      </c>
      <c r="M31" s="27">
        <f t="shared" si="3"/>
      </c>
      <c r="N31" s="28"/>
      <c r="O31" s="29">
        <f t="shared" si="4"/>
      </c>
      <c r="P31" s="24">
        <f t="shared" si="5"/>
      </c>
      <c r="Q31" s="24">
        <f t="shared" si="6"/>
      </c>
      <c r="R31" s="454" t="str">
        <f t="shared" si="7"/>
        <v>--</v>
      </c>
      <c r="S31" s="457" t="str">
        <f t="shared" si="8"/>
        <v>--</v>
      </c>
      <c r="T31" s="415" t="str">
        <f t="shared" si="9"/>
        <v>--</v>
      </c>
      <c r="U31" s="391" t="str">
        <f t="shared" si="10"/>
        <v>--</v>
      </c>
      <c r="V31" s="392" t="str">
        <f t="shared" si="11"/>
        <v>--</v>
      </c>
      <c r="W31" s="471" t="str">
        <f t="shared" si="12"/>
        <v>--</v>
      </c>
      <c r="X31" s="473" t="str">
        <f t="shared" si="13"/>
        <v>--</v>
      </c>
      <c r="Y31" s="472" t="str">
        <f t="shared" si="14"/>
        <v>--</v>
      </c>
      <c r="Z31" s="420" t="str">
        <f t="shared" si="15"/>
        <v>--</v>
      </c>
      <c r="AA31" s="426" t="str">
        <f t="shared" si="16"/>
        <v>--</v>
      </c>
      <c r="AB31" s="481">
        <f t="shared" si="17"/>
      </c>
      <c r="AC31" s="482">
        <f t="shared" si="18"/>
        <v>0</v>
      </c>
      <c r="AD31" s="30">
        <f t="shared" si="19"/>
      </c>
      <c r="AE31" s="170"/>
    </row>
    <row r="32" spans="2:31" s="16" customFormat="1" ht="16.5" customHeight="1">
      <c r="B32" s="142"/>
      <c r="C32" s="20"/>
      <c r="D32" s="20"/>
      <c r="E32" s="23"/>
      <c r="F32" s="22"/>
      <c r="G32" s="23"/>
      <c r="H32" s="366">
        <f t="shared" si="0"/>
        <v>20</v>
      </c>
      <c r="I32" s="642">
        <f t="shared" si="1"/>
        <v>44.693</v>
      </c>
      <c r="J32" s="19"/>
      <c r="K32" s="32"/>
      <c r="L32" s="26">
        <f t="shared" si="2"/>
      </c>
      <c r="M32" s="27">
        <f t="shared" si="3"/>
      </c>
      <c r="N32" s="28"/>
      <c r="O32" s="29">
        <f t="shared" si="4"/>
      </c>
      <c r="P32" s="24">
        <f t="shared" si="5"/>
      </c>
      <c r="Q32" s="24">
        <f t="shared" si="6"/>
      </c>
      <c r="R32" s="454" t="str">
        <f t="shared" si="7"/>
        <v>--</v>
      </c>
      <c r="S32" s="457" t="str">
        <f t="shared" si="8"/>
        <v>--</v>
      </c>
      <c r="T32" s="415" t="str">
        <f t="shared" si="9"/>
        <v>--</v>
      </c>
      <c r="U32" s="391" t="str">
        <f t="shared" si="10"/>
        <v>--</v>
      </c>
      <c r="V32" s="392" t="str">
        <f t="shared" si="11"/>
        <v>--</v>
      </c>
      <c r="W32" s="471" t="str">
        <f t="shared" si="12"/>
        <v>--</v>
      </c>
      <c r="X32" s="473" t="str">
        <f t="shared" si="13"/>
        <v>--</v>
      </c>
      <c r="Y32" s="472" t="str">
        <f t="shared" si="14"/>
        <v>--</v>
      </c>
      <c r="Z32" s="420" t="str">
        <f t="shared" si="15"/>
        <v>--</v>
      </c>
      <c r="AA32" s="426" t="str">
        <f t="shared" si="16"/>
        <v>--</v>
      </c>
      <c r="AB32" s="481">
        <f t="shared" si="17"/>
      </c>
      <c r="AC32" s="482">
        <f t="shared" si="18"/>
        <v>0</v>
      </c>
      <c r="AD32" s="30">
        <f t="shared" si="19"/>
      </c>
      <c r="AE32" s="170"/>
    </row>
    <row r="33" spans="2:31" s="16" customFormat="1" ht="16.5" customHeight="1">
      <c r="B33" s="142"/>
      <c r="C33" s="20"/>
      <c r="D33" s="20"/>
      <c r="E33" s="23"/>
      <c r="F33" s="22"/>
      <c r="G33" s="23"/>
      <c r="H33" s="366">
        <f t="shared" si="0"/>
        <v>20</v>
      </c>
      <c r="I33" s="642">
        <f t="shared" si="1"/>
        <v>44.693</v>
      </c>
      <c r="J33" s="19"/>
      <c r="K33" s="32"/>
      <c r="L33" s="26">
        <f t="shared" si="2"/>
      </c>
      <c r="M33" s="27">
        <f t="shared" si="3"/>
      </c>
      <c r="N33" s="28"/>
      <c r="O33" s="29">
        <f t="shared" si="4"/>
      </c>
      <c r="P33" s="24">
        <f t="shared" si="5"/>
      </c>
      <c r="Q33" s="24">
        <f t="shared" si="6"/>
      </c>
      <c r="R33" s="454" t="str">
        <f t="shared" si="7"/>
        <v>--</v>
      </c>
      <c r="S33" s="457" t="str">
        <f t="shared" si="8"/>
        <v>--</v>
      </c>
      <c r="T33" s="415" t="str">
        <f t="shared" si="9"/>
        <v>--</v>
      </c>
      <c r="U33" s="391" t="str">
        <f t="shared" si="10"/>
        <v>--</v>
      </c>
      <c r="V33" s="392" t="str">
        <f t="shared" si="11"/>
        <v>--</v>
      </c>
      <c r="W33" s="471" t="str">
        <f t="shared" si="12"/>
        <v>--</v>
      </c>
      <c r="X33" s="473" t="str">
        <f t="shared" si="13"/>
        <v>--</v>
      </c>
      <c r="Y33" s="472" t="str">
        <f t="shared" si="14"/>
        <v>--</v>
      </c>
      <c r="Z33" s="420" t="str">
        <f t="shared" si="15"/>
        <v>--</v>
      </c>
      <c r="AA33" s="426" t="str">
        <f t="shared" si="16"/>
        <v>--</v>
      </c>
      <c r="AB33" s="481">
        <f t="shared" si="17"/>
      </c>
      <c r="AC33" s="482">
        <f t="shared" si="18"/>
        <v>0</v>
      </c>
      <c r="AD33" s="30">
        <f t="shared" si="19"/>
      </c>
      <c r="AE33" s="170"/>
    </row>
    <row r="34" spans="2:31" s="16" customFormat="1" ht="16.5" customHeight="1">
      <c r="B34" s="142"/>
      <c r="C34" s="20"/>
      <c r="D34" s="20"/>
      <c r="E34" s="23"/>
      <c r="F34" s="22"/>
      <c r="G34" s="23"/>
      <c r="H34" s="366">
        <f t="shared" si="0"/>
        <v>20</v>
      </c>
      <c r="I34" s="642">
        <f t="shared" si="1"/>
        <v>44.693</v>
      </c>
      <c r="J34" s="19"/>
      <c r="K34" s="32"/>
      <c r="L34" s="26">
        <f t="shared" si="2"/>
      </c>
      <c r="M34" s="27">
        <f t="shared" si="3"/>
      </c>
      <c r="N34" s="28"/>
      <c r="O34" s="29">
        <f t="shared" si="4"/>
      </c>
      <c r="P34" s="24">
        <f t="shared" si="5"/>
      </c>
      <c r="Q34" s="24">
        <f t="shared" si="6"/>
      </c>
      <c r="R34" s="454" t="str">
        <f t="shared" si="7"/>
        <v>--</v>
      </c>
      <c r="S34" s="457" t="str">
        <f t="shared" si="8"/>
        <v>--</v>
      </c>
      <c r="T34" s="415" t="str">
        <f t="shared" si="9"/>
        <v>--</v>
      </c>
      <c r="U34" s="391" t="str">
        <f t="shared" si="10"/>
        <v>--</v>
      </c>
      <c r="V34" s="392" t="str">
        <f t="shared" si="11"/>
        <v>--</v>
      </c>
      <c r="W34" s="471" t="str">
        <f t="shared" si="12"/>
        <v>--</v>
      </c>
      <c r="X34" s="473" t="str">
        <f t="shared" si="13"/>
        <v>--</v>
      </c>
      <c r="Y34" s="472" t="str">
        <f t="shared" si="14"/>
        <v>--</v>
      </c>
      <c r="Z34" s="420" t="str">
        <f t="shared" si="15"/>
        <v>--</v>
      </c>
      <c r="AA34" s="426" t="str">
        <f t="shared" si="16"/>
        <v>--</v>
      </c>
      <c r="AB34" s="481">
        <f t="shared" si="17"/>
      </c>
      <c r="AC34" s="482">
        <f t="shared" si="18"/>
        <v>0</v>
      </c>
      <c r="AD34" s="30">
        <f t="shared" si="19"/>
      </c>
      <c r="AE34" s="170"/>
    </row>
    <row r="35" spans="2:31" s="16" customFormat="1" ht="16.5" customHeight="1">
      <c r="B35" s="142"/>
      <c r="C35" s="20"/>
      <c r="D35" s="20"/>
      <c r="E35" s="23"/>
      <c r="F35" s="22"/>
      <c r="G35" s="23"/>
      <c r="H35" s="366">
        <f t="shared" si="0"/>
        <v>20</v>
      </c>
      <c r="I35" s="642">
        <f t="shared" si="1"/>
        <v>44.693</v>
      </c>
      <c r="J35" s="19"/>
      <c r="K35" s="32"/>
      <c r="L35" s="26">
        <f t="shared" si="2"/>
      </c>
      <c r="M35" s="27">
        <f t="shared" si="3"/>
      </c>
      <c r="N35" s="28"/>
      <c r="O35" s="29">
        <f t="shared" si="4"/>
      </c>
      <c r="P35" s="24">
        <f t="shared" si="5"/>
      </c>
      <c r="Q35" s="24">
        <f t="shared" si="6"/>
      </c>
      <c r="R35" s="454" t="str">
        <f t="shared" si="7"/>
        <v>--</v>
      </c>
      <c r="S35" s="457" t="str">
        <f t="shared" si="8"/>
        <v>--</v>
      </c>
      <c r="T35" s="415" t="str">
        <f t="shared" si="9"/>
        <v>--</v>
      </c>
      <c r="U35" s="391" t="str">
        <f t="shared" si="10"/>
        <v>--</v>
      </c>
      <c r="V35" s="392" t="str">
        <f t="shared" si="11"/>
        <v>--</v>
      </c>
      <c r="W35" s="471" t="str">
        <f t="shared" si="12"/>
        <v>--</v>
      </c>
      <c r="X35" s="473" t="str">
        <f t="shared" si="13"/>
        <v>--</v>
      </c>
      <c r="Y35" s="472" t="str">
        <f t="shared" si="14"/>
        <v>--</v>
      </c>
      <c r="Z35" s="420" t="str">
        <f t="shared" si="15"/>
        <v>--</v>
      </c>
      <c r="AA35" s="426" t="str">
        <f t="shared" si="16"/>
        <v>--</v>
      </c>
      <c r="AB35" s="481">
        <f t="shared" si="17"/>
      </c>
      <c r="AC35" s="482">
        <f t="shared" si="18"/>
        <v>0</v>
      </c>
      <c r="AD35" s="30">
        <f t="shared" si="19"/>
      </c>
      <c r="AE35" s="170"/>
    </row>
    <row r="36" spans="2:31" s="16" customFormat="1" ht="16.5" customHeight="1">
      <c r="B36" s="142"/>
      <c r="C36" s="20"/>
      <c r="D36" s="20"/>
      <c r="E36" s="86"/>
      <c r="F36" s="22"/>
      <c r="G36" s="23"/>
      <c r="H36" s="366">
        <f t="shared" si="0"/>
        <v>20</v>
      </c>
      <c r="I36" s="642">
        <f t="shared" si="1"/>
        <v>44.693</v>
      </c>
      <c r="J36" s="19"/>
      <c r="K36" s="32"/>
      <c r="L36" s="26">
        <f t="shared" si="2"/>
      </c>
      <c r="M36" s="27">
        <f t="shared" si="3"/>
      </c>
      <c r="N36" s="28"/>
      <c r="O36" s="29">
        <f t="shared" si="4"/>
      </c>
      <c r="P36" s="24">
        <f t="shared" si="5"/>
      </c>
      <c r="Q36" s="24">
        <f t="shared" si="6"/>
      </c>
      <c r="R36" s="454" t="str">
        <f t="shared" si="7"/>
        <v>--</v>
      </c>
      <c r="S36" s="457" t="str">
        <f t="shared" si="8"/>
        <v>--</v>
      </c>
      <c r="T36" s="415" t="str">
        <f t="shared" si="9"/>
        <v>--</v>
      </c>
      <c r="U36" s="391" t="str">
        <f t="shared" si="10"/>
        <v>--</v>
      </c>
      <c r="V36" s="392" t="str">
        <f t="shared" si="11"/>
        <v>--</v>
      </c>
      <c r="W36" s="471" t="str">
        <f t="shared" si="12"/>
        <v>--</v>
      </c>
      <c r="X36" s="473" t="str">
        <f t="shared" si="13"/>
        <v>--</v>
      </c>
      <c r="Y36" s="472" t="str">
        <f t="shared" si="14"/>
        <v>--</v>
      </c>
      <c r="Z36" s="420" t="str">
        <f t="shared" si="15"/>
        <v>--</v>
      </c>
      <c r="AA36" s="426" t="str">
        <f t="shared" si="16"/>
        <v>--</v>
      </c>
      <c r="AB36" s="481">
        <f t="shared" si="17"/>
      </c>
      <c r="AC36" s="482">
        <f t="shared" si="18"/>
        <v>0</v>
      </c>
      <c r="AD36" s="30">
        <f t="shared" si="19"/>
      </c>
      <c r="AE36" s="170"/>
    </row>
    <row r="37" spans="2:31" s="16" customFormat="1" ht="16.5" customHeight="1">
      <c r="B37" s="142"/>
      <c r="C37" s="20"/>
      <c r="D37" s="20"/>
      <c r="E37" s="86"/>
      <c r="F37" s="22"/>
      <c r="G37" s="23"/>
      <c r="H37" s="366">
        <f t="shared" si="0"/>
        <v>20</v>
      </c>
      <c r="I37" s="642">
        <f t="shared" si="1"/>
        <v>44.693</v>
      </c>
      <c r="J37" s="19"/>
      <c r="K37" s="32"/>
      <c r="L37" s="26">
        <f t="shared" si="2"/>
      </c>
      <c r="M37" s="27">
        <f t="shared" si="3"/>
      </c>
      <c r="N37" s="28"/>
      <c r="O37" s="29">
        <f t="shared" si="4"/>
      </c>
      <c r="P37" s="24">
        <f t="shared" si="5"/>
      </c>
      <c r="Q37" s="24">
        <f t="shared" si="6"/>
      </c>
      <c r="R37" s="454" t="str">
        <f t="shared" si="7"/>
        <v>--</v>
      </c>
      <c r="S37" s="457" t="str">
        <f t="shared" si="8"/>
        <v>--</v>
      </c>
      <c r="T37" s="415" t="str">
        <f t="shared" si="9"/>
        <v>--</v>
      </c>
      <c r="U37" s="391" t="str">
        <f t="shared" si="10"/>
        <v>--</v>
      </c>
      <c r="V37" s="392" t="str">
        <f t="shared" si="11"/>
        <v>--</v>
      </c>
      <c r="W37" s="471" t="str">
        <f t="shared" si="12"/>
        <v>--</v>
      </c>
      <c r="X37" s="473" t="str">
        <f t="shared" si="13"/>
        <v>--</v>
      </c>
      <c r="Y37" s="472" t="str">
        <f t="shared" si="14"/>
        <v>--</v>
      </c>
      <c r="Z37" s="420" t="str">
        <f t="shared" si="15"/>
        <v>--</v>
      </c>
      <c r="AA37" s="426" t="str">
        <f t="shared" si="16"/>
        <v>--</v>
      </c>
      <c r="AB37" s="481">
        <f t="shared" si="17"/>
      </c>
      <c r="AC37" s="482">
        <f t="shared" si="18"/>
        <v>0</v>
      </c>
      <c r="AD37" s="30">
        <f t="shared" si="19"/>
      </c>
      <c r="AE37" s="170"/>
    </row>
    <row r="38" spans="2:31" s="16" customFormat="1" ht="16.5" customHeight="1" thickBot="1">
      <c r="B38" s="142"/>
      <c r="C38" s="34"/>
      <c r="D38" s="34"/>
      <c r="E38" s="35"/>
      <c r="F38" s="36"/>
      <c r="G38" s="37"/>
      <c r="H38" s="358"/>
      <c r="I38" s="449"/>
      <c r="J38" s="38"/>
      <c r="K38" s="38"/>
      <c r="L38" s="38"/>
      <c r="M38" s="38"/>
      <c r="N38" s="38"/>
      <c r="O38" s="39"/>
      <c r="P38" s="38"/>
      <c r="Q38" s="38"/>
      <c r="R38" s="451"/>
      <c r="S38" s="458"/>
      <c r="T38" s="393"/>
      <c r="U38" s="394"/>
      <c r="V38" s="395"/>
      <c r="W38" s="474"/>
      <c r="X38" s="475"/>
      <c r="Y38" s="476"/>
      <c r="Z38" s="421"/>
      <c r="AA38" s="427"/>
      <c r="AB38" s="360"/>
      <c r="AC38" s="483"/>
      <c r="AD38" s="717"/>
      <c r="AE38" s="170"/>
    </row>
    <row r="39" spans="2:31" s="16" customFormat="1" ht="16.5" customHeight="1" thickBot="1" thickTop="1">
      <c r="B39" s="142"/>
      <c r="C39" s="289" t="s">
        <v>129</v>
      </c>
      <c r="D39" s="290" t="s">
        <v>130</v>
      </c>
      <c r="E39" s="43"/>
      <c r="F39" s="1"/>
      <c r="G39" s="44"/>
      <c r="H39" s="1"/>
      <c r="I39" s="45"/>
      <c r="J39" s="45"/>
      <c r="K39" s="45"/>
      <c r="L39" s="45"/>
      <c r="M39" s="45"/>
      <c r="N39" s="45"/>
      <c r="O39" s="46"/>
      <c r="P39" s="45"/>
      <c r="Q39" s="45"/>
      <c r="R39" s="452">
        <f aca="true" t="shared" si="20" ref="R39:AA39">SUM(R18:R38)</f>
        <v>5660.943411199999</v>
      </c>
      <c r="S39" s="459">
        <f t="shared" si="20"/>
        <v>0</v>
      </c>
      <c r="T39" s="463">
        <f t="shared" si="20"/>
        <v>0</v>
      </c>
      <c r="U39" s="464">
        <f t="shared" si="20"/>
        <v>0</v>
      </c>
      <c r="V39" s="465">
        <f t="shared" si="20"/>
        <v>0</v>
      </c>
      <c r="W39" s="477">
        <f t="shared" si="20"/>
        <v>0</v>
      </c>
      <c r="X39" s="478">
        <f t="shared" si="20"/>
        <v>0</v>
      </c>
      <c r="Y39" s="479">
        <f t="shared" si="20"/>
        <v>0</v>
      </c>
      <c r="Z39" s="432">
        <f t="shared" si="20"/>
        <v>0</v>
      </c>
      <c r="AA39" s="433">
        <f t="shared" si="20"/>
        <v>0</v>
      </c>
      <c r="AB39" s="47"/>
      <c r="AC39" s="716">
        <f>ROUND(SUM(AC18:AC38),2)</f>
        <v>5660.94</v>
      </c>
      <c r="AD39" s="650">
        <f>ROUND(SUM(AD18:AD38),2)</f>
        <v>22643.77</v>
      </c>
      <c r="AE39" s="170"/>
    </row>
    <row r="40" spans="2:31" s="294" customFormat="1" ht="9.75" thickTop="1">
      <c r="B40" s="295"/>
      <c r="C40" s="291"/>
      <c r="D40" s="293" t="s">
        <v>131</v>
      </c>
      <c r="E40" s="296"/>
      <c r="F40" s="297"/>
      <c r="G40" s="298"/>
      <c r="H40" s="297"/>
      <c r="I40" s="299"/>
      <c r="J40" s="299"/>
      <c r="K40" s="299"/>
      <c r="L40" s="299"/>
      <c r="M40" s="299"/>
      <c r="N40" s="299"/>
      <c r="O40" s="300"/>
      <c r="P40" s="299"/>
      <c r="Q40" s="299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2"/>
      <c r="AD40" s="302"/>
      <c r="AE40" s="303"/>
    </row>
    <row r="41" spans="2:31" s="16" customFormat="1" ht="16.5" customHeight="1" thickBot="1"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3"/>
    </row>
    <row r="42" spans="2:31" ht="16.5" customHeight="1" thickTop="1">
      <c r="B42" s="12"/>
      <c r="AE42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2">
    <pageSetUpPr fitToPage="1"/>
  </sheetPr>
  <dimension ref="A1:AC157"/>
  <sheetViews>
    <sheetView zoomScale="75" zoomScaleNormal="75" workbookViewId="0" topLeftCell="A14">
      <selection activeCell="B38" sqref="B3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110" customFormat="1" ht="26.2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648"/>
    </row>
    <row r="2" spans="1:28" s="110" customFormat="1" ht="26.25">
      <c r="A2" s="160"/>
      <c r="B2" s="206" t="str">
        <f>+'tot-9911'!B2</f>
        <v>ANEXO I A LA RESOLUCION ENRE N° 320/2000</v>
      </c>
      <c r="C2" s="206"/>
      <c r="D2" s="206"/>
      <c r="E2" s="111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16" customFormat="1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s="117" customFormat="1" ht="11.25">
      <c r="A4" s="230" t="s">
        <v>144</v>
      </c>
      <c r="B4" s="231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s="117" customFormat="1" ht="11.25">
      <c r="A5" s="230" t="s">
        <v>86</v>
      </c>
      <c r="B5" s="231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28" s="16" customFormat="1" ht="13.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16" customFormat="1" ht="13.5" thickTop="1">
      <c r="A7" s="7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64"/>
    </row>
    <row r="8" spans="1:28" s="10" customFormat="1" ht="20.25">
      <c r="A8" s="208"/>
      <c r="B8" s="209"/>
      <c r="C8" s="208"/>
      <c r="D8" s="211" t="s">
        <v>102</v>
      </c>
      <c r="E8" s="208"/>
      <c r="F8" s="208"/>
      <c r="G8" s="210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48"/>
      <c r="S8" s="48"/>
      <c r="T8" s="48"/>
      <c r="U8" s="48"/>
      <c r="V8" s="48"/>
      <c r="W8" s="48"/>
      <c r="X8" s="48"/>
      <c r="Y8" s="48"/>
      <c r="Z8" s="48"/>
      <c r="AA8" s="48"/>
      <c r="AB8" s="177"/>
    </row>
    <row r="9" spans="1:28" s="16" customFormat="1" ht="12.75">
      <c r="A9" s="75"/>
      <c r="B9" s="198"/>
      <c r="C9" s="75"/>
      <c r="D9" s="76"/>
      <c r="E9" s="204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6"/>
      <c r="U9" s="76"/>
      <c r="V9" s="76"/>
      <c r="W9" s="76"/>
      <c r="X9" s="76"/>
      <c r="Y9" s="76"/>
      <c r="Z9" s="76"/>
      <c r="AA9" s="76"/>
      <c r="AB9" s="165"/>
    </row>
    <row r="10" spans="1:28" s="10" customFormat="1" ht="20.25">
      <c r="A10" s="208"/>
      <c r="B10" s="209"/>
      <c r="C10" s="208"/>
      <c r="D10" s="211" t="s">
        <v>145</v>
      </c>
      <c r="E10" s="208"/>
      <c r="F10" s="78"/>
      <c r="G10" s="4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77"/>
    </row>
    <row r="11" spans="1:28" s="16" customFormat="1" ht="12.75">
      <c r="A11" s="75"/>
      <c r="B11" s="198"/>
      <c r="C11" s="75"/>
      <c r="D11" s="76"/>
      <c r="E11" s="76"/>
      <c r="F11" s="76"/>
      <c r="G11" s="76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165"/>
    </row>
    <row r="12" spans="1:28" s="16" customFormat="1" ht="20.25">
      <c r="A12" s="208"/>
      <c r="B12" s="209"/>
      <c r="C12" s="208"/>
      <c r="D12" s="212" t="s">
        <v>146</v>
      </c>
      <c r="E12" s="208"/>
      <c r="F12" s="208"/>
      <c r="G12" s="208"/>
      <c r="H12" s="205"/>
      <c r="I12" s="205"/>
      <c r="J12" s="205"/>
      <c r="K12" s="205"/>
      <c r="L12" s="205"/>
      <c r="M12" s="75"/>
      <c r="N12" s="75"/>
      <c r="O12" s="75"/>
      <c r="P12" s="75"/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165"/>
    </row>
    <row r="13" spans="1:28" s="16" customFormat="1" ht="12.75">
      <c r="A13" s="75"/>
      <c r="B13" s="198"/>
      <c r="C13" s="75"/>
      <c r="D13" s="76"/>
      <c r="E13" s="76"/>
      <c r="F13" s="76"/>
      <c r="G13" s="199"/>
      <c r="H13" s="76"/>
      <c r="I13" s="76"/>
      <c r="J13" s="76"/>
      <c r="K13" s="76"/>
      <c r="L13" s="76"/>
      <c r="M13" s="75"/>
      <c r="N13" s="75"/>
      <c r="O13" s="75"/>
      <c r="P13" s="75"/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165"/>
    </row>
    <row r="14" spans="1:28" s="15" customFormat="1" ht="19.5">
      <c r="A14" s="213"/>
      <c r="B14" s="214" t="str">
        <f>+'tot-9911'!B14</f>
        <v>Desde el 01 al 30 de noviembre de 1999</v>
      </c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5"/>
      <c r="N14" s="215"/>
      <c r="O14" s="215"/>
      <c r="P14" s="215"/>
      <c r="Q14" s="215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</row>
    <row r="15" spans="1:28" s="16" customFormat="1" ht="13.5" thickBot="1">
      <c r="A15" s="75"/>
      <c r="B15" s="198"/>
      <c r="C15" s="75"/>
      <c r="D15" s="76"/>
      <c r="E15" s="76"/>
      <c r="F15" s="76"/>
      <c r="G15" s="199"/>
      <c r="H15" s="76"/>
      <c r="I15" s="76"/>
      <c r="J15" s="76"/>
      <c r="K15" s="76"/>
      <c r="L15" s="76"/>
      <c r="M15" s="75"/>
      <c r="N15" s="75"/>
      <c r="O15" s="75"/>
      <c r="P15" s="75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65"/>
    </row>
    <row r="16" spans="1:28" s="16" customFormat="1" ht="16.5" customHeight="1" thickBot="1" thickTop="1">
      <c r="A16" s="75"/>
      <c r="B16" s="198"/>
      <c r="C16" s="75"/>
      <c r="D16" s="361" t="s">
        <v>147</v>
      </c>
      <c r="E16" s="362"/>
      <c r="F16" s="363">
        <v>0.146</v>
      </c>
      <c r="H16" s="75"/>
      <c r="I16" s="75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165"/>
    </row>
    <row r="17" spans="1:28" s="16" customFormat="1" ht="16.5" customHeight="1" thickBot="1" thickTop="1">
      <c r="A17" s="75"/>
      <c r="B17" s="198"/>
      <c r="C17" s="75"/>
      <c r="D17" s="218" t="s">
        <v>148</v>
      </c>
      <c r="E17" s="219"/>
      <c r="F17" s="220">
        <v>200</v>
      </c>
      <c r="G17"/>
      <c r="H17" s="76"/>
      <c r="I17" s="181" t="s">
        <v>178</v>
      </c>
      <c r="J17" s="649">
        <v>0.998</v>
      </c>
      <c r="K17" s="14" t="s">
        <v>179</v>
      </c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77"/>
      <c r="W17" s="77"/>
      <c r="X17" s="77"/>
      <c r="Y17" s="77"/>
      <c r="Z17" s="77"/>
      <c r="AA17" s="75"/>
      <c r="AB17" s="165"/>
    </row>
    <row r="18" spans="1:28" s="16" customFormat="1" ht="16.5" customHeight="1" thickBot="1" thickTop="1">
      <c r="A18" s="75"/>
      <c r="B18" s="198"/>
      <c r="C18" s="75"/>
      <c r="D18" s="76"/>
      <c r="E18" s="76"/>
      <c r="F18" s="76"/>
      <c r="G18" s="200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165"/>
    </row>
    <row r="19" spans="1:28" s="16" customFormat="1" ht="33.75" customHeight="1" thickBot="1" thickTop="1">
      <c r="A19" s="75"/>
      <c r="B19" s="198"/>
      <c r="C19" s="221" t="s">
        <v>107</v>
      </c>
      <c r="D19" s="224" t="s">
        <v>149</v>
      </c>
      <c r="E19" s="222" t="s">
        <v>77</v>
      </c>
      <c r="F19" s="225" t="s">
        <v>150</v>
      </c>
      <c r="G19" s="226" t="s">
        <v>108</v>
      </c>
      <c r="H19" s="356" t="s">
        <v>112</v>
      </c>
      <c r="I19" s="222" t="s">
        <v>113</v>
      </c>
      <c r="J19" s="222" t="s">
        <v>114</v>
      </c>
      <c r="K19" s="224" t="s">
        <v>151</v>
      </c>
      <c r="L19" s="224" t="s">
        <v>116</v>
      </c>
      <c r="M19" s="190" t="s">
        <v>117</v>
      </c>
      <c r="N19" s="190" t="s">
        <v>118</v>
      </c>
      <c r="O19" s="223" t="s">
        <v>120</v>
      </c>
      <c r="P19" s="222" t="s">
        <v>152</v>
      </c>
      <c r="Q19" s="488" t="s">
        <v>111</v>
      </c>
      <c r="R19" s="493" t="s">
        <v>121</v>
      </c>
      <c r="S19" s="499" t="s">
        <v>122</v>
      </c>
      <c r="T19" s="353" t="s">
        <v>153</v>
      </c>
      <c r="U19" s="355"/>
      <c r="V19" s="515" t="s">
        <v>154</v>
      </c>
      <c r="W19" s="516"/>
      <c r="X19" s="528" t="s">
        <v>125</v>
      </c>
      <c r="Y19" s="533" t="s">
        <v>126</v>
      </c>
      <c r="Z19" s="192" t="s">
        <v>127</v>
      </c>
      <c r="AA19" s="226" t="s">
        <v>128</v>
      </c>
      <c r="AB19" s="165"/>
    </row>
    <row r="20" spans="1:28" s="16" customFormat="1" ht="16.5" customHeight="1" hidden="1" thickTop="1">
      <c r="A20" s="75"/>
      <c r="B20" s="198"/>
      <c r="C20" s="485"/>
      <c r="D20" s="485"/>
      <c r="E20" s="485"/>
      <c r="F20" s="485"/>
      <c r="G20" s="486"/>
      <c r="H20" s="484"/>
      <c r="I20" s="485"/>
      <c r="J20" s="485"/>
      <c r="K20" s="485"/>
      <c r="L20" s="485"/>
      <c r="M20" s="485"/>
      <c r="N20" s="417"/>
      <c r="O20" s="487"/>
      <c r="P20" s="485"/>
      <c r="Q20" s="489"/>
      <c r="R20" s="494"/>
      <c r="S20" s="500"/>
      <c r="T20" s="505"/>
      <c r="U20" s="506"/>
      <c r="V20" s="517"/>
      <c r="W20" s="518"/>
      <c r="X20" s="529"/>
      <c r="Y20" s="534"/>
      <c r="Z20" s="487"/>
      <c r="AA20" s="645"/>
      <c r="AB20" s="165"/>
    </row>
    <row r="21" spans="1:28" s="16" customFormat="1" ht="16.5" customHeight="1" thickTop="1">
      <c r="A21" s="75"/>
      <c r="B21" s="198"/>
      <c r="C21" s="50"/>
      <c r="D21" s="50"/>
      <c r="E21" s="50"/>
      <c r="F21" s="50"/>
      <c r="G21" s="51"/>
      <c r="H21" s="365"/>
      <c r="I21" s="50"/>
      <c r="J21" s="50"/>
      <c r="K21" s="50"/>
      <c r="L21" s="50"/>
      <c r="M21" s="50"/>
      <c r="N21" s="18"/>
      <c r="O21" s="52"/>
      <c r="P21" s="50"/>
      <c r="Q21" s="490"/>
      <c r="R21" s="495"/>
      <c r="S21" s="501"/>
      <c r="T21" s="507"/>
      <c r="U21" s="508"/>
      <c r="V21" s="519"/>
      <c r="W21" s="520"/>
      <c r="X21" s="530"/>
      <c r="Y21" s="535"/>
      <c r="Z21" s="52"/>
      <c r="AA21" s="227"/>
      <c r="AB21" s="165"/>
    </row>
    <row r="22" spans="1:28" s="16" customFormat="1" ht="16.5" customHeight="1">
      <c r="A22" s="75"/>
      <c r="B22" s="198"/>
      <c r="C22" s="53">
        <v>31</v>
      </c>
      <c r="D22" s="54" t="s">
        <v>33</v>
      </c>
      <c r="E22" s="55" t="s">
        <v>25</v>
      </c>
      <c r="F22" s="56">
        <v>800</v>
      </c>
      <c r="G22" s="57" t="s">
        <v>35</v>
      </c>
      <c r="H22" s="643">
        <f aca="true" t="shared" si="0" ref="H22:H41">F22*$F$16*$J$17</f>
        <v>116.5664</v>
      </c>
      <c r="I22" s="59">
        <v>36465</v>
      </c>
      <c r="J22" s="60">
        <v>36465.44305555556</v>
      </c>
      <c r="K22" s="61">
        <f aca="true" t="shared" si="1" ref="K22:K41">IF(D22="","",(J22-I22)*24)</f>
        <v>10.633333333418705</v>
      </c>
      <c r="L22" s="62">
        <f aca="true" t="shared" si="2" ref="L22:L41">IF(D22="","",ROUND((J22-I22)*24*60,0))</f>
        <v>638</v>
      </c>
      <c r="M22" s="58" t="s">
        <v>197</v>
      </c>
      <c r="N22" s="29" t="str">
        <f aca="true" t="shared" si="3" ref="N22:N41">IF(D22="","","--")</f>
        <v>--</v>
      </c>
      <c r="O22" s="63" t="str">
        <f aca="true" t="shared" si="4" ref="O22:O41">IF(D22="","",IF(OR(M22="P",M22="RP"),"--","NO"))</f>
        <v>--</v>
      </c>
      <c r="P22" s="24" t="str">
        <f aca="true" t="shared" si="5" ref="P22:P41">IF(D22="","","NO")</f>
        <v>NO</v>
      </c>
      <c r="Q22" s="491">
        <f aca="true" t="shared" si="6" ref="Q22:Q41">$F$17*IF(OR(M22="P",M22="RP"),0.1,1)*IF(P22="SI",1,0.1)</f>
        <v>2</v>
      </c>
      <c r="R22" s="496">
        <f aca="true" t="shared" si="7" ref="R22:R41">IF(M22="P",H22*Q22*ROUND(L22/60,2),"--")</f>
        <v>2478.201664</v>
      </c>
      <c r="S22" s="502" t="str">
        <f aca="true" t="shared" si="8" ref="S22:S41">IF(M22="RP",H22*Q22*N22/100*ROUND(L22/60,2),"--")</f>
        <v>--</v>
      </c>
      <c r="T22" s="509" t="str">
        <f aca="true" t="shared" si="9" ref="T22:T41">IF(AND(M22="F",O22="NO"),H22*Q22,"--")</f>
        <v>--</v>
      </c>
      <c r="U22" s="510" t="str">
        <f aca="true" t="shared" si="10" ref="U22:U41">IF(M22="F",H22*Q22*ROUND(L22/60,2),"--")</f>
        <v>--</v>
      </c>
      <c r="V22" s="521" t="str">
        <f aca="true" t="shared" si="11" ref="V22:V41">IF(AND(M22="R",O22="NO"),H22*Q22*N22/100,"--")</f>
        <v>--</v>
      </c>
      <c r="W22" s="522" t="str">
        <f aca="true" t="shared" si="12" ref="W22:W41">IF(M22="R",H22*Q22*N22/100*ROUND(L22/60,2),"--")</f>
        <v>--</v>
      </c>
      <c r="X22" s="531" t="str">
        <f aca="true" t="shared" si="13" ref="X22:X41">IF(M22="RF",H22*Q22*ROUND(L22/60,2),"--")</f>
        <v>--</v>
      </c>
      <c r="Y22" s="536" t="str">
        <f aca="true" t="shared" si="14" ref="Y22:Y41">IF(M22="RR",H22*Q22*N22/100*ROUND(L22/60,2),"--")</f>
        <v>--</v>
      </c>
      <c r="Z22" s="64" t="str">
        <f aca="true" t="shared" si="15" ref="Z22:Z41">IF(D22="","","SI")</f>
        <v>SI</v>
      </c>
      <c r="AA22" s="228">
        <f aca="true" t="shared" si="16" ref="AA22:AA41">IF(D22="","",SUM(R22:Y22)*IF(Z22="SI",1,2))</f>
        <v>2478.201664</v>
      </c>
      <c r="AB22" s="165"/>
    </row>
    <row r="23" spans="1:28" s="16" customFormat="1" ht="16.5" customHeight="1">
      <c r="A23" s="75"/>
      <c r="B23" s="198"/>
      <c r="C23" s="53">
        <v>32</v>
      </c>
      <c r="D23" s="54" t="s">
        <v>33</v>
      </c>
      <c r="E23" s="55" t="s">
        <v>25</v>
      </c>
      <c r="F23" s="56">
        <v>800</v>
      </c>
      <c r="G23" s="57" t="s">
        <v>35</v>
      </c>
      <c r="H23" s="643">
        <f t="shared" si="0"/>
        <v>116.5664</v>
      </c>
      <c r="I23" s="59">
        <v>36465.98819444444</v>
      </c>
      <c r="J23" s="60">
        <v>36466.35555555556</v>
      </c>
      <c r="K23" s="61">
        <f t="shared" si="1"/>
        <v>8.81666666676756</v>
      </c>
      <c r="L23" s="62">
        <f t="shared" si="2"/>
        <v>529</v>
      </c>
      <c r="M23" s="58" t="s">
        <v>197</v>
      </c>
      <c r="N23" s="29" t="str">
        <f t="shared" si="3"/>
        <v>--</v>
      </c>
      <c r="O23" s="63" t="str">
        <f t="shared" si="4"/>
        <v>--</v>
      </c>
      <c r="P23" s="24" t="str">
        <f t="shared" si="5"/>
        <v>NO</v>
      </c>
      <c r="Q23" s="491">
        <f t="shared" si="6"/>
        <v>2</v>
      </c>
      <c r="R23" s="496">
        <f t="shared" si="7"/>
        <v>2056.231296</v>
      </c>
      <c r="S23" s="502" t="str">
        <f t="shared" si="8"/>
        <v>--</v>
      </c>
      <c r="T23" s="509" t="str">
        <f t="shared" si="9"/>
        <v>--</v>
      </c>
      <c r="U23" s="510" t="str">
        <f t="shared" si="10"/>
        <v>--</v>
      </c>
      <c r="V23" s="521" t="str">
        <f t="shared" si="11"/>
        <v>--</v>
      </c>
      <c r="W23" s="522" t="str">
        <f t="shared" si="12"/>
        <v>--</v>
      </c>
      <c r="X23" s="531" t="str">
        <f t="shared" si="13"/>
        <v>--</v>
      </c>
      <c r="Y23" s="536" t="str">
        <f t="shared" si="14"/>
        <v>--</v>
      </c>
      <c r="Z23" s="64" t="str">
        <f t="shared" si="15"/>
        <v>SI</v>
      </c>
      <c r="AA23" s="228">
        <f t="shared" si="16"/>
        <v>2056.231296</v>
      </c>
      <c r="AB23" s="165"/>
    </row>
    <row r="24" spans="1:28" s="16" customFormat="1" ht="16.5" customHeight="1">
      <c r="A24" s="75"/>
      <c r="B24" s="198"/>
      <c r="C24" s="53">
        <v>33</v>
      </c>
      <c r="D24" s="54" t="s">
        <v>33</v>
      </c>
      <c r="E24" s="55" t="s">
        <v>25</v>
      </c>
      <c r="F24" s="56">
        <v>800</v>
      </c>
      <c r="G24" s="57" t="s">
        <v>35</v>
      </c>
      <c r="H24" s="643">
        <f t="shared" si="0"/>
        <v>116.5664</v>
      </c>
      <c r="I24" s="59">
        <v>36466.99444444444</v>
      </c>
      <c r="J24" s="60">
        <v>36467.38680555556</v>
      </c>
      <c r="K24" s="61">
        <f t="shared" si="1"/>
        <v>9.416666666802485</v>
      </c>
      <c r="L24" s="62">
        <f t="shared" si="2"/>
        <v>565</v>
      </c>
      <c r="M24" s="58" t="s">
        <v>197</v>
      </c>
      <c r="N24" s="29" t="str">
        <f t="shared" si="3"/>
        <v>--</v>
      </c>
      <c r="O24" s="63" t="str">
        <f t="shared" si="4"/>
        <v>--</v>
      </c>
      <c r="P24" s="24" t="str">
        <f t="shared" si="5"/>
        <v>NO</v>
      </c>
      <c r="Q24" s="491">
        <f t="shared" si="6"/>
        <v>2</v>
      </c>
      <c r="R24" s="496">
        <f t="shared" si="7"/>
        <v>2196.110976</v>
      </c>
      <c r="S24" s="502" t="str">
        <f t="shared" si="8"/>
        <v>--</v>
      </c>
      <c r="T24" s="509" t="str">
        <f t="shared" si="9"/>
        <v>--</v>
      </c>
      <c r="U24" s="510" t="str">
        <f t="shared" si="10"/>
        <v>--</v>
      </c>
      <c r="V24" s="521" t="str">
        <f t="shared" si="11"/>
        <v>--</v>
      </c>
      <c r="W24" s="522" t="str">
        <f t="shared" si="12"/>
        <v>--</v>
      </c>
      <c r="X24" s="531" t="str">
        <f t="shared" si="13"/>
        <v>--</v>
      </c>
      <c r="Y24" s="536" t="str">
        <f t="shared" si="14"/>
        <v>--</v>
      </c>
      <c r="Z24" s="64" t="str">
        <f t="shared" si="15"/>
        <v>SI</v>
      </c>
      <c r="AA24" s="228">
        <f t="shared" si="16"/>
        <v>2196.110976</v>
      </c>
      <c r="AB24" s="165"/>
    </row>
    <row r="25" spans="1:28" s="16" customFormat="1" ht="16.5" customHeight="1">
      <c r="A25" s="75"/>
      <c r="B25" s="198"/>
      <c r="C25" s="53">
        <v>34</v>
      </c>
      <c r="D25" s="54" t="s">
        <v>33</v>
      </c>
      <c r="E25" s="55" t="s">
        <v>25</v>
      </c>
      <c r="F25" s="56">
        <v>800</v>
      </c>
      <c r="G25" s="57" t="s">
        <v>35</v>
      </c>
      <c r="H25" s="643">
        <f t="shared" si="0"/>
        <v>116.5664</v>
      </c>
      <c r="I25" s="59">
        <v>36468.05972222222</v>
      </c>
      <c r="J25" s="60">
        <v>36468.424305555556</v>
      </c>
      <c r="K25" s="61">
        <f t="shared" si="1"/>
        <v>8.750000000058208</v>
      </c>
      <c r="L25" s="62">
        <f t="shared" si="2"/>
        <v>525</v>
      </c>
      <c r="M25" s="58" t="s">
        <v>197</v>
      </c>
      <c r="N25" s="29" t="str">
        <f t="shared" si="3"/>
        <v>--</v>
      </c>
      <c r="O25" s="63" t="str">
        <f t="shared" si="4"/>
        <v>--</v>
      </c>
      <c r="P25" s="24" t="str">
        <f t="shared" si="5"/>
        <v>NO</v>
      </c>
      <c r="Q25" s="491">
        <f t="shared" si="6"/>
        <v>2</v>
      </c>
      <c r="R25" s="496">
        <f t="shared" si="7"/>
        <v>2039.912</v>
      </c>
      <c r="S25" s="502" t="str">
        <f t="shared" si="8"/>
        <v>--</v>
      </c>
      <c r="T25" s="509" t="str">
        <f t="shared" si="9"/>
        <v>--</v>
      </c>
      <c r="U25" s="510" t="str">
        <f t="shared" si="10"/>
        <v>--</v>
      </c>
      <c r="V25" s="521" t="str">
        <f t="shared" si="11"/>
        <v>--</v>
      </c>
      <c r="W25" s="522" t="str">
        <f t="shared" si="12"/>
        <v>--</v>
      </c>
      <c r="X25" s="531" t="str">
        <f t="shared" si="13"/>
        <v>--</v>
      </c>
      <c r="Y25" s="536" t="str">
        <f t="shared" si="14"/>
        <v>--</v>
      </c>
      <c r="Z25" s="64" t="str">
        <f t="shared" si="15"/>
        <v>SI</v>
      </c>
      <c r="AA25" s="228">
        <f t="shared" si="16"/>
        <v>2039.912</v>
      </c>
      <c r="AB25" s="165"/>
    </row>
    <row r="26" spans="1:28" s="16" customFormat="1" ht="16.5" customHeight="1">
      <c r="A26" s="75"/>
      <c r="B26" s="198"/>
      <c r="C26" s="53">
        <v>35</v>
      </c>
      <c r="D26" s="54" t="s">
        <v>33</v>
      </c>
      <c r="E26" s="55" t="s">
        <v>26</v>
      </c>
      <c r="F26" s="56">
        <v>800</v>
      </c>
      <c r="G26" s="57" t="s">
        <v>35</v>
      </c>
      <c r="H26" s="643">
        <f t="shared" si="0"/>
        <v>116.5664</v>
      </c>
      <c r="I26" s="59">
        <v>36469.990277777775</v>
      </c>
      <c r="J26" s="60">
        <v>36470.35902777778</v>
      </c>
      <c r="K26" s="61">
        <f t="shared" si="1"/>
        <v>8.850000000034925</v>
      </c>
      <c r="L26" s="62">
        <f t="shared" si="2"/>
        <v>531</v>
      </c>
      <c r="M26" s="58" t="s">
        <v>197</v>
      </c>
      <c r="N26" s="29" t="str">
        <f t="shared" si="3"/>
        <v>--</v>
      </c>
      <c r="O26" s="63" t="str">
        <f t="shared" si="4"/>
        <v>--</v>
      </c>
      <c r="P26" s="24" t="str">
        <f t="shared" si="5"/>
        <v>NO</v>
      </c>
      <c r="Q26" s="491">
        <f t="shared" si="6"/>
        <v>2</v>
      </c>
      <c r="R26" s="496">
        <f t="shared" si="7"/>
        <v>2063.22528</v>
      </c>
      <c r="S26" s="502" t="str">
        <f t="shared" si="8"/>
        <v>--</v>
      </c>
      <c r="T26" s="509" t="str">
        <f t="shared" si="9"/>
        <v>--</v>
      </c>
      <c r="U26" s="510" t="str">
        <f t="shared" si="10"/>
        <v>--</v>
      </c>
      <c r="V26" s="521" t="str">
        <f t="shared" si="11"/>
        <v>--</v>
      </c>
      <c r="W26" s="522" t="str">
        <f t="shared" si="12"/>
        <v>--</v>
      </c>
      <c r="X26" s="531" t="str">
        <f t="shared" si="13"/>
        <v>--</v>
      </c>
      <c r="Y26" s="536" t="str">
        <f t="shared" si="14"/>
        <v>--</v>
      </c>
      <c r="Z26" s="64" t="str">
        <f t="shared" si="15"/>
        <v>SI</v>
      </c>
      <c r="AA26" s="228">
        <f t="shared" si="16"/>
        <v>2063.22528</v>
      </c>
      <c r="AB26" s="165"/>
    </row>
    <row r="27" spans="1:28" s="16" customFormat="1" ht="16.5" customHeight="1">
      <c r="A27" s="75"/>
      <c r="B27" s="198"/>
      <c r="C27" s="53">
        <v>36</v>
      </c>
      <c r="D27" s="54" t="s">
        <v>42</v>
      </c>
      <c r="E27" s="55" t="s">
        <v>37</v>
      </c>
      <c r="F27" s="56">
        <v>150</v>
      </c>
      <c r="G27" s="57" t="s">
        <v>27</v>
      </c>
      <c r="H27" s="643">
        <f t="shared" si="0"/>
        <v>21.856199999999998</v>
      </c>
      <c r="I27" s="59">
        <v>36471.35277777778</v>
      </c>
      <c r="J27" s="60">
        <v>36471.72986111111</v>
      </c>
      <c r="K27" s="61">
        <f t="shared" si="1"/>
        <v>9.049999999988358</v>
      </c>
      <c r="L27" s="62">
        <f t="shared" si="2"/>
        <v>543</v>
      </c>
      <c r="M27" s="58" t="s">
        <v>197</v>
      </c>
      <c r="N27" s="29" t="str">
        <f t="shared" si="3"/>
        <v>--</v>
      </c>
      <c r="O27" s="63" t="str">
        <f t="shared" si="4"/>
        <v>--</v>
      </c>
      <c r="P27" s="24" t="str">
        <f t="shared" si="5"/>
        <v>NO</v>
      </c>
      <c r="Q27" s="491">
        <f t="shared" si="6"/>
        <v>2</v>
      </c>
      <c r="R27" s="496">
        <f t="shared" si="7"/>
        <v>395.59722</v>
      </c>
      <c r="S27" s="502" t="str">
        <f t="shared" si="8"/>
        <v>--</v>
      </c>
      <c r="T27" s="509" t="str">
        <f t="shared" si="9"/>
        <v>--</v>
      </c>
      <c r="U27" s="510" t="str">
        <f t="shared" si="10"/>
        <v>--</v>
      </c>
      <c r="V27" s="521" t="str">
        <f t="shared" si="11"/>
        <v>--</v>
      </c>
      <c r="W27" s="522" t="str">
        <f t="shared" si="12"/>
        <v>--</v>
      </c>
      <c r="X27" s="531" t="str">
        <f t="shared" si="13"/>
        <v>--</v>
      </c>
      <c r="Y27" s="536" t="str">
        <f t="shared" si="14"/>
        <v>--</v>
      </c>
      <c r="Z27" s="64" t="str">
        <f t="shared" si="15"/>
        <v>SI</v>
      </c>
      <c r="AA27" s="228">
        <f t="shared" si="16"/>
        <v>395.59722</v>
      </c>
      <c r="AB27" s="165"/>
    </row>
    <row r="28" spans="1:29" s="16" customFormat="1" ht="16.5" customHeight="1">
      <c r="A28" s="75"/>
      <c r="B28" s="198"/>
      <c r="C28" s="53">
        <v>37</v>
      </c>
      <c r="D28" s="54" t="s">
        <v>40</v>
      </c>
      <c r="E28" s="55" t="s">
        <v>41</v>
      </c>
      <c r="F28" s="56">
        <v>100</v>
      </c>
      <c r="G28" s="57" t="s">
        <v>23</v>
      </c>
      <c r="H28" s="643">
        <f t="shared" si="0"/>
        <v>14.5708</v>
      </c>
      <c r="I28" s="59">
        <v>36477.34930555556</v>
      </c>
      <c r="J28" s="60">
        <v>36477.76180555556</v>
      </c>
      <c r="K28" s="61">
        <f t="shared" si="1"/>
        <v>9.899999999965075</v>
      </c>
      <c r="L28" s="62">
        <f t="shared" si="2"/>
        <v>594</v>
      </c>
      <c r="M28" s="58" t="s">
        <v>197</v>
      </c>
      <c r="N28" s="29" t="str">
        <f t="shared" si="3"/>
        <v>--</v>
      </c>
      <c r="O28" s="63" t="str">
        <f t="shared" si="4"/>
        <v>--</v>
      </c>
      <c r="P28" s="24" t="str">
        <f t="shared" si="5"/>
        <v>NO</v>
      </c>
      <c r="Q28" s="491">
        <f t="shared" si="6"/>
        <v>2</v>
      </c>
      <c r="R28" s="496">
        <f t="shared" si="7"/>
        <v>288.50184</v>
      </c>
      <c r="S28" s="502" t="str">
        <f t="shared" si="8"/>
        <v>--</v>
      </c>
      <c r="T28" s="509" t="str">
        <f t="shared" si="9"/>
        <v>--</v>
      </c>
      <c r="U28" s="510" t="str">
        <f t="shared" si="10"/>
        <v>--</v>
      </c>
      <c r="V28" s="521" t="str">
        <f t="shared" si="11"/>
        <v>--</v>
      </c>
      <c r="W28" s="522" t="str">
        <f t="shared" si="12"/>
        <v>--</v>
      </c>
      <c r="X28" s="531" t="str">
        <f t="shared" si="13"/>
        <v>--</v>
      </c>
      <c r="Y28" s="536" t="str">
        <f t="shared" si="14"/>
        <v>--</v>
      </c>
      <c r="Z28" s="64" t="str">
        <f t="shared" si="15"/>
        <v>SI</v>
      </c>
      <c r="AA28" s="228">
        <f t="shared" si="16"/>
        <v>288.50184</v>
      </c>
      <c r="AB28" s="165"/>
      <c r="AC28" s="76"/>
    </row>
    <row r="29" spans="1:28" s="16" customFormat="1" ht="16.5" customHeight="1">
      <c r="A29" s="75"/>
      <c r="B29" s="198"/>
      <c r="C29" s="53">
        <v>38</v>
      </c>
      <c r="D29" s="54" t="s">
        <v>40</v>
      </c>
      <c r="E29" s="55" t="s">
        <v>41</v>
      </c>
      <c r="F29" s="56">
        <v>100</v>
      </c>
      <c r="G29" s="57" t="s">
        <v>23</v>
      </c>
      <c r="H29" s="643">
        <f t="shared" si="0"/>
        <v>14.5708</v>
      </c>
      <c r="I29" s="59">
        <v>36478.34722222222</v>
      </c>
      <c r="J29" s="60">
        <v>36478.76458333333</v>
      </c>
      <c r="K29" s="61">
        <f t="shared" si="1"/>
        <v>10.016666666662786</v>
      </c>
      <c r="L29" s="62">
        <f t="shared" si="2"/>
        <v>601</v>
      </c>
      <c r="M29" s="58" t="s">
        <v>197</v>
      </c>
      <c r="N29" s="29" t="str">
        <f t="shared" si="3"/>
        <v>--</v>
      </c>
      <c r="O29" s="63" t="str">
        <f t="shared" si="4"/>
        <v>--</v>
      </c>
      <c r="P29" s="24" t="str">
        <f t="shared" si="5"/>
        <v>NO</v>
      </c>
      <c r="Q29" s="491">
        <f t="shared" si="6"/>
        <v>2</v>
      </c>
      <c r="R29" s="496">
        <f t="shared" si="7"/>
        <v>291.998832</v>
      </c>
      <c r="S29" s="502" t="str">
        <f t="shared" si="8"/>
        <v>--</v>
      </c>
      <c r="T29" s="509" t="str">
        <f t="shared" si="9"/>
        <v>--</v>
      </c>
      <c r="U29" s="510" t="str">
        <f t="shared" si="10"/>
        <v>--</v>
      </c>
      <c r="V29" s="521" t="str">
        <f t="shared" si="11"/>
        <v>--</v>
      </c>
      <c r="W29" s="522" t="str">
        <f t="shared" si="12"/>
        <v>--</v>
      </c>
      <c r="X29" s="531" t="str">
        <f t="shared" si="13"/>
        <v>--</v>
      </c>
      <c r="Y29" s="536" t="str">
        <f t="shared" si="14"/>
        <v>--</v>
      </c>
      <c r="Z29" s="64" t="str">
        <f t="shared" si="15"/>
        <v>SI</v>
      </c>
      <c r="AA29" s="228">
        <f t="shared" si="16"/>
        <v>291.998832</v>
      </c>
      <c r="AB29" s="165"/>
    </row>
    <row r="30" spans="1:28" s="16" customFormat="1" ht="16.5" customHeight="1">
      <c r="A30" s="75"/>
      <c r="B30" s="198"/>
      <c r="C30" s="53">
        <v>39</v>
      </c>
      <c r="D30" s="54" t="s">
        <v>40</v>
      </c>
      <c r="E30" s="55" t="s">
        <v>41</v>
      </c>
      <c r="F30" s="56">
        <v>100</v>
      </c>
      <c r="G30" s="57" t="s">
        <v>23</v>
      </c>
      <c r="H30" s="643">
        <f t="shared" si="0"/>
        <v>14.5708</v>
      </c>
      <c r="I30" s="59">
        <v>36478.770833333336</v>
      </c>
      <c r="J30" s="60">
        <v>36478.981944444444</v>
      </c>
      <c r="K30" s="61">
        <f t="shared" si="1"/>
        <v>5.066666666592937</v>
      </c>
      <c r="L30" s="62">
        <f t="shared" si="2"/>
        <v>304</v>
      </c>
      <c r="M30" s="58" t="s">
        <v>196</v>
      </c>
      <c r="N30" s="29" t="str">
        <f t="shared" si="3"/>
        <v>--</v>
      </c>
      <c r="O30" s="63" t="str">
        <f t="shared" si="4"/>
        <v>NO</v>
      </c>
      <c r="P30" s="24" t="str">
        <f t="shared" si="5"/>
        <v>NO</v>
      </c>
      <c r="Q30" s="491">
        <f t="shared" si="6"/>
        <v>20</v>
      </c>
      <c r="R30" s="496" t="str">
        <f t="shared" si="7"/>
        <v>--</v>
      </c>
      <c r="S30" s="502" t="str">
        <f t="shared" si="8"/>
        <v>--</v>
      </c>
      <c r="T30" s="509">
        <f t="shared" si="9"/>
        <v>291.416</v>
      </c>
      <c r="U30" s="510">
        <f t="shared" si="10"/>
        <v>1477.47912</v>
      </c>
      <c r="V30" s="521" t="str">
        <f t="shared" si="11"/>
        <v>--</v>
      </c>
      <c r="W30" s="522" t="str">
        <f t="shared" si="12"/>
        <v>--</v>
      </c>
      <c r="X30" s="531" t="str">
        <f t="shared" si="13"/>
        <v>--</v>
      </c>
      <c r="Y30" s="536" t="str">
        <f t="shared" si="14"/>
        <v>--</v>
      </c>
      <c r="Z30" s="64" t="str">
        <f t="shared" si="15"/>
        <v>SI</v>
      </c>
      <c r="AA30" s="228">
        <f t="shared" si="16"/>
        <v>1768.89512</v>
      </c>
      <c r="AB30" s="165"/>
    </row>
    <row r="31" spans="1:28" s="16" customFormat="1" ht="16.5" customHeight="1">
      <c r="A31" s="75"/>
      <c r="B31" s="198"/>
      <c r="C31" s="53">
        <v>40</v>
      </c>
      <c r="D31" s="54" t="s">
        <v>40</v>
      </c>
      <c r="E31" s="55" t="s">
        <v>41</v>
      </c>
      <c r="F31" s="56">
        <v>100</v>
      </c>
      <c r="G31" s="57" t="s">
        <v>23</v>
      </c>
      <c r="H31" s="643">
        <f t="shared" si="0"/>
        <v>14.5708</v>
      </c>
      <c r="I31" s="59">
        <v>36479.364583333336</v>
      </c>
      <c r="J31" s="60">
        <v>36479.635416666664</v>
      </c>
      <c r="K31" s="61">
        <f t="shared" si="1"/>
        <v>6.499999999883585</v>
      </c>
      <c r="L31" s="62">
        <f t="shared" si="2"/>
        <v>390</v>
      </c>
      <c r="M31" s="58" t="s">
        <v>197</v>
      </c>
      <c r="N31" s="29" t="str">
        <f t="shared" si="3"/>
        <v>--</v>
      </c>
      <c r="O31" s="63" t="str">
        <f t="shared" si="4"/>
        <v>--</v>
      </c>
      <c r="P31" s="24" t="str">
        <f t="shared" si="5"/>
        <v>NO</v>
      </c>
      <c r="Q31" s="491">
        <f t="shared" si="6"/>
        <v>2</v>
      </c>
      <c r="R31" s="496">
        <f t="shared" si="7"/>
        <v>189.4204</v>
      </c>
      <c r="S31" s="502" t="str">
        <f t="shared" si="8"/>
        <v>--</v>
      </c>
      <c r="T31" s="509" t="str">
        <f t="shared" si="9"/>
        <v>--</v>
      </c>
      <c r="U31" s="510" t="str">
        <f t="shared" si="10"/>
        <v>--</v>
      </c>
      <c r="V31" s="521" t="str">
        <f t="shared" si="11"/>
        <v>--</v>
      </c>
      <c r="W31" s="522" t="str">
        <f t="shared" si="12"/>
        <v>--</v>
      </c>
      <c r="X31" s="531" t="str">
        <f t="shared" si="13"/>
        <v>--</v>
      </c>
      <c r="Y31" s="536" t="str">
        <f t="shared" si="14"/>
        <v>--</v>
      </c>
      <c r="Z31" s="64" t="str">
        <f t="shared" si="15"/>
        <v>SI</v>
      </c>
      <c r="AA31" s="228">
        <f t="shared" si="16"/>
        <v>189.4204</v>
      </c>
      <c r="AB31" s="165"/>
    </row>
    <row r="32" spans="1:28" s="16" customFormat="1" ht="16.5" customHeight="1">
      <c r="A32" s="75"/>
      <c r="B32" s="198"/>
      <c r="C32" s="53">
        <v>41</v>
      </c>
      <c r="D32" s="54" t="s">
        <v>21</v>
      </c>
      <c r="E32" s="65" t="s">
        <v>22</v>
      </c>
      <c r="F32" s="56">
        <v>100</v>
      </c>
      <c r="G32" s="57" t="s">
        <v>23</v>
      </c>
      <c r="H32" s="643">
        <f t="shared" si="0"/>
        <v>14.5708</v>
      </c>
      <c r="I32" s="59">
        <v>36491.35833333333</v>
      </c>
      <c r="J32" s="60">
        <v>36491.73541666667</v>
      </c>
      <c r="K32" s="61">
        <f t="shared" si="1"/>
        <v>9.050000000162981</v>
      </c>
      <c r="L32" s="62">
        <f t="shared" si="2"/>
        <v>543</v>
      </c>
      <c r="M32" s="58" t="s">
        <v>197</v>
      </c>
      <c r="N32" s="29" t="str">
        <f t="shared" si="3"/>
        <v>--</v>
      </c>
      <c r="O32" s="63" t="str">
        <f t="shared" si="4"/>
        <v>--</v>
      </c>
      <c r="P32" s="24" t="str">
        <f t="shared" si="5"/>
        <v>NO</v>
      </c>
      <c r="Q32" s="491">
        <f t="shared" si="6"/>
        <v>2</v>
      </c>
      <c r="R32" s="496">
        <f t="shared" si="7"/>
        <v>263.73148000000003</v>
      </c>
      <c r="S32" s="502" t="str">
        <f t="shared" si="8"/>
        <v>--</v>
      </c>
      <c r="T32" s="509" t="str">
        <f t="shared" si="9"/>
        <v>--</v>
      </c>
      <c r="U32" s="510" t="str">
        <f t="shared" si="10"/>
        <v>--</v>
      </c>
      <c r="V32" s="521" t="str">
        <f t="shared" si="11"/>
        <v>--</v>
      </c>
      <c r="W32" s="522" t="str">
        <f t="shared" si="12"/>
        <v>--</v>
      </c>
      <c r="X32" s="531" t="str">
        <f t="shared" si="13"/>
        <v>--</v>
      </c>
      <c r="Y32" s="536" t="str">
        <f t="shared" si="14"/>
        <v>--</v>
      </c>
      <c r="Z32" s="64" t="str">
        <f t="shared" si="15"/>
        <v>SI</v>
      </c>
      <c r="AA32" s="228">
        <f t="shared" si="16"/>
        <v>263.73148000000003</v>
      </c>
      <c r="AB32" s="165"/>
    </row>
    <row r="33" spans="1:28" s="16" customFormat="1" ht="16.5" customHeight="1">
      <c r="A33" s="75"/>
      <c r="B33" s="198"/>
      <c r="C33" s="53">
        <v>42</v>
      </c>
      <c r="D33" s="54" t="s">
        <v>21</v>
      </c>
      <c r="E33" s="65" t="s">
        <v>22</v>
      </c>
      <c r="F33" s="56">
        <v>100</v>
      </c>
      <c r="G33" s="57" t="s">
        <v>23</v>
      </c>
      <c r="H33" s="643">
        <f t="shared" si="0"/>
        <v>14.5708</v>
      </c>
      <c r="I33" s="59">
        <v>36492.31736111111</v>
      </c>
      <c r="J33" s="60">
        <v>36492.71666666667</v>
      </c>
      <c r="K33" s="61">
        <f t="shared" si="1"/>
        <v>9.58333333331393</v>
      </c>
      <c r="L33" s="62">
        <f t="shared" si="2"/>
        <v>575</v>
      </c>
      <c r="M33" s="58" t="s">
        <v>197</v>
      </c>
      <c r="N33" s="29" t="str">
        <f t="shared" si="3"/>
        <v>--</v>
      </c>
      <c r="O33" s="63" t="str">
        <f t="shared" si="4"/>
        <v>--</v>
      </c>
      <c r="P33" s="24" t="str">
        <f t="shared" si="5"/>
        <v>NO</v>
      </c>
      <c r="Q33" s="491">
        <f t="shared" si="6"/>
        <v>2</v>
      </c>
      <c r="R33" s="496">
        <f t="shared" si="7"/>
        <v>279.176528</v>
      </c>
      <c r="S33" s="502" t="str">
        <f t="shared" si="8"/>
        <v>--</v>
      </c>
      <c r="T33" s="509" t="str">
        <f t="shared" si="9"/>
        <v>--</v>
      </c>
      <c r="U33" s="510" t="str">
        <f t="shared" si="10"/>
        <v>--</v>
      </c>
      <c r="V33" s="521" t="str">
        <f t="shared" si="11"/>
        <v>--</v>
      </c>
      <c r="W33" s="522" t="str">
        <f t="shared" si="12"/>
        <v>--</v>
      </c>
      <c r="X33" s="531" t="str">
        <f t="shared" si="13"/>
        <v>--</v>
      </c>
      <c r="Y33" s="536" t="str">
        <f t="shared" si="14"/>
        <v>--</v>
      </c>
      <c r="Z33" s="64" t="str">
        <f t="shared" si="15"/>
        <v>SI</v>
      </c>
      <c r="AA33" s="228">
        <f t="shared" si="16"/>
        <v>279.176528</v>
      </c>
      <c r="AB33" s="165"/>
    </row>
    <row r="34" spans="1:28" s="16" customFormat="1" ht="16.5" customHeight="1">
      <c r="A34" s="75"/>
      <c r="B34" s="198"/>
      <c r="C34" s="53">
        <v>43</v>
      </c>
      <c r="D34" s="54" t="s">
        <v>33</v>
      </c>
      <c r="E34" s="65" t="s">
        <v>34</v>
      </c>
      <c r="F34" s="56">
        <v>800</v>
      </c>
      <c r="G34" s="57" t="s">
        <v>35</v>
      </c>
      <c r="H34" s="643">
        <f t="shared" si="0"/>
        <v>116.5664</v>
      </c>
      <c r="I34" s="59">
        <v>36492.32430555556</v>
      </c>
      <c r="J34" s="60">
        <v>36492.740277777775</v>
      </c>
      <c r="K34" s="61">
        <f t="shared" si="1"/>
        <v>9.983333333220799</v>
      </c>
      <c r="L34" s="62">
        <f t="shared" si="2"/>
        <v>599</v>
      </c>
      <c r="M34" s="58" t="s">
        <v>197</v>
      </c>
      <c r="N34" s="29" t="str">
        <f t="shared" si="3"/>
        <v>--</v>
      </c>
      <c r="O34" s="63" t="str">
        <f t="shared" si="4"/>
        <v>--</v>
      </c>
      <c r="P34" s="24" t="str">
        <f t="shared" si="5"/>
        <v>NO</v>
      </c>
      <c r="Q34" s="491">
        <f t="shared" si="6"/>
        <v>2</v>
      </c>
      <c r="R34" s="496">
        <f t="shared" si="7"/>
        <v>2326.665344</v>
      </c>
      <c r="S34" s="502" t="str">
        <f t="shared" si="8"/>
        <v>--</v>
      </c>
      <c r="T34" s="509" t="str">
        <f t="shared" si="9"/>
        <v>--</v>
      </c>
      <c r="U34" s="510" t="str">
        <f t="shared" si="10"/>
        <v>--</v>
      </c>
      <c r="V34" s="521" t="str">
        <f t="shared" si="11"/>
        <v>--</v>
      </c>
      <c r="W34" s="522" t="str">
        <f t="shared" si="12"/>
        <v>--</v>
      </c>
      <c r="X34" s="531" t="str">
        <f t="shared" si="13"/>
        <v>--</v>
      </c>
      <c r="Y34" s="536" t="str">
        <f t="shared" si="14"/>
        <v>--</v>
      </c>
      <c r="Z34" s="64" t="str">
        <f t="shared" si="15"/>
        <v>SI</v>
      </c>
      <c r="AA34" s="228">
        <f t="shared" si="16"/>
        <v>2326.665344</v>
      </c>
      <c r="AB34" s="165"/>
    </row>
    <row r="35" spans="1:28" s="16" customFormat="1" ht="16.5" customHeight="1">
      <c r="A35" s="75"/>
      <c r="B35" s="198"/>
      <c r="C35" s="53">
        <v>44</v>
      </c>
      <c r="D35" s="54" t="s">
        <v>21</v>
      </c>
      <c r="E35" s="65" t="s">
        <v>22</v>
      </c>
      <c r="F35" s="56">
        <v>100</v>
      </c>
      <c r="G35" s="57" t="s">
        <v>23</v>
      </c>
      <c r="H35" s="643">
        <f t="shared" si="0"/>
        <v>14.5708</v>
      </c>
      <c r="I35" s="59">
        <v>36494.916666666664</v>
      </c>
      <c r="J35" s="60">
        <v>36494.99930555555</v>
      </c>
      <c r="K35" s="61">
        <f t="shared" si="1"/>
        <v>1.9833333333372138</v>
      </c>
      <c r="L35" s="62">
        <f t="shared" si="2"/>
        <v>119</v>
      </c>
      <c r="M35" s="58" t="s">
        <v>196</v>
      </c>
      <c r="N35" s="29" t="str">
        <f t="shared" si="3"/>
        <v>--</v>
      </c>
      <c r="O35" s="63" t="str">
        <f t="shared" si="4"/>
        <v>NO</v>
      </c>
      <c r="P35" s="24" t="s">
        <v>167</v>
      </c>
      <c r="Q35" s="491">
        <f t="shared" si="6"/>
        <v>200</v>
      </c>
      <c r="R35" s="496" t="str">
        <f t="shared" si="7"/>
        <v>--</v>
      </c>
      <c r="S35" s="502" t="str">
        <f t="shared" si="8"/>
        <v>--</v>
      </c>
      <c r="T35" s="509">
        <f t="shared" si="9"/>
        <v>2914.16</v>
      </c>
      <c r="U35" s="510">
        <f t="shared" si="10"/>
        <v>5770.0368</v>
      </c>
      <c r="V35" s="521" t="str">
        <f t="shared" si="11"/>
        <v>--</v>
      </c>
      <c r="W35" s="522" t="str">
        <f t="shared" si="12"/>
        <v>--</v>
      </c>
      <c r="X35" s="531" t="str">
        <f t="shared" si="13"/>
        <v>--</v>
      </c>
      <c r="Y35" s="536" t="str">
        <f t="shared" si="14"/>
        <v>--</v>
      </c>
      <c r="Z35" s="64" t="str">
        <f t="shared" si="15"/>
        <v>SI</v>
      </c>
      <c r="AA35" s="228">
        <f t="shared" si="16"/>
        <v>8684.1968</v>
      </c>
      <c r="AB35" s="165"/>
    </row>
    <row r="36" spans="1:28" s="16" customFormat="1" ht="16.5" customHeight="1">
      <c r="A36" s="75"/>
      <c r="B36" s="198"/>
      <c r="C36" s="53">
        <v>45</v>
      </c>
      <c r="D36" s="54" t="s">
        <v>28</v>
      </c>
      <c r="E36" s="65" t="s">
        <v>29</v>
      </c>
      <c r="F36" s="56">
        <v>150</v>
      </c>
      <c r="G36" s="57" t="s">
        <v>23</v>
      </c>
      <c r="H36" s="643">
        <f t="shared" si="0"/>
        <v>21.856199999999998</v>
      </c>
      <c r="I36" s="59">
        <v>36494.916666666664</v>
      </c>
      <c r="J36" s="60">
        <v>36494.99930555555</v>
      </c>
      <c r="K36" s="61">
        <f t="shared" si="1"/>
        <v>1.9833333333372138</v>
      </c>
      <c r="L36" s="62">
        <f t="shared" si="2"/>
        <v>119</v>
      </c>
      <c r="M36" s="58" t="s">
        <v>196</v>
      </c>
      <c r="N36" s="29" t="str">
        <f t="shared" si="3"/>
        <v>--</v>
      </c>
      <c r="O36" s="63" t="str">
        <f t="shared" si="4"/>
        <v>NO</v>
      </c>
      <c r="P36" s="24" t="s">
        <v>167</v>
      </c>
      <c r="Q36" s="491">
        <f t="shared" si="6"/>
        <v>200</v>
      </c>
      <c r="R36" s="496" t="str">
        <f t="shared" si="7"/>
        <v>--</v>
      </c>
      <c r="S36" s="502" t="str">
        <f t="shared" si="8"/>
        <v>--</v>
      </c>
      <c r="T36" s="509">
        <f t="shared" si="9"/>
        <v>4371.24</v>
      </c>
      <c r="U36" s="510">
        <f t="shared" si="10"/>
        <v>8655.055199999999</v>
      </c>
      <c r="V36" s="521" t="str">
        <f t="shared" si="11"/>
        <v>--</v>
      </c>
      <c r="W36" s="522" t="str">
        <f t="shared" si="12"/>
        <v>--</v>
      </c>
      <c r="X36" s="531" t="str">
        <f t="shared" si="13"/>
        <v>--</v>
      </c>
      <c r="Y36" s="536" t="str">
        <f t="shared" si="14"/>
        <v>--</v>
      </c>
      <c r="Z36" s="64" t="str">
        <f t="shared" si="15"/>
        <v>SI</v>
      </c>
      <c r="AA36" s="228">
        <f t="shared" si="16"/>
        <v>13026.295199999999</v>
      </c>
      <c r="AB36" s="165"/>
    </row>
    <row r="37" spans="1:28" s="16" customFormat="1" ht="16.5" customHeight="1">
      <c r="A37" s="75"/>
      <c r="B37" s="198"/>
      <c r="C37" s="53">
        <v>46</v>
      </c>
      <c r="D37" s="54" t="s">
        <v>30</v>
      </c>
      <c r="E37" s="65" t="s">
        <v>31</v>
      </c>
      <c r="F37" s="56">
        <v>100</v>
      </c>
      <c r="G37" s="57" t="s">
        <v>23</v>
      </c>
      <c r="H37" s="643">
        <f t="shared" si="0"/>
        <v>14.5708</v>
      </c>
      <c r="I37" s="59">
        <v>36494.916666666664</v>
      </c>
      <c r="J37" s="60">
        <v>36494.99930555555</v>
      </c>
      <c r="K37" s="61">
        <f t="shared" si="1"/>
        <v>1.9833333333372138</v>
      </c>
      <c r="L37" s="62">
        <f t="shared" si="2"/>
        <v>119</v>
      </c>
      <c r="M37" s="58" t="s">
        <v>196</v>
      </c>
      <c r="N37" s="29" t="str">
        <f t="shared" si="3"/>
        <v>--</v>
      </c>
      <c r="O37" s="63" t="str">
        <f t="shared" si="4"/>
        <v>NO</v>
      </c>
      <c r="P37" s="24" t="s">
        <v>167</v>
      </c>
      <c r="Q37" s="491">
        <f t="shared" si="6"/>
        <v>200</v>
      </c>
      <c r="R37" s="496" t="str">
        <f t="shared" si="7"/>
        <v>--</v>
      </c>
      <c r="S37" s="502" t="str">
        <f t="shared" si="8"/>
        <v>--</v>
      </c>
      <c r="T37" s="509">
        <f t="shared" si="9"/>
        <v>2914.16</v>
      </c>
      <c r="U37" s="510">
        <f t="shared" si="10"/>
        <v>5770.0368</v>
      </c>
      <c r="V37" s="521" t="str">
        <f t="shared" si="11"/>
        <v>--</v>
      </c>
      <c r="W37" s="522" t="str">
        <f t="shared" si="12"/>
        <v>--</v>
      </c>
      <c r="X37" s="531" t="str">
        <f t="shared" si="13"/>
        <v>--</v>
      </c>
      <c r="Y37" s="536" t="str">
        <f t="shared" si="14"/>
        <v>--</v>
      </c>
      <c r="Z37" s="64" t="str">
        <f t="shared" si="15"/>
        <v>SI</v>
      </c>
      <c r="AA37" s="228">
        <f t="shared" si="16"/>
        <v>8684.1968</v>
      </c>
      <c r="AB37" s="165"/>
    </row>
    <row r="38" spans="1:28" s="16" customFormat="1" ht="16.5" customHeight="1">
      <c r="A38" s="75"/>
      <c r="B38" s="198"/>
      <c r="C38" s="53">
        <v>47</v>
      </c>
      <c r="D38" s="54" t="s">
        <v>39</v>
      </c>
      <c r="E38" s="65" t="s">
        <v>37</v>
      </c>
      <c r="F38" s="56">
        <v>150</v>
      </c>
      <c r="G38" s="57" t="s">
        <v>23</v>
      </c>
      <c r="H38" s="643">
        <f t="shared" si="0"/>
        <v>21.856199999999998</v>
      </c>
      <c r="I38" s="59">
        <v>36494.916666666664</v>
      </c>
      <c r="J38" s="60">
        <v>36494.95347222222</v>
      </c>
      <c r="K38" s="61">
        <f t="shared" si="1"/>
        <v>0.8833333334187046</v>
      </c>
      <c r="L38" s="62">
        <f t="shared" si="2"/>
        <v>53</v>
      </c>
      <c r="M38" s="58" t="s">
        <v>196</v>
      </c>
      <c r="N38" s="29" t="str">
        <f t="shared" si="3"/>
        <v>--</v>
      </c>
      <c r="O38" s="63" t="str">
        <f t="shared" si="4"/>
        <v>NO</v>
      </c>
      <c r="P38" s="24" t="str">
        <f t="shared" si="5"/>
        <v>NO</v>
      </c>
      <c r="Q38" s="491">
        <f t="shared" si="6"/>
        <v>20</v>
      </c>
      <c r="R38" s="496" t="str">
        <f t="shared" si="7"/>
        <v>--</v>
      </c>
      <c r="S38" s="502" t="str">
        <f t="shared" si="8"/>
        <v>--</v>
      </c>
      <c r="T38" s="509">
        <f t="shared" si="9"/>
        <v>437.12399999999997</v>
      </c>
      <c r="U38" s="510">
        <f t="shared" si="10"/>
        <v>384.66911999999996</v>
      </c>
      <c r="V38" s="521" t="str">
        <f t="shared" si="11"/>
        <v>--</v>
      </c>
      <c r="W38" s="522" t="str">
        <f t="shared" si="12"/>
        <v>--</v>
      </c>
      <c r="X38" s="531" t="str">
        <f t="shared" si="13"/>
        <v>--</v>
      </c>
      <c r="Y38" s="536" t="str">
        <f t="shared" si="14"/>
        <v>--</v>
      </c>
      <c r="Z38" s="64" t="str">
        <f t="shared" si="15"/>
        <v>SI</v>
      </c>
      <c r="AA38" s="228">
        <f t="shared" si="16"/>
        <v>821.7931199999999</v>
      </c>
      <c r="AB38" s="165"/>
    </row>
    <row r="39" spans="1:28" s="16" customFormat="1" ht="16.5" customHeight="1">
      <c r="A39" s="75"/>
      <c r="B39" s="198"/>
      <c r="C39" s="53">
        <v>48</v>
      </c>
      <c r="D39" s="54" t="s">
        <v>39</v>
      </c>
      <c r="E39" s="65" t="s">
        <v>37</v>
      </c>
      <c r="F39" s="56">
        <v>150</v>
      </c>
      <c r="G39" s="57" t="s">
        <v>23</v>
      </c>
      <c r="H39" s="643">
        <f t="shared" si="0"/>
        <v>21.856199999999998</v>
      </c>
      <c r="I39" s="59">
        <v>36494.986805555556</v>
      </c>
      <c r="J39" s="60">
        <v>36494.99444444444</v>
      </c>
      <c r="K39" s="61">
        <f t="shared" si="1"/>
        <v>0.18333333323244005</v>
      </c>
      <c r="L39" s="62">
        <f t="shared" si="2"/>
        <v>11</v>
      </c>
      <c r="M39" s="58" t="s">
        <v>196</v>
      </c>
      <c r="N39" s="29" t="str">
        <f t="shared" si="3"/>
        <v>--</v>
      </c>
      <c r="O39" s="63" t="str">
        <f t="shared" si="4"/>
        <v>NO</v>
      </c>
      <c r="P39" s="24" t="s">
        <v>167</v>
      </c>
      <c r="Q39" s="491">
        <f t="shared" si="6"/>
        <v>200</v>
      </c>
      <c r="R39" s="496" t="str">
        <f t="shared" si="7"/>
        <v>--</v>
      </c>
      <c r="S39" s="502" t="str">
        <f t="shared" si="8"/>
        <v>--</v>
      </c>
      <c r="T39" s="509">
        <f t="shared" si="9"/>
        <v>4371.24</v>
      </c>
      <c r="U39" s="510">
        <f t="shared" si="10"/>
        <v>786.8231999999999</v>
      </c>
      <c r="V39" s="521" t="str">
        <f t="shared" si="11"/>
        <v>--</v>
      </c>
      <c r="W39" s="522" t="str">
        <f t="shared" si="12"/>
        <v>--</v>
      </c>
      <c r="X39" s="531" t="str">
        <f t="shared" si="13"/>
        <v>--</v>
      </c>
      <c r="Y39" s="536" t="str">
        <f t="shared" si="14"/>
        <v>--</v>
      </c>
      <c r="Z39" s="64" t="str">
        <f t="shared" si="15"/>
        <v>SI</v>
      </c>
      <c r="AA39" s="228">
        <f t="shared" si="16"/>
        <v>5158.0632</v>
      </c>
      <c r="AB39" s="165"/>
    </row>
    <row r="40" spans="1:28" s="16" customFormat="1" ht="16.5" customHeight="1">
      <c r="A40" s="75"/>
      <c r="B40" s="198"/>
      <c r="C40" s="53"/>
      <c r="D40" s="54"/>
      <c r="E40" s="65"/>
      <c r="F40" s="56"/>
      <c r="G40" s="57"/>
      <c r="H40" s="643">
        <f t="shared" si="0"/>
        <v>0</v>
      </c>
      <c r="I40" s="59"/>
      <c r="J40" s="60"/>
      <c r="K40" s="61">
        <f t="shared" si="1"/>
      </c>
      <c r="L40" s="62">
        <f t="shared" si="2"/>
      </c>
      <c r="M40" s="58"/>
      <c r="N40" s="29">
        <f t="shared" si="3"/>
      </c>
      <c r="O40" s="63">
        <f t="shared" si="4"/>
      </c>
      <c r="P40" s="24">
        <f t="shared" si="5"/>
      </c>
      <c r="Q40" s="491">
        <f t="shared" si="6"/>
        <v>20</v>
      </c>
      <c r="R40" s="496" t="str">
        <f t="shared" si="7"/>
        <v>--</v>
      </c>
      <c r="S40" s="502" t="str">
        <f t="shared" si="8"/>
        <v>--</v>
      </c>
      <c r="T40" s="509" t="str">
        <f t="shared" si="9"/>
        <v>--</v>
      </c>
      <c r="U40" s="510" t="str">
        <f t="shared" si="10"/>
        <v>--</v>
      </c>
      <c r="V40" s="521" t="str">
        <f t="shared" si="11"/>
        <v>--</v>
      </c>
      <c r="W40" s="522" t="str">
        <f t="shared" si="12"/>
        <v>--</v>
      </c>
      <c r="X40" s="531" t="str">
        <f t="shared" si="13"/>
        <v>--</v>
      </c>
      <c r="Y40" s="536" t="str">
        <f t="shared" si="14"/>
        <v>--</v>
      </c>
      <c r="Z40" s="64">
        <f t="shared" si="15"/>
      </c>
      <c r="AA40" s="228">
        <f t="shared" si="16"/>
      </c>
      <c r="AB40" s="165"/>
    </row>
    <row r="41" spans="1:28" s="16" customFormat="1" ht="16.5" customHeight="1">
      <c r="A41" s="75"/>
      <c r="B41" s="198"/>
      <c r="C41" s="53"/>
      <c r="D41" s="54"/>
      <c r="E41" s="65"/>
      <c r="F41" s="56"/>
      <c r="G41" s="57"/>
      <c r="H41" s="643">
        <f t="shared" si="0"/>
        <v>0</v>
      </c>
      <c r="I41" s="59"/>
      <c r="J41" s="60"/>
      <c r="K41" s="61">
        <f t="shared" si="1"/>
      </c>
      <c r="L41" s="62">
        <f t="shared" si="2"/>
      </c>
      <c r="M41" s="58"/>
      <c r="N41" s="29">
        <f t="shared" si="3"/>
      </c>
      <c r="O41" s="63">
        <f t="shared" si="4"/>
      </c>
      <c r="P41" s="24">
        <f t="shared" si="5"/>
      </c>
      <c r="Q41" s="491">
        <f t="shared" si="6"/>
        <v>20</v>
      </c>
      <c r="R41" s="496" t="str">
        <f t="shared" si="7"/>
        <v>--</v>
      </c>
      <c r="S41" s="502" t="str">
        <f t="shared" si="8"/>
        <v>--</v>
      </c>
      <c r="T41" s="509" t="str">
        <f t="shared" si="9"/>
        <v>--</v>
      </c>
      <c r="U41" s="510" t="str">
        <f t="shared" si="10"/>
        <v>--</v>
      </c>
      <c r="V41" s="521" t="str">
        <f t="shared" si="11"/>
        <v>--</v>
      </c>
      <c r="W41" s="522" t="str">
        <f t="shared" si="12"/>
        <v>--</v>
      </c>
      <c r="X41" s="531" t="str">
        <f t="shared" si="13"/>
        <v>--</v>
      </c>
      <c r="Y41" s="536" t="str">
        <f t="shared" si="14"/>
        <v>--</v>
      </c>
      <c r="Z41" s="64">
        <f t="shared" si="15"/>
      </c>
      <c r="AA41" s="228">
        <f t="shared" si="16"/>
      </c>
      <c r="AB41" s="165"/>
    </row>
    <row r="42" spans="1:28" s="16" customFormat="1" ht="16.5" customHeight="1" thickBot="1">
      <c r="A42" s="75"/>
      <c r="B42" s="198"/>
      <c r="C42" s="66"/>
      <c r="D42" s="67"/>
      <c r="E42" s="68"/>
      <c r="F42" s="67"/>
      <c r="G42" s="69"/>
      <c r="H42" s="359"/>
      <c r="I42" s="66"/>
      <c r="J42" s="71"/>
      <c r="K42" s="71"/>
      <c r="L42" s="72"/>
      <c r="M42" s="70"/>
      <c r="N42" s="39"/>
      <c r="O42" s="73"/>
      <c r="P42" s="70"/>
      <c r="Q42" s="492"/>
      <c r="R42" s="497"/>
      <c r="S42" s="503"/>
      <c r="T42" s="511"/>
      <c r="U42" s="512"/>
      <c r="V42" s="523"/>
      <c r="W42" s="524"/>
      <c r="X42" s="532"/>
      <c r="Y42" s="537"/>
      <c r="Z42" s="74"/>
      <c r="AA42" s="229"/>
      <c r="AB42" s="165"/>
    </row>
    <row r="43" spans="1:28" s="16" customFormat="1" ht="16.5" customHeight="1" thickBot="1" thickTop="1">
      <c r="A43" s="75"/>
      <c r="B43" s="198"/>
      <c r="C43" s="289" t="s">
        <v>129</v>
      </c>
      <c r="D43" s="290" t="s">
        <v>177</v>
      </c>
      <c r="E43" s="76"/>
      <c r="F43" s="76"/>
      <c r="G43" s="76"/>
      <c r="H43" s="76"/>
      <c r="I43" s="76"/>
      <c r="J43" s="77"/>
      <c r="K43" s="76"/>
      <c r="L43" s="76"/>
      <c r="M43" s="76"/>
      <c r="N43" s="76"/>
      <c r="O43" s="76"/>
      <c r="P43" s="76"/>
      <c r="Q43" s="76"/>
      <c r="R43" s="498">
        <f aca="true" t="shared" si="17" ref="R43:Y43">SUM(R20:R42)</f>
        <v>14868.772860000001</v>
      </c>
      <c r="S43" s="504">
        <f t="shared" si="17"/>
        <v>0</v>
      </c>
      <c r="T43" s="513">
        <f t="shared" si="17"/>
        <v>15299.339999999998</v>
      </c>
      <c r="U43" s="514">
        <f t="shared" si="17"/>
        <v>22844.100239999996</v>
      </c>
      <c r="V43" s="525">
        <f t="shared" si="17"/>
        <v>0</v>
      </c>
      <c r="W43" s="526">
        <f t="shared" si="17"/>
        <v>0</v>
      </c>
      <c r="X43" s="587">
        <f t="shared" si="17"/>
        <v>0</v>
      </c>
      <c r="Y43" s="588">
        <f t="shared" si="17"/>
        <v>0</v>
      </c>
      <c r="Z43" s="75"/>
      <c r="AA43" s="651">
        <f>ROUND(SUM(AA20:AA42),2)</f>
        <v>53012.21</v>
      </c>
      <c r="AB43" s="165"/>
    </row>
    <row r="44" spans="1:28" s="294" customFormat="1" ht="9.75" thickTop="1">
      <c r="A44" s="304"/>
      <c r="B44" s="305"/>
      <c r="C44" s="291"/>
      <c r="D44" s="293" t="s">
        <v>131</v>
      </c>
      <c r="E44" s="306"/>
      <c r="F44" s="306"/>
      <c r="G44" s="306"/>
      <c r="H44" s="306"/>
      <c r="I44" s="306"/>
      <c r="J44" s="307"/>
      <c r="K44" s="306"/>
      <c r="L44" s="306"/>
      <c r="M44" s="306"/>
      <c r="N44" s="306"/>
      <c r="O44" s="306"/>
      <c r="P44" s="306"/>
      <c r="Q44" s="306"/>
      <c r="R44" s="309"/>
      <c r="S44" s="309"/>
      <c r="T44" s="309"/>
      <c r="U44" s="309"/>
      <c r="V44" s="309"/>
      <c r="W44" s="309"/>
      <c r="X44" s="309"/>
      <c r="Y44" s="309"/>
      <c r="Z44" s="304"/>
      <c r="AA44" s="308"/>
      <c r="AB44" s="310"/>
    </row>
    <row r="45" spans="1:28" s="16" customFormat="1" ht="16.5" customHeight="1" thickBot="1">
      <c r="A45" s="75"/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3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W161"/>
  <sheetViews>
    <sheetView zoomScale="75" zoomScaleNormal="75" workbookViewId="0" topLeftCell="E15">
      <selection activeCell="S33" sqref="S3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110" customFormat="1" ht="26.25">
      <c r="A1" s="160"/>
      <c r="U1" s="647"/>
    </row>
    <row r="2" spans="1:21" s="110" customFormat="1" ht="26.25">
      <c r="A2" s="160"/>
      <c r="B2" s="111" t="str">
        <f>+'tot-9911'!B2</f>
        <v>ANEXO I A LA RESOLUCION ENRE N° 320/2000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21" s="16" customFormat="1" ht="13.5" thickTop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232"/>
    </row>
    <row r="8" spans="2:21" s="10" customFormat="1" ht="20.25">
      <c r="B8" s="175"/>
      <c r="C8" s="11"/>
      <c r="D8" s="78" t="s">
        <v>102</v>
      </c>
      <c r="L8" s="208"/>
      <c r="M8" s="208"/>
      <c r="N8" s="48"/>
      <c r="O8" s="11"/>
      <c r="P8" s="11"/>
      <c r="Q8" s="11"/>
      <c r="R8" s="11"/>
      <c r="S8" s="11"/>
      <c r="T8" s="11"/>
      <c r="U8" s="241"/>
    </row>
    <row r="9" spans="2:21" s="16" customFormat="1" ht="12.75">
      <c r="B9" s="142"/>
      <c r="C9" s="14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4"/>
      <c r="P9" s="14"/>
      <c r="Q9" s="14"/>
      <c r="R9" s="14"/>
      <c r="S9" s="14"/>
      <c r="T9" s="14"/>
      <c r="U9" s="146"/>
    </row>
    <row r="10" spans="2:21" s="10" customFormat="1" ht="20.25">
      <c r="B10" s="175"/>
      <c r="C10" s="11"/>
      <c r="D10" s="212" t="s">
        <v>155</v>
      </c>
      <c r="E10" s="49"/>
      <c r="F10" s="208"/>
      <c r="G10" s="242"/>
      <c r="I10" s="242"/>
      <c r="J10" s="242"/>
      <c r="K10" s="242"/>
      <c r="L10" s="242"/>
      <c r="M10" s="242"/>
      <c r="N10" s="242"/>
      <c r="O10" s="11"/>
      <c r="P10" s="11"/>
      <c r="Q10" s="11"/>
      <c r="R10" s="11"/>
      <c r="S10" s="11"/>
      <c r="T10" s="11"/>
      <c r="U10" s="241"/>
    </row>
    <row r="11" spans="2:21" s="16" customFormat="1" ht="13.5">
      <c r="B11" s="142"/>
      <c r="C11" s="14"/>
      <c r="D11" s="240"/>
      <c r="E11" s="240"/>
      <c r="F11" s="75"/>
      <c r="G11" s="233"/>
      <c r="H11" s="144"/>
      <c r="I11" s="233"/>
      <c r="J11" s="233"/>
      <c r="K11" s="233"/>
      <c r="L11" s="233"/>
      <c r="M11" s="233"/>
      <c r="N11" s="233"/>
      <c r="O11" s="14"/>
      <c r="P11" s="14"/>
      <c r="Q11" s="14"/>
      <c r="R11" s="14"/>
      <c r="S11" s="14"/>
      <c r="T11" s="14"/>
      <c r="U11" s="146"/>
    </row>
    <row r="12" spans="2:21" s="10" customFormat="1" ht="20.25">
      <c r="B12" s="175"/>
      <c r="C12" s="11"/>
      <c r="D12" s="212" t="s">
        <v>156</v>
      </c>
      <c r="E12" s="49"/>
      <c r="F12" s="208"/>
      <c r="G12" s="242"/>
      <c r="I12" s="242"/>
      <c r="J12" s="242"/>
      <c r="K12" s="242"/>
      <c r="L12" s="242"/>
      <c r="M12" s="242"/>
      <c r="N12" s="242"/>
      <c r="O12" s="11"/>
      <c r="P12" s="11"/>
      <c r="Q12" s="11"/>
      <c r="R12" s="11"/>
      <c r="S12" s="11"/>
      <c r="T12" s="11"/>
      <c r="U12" s="241"/>
    </row>
    <row r="13" spans="2:21" s="16" customFormat="1" ht="13.5">
      <c r="B13" s="142"/>
      <c r="C13" s="14"/>
      <c r="D13" s="240"/>
      <c r="E13" s="240"/>
      <c r="F13" s="75"/>
      <c r="G13" s="233"/>
      <c r="H13" s="144"/>
      <c r="I13" s="233"/>
      <c r="J13" s="233"/>
      <c r="K13" s="233"/>
      <c r="L13" s="233"/>
      <c r="M13" s="233"/>
      <c r="N13" s="233"/>
      <c r="O13" s="14"/>
      <c r="P13" s="14"/>
      <c r="Q13" s="14"/>
      <c r="R13" s="14"/>
      <c r="S13" s="14"/>
      <c r="T13" s="14"/>
      <c r="U13" s="146"/>
    </row>
    <row r="14" spans="2:21" s="16" customFormat="1" ht="19.5">
      <c r="B14" s="130" t="str">
        <f>+'tot-9911'!B14</f>
        <v>Desde el 01 al 30 de noviembre de 1999</v>
      </c>
      <c r="C14" s="133"/>
      <c r="D14" s="133"/>
      <c r="E14" s="133"/>
      <c r="F14" s="133"/>
      <c r="G14" s="243"/>
      <c r="H14" s="243"/>
      <c r="I14" s="243"/>
      <c r="J14" s="243"/>
      <c r="K14" s="243"/>
      <c r="L14" s="243"/>
      <c r="M14" s="243"/>
      <c r="N14" s="243"/>
      <c r="O14" s="133"/>
      <c r="P14" s="133"/>
      <c r="Q14" s="133"/>
      <c r="R14" s="133"/>
      <c r="S14" s="133"/>
      <c r="T14" s="133"/>
      <c r="U14" s="244"/>
    </row>
    <row r="15" spans="2:21" s="16" customFormat="1" ht="14.25" thickBot="1">
      <c r="B15" s="245"/>
      <c r="C15" s="246"/>
      <c r="D15" s="246"/>
      <c r="E15" s="246"/>
      <c r="F15" s="246"/>
      <c r="G15" s="247"/>
      <c r="H15" s="247"/>
      <c r="I15" s="247"/>
      <c r="J15" s="247"/>
      <c r="K15" s="247"/>
      <c r="L15" s="247"/>
      <c r="M15" s="247"/>
      <c r="N15" s="247"/>
      <c r="O15" s="246"/>
      <c r="P15" s="246"/>
      <c r="Q15" s="246"/>
      <c r="R15" s="246"/>
      <c r="S15" s="246"/>
      <c r="T15" s="246"/>
      <c r="U15" s="248"/>
    </row>
    <row r="16" spans="2:21" s="16" customFormat="1" ht="15" thickBot="1" thickTop="1">
      <c r="B16" s="142"/>
      <c r="C16" s="14"/>
      <c r="D16" s="249"/>
      <c r="E16" s="249"/>
      <c r="F16" s="250" t="s">
        <v>157</v>
      </c>
      <c r="G16" s="14"/>
      <c r="H16" s="14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6"/>
    </row>
    <row r="17" spans="2:21" s="16" customFormat="1" ht="14.25" thickBot="1" thickTop="1">
      <c r="B17" s="142"/>
      <c r="C17" s="14"/>
      <c r="D17" s="251" t="s">
        <v>158</v>
      </c>
      <c r="E17" s="644">
        <v>29.255</v>
      </c>
      <c r="F17" s="250">
        <v>200</v>
      </c>
      <c r="T17" s="167"/>
      <c r="U17" s="146"/>
    </row>
    <row r="18" spans="2:21" s="16" customFormat="1" ht="14.25" thickBot="1" thickTop="1">
      <c r="B18" s="142"/>
      <c r="C18" s="14"/>
      <c r="D18" s="252" t="s">
        <v>159</v>
      </c>
      <c r="E18" s="285">
        <v>26.328</v>
      </c>
      <c r="F18" s="250">
        <v>100</v>
      </c>
      <c r="M18" s="14"/>
      <c r="N18" s="14"/>
      <c r="O18" s="14"/>
      <c r="P18" s="14"/>
      <c r="Q18" s="14"/>
      <c r="R18" s="14"/>
      <c r="S18" s="14"/>
      <c r="T18" s="14"/>
      <c r="U18" s="146"/>
    </row>
    <row r="19" spans="2:21" s="16" customFormat="1" ht="14.25" thickBot="1" thickTop="1">
      <c r="B19" s="142"/>
      <c r="C19" s="14"/>
      <c r="D19" s="253" t="s">
        <v>160</v>
      </c>
      <c r="E19" s="285">
        <v>23.405</v>
      </c>
      <c r="F19" s="250">
        <v>40</v>
      </c>
      <c r="I19" s="181" t="s">
        <v>178</v>
      </c>
      <c r="J19" s="649">
        <v>0.998</v>
      </c>
      <c r="K19" s="14" t="s">
        <v>179</v>
      </c>
      <c r="M19" s="14"/>
      <c r="O19" s="14"/>
      <c r="P19" s="14"/>
      <c r="Q19" s="14"/>
      <c r="R19" s="14"/>
      <c r="S19" s="14"/>
      <c r="T19" s="14"/>
      <c r="U19" s="146"/>
    </row>
    <row r="20" spans="2:21" s="16" customFormat="1" ht="16.5" customHeight="1" thickBot="1" thickTop="1">
      <c r="B20" s="142"/>
      <c r="C20" s="21"/>
      <c r="D20" s="96"/>
      <c r="E20" s="96"/>
      <c r="F20" s="234"/>
      <c r="G20" s="235"/>
      <c r="H20" s="235"/>
      <c r="I20" s="235"/>
      <c r="J20" s="235"/>
      <c r="K20" s="235"/>
      <c r="L20" s="235"/>
      <c r="M20" s="235"/>
      <c r="N20" s="86"/>
      <c r="O20" s="236"/>
      <c r="P20" s="237"/>
      <c r="Q20" s="237"/>
      <c r="R20" s="237"/>
      <c r="S20" s="238"/>
      <c r="T20" s="239"/>
      <c r="U20" s="146"/>
    </row>
    <row r="21" spans="2:21" s="16" customFormat="1" ht="33.75" customHeight="1" thickBot="1" thickTop="1">
      <c r="B21" s="142"/>
      <c r="C21" s="182" t="s">
        <v>107</v>
      </c>
      <c r="D21" s="191" t="s">
        <v>149</v>
      </c>
      <c r="E21" s="187" t="s">
        <v>77</v>
      </c>
      <c r="F21" s="254" t="s">
        <v>108</v>
      </c>
      <c r="G21" s="356" t="s">
        <v>112</v>
      </c>
      <c r="H21" s="185" t="s">
        <v>113</v>
      </c>
      <c r="I21" s="187" t="s">
        <v>114</v>
      </c>
      <c r="J21" s="255" t="s">
        <v>115</v>
      </c>
      <c r="K21" s="255" t="s">
        <v>116</v>
      </c>
      <c r="L21" s="190" t="s">
        <v>117</v>
      </c>
      <c r="M21" s="186" t="s">
        <v>120</v>
      </c>
      <c r="N21" s="539" t="s">
        <v>111</v>
      </c>
      <c r="O21" s="527" t="s">
        <v>137</v>
      </c>
      <c r="P21" s="548" t="s">
        <v>161</v>
      </c>
      <c r="Q21" s="549"/>
      <c r="R21" s="561" t="s">
        <v>125</v>
      </c>
      <c r="S21" s="192" t="s">
        <v>127</v>
      </c>
      <c r="T21" s="226" t="s">
        <v>128</v>
      </c>
      <c r="U21" s="146"/>
    </row>
    <row r="22" spans="2:21" s="16" customFormat="1" ht="16.5" customHeight="1" hidden="1" thickTop="1">
      <c r="B22" s="142"/>
      <c r="C22" s="20"/>
      <c r="D22" s="80"/>
      <c r="E22" s="80"/>
      <c r="F22" s="80"/>
      <c r="G22" s="366"/>
      <c r="H22" s="80"/>
      <c r="I22" s="80"/>
      <c r="J22" s="80"/>
      <c r="K22" s="80"/>
      <c r="L22" s="80"/>
      <c r="M22" s="80"/>
      <c r="N22" s="542"/>
      <c r="O22" s="546"/>
      <c r="P22" s="550"/>
      <c r="Q22" s="551"/>
      <c r="R22" s="562"/>
      <c r="S22" s="80"/>
      <c r="T22" s="646"/>
      <c r="U22" s="146"/>
    </row>
    <row r="23" spans="2:21" s="16" customFormat="1" ht="16.5" customHeight="1" thickTop="1">
      <c r="B23" s="142"/>
      <c r="C23" s="20"/>
      <c r="D23" s="81"/>
      <c r="E23" s="81"/>
      <c r="F23" s="81"/>
      <c r="G23" s="367"/>
      <c r="H23" s="81"/>
      <c r="I23" s="81"/>
      <c r="J23" s="81"/>
      <c r="K23" s="81"/>
      <c r="L23" s="81"/>
      <c r="M23" s="81"/>
      <c r="N23" s="538"/>
      <c r="O23" s="543"/>
      <c r="P23" s="552"/>
      <c r="Q23" s="553"/>
      <c r="R23" s="558"/>
      <c r="S23" s="81"/>
      <c r="T23" s="256"/>
      <c r="U23" s="146"/>
    </row>
    <row r="24" spans="2:21" s="16" customFormat="1" ht="16.5" customHeight="1">
      <c r="B24" s="719"/>
      <c r="C24" s="20">
        <v>50</v>
      </c>
      <c r="D24" s="81" t="s">
        <v>33</v>
      </c>
      <c r="E24" s="81" t="s">
        <v>71</v>
      </c>
      <c r="F24" s="82">
        <v>500</v>
      </c>
      <c r="G24" s="357">
        <f aca="true" t="shared" si="0" ref="G24:G42">IF(F24=500,$E$17,IF(F24=220,$E$18,$E$19))*$J$19</f>
        <v>29.19649</v>
      </c>
      <c r="H24" s="83">
        <v>36465.39791666667</v>
      </c>
      <c r="I24" s="84">
        <v>36465.583333333336</v>
      </c>
      <c r="J24" s="85">
        <f aca="true" t="shared" si="1" ref="J24:J42">IF(D24="","",(I24-H24)*24)</f>
        <v>4.4500000000116415</v>
      </c>
      <c r="K24" s="31">
        <f aca="true" t="shared" si="2" ref="K24:K42">IF(D24="","",ROUND((I24-H24)*24*60,0))</f>
        <v>267</v>
      </c>
      <c r="L24" s="28" t="s">
        <v>197</v>
      </c>
      <c r="M24" s="24" t="str">
        <f aca="true" t="shared" si="3" ref="M24:M42">IF(D24="","",IF(L24="P","--","NO"))</f>
        <v>--</v>
      </c>
      <c r="N24" s="540">
        <f aca="true" t="shared" si="4" ref="N24:N42">IF(F24=500,$F$17,IF(F24=220,$F$18,$F$19))</f>
        <v>200</v>
      </c>
      <c r="O24" s="544">
        <f aca="true" t="shared" si="5" ref="O24:O42">IF(L24="P",G24*N24*ROUND(K24/60,2)*0.1,"--")</f>
        <v>2598.48761</v>
      </c>
      <c r="P24" s="552" t="str">
        <f aca="true" t="shared" si="6" ref="P24:P42">IF(AND(L24="F",M24="NO"),G24*N24,"--")</f>
        <v>--</v>
      </c>
      <c r="Q24" s="553" t="str">
        <f aca="true" t="shared" si="7" ref="Q24:Q42">IF(L24="F",G24*N24*ROUND(K24/60,2),"--")</f>
        <v>--</v>
      </c>
      <c r="R24" s="558" t="str">
        <f aca="true" t="shared" si="8" ref="R24:R42">IF(L24="RF",G24*N24*ROUND(K24/60,2),"--")</f>
        <v>--</v>
      </c>
      <c r="S24" s="87" t="str">
        <f aca="true" t="shared" si="9" ref="S24:S32">IF(D24="","","SI")</f>
        <v>SI</v>
      </c>
      <c r="T24" s="88">
        <f aca="true" t="shared" si="10" ref="T24:T42">IF(D24="","",SUM(O24:R24)*IF(S24="SI",1,2))</f>
        <v>2598.48761</v>
      </c>
      <c r="U24" s="146"/>
    </row>
    <row r="25" spans="2:21" s="16" customFormat="1" ht="16.5" customHeight="1">
      <c r="B25" s="719"/>
      <c r="C25" s="20">
        <v>51</v>
      </c>
      <c r="D25" s="81" t="s">
        <v>33</v>
      </c>
      <c r="E25" s="81" t="s">
        <v>71</v>
      </c>
      <c r="F25" s="82">
        <v>500</v>
      </c>
      <c r="G25" s="357">
        <f t="shared" si="0"/>
        <v>29.19649</v>
      </c>
      <c r="H25" s="83">
        <v>36466.4</v>
      </c>
      <c r="I25" s="84">
        <v>36466.57847222222</v>
      </c>
      <c r="J25" s="85">
        <f t="shared" si="1"/>
        <v>4.283333333325572</v>
      </c>
      <c r="K25" s="31">
        <f t="shared" si="2"/>
        <v>257</v>
      </c>
      <c r="L25" s="28" t="s">
        <v>197</v>
      </c>
      <c r="M25" s="24" t="str">
        <f t="shared" si="3"/>
        <v>--</v>
      </c>
      <c r="N25" s="540">
        <f t="shared" si="4"/>
        <v>200</v>
      </c>
      <c r="O25" s="544">
        <f t="shared" si="5"/>
        <v>2499.219544</v>
      </c>
      <c r="P25" s="552" t="str">
        <f t="shared" si="6"/>
        <v>--</v>
      </c>
      <c r="Q25" s="553" t="str">
        <f t="shared" si="7"/>
        <v>--</v>
      </c>
      <c r="R25" s="558" t="str">
        <f t="shared" si="8"/>
        <v>--</v>
      </c>
      <c r="S25" s="87" t="str">
        <f t="shared" si="9"/>
        <v>SI</v>
      </c>
      <c r="T25" s="88">
        <f t="shared" si="10"/>
        <v>2499.219544</v>
      </c>
      <c r="U25" s="146"/>
    </row>
    <row r="26" spans="2:21" s="16" customFormat="1" ht="16.5" customHeight="1">
      <c r="B26" s="719"/>
      <c r="C26" s="20">
        <v>52</v>
      </c>
      <c r="D26" s="81" t="s">
        <v>33</v>
      </c>
      <c r="E26" s="81" t="s">
        <v>72</v>
      </c>
      <c r="F26" s="82">
        <v>500</v>
      </c>
      <c r="G26" s="357">
        <f t="shared" si="0"/>
        <v>29.19649</v>
      </c>
      <c r="H26" s="83">
        <v>36466.49375</v>
      </c>
      <c r="I26" s="84">
        <v>36466.78472222222</v>
      </c>
      <c r="J26" s="85">
        <f t="shared" si="1"/>
        <v>6.9833333332207985</v>
      </c>
      <c r="K26" s="31">
        <f t="shared" si="2"/>
        <v>419</v>
      </c>
      <c r="L26" s="28" t="s">
        <v>197</v>
      </c>
      <c r="M26" s="24" t="str">
        <f t="shared" si="3"/>
        <v>--</v>
      </c>
      <c r="N26" s="540">
        <f t="shared" si="4"/>
        <v>200</v>
      </c>
      <c r="O26" s="544">
        <f t="shared" si="5"/>
        <v>4075.8300040000004</v>
      </c>
      <c r="P26" s="552" t="str">
        <f t="shared" si="6"/>
        <v>--</v>
      </c>
      <c r="Q26" s="553" t="str">
        <f t="shared" si="7"/>
        <v>--</v>
      </c>
      <c r="R26" s="558" t="str">
        <f t="shared" si="8"/>
        <v>--</v>
      </c>
      <c r="S26" s="87" t="str">
        <f t="shared" si="9"/>
        <v>SI</v>
      </c>
      <c r="T26" s="88">
        <f t="shared" si="10"/>
        <v>4075.8300040000004</v>
      </c>
      <c r="U26" s="146"/>
    </row>
    <row r="27" spans="2:21" s="16" customFormat="1" ht="16.5" customHeight="1">
      <c r="B27" s="719"/>
      <c r="C27" s="20">
        <v>53</v>
      </c>
      <c r="D27" s="81" t="s">
        <v>33</v>
      </c>
      <c r="E27" s="81" t="s">
        <v>73</v>
      </c>
      <c r="F27" s="82">
        <v>500</v>
      </c>
      <c r="G27" s="357">
        <f t="shared" si="0"/>
        <v>29.19649</v>
      </c>
      <c r="H27" s="83">
        <v>36468.51458333333</v>
      </c>
      <c r="I27" s="84">
        <v>36468.649305555555</v>
      </c>
      <c r="J27" s="85">
        <f t="shared" si="1"/>
        <v>3.2333333333954215</v>
      </c>
      <c r="K27" s="31">
        <f t="shared" si="2"/>
        <v>194</v>
      </c>
      <c r="L27" s="28" t="s">
        <v>197</v>
      </c>
      <c r="M27" s="24" t="str">
        <f t="shared" si="3"/>
        <v>--</v>
      </c>
      <c r="N27" s="540">
        <f t="shared" si="4"/>
        <v>200</v>
      </c>
      <c r="O27" s="544">
        <f t="shared" si="5"/>
        <v>1886.093254</v>
      </c>
      <c r="P27" s="552" t="str">
        <f t="shared" si="6"/>
        <v>--</v>
      </c>
      <c r="Q27" s="553" t="str">
        <f t="shared" si="7"/>
        <v>--</v>
      </c>
      <c r="R27" s="558" t="str">
        <f t="shared" si="8"/>
        <v>--</v>
      </c>
      <c r="S27" s="87" t="str">
        <f t="shared" si="9"/>
        <v>SI</v>
      </c>
      <c r="T27" s="88">
        <f t="shared" si="10"/>
        <v>1886.093254</v>
      </c>
      <c r="U27" s="146"/>
    </row>
    <row r="28" spans="2:21" s="16" customFormat="1" ht="16.5" customHeight="1">
      <c r="B28" s="719"/>
      <c r="C28" s="20">
        <v>54</v>
      </c>
      <c r="D28" s="81" t="s">
        <v>45</v>
      </c>
      <c r="E28" s="81" t="s">
        <v>170</v>
      </c>
      <c r="F28" s="82">
        <v>132</v>
      </c>
      <c r="G28" s="357">
        <f t="shared" si="0"/>
        <v>23.35819</v>
      </c>
      <c r="H28" s="83">
        <v>36469.353472222225</v>
      </c>
      <c r="I28" s="84">
        <v>36469.54375</v>
      </c>
      <c r="J28" s="85">
        <f t="shared" si="1"/>
        <v>4.566666666534729</v>
      </c>
      <c r="K28" s="31">
        <f t="shared" si="2"/>
        <v>274</v>
      </c>
      <c r="L28" s="28" t="s">
        <v>197</v>
      </c>
      <c r="M28" s="24" t="str">
        <f t="shared" si="3"/>
        <v>--</v>
      </c>
      <c r="N28" s="540">
        <f t="shared" si="4"/>
        <v>40</v>
      </c>
      <c r="O28" s="544">
        <f t="shared" si="5"/>
        <v>426.9877132000001</v>
      </c>
      <c r="P28" s="552" t="str">
        <f t="shared" si="6"/>
        <v>--</v>
      </c>
      <c r="Q28" s="553" t="str">
        <f t="shared" si="7"/>
        <v>--</v>
      </c>
      <c r="R28" s="558" t="str">
        <f t="shared" si="8"/>
        <v>--</v>
      </c>
      <c r="S28" s="87" t="str">
        <f t="shared" si="9"/>
        <v>SI</v>
      </c>
      <c r="T28" s="88">
        <f t="shared" si="10"/>
        <v>426.9877132000001</v>
      </c>
      <c r="U28" s="146"/>
    </row>
    <row r="29" spans="2:21" s="16" customFormat="1" ht="16.5" customHeight="1">
      <c r="B29" s="719"/>
      <c r="C29" s="20">
        <v>55</v>
      </c>
      <c r="D29" s="81" t="s">
        <v>32</v>
      </c>
      <c r="E29" s="81" t="s">
        <v>56</v>
      </c>
      <c r="F29" s="82">
        <v>132</v>
      </c>
      <c r="G29" s="357">
        <f t="shared" si="0"/>
        <v>23.35819</v>
      </c>
      <c r="H29" s="83">
        <v>36471.34027777778</v>
      </c>
      <c r="I29" s="84">
        <v>36471.76111111111</v>
      </c>
      <c r="J29" s="85">
        <f t="shared" si="1"/>
        <v>10.09999999991851</v>
      </c>
      <c r="K29" s="31">
        <f t="shared" si="2"/>
        <v>606</v>
      </c>
      <c r="L29" s="28" t="s">
        <v>197</v>
      </c>
      <c r="M29" s="24" t="str">
        <f t="shared" si="3"/>
        <v>--</v>
      </c>
      <c r="N29" s="540">
        <f t="shared" si="4"/>
        <v>40</v>
      </c>
      <c r="O29" s="544">
        <f t="shared" si="5"/>
        <v>943.670876</v>
      </c>
      <c r="P29" s="552" t="str">
        <f t="shared" si="6"/>
        <v>--</v>
      </c>
      <c r="Q29" s="553" t="str">
        <f t="shared" si="7"/>
        <v>--</v>
      </c>
      <c r="R29" s="558" t="str">
        <f t="shared" si="8"/>
        <v>--</v>
      </c>
      <c r="S29" s="87" t="str">
        <f t="shared" si="9"/>
        <v>SI</v>
      </c>
      <c r="T29" s="88">
        <f t="shared" si="10"/>
        <v>943.670876</v>
      </c>
      <c r="U29" s="146"/>
    </row>
    <row r="30" spans="2:21" s="16" customFormat="1" ht="16.5" customHeight="1">
      <c r="B30" s="719"/>
      <c r="C30" s="20">
        <v>56</v>
      </c>
      <c r="D30" s="81" t="s">
        <v>58</v>
      </c>
      <c r="E30" s="81" t="s">
        <v>60</v>
      </c>
      <c r="F30" s="82">
        <v>500</v>
      </c>
      <c r="G30" s="357">
        <f t="shared" si="0"/>
        <v>29.19649</v>
      </c>
      <c r="H30" s="83">
        <v>36471.45625</v>
      </c>
      <c r="I30" s="84">
        <v>36471.740277777775</v>
      </c>
      <c r="J30" s="85">
        <f t="shared" si="1"/>
        <v>6.816666666534729</v>
      </c>
      <c r="K30" s="31">
        <f t="shared" si="2"/>
        <v>409</v>
      </c>
      <c r="L30" s="28" t="s">
        <v>197</v>
      </c>
      <c r="M30" s="24" t="str">
        <f t="shared" si="3"/>
        <v>--</v>
      </c>
      <c r="N30" s="540">
        <f t="shared" si="4"/>
        <v>200</v>
      </c>
      <c r="O30" s="544">
        <f t="shared" si="5"/>
        <v>3982.401236</v>
      </c>
      <c r="P30" s="552" t="str">
        <f t="shared" si="6"/>
        <v>--</v>
      </c>
      <c r="Q30" s="553" t="str">
        <f t="shared" si="7"/>
        <v>--</v>
      </c>
      <c r="R30" s="558" t="str">
        <f t="shared" si="8"/>
        <v>--</v>
      </c>
      <c r="S30" s="87" t="str">
        <f t="shared" si="9"/>
        <v>SI</v>
      </c>
      <c r="T30" s="88">
        <f t="shared" si="10"/>
        <v>3982.401236</v>
      </c>
      <c r="U30" s="146"/>
    </row>
    <row r="31" spans="2:21" s="16" customFormat="1" ht="16.5" customHeight="1">
      <c r="B31" s="719"/>
      <c r="C31" s="20">
        <v>57</v>
      </c>
      <c r="D31" s="81" t="s">
        <v>32</v>
      </c>
      <c r="E31" s="81" t="s">
        <v>56</v>
      </c>
      <c r="F31" s="82">
        <v>132</v>
      </c>
      <c r="G31" s="357">
        <f t="shared" si="0"/>
        <v>23.35819</v>
      </c>
      <c r="H31" s="83">
        <v>36472.334027777775</v>
      </c>
      <c r="I31" s="84">
        <v>36472.709027777775</v>
      </c>
      <c r="J31" s="85">
        <f t="shared" si="1"/>
        <v>9</v>
      </c>
      <c r="K31" s="31">
        <f t="shared" si="2"/>
        <v>540</v>
      </c>
      <c r="L31" s="28" t="s">
        <v>197</v>
      </c>
      <c r="M31" s="24" t="str">
        <f t="shared" si="3"/>
        <v>--</v>
      </c>
      <c r="N31" s="540">
        <f t="shared" si="4"/>
        <v>40</v>
      </c>
      <c r="O31" s="544">
        <f t="shared" si="5"/>
        <v>840.8948400000002</v>
      </c>
      <c r="P31" s="552" t="str">
        <f t="shared" si="6"/>
        <v>--</v>
      </c>
      <c r="Q31" s="553" t="str">
        <f t="shared" si="7"/>
        <v>--</v>
      </c>
      <c r="R31" s="558" t="str">
        <f t="shared" si="8"/>
        <v>--</v>
      </c>
      <c r="S31" s="87" t="str">
        <f t="shared" si="9"/>
        <v>SI</v>
      </c>
      <c r="T31" s="88">
        <f t="shared" si="10"/>
        <v>840.8948400000002</v>
      </c>
      <c r="U31" s="146"/>
    </row>
    <row r="32" spans="2:21" s="16" customFormat="1" ht="16.5" customHeight="1">
      <c r="B32" s="719"/>
      <c r="C32" s="20">
        <v>58</v>
      </c>
      <c r="D32" s="81" t="s">
        <v>32</v>
      </c>
      <c r="E32" s="81" t="s">
        <v>57</v>
      </c>
      <c r="F32" s="82">
        <v>132</v>
      </c>
      <c r="G32" s="357">
        <f t="shared" si="0"/>
        <v>23.35819</v>
      </c>
      <c r="H32" s="83">
        <v>36473.34444444445</v>
      </c>
      <c r="I32" s="84">
        <v>36473.76597222222</v>
      </c>
      <c r="J32" s="85">
        <f t="shared" si="1"/>
        <v>10.116666666639503</v>
      </c>
      <c r="K32" s="31">
        <f t="shared" si="2"/>
        <v>607</v>
      </c>
      <c r="L32" s="28" t="s">
        <v>197</v>
      </c>
      <c r="M32" s="24" t="str">
        <f t="shared" si="3"/>
        <v>--</v>
      </c>
      <c r="N32" s="540">
        <f t="shared" si="4"/>
        <v>40</v>
      </c>
      <c r="O32" s="544">
        <f t="shared" si="5"/>
        <v>945.5395312</v>
      </c>
      <c r="P32" s="552" t="str">
        <f t="shared" si="6"/>
        <v>--</v>
      </c>
      <c r="Q32" s="553" t="str">
        <f t="shared" si="7"/>
        <v>--</v>
      </c>
      <c r="R32" s="558" t="str">
        <f t="shared" si="8"/>
        <v>--</v>
      </c>
      <c r="S32" s="87" t="str">
        <f t="shared" si="9"/>
        <v>SI</v>
      </c>
      <c r="T32" s="88">
        <f t="shared" si="10"/>
        <v>945.5395312</v>
      </c>
      <c r="U32" s="146"/>
    </row>
    <row r="33" spans="2:21" s="75" customFormat="1" ht="16.5" customHeight="1">
      <c r="B33" s="1010" t="s">
        <v>210</v>
      </c>
      <c r="C33" s="53">
        <v>59</v>
      </c>
      <c r="D33" s="1011" t="s">
        <v>43</v>
      </c>
      <c r="E33" s="1011" t="s">
        <v>207</v>
      </c>
      <c r="F33" s="1012">
        <v>132</v>
      </c>
      <c r="G33" s="992">
        <f t="shared" si="0"/>
        <v>23.35819</v>
      </c>
      <c r="H33" s="993">
        <v>36477.333333333336</v>
      </c>
      <c r="I33" s="60">
        <v>36479.825694444444</v>
      </c>
      <c r="J33" s="85">
        <f t="shared" si="1"/>
        <v>59.81666666659294</v>
      </c>
      <c r="K33" s="31">
        <f t="shared" si="2"/>
        <v>3589</v>
      </c>
      <c r="L33" s="994" t="s">
        <v>197</v>
      </c>
      <c r="M33" s="58" t="str">
        <f t="shared" si="3"/>
        <v>--</v>
      </c>
      <c r="N33" s="1013">
        <f t="shared" si="4"/>
        <v>40</v>
      </c>
      <c r="O33" s="1014">
        <f t="shared" si="5"/>
        <v>5589.1477032</v>
      </c>
      <c r="P33" s="1015" t="str">
        <f t="shared" si="6"/>
        <v>--</v>
      </c>
      <c r="Q33" s="1016" t="str">
        <f t="shared" si="7"/>
        <v>--</v>
      </c>
      <c r="R33" s="1017" t="str">
        <f t="shared" si="8"/>
        <v>--</v>
      </c>
      <c r="S33" s="1018" t="s">
        <v>167</v>
      </c>
      <c r="T33" s="88">
        <f t="shared" si="10"/>
        <v>5589.1477032</v>
      </c>
      <c r="U33" s="165"/>
    </row>
    <row r="34" spans="2:21" s="16" customFormat="1" ht="16.5" customHeight="1">
      <c r="B34" s="719"/>
      <c r="C34" s="20">
        <v>60</v>
      </c>
      <c r="D34" s="81" t="s">
        <v>40</v>
      </c>
      <c r="E34" s="81" t="s">
        <v>66</v>
      </c>
      <c r="F34" s="82">
        <v>132</v>
      </c>
      <c r="G34" s="357">
        <f t="shared" si="0"/>
        <v>23.35819</v>
      </c>
      <c r="H34" s="83">
        <v>36477.34930555556</v>
      </c>
      <c r="I34" s="84">
        <v>36477.76180555556</v>
      </c>
      <c r="J34" s="85">
        <f t="shared" si="1"/>
        <v>9.899999999965075</v>
      </c>
      <c r="K34" s="31">
        <f t="shared" si="2"/>
        <v>594</v>
      </c>
      <c r="L34" s="28" t="s">
        <v>197</v>
      </c>
      <c r="M34" s="24" t="str">
        <f t="shared" si="3"/>
        <v>--</v>
      </c>
      <c r="N34" s="540">
        <f t="shared" si="4"/>
        <v>40</v>
      </c>
      <c r="O34" s="544">
        <f t="shared" si="5"/>
        <v>924.9843240000002</v>
      </c>
      <c r="P34" s="552" t="str">
        <f t="shared" si="6"/>
        <v>--</v>
      </c>
      <c r="Q34" s="553" t="str">
        <f t="shared" si="7"/>
        <v>--</v>
      </c>
      <c r="R34" s="558" t="str">
        <f t="shared" si="8"/>
        <v>--</v>
      </c>
      <c r="S34" s="87" t="str">
        <f aca="true" t="shared" si="11" ref="S34:S42">IF(D34="","","SI")</f>
        <v>SI</v>
      </c>
      <c r="T34" s="88">
        <f t="shared" si="10"/>
        <v>924.9843240000002</v>
      </c>
      <c r="U34" s="146"/>
    </row>
    <row r="35" spans="2:21" s="16" customFormat="1" ht="16.5" customHeight="1">
      <c r="B35" s="719"/>
      <c r="C35" s="20">
        <v>61</v>
      </c>
      <c r="D35" s="81" t="s">
        <v>40</v>
      </c>
      <c r="E35" s="81" t="s">
        <v>66</v>
      </c>
      <c r="F35" s="82">
        <v>132</v>
      </c>
      <c r="G35" s="357">
        <f t="shared" si="0"/>
        <v>23.35819</v>
      </c>
      <c r="H35" s="83">
        <v>36478.34722222222</v>
      </c>
      <c r="I35" s="84">
        <v>36478.76458333333</v>
      </c>
      <c r="J35" s="85">
        <f t="shared" si="1"/>
        <v>10.016666666662786</v>
      </c>
      <c r="K35" s="31">
        <f t="shared" si="2"/>
        <v>601</v>
      </c>
      <c r="L35" s="28" t="s">
        <v>197</v>
      </c>
      <c r="M35" s="24" t="str">
        <f t="shared" si="3"/>
        <v>--</v>
      </c>
      <c r="N35" s="540">
        <f t="shared" si="4"/>
        <v>40</v>
      </c>
      <c r="O35" s="544">
        <f t="shared" si="5"/>
        <v>936.1962552000001</v>
      </c>
      <c r="P35" s="552" t="str">
        <f t="shared" si="6"/>
        <v>--</v>
      </c>
      <c r="Q35" s="553" t="str">
        <f t="shared" si="7"/>
        <v>--</v>
      </c>
      <c r="R35" s="558" t="str">
        <f t="shared" si="8"/>
        <v>--</v>
      </c>
      <c r="S35" s="87" t="str">
        <f t="shared" si="11"/>
        <v>SI</v>
      </c>
      <c r="T35" s="88">
        <f t="shared" si="10"/>
        <v>936.1962552000001</v>
      </c>
      <c r="U35" s="146"/>
    </row>
    <row r="36" spans="2:21" s="16" customFormat="1" ht="16.5" customHeight="1">
      <c r="B36" s="719"/>
      <c r="C36" s="20">
        <v>62</v>
      </c>
      <c r="D36" s="81" t="s">
        <v>45</v>
      </c>
      <c r="E36" s="81" t="s">
        <v>67</v>
      </c>
      <c r="F36" s="82">
        <v>132</v>
      </c>
      <c r="G36" s="357">
        <f t="shared" si="0"/>
        <v>23.35819</v>
      </c>
      <c r="H36" s="83">
        <v>36478.396527777775</v>
      </c>
      <c r="I36" s="84">
        <v>36478.813888888886</v>
      </c>
      <c r="J36" s="85">
        <f t="shared" si="1"/>
        <v>10.016666666662786</v>
      </c>
      <c r="K36" s="31">
        <f t="shared" si="2"/>
        <v>601</v>
      </c>
      <c r="L36" s="28" t="s">
        <v>197</v>
      </c>
      <c r="M36" s="24" t="str">
        <f t="shared" si="3"/>
        <v>--</v>
      </c>
      <c r="N36" s="540">
        <f t="shared" si="4"/>
        <v>40</v>
      </c>
      <c r="O36" s="544">
        <f t="shared" si="5"/>
        <v>936.1962552000001</v>
      </c>
      <c r="P36" s="552" t="str">
        <f t="shared" si="6"/>
        <v>--</v>
      </c>
      <c r="Q36" s="553" t="str">
        <f t="shared" si="7"/>
        <v>--</v>
      </c>
      <c r="R36" s="558" t="str">
        <f t="shared" si="8"/>
        <v>--</v>
      </c>
      <c r="S36" s="87" t="str">
        <f t="shared" si="11"/>
        <v>SI</v>
      </c>
      <c r="T36" s="88">
        <f t="shared" si="10"/>
        <v>936.1962552000001</v>
      </c>
      <c r="U36" s="146"/>
    </row>
    <row r="37" spans="2:21" s="16" customFormat="1" ht="16.5" customHeight="1">
      <c r="B37" s="719"/>
      <c r="C37" s="20">
        <v>63</v>
      </c>
      <c r="D37" s="81" t="s">
        <v>40</v>
      </c>
      <c r="E37" s="81" t="s">
        <v>66</v>
      </c>
      <c r="F37" s="82">
        <v>132</v>
      </c>
      <c r="G37" s="357">
        <f t="shared" si="0"/>
        <v>23.35819</v>
      </c>
      <c r="H37" s="83">
        <v>36478.770833333336</v>
      </c>
      <c r="I37" s="84">
        <v>36478.981944444444</v>
      </c>
      <c r="J37" s="85">
        <f t="shared" si="1"/>
        <v>5.066666666592937</v>
      </c>
      <c r="K37" s="31">
        <f t="shared" si="2"/>
        <v>304</v>
      </c>
      <c r="L37" s="28" t="s">
        <v>196</v>
      </c>
      <c r="M37" s="24" t="str">
        <f t="shared" si="3"/>
        <v>NO</v>
      </c>
      <c r="N37" s="540">
        <f t="shared" si="4"/>
        <v>40</v>
      </c>
      <c r="O37" s="544" t="str">
        <f t="shared" si="5"/>
        <v>--</v>
      </c>
      <c r="P37" s="552">
        <f t="shared" si="6"/>
        <v>934.3276000000001</v>
      </c>
      <c r="Q37" s="553">
        <f t="shared" si="7"/>
        <v>4737.040932000001</v>
      </c>
      <c r="R37" s="558" t="str">
        <f t="shared" si="8"/>
        <v>--</v>
      </c>
      <c r="S37" s="87" t="str">
        <f t="shared" si="11"/>
        <v>SI</v>
      </c>
      <c r="T37" s="88">
        <f t="shared" si="10"/>
        <v>5671.368532</v>
      </c>
      <c r="U37" s="146"/>
    </row>
    <row r="38" spans="2:21" s="16" customFormat="1" ht="16.5" customHeight="1">
      <c r="B38" s="719"/>
      <c r="C38" s="20">
        <v>64</v>
      </c>
      <c r="D38" s="81" t="s">
        <v>36</v>
      </c>
      <c r="E38" s="81" t="s">
        <v>61</v>
      </c>
      <c r="F38" s="82">
        <v>132</v>
      </c>
      <c r="G38" s="357">
        <f t="shared" si="0"/>
        <v>23.35819</v>
      </c>
      <c r="H38" s="83">
        <v>36478.98541666667</v>
      </c>
      <c r="I38" s="84">
        <v>36479.02569444444</v>
      </c>
      <c r="J38" s="85">
        <f t="shared" si="1"/>
        <v>0.9666666664998047</v>
      </c>
      <c r="K38" s="31">
        <f t="shared" si="2"/>
        <v>58</v>
      </c>
      <c r="L38" s="28" t="s">
        <v>196</v>
      </c>
      <c r="M38" s="24" t="str">
        <f t="shared" si="3"/>
        <v>NO</v>
      </c>
      <c r="N38" s="540">
        <f t="shared" si="4"/>
        <v>40</v>
      </c>
      <c r="O38" s="544" t="str">
        <f t="shared" si="5"/>
        <v>--</v>
      </c>
      <c r="P38" s="552">
        <f t="shared" si="6"/>
        <v>934.3276000000001</v>
      </c>
      <c r="Q38" s="553">
        <f t="shared" si="7"/>
        <v>906.297772</v>
      </c>
      <c r="R38" s="558" t="str">
        <f t="shared" si="8"/>
        <v>--</v>
      </c>
      <c r="S38" s="87" t="str">
        <f t="shared" si="11"/>
        <v>SI</v>
      </c>
      <c r="T38" s="88">
        <f t="shared" si="10"/>
        <v>1840.625372</v>
      </c>
      <c r="U38" s="146"/>
    </row>
    <row r="39" spans="2:21" s="16" customFormat="1" ht="16.5" customHeight="1">
      <c r="B39" s="719"/>
      <c r="C39" s="20">
        <v>65</v>
      </c>
      <c r="D39" s="81" t="s">
        <v>69</v>
      </c>
      <c r="E39" s="81" t="s">
        <v>70</v>
      </c>
      <c r="F39" s="82">
        <v>220</v>
      </c>
      <c r="G39" s="357">
        <f t="shared" si="0"/>
        <v>26.275344</v>
      </c>
      <c r="H39" s="83">
        <v>36479.354166666664</v>
      </c>
      <c r="I39" s="84">
        <v>36479.68958333333</v>
      </c>
      <c r="J39" s="85">
        <f t="shared" si="1"/>
        <v>8.050000000046566</v>
      </c>
      <c r="K39" s="31">
        <f t="shared" si="2"/>
        <v>483</v>
      </c>
      <c r="L39" s="28" t="s">
        <v>197</v>
      </c>
      <c r="M39" s="24" t="str">
        <f t="shared" si="3"/>
        <v>--</v>
      </c>
      <c r="N39" s="540">
        <f t="shared" si="4"/>
        <v>100</v>
      </c>
      <c r="O39" s="544">
        <f t="shared" si="5"/>
        <v>2115.165192</v>
      </c>
      <c r="P39" s="552" t="str">
        <f t="shared" si="6"/>
        <v>--</v>
      </c>
      <c r="Q39" s="553" t="str">
        <f t="shared" si="7"/>
        <v>--</v>
      </c>
      <c r="R39" s="558" t="str">
        <f t="shared" si="8"/>
        <v>--</v>
      </c>
      <c r="S39" s="87" t="str">
        <f t="shared" si="11"/>
        <v>SI</v>
      </c>
      <c r="T39" s="88">
        <f t="shared" si="10"/>
        <v>2115.165192</v>
      </c>
      <c r="U39" s="146"/>
    </row>
    <row r="40" spans="2:21" s="16" customFormat="1" ht="16.5" customHeight="1">
      <c r="B40" s="719"/>
      <c r="C40" s="20">
        <v>66</v>
      </c>
      <c r="D40" s="81" t="s">
        <v>40</v>
      </c>
      <c r="E40" s="81" t="s">
        <v>66</v>
      </c>
      <c r="F40" s="82">
        <v>132</v>
      </c>
      <c r="G40" s="357">
        <f t="shared" si="0"/>
        <v>23.35819</v>
      </c>
      <c r="H40" s="83">
        <v>36479.364583333336</v>
      </c>
      <c r="I40" s="84">
        <v>36479.635416666664</v>
      </c>
      <c r="J40" s="85">
        <f t="shared" si="1"/>
        <v>6.499999999883585</v>
      </c>
      <c r="K40" s="31">
        <f t="shared" si="2"/>
        <v>390</v>
      </c>
      <c r="L40" s="28" t="s">
        <v>197</v>
      </c>
      <c r="M40" s="24" t="str">
        <f t="shared" si="3"/>
        <v>--</v>
      </c>
      <c r="N40" s="540">
        <f t="shared" si="4"/>
        <v>40</v>
      </c>
      <c r="O40" s="544">
        <f t="shared" si="5"/>
        <v>607.3129400000001</v>
      </c>
      <c r="P40" s="552" t="str">
        <f t="shared" si="6"/>
        <v>--</v>
      </c>
      <c r="Q40" s="553" t="str">
        <f t="shared" si="7"/>
        <v>--</v>
      </c>
      <c r="R40" s="558" t="str">
        <f t="shared" si="8"/>
        <v>--</v>
      </c>
      <c r="S40" s="87" t="str">
        <f t="shared" si="11"/>
        <v>SI</v>
      </c>
      <c r="T40" s="88">
        <f t="shared" si="10"/>
        <v>607.3129400000001</v>
      </c>
      <c r="U40" s="146"/>
    </row>
    <row r="41" spans="2:21" s="16" customFormat="1" ht="16.5" customHeight="1">
      <c r="B41" s="142"/>
      <c r="C41" s="20">
        <v>67</v>
      </c>
      <c r="D41" s="81" t="s">
        <v>24</v>
      </c>
      <c r="E41" s="81" t="s">
        <v>55</v>
      </c>
      <c r="F41" s="82">
        <v>132</v>
      </c>
      <c r="G41" s="357">
        <f t="shared" si="0"/>
        <v>23.35819</v>
      </c>
      <c r="H41" s="83">
        <v>36479.37222222222</v>
      </c>
      <c r="I41" s="84">
        <v>36479.87708333333</v>
      </c>
      <c r="J41" s="85">
        <f t="shared" si="1"/>
        <v>12.11666666669771</v>
      </c>
      <c r="K41" s="31">
        <f t="shared" si="2"/>
        <v>727</v>
      </c>
      <c r="L41" s="28" t="s">
        <v>197</v>
      </c>
      <c r="M41" s="24" t="str">
        <f t="shared" si="3"/>
        <v>--</v>
      </c>
      <c r="N41" s="540">
        <f t="shared" si="4"/>
        <v>40</v>
      </c>
      <c r="O41" s="544">
        <f t="shared" si="5"/>
        <v>1132.4050512000001</v>
      </c>
      <c r="P41" s="552" t="str">
        <f t="shared" si="6"/>
        <v>--</v>
      </c>
      <c r="Q41" s="553" t="str">
        <f t="shared" si="7"/>
        <v>--</v>
      </c>
      <c r="R41" s="558" t="str">
        <f t="shared" si="8"/>
        <v>--</v>
      </c>
      <c r="S41" s="87" t="str">
        <f t="shared" si="11"/>
        <v>SI</v>
      </c>
      <c r="T41" s="88">
        <f t="shared" si="10"/>
        <v>1132.4050512000001</v>
      </c>
      <c r="U41" s="146"/>
    </row>
    <row r="42" spans="2:21" s="16" customFormat="1" ht="16.5" customHeight="1">
      <c r="B42" s="142"/>
      <c r="C42" s="20">
        <v>68</v>
      </c>
      <c r="D42" s="81" t="s">
        <v>49</v>
      </c>
      <c r="E42" s="81" t="s">
        <v>50</v>
      </c>
      <c r="F42" s="82">
        <v>500</v>
      </c>
      <c r="G42" s="357">
        <f t="shared" si="0"/>
        <v>29.19649</v>
      </c>
      <c r="H42" s="83">
        <v>36480.96111111111</v>
      </c>
      <c r="I42" s="84">
        <v>36481.21041666667</v>
      </c>
      <c r="J42" s="85">
        <f t="shared" si="1"/>
        <v>5.983333333453629</v>
      </c>
      <c r="K42" s="31">
        <f t="shared" si="2"/>
        <v>359</v>
      </c>
      <c r="L42" s="28" t="s">
        <v>197</v>
      </c>
      <c r="M42" s="24" t="str">
        <f t="shared" si="3"/>
        <v>--</v>
      </c>
      <c r="N42" s="540">
        <f t="shared" si="4"/>
        <v>200</v>
      </c>
      <c r="O42" s="544">
        <f t="shared" si="5"/>
        <v>3491.900204</v>
      </c>
      <c r="P42" s="552" t="str">
        <f t="shared" si="6"/>
        <v>--</v>
      </c>
      <c r="Q42" s="553" t="str">
        <f t="shared" si="7"/>
        <v>--</v>
      </c>
      <c r="R42" s="558" t="str">
        <f t="shared" si="8"/>
        <v>--</v>
      </c>
      <c r="S42" s="87" t="str">
        <f t="shared" si="11"/>
        <v>SI</v>
      </c>
      <c r="T42" s="88">
        <f t="shared" si="10"/>
        <v>3491.900204</v>
      </c>
      <c r="U42" s="146"/>
    </row>
    <row r="43" spans="2:21" s="16" customFormat="1" ht="16.5" customHeight="1">
      <c r="B43" s="142"/>
      <c r="C43" s="20">
        <v>69</v>
      </c>
      <c r="D43" s="81" t="s">
        <v>38</v>
      </c>
      <c r="E43" s="81" t="s">
        <v>62</v>
      </c>
      <c r="F43" s="82">
        <v>132</v>
      </c>
      <c r="G43" s="357">
        <f>IF(F43=500,'SA-9911'!$E$17,IF(F43=220,'SA-9911'!$E$18,'SA-9911'!$E$19))*'SA-9911'!$J$19</f>
        <v>23.35819</v>
      </c>
      <c r="H43" s="83">
        <v>36481.447222222225</v>
      </c>
      <c r="I43" s="84">
        <v>36481.44930555556</v>
      </c>
      <c r="J43" s="85">
        <f>IF(D43="","",(I43-H43)*24)</f>
        <v>0.04999999998835847</v>
      </c>
      <c r="K43" s="31">
        <f>IF(D43="","",ROUND((I43-H43)*24*60,0))</f>
        <v>3</v>
      </c>
      <c r="L43" s="28" t="s">
        <v>196</v>
      </c>
      <c r="M43" s="24" t="str">
        <f>IF(D43="","",IF(L43="P","--","NO"))</f>
        <v>NO</v>
      </c>
      <c r="N43" s="540">
        <f>IF(F43=500,'SA-9911'!$F$17,IF(F43=220,'SA-9911'!$F$18,'SA-9911'!$F$19))</f>
        <v>40</v>
      </c>
      <c r="O43" s="544" t="str">
        <f>IF(L43="P",G43*N43*ROUND(K43/60,2)*0.1,"--")</f>
        <v>--</v>
      </c>
      <c r="P43" s="552">
        <f>IF(AND(L43="F",M43="NO"),G43*N43,"--")</f>
        <v>934.3276000000001</v>
      </c>
      <c r="Q43" s="553">
        <f>IF(L43="F",G43*N43*ROUND(K43/60,2),"--")</f>
        <v>46.71638000000001</v>
      </c>
      <c r="R43" s="558" t="str">
        <f>IF(L43="RF",G43*N43*ROUND(K43/60,2),"--")</f>
        <v>--</v>
      </c>
      <c r="S43" s="87" t="str">
        <f>IF(D43="","","SI")</f>
        <v>SI</v>
      </c>
      <c r="T43" s="88">
        <f>IF(D43="","",SUM(O43:R43)*IF(S43="SI",1,2))</f>
        <v>981.04398</v>
      </c>
      <c r="U43" s="146"/>
    </row>
    <row r="44" spans="2:21" s="16" customFormat="1" ht="16.5" customHeight="1" thickBot="1">
      <c r="B44" s="142"/>
      <c r="C44" s="34"/>
      <c r="D44" s="89"/>
      <c r="E44" s="89"/>
      <c r="F44" s="35"/>
      <c r="G44" s="359"/>
      <c r="H44" s="90"/>
      <c r="I44" s="90"/>
      <c r="J44" s="90"/>
      <c r="K44" s="90"/>
      <c r="L44" s="90"/>
      <c r="M44" s="38"/>
      <c r="N44" s="541"/>
      <c r="O44" s="545"/>
      <c r="P44" s="554"/>
      <c r="Q44" s="555"/>
      <c r="R44" s="559"/>
      <c r="S44" s="91"/>
      <c r="T44" s="257"/>
      <c r="U44" s="146"/>
    </row>
    <row r="45" spans="2:21" s="16" customFormat="1" ht="16.5" customHeight="1" thickBot="1" thickTop="1">
      <c r="B45" s="142"/>
      <c r="C45" s="289" t="s">
        <v>129</v>
      </c>
      <c r="D45" s="290" t="s">
        <v>177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47">
        <f>SUM(O22:O44)</f>
        <v>33932.4325332</v>
      </c>
      <c r="P45" s="556">
        <f>SUM(P22:P44)</f>
        <v>2802.9828</v>
      </c>
      <c r="Q45" s="557">
        <f>SUM(Q22:Q44)</f>
        <v>5690.0550840000005</v>
      </c>
      <c r="R45" s="560">
        <f>SUM(R22:R44)</f>
        <v>0</v>
      </c>
      <c r="S45" s="92"/>
      <c r="T45" s="109">
        <f>ROUND(SUM(T22:T44),2)</f>
        <v>42425.47</v>
      </c>
      <c r="U45" s="146"/>
    </row>
    <row r="46" spans="2:21" s="294" customFormat="1" ht="13.5" thickTop="1">
      <c r="B46" s="295"/>
      <c r="C46" s="291"/>
      <c r="D46" s="293" t="s">
        <v>131</v>
      </c>
      <c r="E46"/>
      <c r="F46" s="311"/>
      <c r="G46" s="311"/>
      <c r="H46" s="311"/>
      <c r="I46" s="311"/>
      <c r="J46" s="311"/>
      <c r="K46" s="311"/>
      <c r="L46" s="311"/>
      <c r="M46" s="311"/>
      <c r="N46" s="311"/>
      <c r="O46" s="309"/>
      <c r="P46" s="309"/>
      <c r="Q46" s="309"/>
      <c r="R46" s="309"/>
      <c r="S46" s="309"/>
      <c r="T46" s="312"/>
      <c r="U46" s="313"/>
    </row>
    <row r="47" spans="2:21" s="294" customFormat="1" ht="12.75">
      <c r="B47" s="295"/>
      <c r="C47" s="720" t="s">
        <v>210</v>
      </c>
      <c r="D47" s="293" t="s">
        <v>212</v>
      </c>
      <c r="E47"/>
      <c r="F47" s="311"/>
      <c r="G47" s="311"/>
      <c r="H47" s="311"/>
      <c r="I47" s="311"/>
      <c r="J47" s="311"/>
      <c r="K47" s="311"/>
      <c r="L47" s="311"/>
      <c r="M47" s="311"/>
      <c r="N47" s="311"/>
      <c r="O47" s="309"/>
      <c r="P47" s="309"/>
      <c r="Q47" s="309"/>
      <c r="R47" s="309"/>
      <c r="S47" s="309"/>
      <c r="T47" s="312"/>
      <c r="U47" s="313"/>
    </row>
    <row r="48" spans="2:21" s="16" customFormat="1" ht="16.5" customHeight="1" thickBot="1"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3"/>
    </row>
    <row r="49" spans="21:23" ht="16.5" customHeight="1" thickTop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21:23" ht="16.5" customHeight="1"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4:23" ht="16.5" customHeight="1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2">
    <pageSetUpPr fitToPage="1"/>
  </sheetPr>
  <dimension ref="A1:W161"/>
  <sheetViews>
    <sheetView zoomScale="75" zoomScaleNormal="75" workbookViewId="0" topLeftCell="B17">
      <selection activeCell="C33" sqref="C3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110" customFormat="1" ht="26.25">
      <c r="A1" s="160"/>
      <c r="U1" s="647"/>
    </row>
    <row r="2" spans="1:21" s="110" customFormat="1" ht="26.25">
      <c r="A2" s="160"/>
      <c r="B2" s="111" t="str">
        <f>+'tot-9911'!B2</f>
        <v>ANEXO I A LA RESOLUCION ENRE N° 320/2000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="16" customFormat="1" ht="12.75">
      <c r="A3" s="75"/>
    </row>
    <row r="4" spans="1:2" s="117" customFormat="1" ht="11.25">
      <c r="A4" s="115" t="s">
        <v>85</v>
      </c>
      <c r="B4" s="194"/>
    </row>
    <row r="5" spans="1:2" s="117" customFormat="1" ht="11.25">
      <c r="A5" s="115" t="s">
        <v>86</v>
      </c>
      <c r="B5" s="194"/>
    </row>
    <row r="6" s="16" customFormat="1" ht="13.5" thickBot="1"/>
    <row r="7" spans="2:21" s="16" customFormat="1" ht="13.5" thickTop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232"/>
    </row>
    <row r="8" spans="2:21" s="10" customFormat="1" ht="20.25">
      <c r="B8" s="175"/>
      <c r="C8" s="11"/>
      <c r="D8" s="78" t="s">
        <v>102</v>
      </c>
      <c r="L8" s="208"/>
      <c r="M8" s="208"/>
      <c r="N8" s="48"/>
      <c r="O8" s="11"/>
      <c r="P8" s="11"/>
      <c r="Q8" s="11"/>
      <c r="R8" s="11"/>
      <c r="S8" s="11"/>
      <c r="T8" s="11"/>
      <c r="U8" s="241"/>
    </row>
    <row r="9" spans="2:21" s="16" customFormat="1" ht="12.75">
      <c r="B9" s="142"/>
      <c r="C9" s="14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4"/>
      <c r="P9" s="14"/>
      <c r="Q9" s="14"/>
      <c r="R9" s="14"/>
      <c r="S9" s="14"/>
      <c r="T9" s="14"/>
      <c r="U9" s="146"/>
    </row>
    <row r="10" spans="2:21" s="10" customFormat="1" ht="20.25">
      <c r="B10" s="175"/>
      <c r="C10" s="11"/>
      <c r="D10" s="212" t="s">
        <v>155</v>
      </c>
      <c r="E10" s="49"/>
      <c r="F10" s="208"/>
      <c r="G10" s="242"/>
      <c r="I10" s="242"/>
      <c r="J10" s="242"/>
      <c r="K10" s="242"/>
      <c r="L10" s="242"/>
      <c r="M10" s="242"/>
      <c r="N10" s="242"/>
      <c r="O10" s="11"/>
      <c r="P10" s="11"/>
      <c r="Q10" s="11"/>
      <c r="R10" s="11"/>
      <c r="S10" s="11"/>
      <c r="T10" s="11"/>
      <c r="U10" s="241"/>
    </row>
    <row r="11" spans="2:21" s="16" customFormat="1" ht="13.5">
      <c r="B11" s="142"/>
      <c r="C11" s="14"/>
      <c r="D11" s="240"/>
      <c r="E11" s="240"/>
      <c r="F11" s="75"/>
      <c r="G11" s="233"/>
      <c r="H11" s="144"/>
      <c r="I11" s="233"/>
      <c r="J11" s="233"/>
      <c r="K11" s="233"/>
      <c r="L11" s="233"/>
      <c r="M11" s="233"/>
      <c r="N11" s="233"/>
      <c r="O11" s="14"/>
      <c r="P11" s="14"/>
      <c r="Q11" s="14"/>
      <c r="R11" s="14"/>
      <c r="S11" s="14"/>
      <c r="T11" s="14"/>
      <c r="U11" s="146"/>
    </row>
    <row r="12" spans="2:21" s="10" customFormat="1" ht="20.25">
      <c r="B12" s="175"/>
      <c r="C12" s="11"/>
      <c r="D12" s="212" t="s">
        <v>156</v>
      </c>
      <c r="E12" s="49"/>
      <c r="F12" s="208"/>
      <c r="G12" s="242"/>
      <c r="I12" s="242"/>
      <c r="J12" s="242"/>
      <c r="K12" s="242"/>
      <c r="L12" s="242"/>
      <c r="M12" s="242"/>
      <c r="N12" s="242"/>
      <c r="O12" s="11"/>
      <c r="P12" s="11"/>
      <c r="Q12" s="11"/>
      <c r="R12" s="11"/>
      <c r="S12" s="11"/>
      <c r="T12" s="11"/>
      <c r="U12" s="241"/>
    </row>
    <row r="13" spans="2:21" s="16" customFormat="1" ht="13.5">
      <c r="B13" s="142"/>
      <c r="C13" s="14"/>
      <c r="D13" s="240"/>
      <c r="E13" s="240"/>
      <c r="F13" s="75"/>
      <c r="G13" s="233"/>
      <c r="H13" s="144"/>
      <c r="I13" s="233"/>
      <c r="J13" s="233"/>
      <c r="K13" s="233"/>
      <c r="L13" s="233"/>
      <c r="M13" s="233"/>
      <c r="N13" s="233"/>
      <c r="O13" s="14"/>
      <c r="P13" s="14"/>
      <c r="Q13" s="14"/>
      <c r="R13" s="14"/>
      <c r="S13" s="14"/>
      <c r="T13" s="14"/>
      <c r="U13" s="146"/>
    </row>
    <row r="14" spans="2:21" s="16" customFormat="1" ht="19.5">
      <c r="B14" s="130" t="str">
        <f>+'tot-9911'!B14</f>
        <v>Desde el 01 al 30 de noviembre de 1999</v>
      </c>
      <c r="C14" s="133"/>
      <c r="D14" s="133"/>
      <c r="E14" s="133"/>
      <c r="F14" s="133"/>
      <c r="G14" s="243"/>
      <c r="H14" s="243"/>
      <c r="I14" s="243"/>
      <c r="J14" s="243"/>
      <c r="K14" s="243"/>
      <c r="L14" s="243"/>
      <c r="M14" s="243"/>
      <c r="N14" s="243"/>
      <c r="O14" s="133"/>
      <c r="P14" s="133"/>
      <c r="Q14" s="133"/>
      <c r="R14" s="133"/>
      <c r="S14" s="133"/>
      <c r="T14" s="133"/>
      <c r="U14" s="244"/>
    </row>
    <row r="15" spans="2:21" s="16" customFormat="1" ht="14.25" thickBot="1">
      <c r="B15" s="245"/>
      <c r="C15" s="246"/>
      <c r="D15" s="246"/>
      <c r="E15" s="246"/>
      <c r="F15" s="246"/>
      <c r="G15" s="247"/>
      <c r="H15" s="247"/>
      <c r="I15" s="247"/>
      <c r="J15" s="247"/>
      <c r="K15" s="247"/>
      <c r="L15" s="247"/>
      <c r="M15" s="247"/>
      <c r="N15" s="247"/>
      <c r="O15" s="246"/>
      <c r="P15" s="246"/>
      <c r="Q15" s="246"/>
      <c r="R15" s="246"/>
      <c r="S15" s="246"/>
      <c r="T15" s="246"/>
      <c r="U15" s="248"/>
    </row>
    <row r="16" spans="2:21" s="16" customFormat="1" ht="15" thickBot="1" thickTop="1">
      <c r="B16" s="142"/>
      <c r="C16" s="14"/>
      <c r="D16" s="249"/>
      <c r="E16" s="249"/>
      <c r="F16" s="250" t="s">
        <v>157</v>
      </c>
      <c r="G16" s="14"/>
      <c r="H16" s="14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6"/>
    </row>
    <row r="17" spans="2:21" s="16" customFormat="1" ht="14.25" thickBot="1" thickTop="1">
      <c r="B17" s="142"/>
      <c r="C17" s="14"/>
      <c r="D17" s="251" t="s">
        <v>158</v>
      </c>
      <c r="E17" s="644">
        <v>29.255</v>
      </c>
      <c r="F17" s="250">
        <v>200</v>
      </c>
      <c r="T17" s="167"/>
      <c r="U17" s="146"/>
    </row>
    <row r="18" spans="2:21" s="16" customFormat="1" ht="14.25" thickBot="1" thickTop="1">
      <c r="B18" s="142"/>
      <c r="C18" s="14"/>
      <c r="D18" s="252" t="s">
        <v>159</v>
      </c>
      <c r="E18" s="285">
        <v>26.328</v>
      </c>
      <c r="F18" s="250">
        <v>100</v>
      </c>
      <c r="M18" s="14"/>
      <c r="N18" s="14"/>
      <c r="O18" s="14"/>
      <c r="P18" s="14"/>
      <c r="Q18" s="14"/>
      <c r="R18" s="14"/>
      <c r="S18" s="14"/>
      <c r="T18" s="14"/>
      <c r="U18" s="146"/>
    </row>
    <row r="19" spans="2:21" s="16" customFormat="1" ht="14.25" thickBot="1" thickTop="1">
      <c r="B19" s="142"/>
      <c r="C19" s="14"/>
      <c r="D19" s="253" t="s">
        <v>160</v>
      </c>
      <c r="E19" s="285">
        <v>23.405</v>
      </c>
      <c r="F19" s="250">
        <v>40</v>
      </c>
      <c r="I19" s="181" t="s">
        <v>178</v>
      </c>
      <c r="J19" s="649">
        <v>0.998</v>
      </c>
      <c r="K19" s="14" t="s">
        <v>179</v>
      </c>
      <c r="M19" s="14"/>
      <c r="O19" s="14"/>
      <c r="P19" s="14"/>
      <c r="Q19" s="14"/>
      <c r="R19" s="14"/>
      <c r="S19" s="14"/>
      <c r="T19" s="14"/>
      <c r="U19" s="146"/>
    </row>
    <row r="20" spans="2:21" s="16" customFormat="1" ht="16.5" customHeight="1" thickBot="1" thickTop="1">
      <c r="B20" s="142"/>
      <c r="C20" s="21"/>
      <c r="D20" s="96"/>
      <c r="E20" s="96"/>
      <c r="F20" s="234"/>
      <c r="G20" s="235"/>
      <c r="H20" s="235"/>
      <c r="I20" s="235"/>
      <c r="J20" s="235"/>
      <c r="K20" s="235"/>
      <c r="L20" s="235"/>
      <c r="M20" s="235"/>
      <c r="N20" s="86"/>
      <c r="O20" s="236"/>
      <c r="P20" s="237"/>
      <c r="Q20" s="237"/>
      <c r="R20" s="237"/>
      <c r="S20" s="238"/>
      <c r="T20" s="239"/>
      <c r="U20" s="146"/>
    </row>
    <row r="21" spans="2:21" s="16" customFormat="1" ht="33.75" customHeight="1" thickBot="1" thickTop="1">
      <c r="B21" s="142"/>
      <c r="C21" s="182" t="s">
        <v>107</v>
      </c>
      <c r="D21" s="191" t="s">
        <v>149</v>
      </c>
      <c r="E21" s="187" t="s">
        <v>77</v>
      </c>
      <c r="F21" s="254" t="s">
        <v>108</v>
      </c>
      <c r="G21" s="356" t="s">
        <v>112</v>
      </c>
      <c r="H21" s="185" t="s">
        <v>113</v>
      </c>
      <c r="I21" s="187" t="s">
        <v>114</v>
      </c>
      <c r="J21" s="255" t="s">
        <v>115</v>
      </c>
      <c r="K21" s="255" t="s">
        <v>116</v>
      </c>
      <c r="L21" s="190" t="s">
        <v>117</v>
      </c>
      <c r="M21" s="186" t="s">
        <v>120</v>
      </c>
      <c r="N21" s="539" t="s">
        <v>111</v>
      </c>
      <c r="O21" s="527" t="s">
        <v>137</v>
      </c>
      <c r="P21" s="548" t="s">
        <v>161</v>
      </c>
      <c r="Q21" s="549"/>
      <c r="R21" s="561" t="s">
        <v>125</v>
      </c>
      <c r="S21" s="192" t="s">
        <v>127</v>
      </c>
      <c r="T21" s="226" t="s">
        <v>128</v>
      </c>
      <c r="U21" s="146"/>
    </row>
    <row r="22" spans="2:21" s="16" customFormat="1" ht="16.5" customHeight="1" thickTop="1">
      <c r="B22" s="142"/>
      <c r="C22" s="20"/>
      <c r="D22" s="80" t="s">
        <v>211</v>
      </c>
      <c r="E22" s="80"/>
      <c r="F22" s="80"/>
      <c r="G22" s="366"/>
      <c r="H22" s="80"/>
      <c r="I22" s="80"/>
      <c r="J22" s="80"/>
      <c r="K22" s="80"/>
      <c r="L22" s="80"/>
      <c r="M22" s="80"/>
      <c r="N22" s="542"/>
      <c r="O22" s="546"/>
      <c r="P22" s="550"/>
      <c r="Q22" s="551"/>
      <c r="R22" s="562"/>
      <c r="S22" s="80"/>
      <c r="T22" s="646">
        <f>ROUND('SA-9911'!T45,2)</f>
        <v>42425.47</v>
      </c>
      <c r="U22" s="146"/>
    </row>
    <row r="23" spans="2:21" s="16" customFormat="1" ht="16.5" customHeight="1">
      <c r="B23" s="142"/>
      <c r="C23" s="20"/>
      <c r="D23" s="81"/>
      <c r="E23" s="81"/>
      <c r="F23" s="81"/>
      <c r="G23" s="366"/>
      <c r="H23" s="81"/>
      <c r="I23" s="81"/>
      <c r="J23" s="80"/>
      <c r="K23" s="80"/>
      <c r="L23" s="81"/>
      <c r="M23" s="81"/>
      <c r="N23" s="538"/>
      <c r="O23" s="543"/>
      <c r="P23" s="552"/>
      <c r="Q23" s="553"/>
      <c r="R23" s="558"/>
      <c r="S23" s="81"/>
      <c r="T23" s="646"/>
      <c r="U23" s="146"/>
    </row>
    <row r="24" spans="2:21" s="16" customFormat="1" ht="16.5" customHeight="1">
      <c r="B24" s="142"/>
      <c r="C24" s="20">
        <v>70</v>
      </c>
      <c r="D24" s="81" t="s">
        <v>49</v>
      </c>
      <c r="E24" s="81" t="s">
        <v>50</v>
      </c>
      <c r="F24" s="82">
        <v>500</v>
      </c>
      <c r="G24" s="357">
        <f>IF(F24=500,'SA-9911'!$E$17,IF(F24=220,'SA-9911'!$E$18,'SA-9911'!$E$19))*'SA-9911'!$J$19</f>
        <v>29.19649</v>
      </c>
      <c r="H24" s="83">
        <v>36482.02361111111</v>
      </c>
      <c r="I24" s="84">
        <v>36482.21388888889</v>
      </c>
      <c r="J24" s="85">
        <f>IF(D24="","",(I24-H24)*24)</f>
        <v>4.566666666709352</v>
      </c>
      <c r="K24" s="31">
        <f>IF(D24="","",ROUND((I24-H24)*24*60,0))</f>
        <v>274</v>
      </c>
      <c r="L24" s="28" t="s">
        <v>197</v>
      </c>
      <c r="M24" s="24" t="str">
        <f>IF(D24="","",IF(L24="P","--","NO"))</f>
        <v>--</v>
      </c>
      <c r="N24" s="540">
        <f>IF(F24=500,'SA-9911'!$F$17,IF(F24=220,'SA-9911'!$F$18,'SA-9911'!$F$19))</f>
        <v>200</v>
      </c>
      <c r="O24" s="544">
        <f>IF(L24="P",G24*N24*ROUND(K24/60,2)*0.1,"--")</f>
        <v>2668.5591860000004</v>
      </c>
      <c r="P24" s="552" t="str">
        <f>IF(AND(L24="F",M24="NO"),G24*N24,"--")</f>
        <v>--</v>
      </c>
      <c r="Q24" s="553" t="str">
        <f>IF(L24="F",G24*N24*ROUND(K24/60,2),"--")</f>
        <v>--</v>
      </c>
      <c r="R24" s="558" t="str">
        <f>IF(L24="RF",G24*N24*ROUND(K24/60,2),"--")</f>
        <v>--</v>
      </c>
      <c r="S24" s="87" t="str">
        <f>IF(D24="","","SI")</f>
        <v>SI</v>
      </c>
      <c r="T24" s="88">
        <f>IF(D24="","",SUM(O24:R24)*IF(S24="SI",1,2))</f>
        <v>2668.5591860000004</v>
      </c>
      <c r="U24" s="146"/>
    </row>
    <row r="25" spans="2:21" s="16" customFormat="1" ht="16.5" customHeight="1">
      <c r="B25" s="142"/>
      <c r="C25" s="20">
        <v>71</v>
      </c>
      <c r="D25" s="81" t="s">
        <v>58</v>
      </c>
      <c r="E25" s="81" t="s">
        <v>198</v>
      </c>
      <c r="F25" s="81">
        <v>500</v>
      </c>
      <c r="G25" s="357">
        <f aca="true" t="shared" si="0" ref="G25:G41">IF(F25=500,$E$17,IF(F25=220,$E$18,$E$19))*$J$19</f>
        <v>29.19649</v>
      </c>
      <c r="H25" s="652">
        <v>36482.32847222222</v>
      </c>
      <c r="I25" s="652">
        <v>36482.54513888889</v>
      </c>
      <c r="J25" s="85">
        <f aca="true" t="shared" si="1" ref="J25:J41">IF(D25="","",(I25-H25)*24)</f>
        <v>5.2000000000116415</v>
      </c>
      <c r="K25" s="31">
        <f aca="true" t="shared" si="2" ref="K25:K41">IF(D25="","",ROUND((I25-H25)*24*60,0))</f>
        <v>312</v>
      </c>
      <c r="L25" s="81" t="s">
        <v>196</v>
      </c>
      <c r="M25" s="81" t="s">
        <v>167</v>
      </c>
      <c r="N25" s="540">
        <f>IF(F25=500,$F$17,IF(F25=220,$F$18,$F$19))</f>
        <v>200</v>
      </c>
      <c r="O25" s="544" t="str">
        <f>IF(L25="P",G25*N25*ROUND(K25/60,2)*0.1,"--")</f>
        <v>--</v>
      </c>
      <c r="P25" s="552" t="str">
        <f>IF(AND(L25="F",M25="NO"),G25*N25,"--")</f>
        <v>--</v>
      </c>
      <c r="Q25" s="553">
        <f aca="true" t="shared" si="3" ref="Q25:Q41">IF(L25="F",G25*N25*ROUND(K25/60,2),"--")</f>
        <v>30364.3496</v>
      </c>
      <c r="R25" s="558" t="str">
        <f>IF(L25="RF",G25*N25*ROUND(K25/60,2),"--")</f>
        <v>--</v>
      </c>
      <c r="S25" s="81" t="s">
        <v>167</v>
      </c>
      <c r="T25" s="88">
        <f aca="true" t="shared" si="4" ref="T25:T41">IF(D25="","",SUM(O25:R25)*IF(S25="SI",1,2))</f>
        <v>30364.3496</v>
      </c>
      <c r="U25" s="146"/>
    </row>
    <row r="26" spans="2:21" s="16" customFormat="1" ht="16.5" customHeight="1">
      <c r="B26" s="142"/>
      <c r="C26" s="20">
        <v>72</v>
      </c>
      <c r="D26" s="81" t="s">
        <v>49</v>
      </c>
      <c r="E26" s="81" t="s">
        <v>50</v>
      </c>
      <c r="F26" s="81">
        <v>500</v>
      </c>
      <c r="G26" s="357">
        <f t="shared" si="0"/>
        <v>29.19649</v>
      </c>
      <c r="H26" s="83">
        <v>36483.004166666666</v>
      </c>
      <c r="I26" s="84">
        <v>36483.211805555555</v>
      </c>
      <c r="J26" s="85">
        <f t="shared" si="1"/>
        <v>4.983333333337214</v>
      </c>
      <c r="K26" s="31">
        <f t="shared" si="2"/>
        <v>299</v>
      </c>
      <c r="L26" s="28" t="s">
        <v>197</v>
      </c>
      <c r="M26" s="24" t="str">
        <f aca="true" t="shared" si="5" ref="M26:M41">IF(D26="","",IF(L26="P","--","NO"))</f>
        <v>--</v>
      </c>
      <c r="N26" s="540">
        <f aca="true" t="shared" si="6" ref="N26:N41">IF(F26=500,$F$17,IF(F26=220,$F$18,$F$19))</f>
        <v>200</v>
      </c>
      <c r="O26" s="544">
        <f aca="true" t="shared" si="7" ref="O26:O41">IF(L26="P",G26*N26*ROUND(K26/60,2)*0.1,"--")</f>
        <v>2907.970404</v>
      </c>
      <c r="P26" s="552" t="str">
        <f aca="true" t="shared" si="8" ref="P26:P41">IF(AND(L26="F",M26="NO"),G26*N26,"--")</f>
        <v>--</v>
      </c>
      <c r="Q26" s="553" t="str">
        <f t="shared" si="3"/>
        <v>--</v>
      </c>
      <c r="R26" s="558" t="str">
        <f aca="true" t="shared" si="9" ref="R26:R41">IF(L26="RF",G26*N26*ROUND(K26/60,2),"--")</f>
        <v>--</v>
      </c>
      <c r="S26" s="87" t="str">
        <f aca="true" t="shared" si="10" ref="S26:S41">IF(D26="","","SI")</f>
        <v>SI</v>
      </c>
      <c r="T26" s="88">
        <f t="shared" si="4"/>
        <v>2907.970404</v>
      </c>
      <c r="U26" s="146"/>
    </row>
    <row r="27" spans="2:21" s="16" customFormat="1" ht="16.5" customHeight="1">
      <c r="B27" s="142"/>
      <c r="C27" s="20">
        <v>73</v>
      </c>
      <c r="D27" s="81" t="s">
        <v>24</v>
      </c>
      <c r="E27" s="81" t="s">
        <v>55</v>
      </c>
      <c r="F27" s="82">
        <v>132</v>
      </c>
      <c r="G27" s="357">
        <f t="shared" si="0"/>
        <v>23.35819</v>
      </c>
      <c r="H27" s="83">
        <v>36483.356944444444</v>
      </c>
      <c r="I27" s="84">
        <v>36483.76111111111</v>
      </c>
      <c r="J27" s="85">
        <f t="shared" si="1"/>
        <v>9.700000000011642</v>
      </c>
      <c r="K27" s="31">
        <f t="shared" si="2"/>
        <v>582</v>
      </c>
      <c r="L27" s="28" t="s">
        <v>197</v>
      </c>
      <c r="M27" s="24" t="str">
        <f t="shared" si="5"/>
        <v>--</v>
      </c>
      <c r="N27" s="540">
        <f t="shared" si="6"/>
        <v>40</v>
      </c>
      <c r="O27" s="544">
        <f t="shared" si="7"/>
        <v>906.2977720000001</v>
      </c>
      <c r="P27" s="552" t="str">
        <f t="shared" si="8"/>
        <v>--</v>
      </c>
      <c r="Q27" s="553" t="str">
        <f t="shared" si="3"/>
        <v>--</v>
      </c>
      <c r="R27" s="558" t="str">
        <f t="shared" si="9"/>
        <v>--</v>
      </c>
      <c r="S27" s="87" t="str">
        <f t="shared" si="10"/>
        <v>SI</v>
      </c>
      <c r="T27" s="88">
        <f t="shared" si="4"/>
        <v>906.2977720000001</v>
      </c>
      <c r="U27" s="146"/>
    </row>
    <row r="28" spans="2:21" s="16" customFormat="1" ht="16.5" customHeight="1">
      <c r="B28" s="142"/>
      <c r="C28" s="20">
        <v>74</v>
      </c>
      <c r="D28" s="81" t="s">
        <v>58</v>
      </c>
      <c r="E28" s="81" t="s">
        <v>59</v>
      </c>
      <c r="F28" s="82">
        <v>500</v>
      </c>
      <c r="G28" s="357">
        <f t="shared" si="0"/>
        <v>29.19649</v>
      </c>
      <c r="H28" s="83">
        <v>36484.32777777778</v>
      </c>
      <c r="I28" s="84">
        <v>36484.64722222222</v>
      </c>
      <c r="J28" s="85">
        <f t="shared" si="1"/>
        <v>7.666666666686069</v>
      </c>
      <c r="K28" s="31">
        <f t="shared" si="2"/>
        <v>460</v>
      </c>
      <c r="L28" s="28" t="s">
        <v>197</v>
      </c>
      <c r="M28" s="24" t="str">
        <f t="shared" si="5"/>
        <v>--</v>
      </c>
      <c r="N28" s="540">
        <f t="shared" si="6"/>
        <v>200</v>
      </c>
      <c r="O28" s="544">
        <f t="shared" si="7"/>
        <v>4478.741566</v>
      </c>
      <c r="P28" s="552" t="str">
        <f t="shared" si="8"/>
        <v>--</v>
      </c>
      <c r="Q28" s="553" t="str">
        <f t="shared" si="3"/>
        <v>--</v>
      </c>
      <c r="R28" s="558" t="str">
        <f t="shared" si="9"/>
        <v>--</v>
      </c>
      <c r="S28" s="87" t="str">
        <f t="shared" si="10"/>
        <v>SI</v>
      </c>
      <c r="T28" s="88">
        <f t="shared" si="4"/>
        <v>4478.741566</v>
      </c>
      <c r="U28" s="146"/>
    </row>
    <row r="29" spans="2:21" s="16" customFormat="1" ht="16.5" customHeight="1">
      <c r="B29" s="142"/>
      <c r="C29" s="20">
        <v>75</v>
      </c>
      <c r="D29" s="81" t="s">
        <v>24</v>
      </c>
      <c r="E29" s="81" t="s">
        <v>55</v>
      </c>
      <c r="F29" s="82">
        <v>132</v>
      </c>
      <c r="G29" s="357">
        <f t="shared" si="0"/>
        <v>23.35819</v>
      </c>
      <c r="H29" s="83">
        <v>36486.68541666667</v>
      </c>
      <c r="I29" s="84">
        <v>36486.77777777778</v>
      </c>
      <c r="J29" s="85">
        <f t="shared" si="1"/>
        <v>2.2166666667326353</v>
      </c>
      <c r="K29" s="31">
        <f t="shared" si="2"/>
        <v>133</v>
      </c>
      <c r="L29" s="28" t="s">
        <v>197</v>
      </c>
      <c r="M29" s="24" t="str">
        <f t="shared" si="5"/>
        <v>--</v>
      </c>
      <c r="N29" s="540">
        <f t="shared" si="6"/>
        <v>40</v>
      </c>
      <c r="O29" s="544">
        <f t="shared" si="7"/>
        <v>207.42072720000007</v>
      </c>
      <c r="P29" s="552" t="str">
        <f t="shared" si="8"/>
        <v>--</v>
      </c>
      <c r="Q29" s="553" t="str">
        <f t="shared" si="3"/>
        <v>--</v>
      </c>
      <c r="R29" s="558" t="str">
        <f t="shared" si="9"/>
        <v>--</v>
      </c>
      <c r="S29" s="87" t="str">
        <f t="shared" si="10"/>
        <v>SI</v>
      </c>
      <c r="T29" s="88">
        <f t="shared" si="4"/>
        <v>207.42072720000007</v>
      </c>
      <c r="U29" s="146"/>
    </row>
    <row r="30" spans="2:21" s="75" customFormat="1" ht="16.5" customHeight="1">
      <c r="B30" s="1010" t="s">
        <v>210</v>
      </c>
      <c r="C30" s="53">
        <v>76</v>
      </c>
      <c r="D30" s="1011" t="s">
        <v>43</v>
      </c>
      <c r="E30" s="1011" t="s">
        <v>207</v>
      </c>
      <c r="F30" s="1012">
        <v>132</v>
      </c>
      <c r="G30" s="992">
        <f t="shared" si="0"/>
        <v>23.35819</v>
      </c>
      <c r="H30" s="993">
        <v>36489.37986111111</v>
      </c>
      <c r="I30" s="60">
        <v>36489.597916666666</v>
      </c>
      <c r="J30" s="85">
        <f t="shared" si="1"/>
        <v>5.233333333279006</v>
      </c>
      <c r="K30" s="31">
        <f t="shared" si="2"/>
        <v>314</v>
      </c>
      <c r="L30" s="994" t="s">
        <v>197</v>
      </c>
      <c r="M30" s="58" t="str">
        <f t="shared" si="5"/>
        <v>--</v>
      </c>
      <c r="N30" s="1013">
        <f t="shared" si="6"/>
        <v>40</v>
      </c>
      <c r="O30" s="1014">
        <f t="shared" si="7"/>
        <v>488.6533348000001</v>
      </c>
      <c r="P30" s="1015" t="str">
        <f t="shared" si="8"/>
        <v>--</v>
      </c>
      <c r="Q30" s="1016" t="str">
        <f t="shared" si="3"/>
        <v>--</v>
      </c>
      <c r="R30" s="1017" t="str">
        <f t="shared" si="9"/>
        <v>--</v>
      </c>
      <c r="S30" s="1018" t="s">
        <v>167</v>
      </c>
      <c r="T30" s="88">
        <f t="shared" si="4"/>
        <v>488.6533348000001</v>
      </c>
      <c r="U30" s="165"/>
    </row>
    <row r="31" spans="2:21" s="75" customFormat="1" ht="16.5" customHeight="1">
      <c r="B31" s="1010" t="s">
        <v>210</v>
      </c>
      <c r="C31" s="53">
        <v>77</v>
      </c>
      <c r="D31" s="1011" t="s">
        <v>43</v>
      </c>
      <c r="E31" s="1011" t="s">
        <v>208</v>
      </c>
      <c r="F31" s="1012">
        <v>132</v>
      </c>
      <c r="G31" s="992">
        <f t="shared" si="0"/>
        <v>23.35819</v>
      </c>
      <c r="H31" s="993">
        <v>36489.3875</v>
      </c>
      <c r="I31" s="60">
        <v>36489.4</v>
      </c>
      <c r="J31" s="85">
        <f>IF(D31="","",(I31-H31)*24)</f>
        <v>0.3000000001047738</v>
      </c>
      <c r="K31" s="31">
        <f>IF(D31="","",ROUND((I31-H31)*24*60,0))</f>
        <v>18</v>
      </c>
      <c r="L31" s="994" t="s">
        <v>196</v>
      </c>
      <c r="M31" s="58" t="str">
        <f>IF(D31="","",IF(L31="P","--","NO"))</f>
        <v>NO</v>
      </c>
      <c r="N31" s="1013">
        <f>IF(F31=500,$F$17,IF(F31=220,$F$18,$F$19))</f>
        <v>40</v>
      </c>
      <c r="O31" s="1014" t="str">
        <f>IF(L31="P",G31*N31*ROUND(K31/60,2)*0.1,"--")</f>
        <v>--</v>
      </c>
      <c r="P31" s="1015">
        <f>IF(AND(L31="F",M31="NO"),G31*N31,"--")</f>
        <v>934.3276000000001</v>
      </c>
      <c r="Q31" s="1016">
        <f>IF(L31="F",G31*N31*ROUND(K31/60,2),"--")</f>
        <v>280.29828000000003</v>
      </c>
      <c r="R31" s="1017" t="str">
        <f>IF(L31="RF",G31*N31*ROUND(K31/60,2),"--")</f>
        <v>--</v>
      </c>
      <c r="S31" s="1018" t="s">
        <v>167</v>
      </c>
      <c r="T31" s="88">
        <f>IF(D31="","",SUM(O31:R31)*IF(S31="SI",1,2))</f>
        <v>1214.62588</v>
      </c>
      <c r="U31" s="165"/>
    </row>
    <row r="32" spans="2:21" s="75" customFormat="1" ht="16.5" customHeight="1">
      <c r="B32" s="1010"/>
      <c r="C32" s="53">
        <v>78</v>
      </c>
      <c r="D32" s="1011" t="s">
        <v>49</v>
      </c>
      <c r="E32" s="1011" t="s">
        <v>50</v>
      </c>
      <c r="F32" s="1012">
        <v>500</v>
      </c>
      <c r="G32" s="992">
        <f t="shared" si="0"/>
        <v>29.19649</v>
      </c>
      <c r="H32" s="993">
        <v>36490.0125</v>
      </c>
      <c r="I32" s="60">
        <v>36490.15069444444</v>
      </c>
      <c r="J32" s="85">
        <f t="shared" si="1"/>
        <v>3.3166666666511446</v>
      </c>
      <c r="K32" s="31">
        <f t="shared" si="2"/>
        <v>199</v>
      </c>
      <c r="L32" s="994" t="s">
        <v>197</v>
      </c>
      <c r="M32" s="58" t="str">
        <f t="shared" si="5"/>
        <v>--</v>
      </c>
      <c r="N32" s="1013">
        <f t="shared" si="6"/>
        <v>200</v>
      </c>
      <c r="O32" s="1014">
        <f t="shared" si="7"/>
        <v>1938.646936</v>
      </c>
      <c r="P32" s="1015" t="str">
        <f t="shared" si="8"/>
        <v>--</v>
      </c>
      <c r="Q32" s="1016" t="str">
        <f t="shared" si="3"/>
        <v>--</v>
      </c>
      <c r="R32" s="1017" t="str">
        <f t="shared" si="9"/>
        <v>--</v>
      </c>
      <c r="S32" s="1018" t="str">
        <f t="shared" si="10"/>
        <v>SI</v>
      </c>
      <c r="T32" s="88">
        <f t="shared" si="4"/>
        <v>1938.646936</v>
      </c>
      <c r="U32" s="165"/>
    </row>
    <row r="33" spans="2:21" s="75" customFormat="1" ht="16.5" customHeight="1">
      <c r="B33" s="1010"/>
      <c r="C33" s="53">
        <v>79</v>
      </c>
      <c r="D33" s="1011" t="s">
        <v>45</v>
      </c>
      <c r="E33" s="1011" t="s">
        <v>68</v>
      </c>
      <c r="F33" s="1012">
        <v>132</v>
      </c>
      <c r="G33" s="992">
        <f t="shared" si="0"/>
        <v>23.35819</v>
      </c>
      <c r="H33" s="993">
        <v>36490.54305555556</v>
      </c>
      <c r="I33" s="60">
        <v>36490.57847222222</v>
      </c>
      <c r="J33" s="85">
        <f t="shared" si="1"/>
        <v>0.8499999999767169</v>
      </c>
      <c r="K33" s="31">
        <f t="shared" si="2"/>
        <v>51</v>
      </c>
      <c r="L33" s="994" t="s">
        <v>196</v>
      </c>
      <c r="M33" s="58" t="s">
        <v>167</v>
      </c>
      <c r="N33" s="1013">
        <f t="shared" si="6"/>
        <v>40</v>
      </c>
      <c r="O33" s="1014" t="str">
        <f t="shared" si="7"/>
        <v>--</v>
      </c>
      <c r="P33" s="1015" t="str">
        <f t="shared" si="8"/>
        <v>--</v>
      </c>
      <c r="Q33" s="1016">
        <f t="shared" si="3"/>
        <v>794.1784600000001</v>
      </c>
      <c r="R33" s="1017" t="str">
        <f t="shared" si="9"/>
        <v>--</v>
      </c>
      <c r="S33" s="1018" t="str">
        <f t="shared" si="10"/>
        <v>SI</v>
      </c>
      <c r="T33" s="88">
        <f t="shared" si="4"/>
        <v>794.1784600000001</v>
      </c>
      <c r="U33" s="165"/>
    </row>
    <row r="34" spans="2:21" s="75" customFormat="1" ht="16.5" customHeight="1">
      <c r="B34" s="1010"/>
      <c r="C34" s="53">
        <v>81</v>
      </c>
      <c r="D34" s="1011" t="s">
        <v>21</v>
      </c>
      <c r="E34" s="1011" t="s">
        <v>52</v>
      </c>
      <c r="F34" s="1012">
        <v>132</v>
      </c>
      <c r="G34" s="992">
        <f t="shared" si="0"/>
        <v>23.35819</v>
      </c>
      <c r="H34" s="993">
        <v>36491.356944444444</v>
      </c>
      <c r="I34" s="60">
        <v>36491.736805555556</v>
      </c>
      <c r="J34" s="85">
        <f t="shared" si="1"/>
        <v>9.11666666669771</v>
      </c>
      <c r="K34" s="31">
        <f t="shared" si="2"/>
        <v>547</v>
      </c>
      <c r="L34" s="994" t="s">
        <v>197</v>
      </c>
      <c r="M34" s="58" t="str">
        <f t="shared" si="5"/>
        <v>--</v>
      </c>
      <c r="N34" s="1013">
        <f t="shared" si="6"/>
        <v>40</v>
      </c>
      <c r="O34" s="1014">
        <f t="shared" si="7"/>
        <v>852.1067712</v>
      </c>
      <c r="P34" s="1015" t="str">
        <f t="shared" si="8"/>
        <v>--</v>
      </c>
      <c r="Q34" s="1016" t="str">
        <f t="shared" si="3"/>
        <v>--</v>
      </c>
      <c r="R34" s="1017" t="str">
        <f t="shared" si="9"/>
        <v>--</v>
      </c>
      <c r="S34" s="1018" t="str">
        <f t="shared" si="10"/>
        <v>SI</v>
      </c>
      <c r="T34" s="88">
        <f t="shared" si="4"/>
        <v>852.1067712</v>
      </c>
      <c r="U34" s="165"/>
    </row>
    <row r="35" spans="2:21" s="16" customFormat="1" ht="16.5" customHeight="1">
      <c r="B35" s="142"/>
      <c r="C35" s="20">
        <v>82</v>
      </c>
      <c r="D35" s="81" t="s">
        <v>21</v>
      </c>
      <c r="E35" s="81" t="s">
        <v>51</v>
      </c>
      <c r="F35" s="82">
        <v>132</v>
      </c>
      <c r="G35" s="357">
        <f t="shared" si="0"/>
        <v>23.35819</v>
      </c>
      <c r="H35" s="83">
        <v>36491.35763888889</v>
      </c>
      <c r="I35" s="84">
        <v>36491.73611111111</v>
      </c>
      <c r="J35" s="85">
        <f t="shared" si="1"/>
        <v>9.083333333255723</v>
      </c>
      <c r="K35" s="31">
        <f t="shared" si="2"/>
        <v>545</v>
      </c>
      <c r="L35" s="28" t="s">
        <v>197</v>
      </c>
      <c r="M35" s="24" t="str">
        <f t="shared" si="5"/>
        <v>--</v>
      </c>
      <c r="N35" s="540">
        <f t="shared" si="6"/>
        <v>40</v>
      </c>
      <c r="O35" s="544">
        <f t="shared" si="7"/>
        <v>848.3694608000002</v>
      </c>
      <c r="P35" s="552" t="str">
        <f t="shared" si="8"/>
        <v>--</v>
      </c>
      <c r="Q35" s="553" t="str">
        <f t="shared" si="3"/>
        <v>--</v>
      </c>
      <c r="R35" s="558" t="str">
        <f t="shared" si="9"/>
        <v>--</v>
      </c>
      <c r="S35" s="87" t="str">
        <f t="shared" si="10"/>
        <v>SI</v>
      </c>
      <c r="T35" s="88">
        <f t="shared" si="4"/>
        <v>848.3694608000002</v>
      </c>
      <c r="U35" s="146"/>
    </row>
    <row r="36" spans="2:21" s="16" customFormat="1" ht="16.5" customHeight="1">
      <c r="B36" s="142"/>
      <c r="C36" s="20">
        <v>83</v>
      </c>
      <c r="D36" s="81" t="s">
        <v>21</v>
      </c>
      <c r="E36" s="81" t="s">
        <v>52</v>
      </c>
      <c r="F36" s="82">
        <v>132</v>
      </c>
      <c r="G36" s="357">
        <f t="shared" si="0"/>
        <v>23.35819</v>
      </c>
      <c r="H36" s="83">
        <v>36492.31041666667</v>
      </c>
      <c r="I36" s="84">
        <v>36492.717361111114</v>
      </c>
      <c r="J36" s="85">
        <f t="shared" si="1"/>
        <v>9.766666666720994</v>
      </c>
      <c r="K36" s="31">
        <f t="shared" si="2"/>
        <v>586</v>
      </c>
      <c r="L36" s="28" t="s">
        <v>197</v>
      </c>
      <c r="M36" s="24" t="str">
        <f t="shared" si="5"/>
        <v>--</v>
      </c>
      <c r="N36" s="540">
        <f t="shared" si="6"/>
        <v>40</v>
      </c>
      <c r="O36" s="544">
        <f t="shared" si="7"/>
        <v>912.8380652000001</v>
      </c>
      <c r="P36" s="552" t="str">
        <f t="shared" si="8"/>
        <v>--</v>
      </c>
      <c r="Q36" s="553" t="str">
        <f t="shared" si="3"/>
        <v>--</v>
      </c>
      <c r="R36" s="558" t="str">
        <f t="shared" si="9"/>
        <v>--</v>
      </c>
      <c r="S36" s="87" t="str">
        <f t="shared" si="10"/>
        <v>SI</v>
      </c>
      <c r="T36" s="88">
        <f t="shared" si="4"/>
        <v>912.8380652000001</v>
      </c>
      <c r="U36" s="146"/>
    </row>
    <row r="37" spans="2:21" s="16" customFormat="1" ht="16.5" customHeight="1">
      <c r="B37" s="142"/>
      <c r="C37" s="20">
        <v>84</v>
      </c>
      <c r="D37" s="81" t="s">
        <v>21</v>
      </c>
      <c r="E37" s="81" t="s">
        <v>51</v>
      </c>
      <c r="F37" s="82">
        <v>132</v>
      </c>
      <c r="G37" s="357">
        <f t="shared" si="0"/>
        <v>23.35819</v>
      </c>
      <c r="H37" s="83">
        <v>36492.31319444445</v>
      </c>
      <c r="I37" s="84">
        <v>36492.71805555555</v>
      </c>
      <c r="J37" s="85">
        <f t="shared" si="1"/>
        <v>9.716666666558012</v>
      </c>
      <c r="K37" s="31">
        <f t="shared" si="2"/>
        <v>583</v>
      </c>
      <c r="L37" s="28" t="s">
        <v>197</v>
      </c>
      <c r="M37" s="24" t="str">
        <f t="shared" si="5"/>
        <v>--</v>
      </c>
      <c r="N37" s="540">
        <f t="shared" si="6"/>
        <v>40</v>
      </c>
      <c r="O37" s="544">
        <f t="shared" si="7"/>
        <v>908.1664272000003</v>
      </c>
      <c r="P37" s="552" t="str">
        <f t="shared" si="8"/>
        <v>--</v>
      </c>
      <c r="Q37" s="553" t="str">
        <f t="shared" si="3"/>
        <v>--</v>
      </c>
      <c r="R37" s="558" t="str">
        <f t="shared" si="9"/>
        <v>--</v>
      </c>
      <c r="S37" s="87" t="str">
        <f t="shared" si="10"/>
        <v>SI</v>
      </c>
      <c r="T37" s="88">
        <f t="shared" si="4"/>
        <v>908.1664272000003</v>
      </c>
      <c r="U37" s="146"/>
    </row>
    <row r="38" spans="2:21" s="16" customFormat="1" ht="16.5" customHeight="1">
      <c r="B38" s="142"/>
      <c r="C38" s="20">
        <v>85</v>
      </c>
      <c r="D38" s="81" t="s">
        <v>38</v>
      </c>
      <c r="E38" s="81" t="s">
        <v>62</v>
      </c>
      <c r="F38" s="82">
        <v>132</v>
      </c>
      <c r="G38" s="357">
        <f t="shared" si="0"/>
        <v>23.35819</v>
      </c>
      <c r="H38" s="83">
        <v>36492.41805555556</v>
      </c>
      <c r="I38" s="84">
        <v>36492.68958333333</v>
      </c>
      <c r="J38" s="85">
        <f t="shared" si="1"/>
        <v>6.5166666666045785</v>
      </c>
      <c r="K38" s="31">
        <f t="shared" si="2"/>
        <v>391</v>
      </c>
      <c r="L38" s="28" t="s">
        <v>197</v>
      </c>
      <c r="M38" s="24" t="str">
        <f t="shared" si="5"/>
        <v>--</v>
      </c>
      <c r="N38" s="540">
        <f t="shared" si="6"/>
        <v>40</v>
      </c>
      <c r="O38" s="544">
        <f t="shared" si="7"/>
        <v>609.1815952000001</v>
      </c>
      <c r="P38" s="552" t="str">
        <f t="shared" si="8"/>
        <v>--</v>
      </c>
      <c r="Q38" s="553" t="str">
        <f t="shared" si="3"/>
        <v>--</v>
      </c>
      <c r="R38" s="558" t="str">
        <f t="shared" si="9"/>
        <v>--</v>
      </c>
      <c r="S38" s="87" t="str">
        <f t="shared" si="10"/>
        <v>SI</v>
      </c>
      <c r="T38" s="88">
        <f t="shared" si="4"/>
        <v>609.1815952000001</v>
      </c>
      <c r="U38" s="146"/>
    </row>
    <row r="39" spans="2:21" s="16" customFormat="1" ht="16.5" customHeight="1">
      <c r="B39" s="142"/>
      <c r="C39" s="20">
        <v>86</v>
      </c>
      <c r="D39" s="81" t="s">
        <v>21</v>
      </c>
      <c r="E39" s="81" t="s">
        <v>53</v>
      </c>
      <c r="F39" s="82">
        <v>500</v>
      </c>
      <c r="G39" s="357">
        <f t="shared" si="0"/>
        <v>29.19649</v>
      </c>
      <c r="H39" s="83">
        <v>36494.916666666664</v>
      </c>
      <c r="I39" s="84">
        <v>36494.99930555555</v>
      </c>
      <c r="J39" s="85">
        <f t="shared" si="1"/>
        <v>1.9833333333372138</v>
      </c>
      <c r="K39" s="31">
        <f t="shared" si="2"/>
        <v>119</v>
      </c>
      <c r="L39" s="28" t="s">
        <v>196</v>
      </c>
      <c r="M39" s="24" t="str">
        <f t="shared" si="5"/>
        <v>NO</v>
      </c>
      <c r="N39" s="540">
        <f t="shared" si="6"/>
        <v>200</v>
      </c>
      <c r="O39" s="544" t="str">
        <f t="shared" si="7"/>
        <v>--</v>
      </c>
      <c r="P39" s="552">
        <f t="shared" si="8"/>
        <v>5839.298</v>
      </c>
      <c r="Q39" s="553">
        <f t="shared" si="3"/>
        <v>11561.81004</v>
      </c>
      <c r="R39" s="558" t="str">
        <f t="shared" si="9"/>
        <v>--</v>
      </c>
      <c r="S39" s="87" t="str">
        <f t="shared" si="10"/>
        <v>SI</v>
      </c>
      <c r="T39" s="88">
        <f t="shared" si="4"/>
        <v>17401.10804</v>
      </c>
      <c r="U39" s="146"/>
    </row>
    <row r="40" spans="2:21" s="16" customFormat="1" ht="16.5" customHeight="1">
      <c r="B40" s="142"/>
      <c r="C40" s="20">
        <v>87</v>
      </c>
      <c r="D40" s="81" t="s">
        <v>21</v>
      </c>
      <c r="E40" s="81" t="s">
        <v>54</v>
      </c>
      <c r="F40" s="82">
        <v>500</v>
      </c>
      <c r="G40" s="357">
        <f t="shared" si="0"/>
        <v>29.19649</v>
      </c>
      <c r="H40" s="83">
        <v>36494.916666666664</v>
      </c>
      <c r="I40" s="84">
        <v>36494.99930555555</v>
      </c>
      <c r="J40" s="85">
        <f t="shared" si="1"/>
        <v>1.9833333333372138</v>
      </c>
      <c r="K40" s="31">
        <f t="shared" si="2"/>
        <v>119</v>
      </c>
      <c r="L40" s="28" t="s">
        <v>196</v>
      </c>
      <c r="M40" s="24" t="str">
        <f t="shared" si="5"/>
        <v>NO</v>
      </c>
      <c r="N40" s="540">
        <f t="shared" si="6"/>
        <v>200</v>
      </c>
      <c r="O40" s="544" t="str">
        <f t="shared" si="7"/>
        <v>--</v>
      </c>
      <c r="P40" s="552">
        <f t="shared" si="8"/>
        <v>5839.298</v>
      </c>
      <c r="Q40" s="553">
        <f t="shared" si="3"/>
        <v>11561.81004</v>
      </c>
      <c r="R40" s="558" t="str">
        <f t="shared" si="9"/>
        <v>--</v>
      </c>
      <c r="S40" s="87" t="str">
        <f t="shared" si="10"/>
        <v>SI</v>
      </c>
      <c r="T40" s="88">
        <f t="shared" si="4"/>
        <v>17401.10804</v>
      </c>
      <c r="U40" s="146"/>
    </row>
    <row r="41" spans="2:21" s="16" customFormat="1" ht="16.5" customHeight="1">
      <c r="B41" s="142"/>
      <c r="C41" s="20">
        <v>88</v>
      </c>
      <c r="D41" s="81" t="s">
        <v>30</v>
      </c>
      <c r="E41" s="81" t="s">
        <v>176</v>
      </c>
      <c r="F41" s="82">
        <v>132</v>
      </c>
      <c r="G41" s="357">
        <f t="shared" si="0"/>
        <v>23.35819</v>
      </c>
      <c r="H41" s="83">
        <v>36494.916666666664</v>
      </c>
      <c r="I41" s="84">
        <v>36494.99930555555</v>
      </c>
      <c r="J41" s="85">
        <f t="shared" si="1"/>
        <v>1.9833333333372138</v>
      </c>
      <c r="K41" s="31">
        <f t="shared" si="2"/>
        <v>119</v>
      </c>
      <c r="L41" s="28" t="s">
        <v>196</v>
      </c>
      <c r="M41" s="24" t="str">
        <f t="shared" si="5"/>
        <v>NO</v>
      </c>
      <c r="N41" s="540">
        <f t="shared" si="6"/>
        <v>40</v>
      </c>
      <c r="O41" s="544" t="str">
        <f t="shared" si="7"/>
        <v>--</v>
      </c>
      <c r="P41" s="552">
        <f t="shared" si="8"/>
        <v>934.3276000000001</v>
      </c>
      <c r="Q41" s="553">
        <f t="shared" si="3"/>
        <v>1849.968648</v>
      </c>
      <c r="R41" s="558" t="str">
        <f t="shared" si="9"/>
        <v>--</v>
      </c>
      <c r="S41" s="87" t="str">
        <f t="shared" si="10"/>
        <v>SI</v>
      </c>
      <c r="T41" s="88">
        <f t="shared" si="4"/>
        <v>2784.296248</v>
      </c>
      <c r="U41" s="146"/>
    </row>
    <row r="42" spans="2:21" s="16" customFormat="1" ht="16.5" customHeight="1">
      <c r="B42" s="142"/>
      <c r="C42" s="20">
        <v>89</v>
      </c>
      <c r="D42" s="81" t="s">
        <v>63</v>
      </c>
      <c r="E42" s="81" t="s">
        <v>64</v>
      </c>
      <c r="F42" s="82">
        <v>132</v>
      </c>
      <c r="G42" s="357">
        <f>IF(F42=500,$E$17,IF(F42=220,$E$18,$E$19))*$J$19</f>
        <v>23.35819</v>
      </c>
      <c r="H42" s="83">
        <v>36494.986805555556</v>
      </c>
      <c r="I42" s="84">
        <v>36494.99444444444</v>
      </c>
      <c r="J42" s="85">
        <f>IF(D42="","",(I42-H42)*24)</f>
        <v>0.18333333323244005</v>
      </c>
      <c r="K42" s="31">
        <f>IF(D42="","",ROUND((I42-H42)*24*60,0))</f>
        <v>11</v>
      </c>
      <c r="L42" s="28" t="s">
        <v>196</v>
      </c>
      <c r="M42" s="24" t="str">
        <f>IF(D42="","",IF(L42="P","--","NO"))</f>
        <v>NO</v>
      </c>
      <c r="N42" s="540">
        <f>IF(F42=500,$F$17,IF(F42=220,$F$18,$F$19))</f>
        <v>40</v>
      </c>
      <c r="O42" s="544" t="str">
        <f>IF(L42="P",G42*N42*ROUND(K42/60,2)*0.1,"--")</f>
        <v>--</v>
      </c>
      <c r="P42" s="552">
        <f>IF(AND(L42="F",M42="NO"),G42*N42,"--")</f>
        <v>934.3276000000001</v>
      </c>
      <c r="Q42" s="553">
        <f>IF(L42="F",G42*N42*ROUND(K42/60,2),"--")</f>
        <v>168.178968</v>
      </c>
      <c r="R42" s="558" t="str">
        <f>IF(L42="RF",G42*N42*ROUND(K42/60,2),"--")</f>
        <v>--</v>
      </c>
      <c r="S42" s="87" t="str">
        <f>IF(D42="","","SI")</f>
        <v>SI</v>
      </c>
      <c r="T42" s="88">
        <f>IF(D42="","",SUM(O42:R42)*IF(S42="SI",1,2))</f>
        <v>1102.506568</v>
      </c>
      <c r="U42" s="146"/>
    </row>
    <row r="43" spans="2:21" s="16" customFormat="1" ht="16.5" customHeight="1">
      <c r="B43" s="142"/>
      <c r="C43" s="20">
        <v>90</v>
      </c>
      <c r="D43" s="81" t="s">
        <v>63</v>
      </c>
      <c r="E43" s="81" t="s">
        <v>65</v>
      </c>
      <c r="F43" s="82">
        <v>500</v>
      </c>
      <c r="G43" s="357">
        <f>IF(F43=500,$E$17,IF(F43=220,$E$18,$E$19))*$J$19</f>
        <v>29.19649</v>
      </c>
      <c r="H43" s="83">
        <v>36494.986805555556</v>
      </c>
      <c r="I43" s="84">
        <v>36494.99236111111</v>
      </c>
      <c r="J43" s="85">
        <f>IF(D43="","",(I43-H43)*24)</f>
        <v>0.1333333332440816</v>
      </c>
      <c r="K43" s="31">
        <f>IF(D43="","",ROUND((I43-H43)*24*60,0))</f>
        <v>8</v>
      </c>
      <c r="L43" s="28" t="s">
        <v>196</v>
      </c>
      <c r="M43" s="24" t="str">
        <f>IF(D43="","",IF(L43="P","--","NO"))</f>
        <v>NO</v>
      </c>
      <c r="N43" s="540">
        <f>IF(F43=500,$F$17,IF(F43=220,$F$18,$F$19))</f>
        <v>200</v>
      </c>
      <c r="O43" s="544" t="str">
        <f>IF(L43="P",G43*N43*ROUND(K43/60,2)*0.1,"--")</f>
        <v>--</v>
      </c>
      <c r="P43" s="552">
        <f>IF(AND(L43="F",M43="NO"),G43*N43,"--")</f>
        <v>5839.298</v>
      </c>
      <c r="Q43" s="553">
        <f>IF(L43="F",G43*N43*ROUND(K43/60,2),"--")</f>
        <v>759.10874</v>
      </c>
      <c r="R43" s="558" t="str">
        <f>IF(L43="RF",G43*N43*ROUND(K43/60,2),"--")</f>
        <v>--</v>
      </c>
      <c r="S43" s="87" t="str">
        <f>IF(D43="","","SI")</f>
        <v>SI</v>
      </c>
      <c r="T43" s="88">
        <f>IF(D43="","",SUM(O43:R43)*IF(S43="SI",1,2))</f>
        <v>6598.406739999999</v>
      </c>
      <c r="U43" s="146"/>
    </row>
    <row r="44" spans="2:21" s="16" customFormat="1" ht="16.5" customHeight="1" thickBot="1">
      <c r="B44" s="142"/>
      <c r="C44" s="34"/>
      <c r="D44" s="89"/>
      <c r="E44" s="89"/>
      <c r="F44" s="35"/>
      <c r="G44" s="359"/>
      <c r="H44" s="90"/>
      <c r="I44" s="90"/>
      <c r="J44" s="90"/>
      <c r="K44" s="90"/>
      <c r="L44" s="90"/>
      <c r="M44" s="38"/>
      <c r="N44" s="541"/>
      <c r="O44" s="545"/>
      <c r="P44" s="554"/>
      <c r="Q44" s="555"/>
      <c r="R44" s="559"/>
      <c r="S44" s="91"/>
      <c r="T44" s="718"/>
      <c r="U44" s="146"/>
    </row>
    <row r="45" spans="2:21" s="16" customFormat="1" ht="16.5" customHeight="1" thickBot="1" thickTop="1">
      <c r="B45" s="142"/>
      <c r="C45" s="289" t="s">
        <v>129</v>
      </c>
      <c r="D45" s="290" t="s">
        <v>177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47">
        <f>SUM(O22:O44)</f>
        <v>17726.9522456</v>
      </c>
      <c r="P45" s="556">
        <f>SUM(P22:P44)</f>
        <v>20320.8768</v>
      </c>
      <c r="Q45" s="557">
        <f>SUM(Q22:Q44)</f>
        <v>57339.702776</v>
      </c>
      <c r="R45" s="560">
        <f>SUM(R22:R44)</f>
        <v>0</v>
      </c>
      <c r="S45" s="92"/>
      <c r="T45" s="93">
        <f>ROUND(SUM(T22:T44),2)</f>
        <v>137813</v>
      </c>
      <c r="U45" s="146"/>
    </row>
    <row r="46" spans="2:21" s="294" customFormat="1" ht="13.5" thickTop="1">
      <c r="B46" s="295"/>
      <c r="C46" s="291"/>
      <c r="D46" s="293" t="s">
        <v>131</v>
      </c>
      <c r="E46"/>
      <c r="F46" s="311"/>
      <c r="G46" s="311"/>
      <c r="H46" s="311"/>
      <c r="I46" s="311"/>
      <c r="J46" s="311"/>
      <c r="K46" s="311"/>
      <c r="L46" s="311"/>
      <c r="M46" s="311"/>
      <c r="N46" s="311"/>
      <c r="O46" s="309"/>
      <c r="P46" s="309"/>
      <c r="Q46" s="309"/>
      <c r="R46" s="309"/>
      <c r="S46" s="309"/>
      <c r="T46" s="312"/>
      <c r="U46" s="313"/>
    </row>
    <row r="47" spans="2:21" s="294" customFormat="1" ht="12.75">
      <c r="B47" s="295"/>
      <c r="C47" s="720" t="s">
        <v>209</v>
      </c>
      <c r="D47" s="293" t="s">
        <v>213</v>
      </c>
      <c r="E47"/>
      <c r="F47" s="720" t="s">
        <v>210</v>
      </c>
      <c r="G47" s="311"/>
      <c r="H47" s="311" t="s">
        <v>212</v>
      </c>
      <c r="I47" s="311"/>
      <c r="J47" s="311"/>
      <c r="K47" s="311"/>
      <c r="L47" s="311"/>
      <c r="M47" s="311"/>
      <c r="N47" s="311"/>
      <c r="O47" s="309"/>
      <c r="P47" s="309"/>
      <c r="Q47" s="309"/>
      <c r="R47" s="309"/>
      <c r="S47" s="309"/>
      <c r="T47" s="312"/>
      <c r="U47" s="313"/>
    </row>
    <row r="48" spans="2:21" s="16" customFormat="1" ht="16.5" customHeight="1" thickBot="1"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3"/>
    </row>
    <row r="49" spans="21:23" ht="16.5" customHeight="1" thickTop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21:23" ht="16.5" customHeight="1"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4:23" ht="16.5" customHeight="1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Juan Pablo Llorens</cp:lastModifiedBy>
  <cp:lastPrinted>2000-06-06T17:47:39Z</cp:lastPrinted>
  <dcterms:created xsi:type="dcterms:W3CDTF">1998-04-21T14:28:46Z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