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819" activeTab="9"/>
  </bookViews>
  <sheets>
    <sheet name="tot-0312" sheetId="1" r:id="rId1"/>
    <sheet name="LI-0312" sheetId="2" r:id="rId2"/>
    <sheet name="TR-0312" sheetId="3" r:id="rId3"/>
    <sheet name="SA-0312" sheetId="4" r:id="rId4"/>
    <sheet name="RE-0312" sheetId="5" r:id="rId5"/>
    <sheet name="SU (YACYLEC)" sheetId="6" r:id="rId6"/>
    <sheet name="SU (LITSA)" sheetId="7" r:id="rId7"/>
    <sheet name="SU (TIBA)" sheetId="8" r:id="rId8"/>
    <sheet name="SU (ENECOR)" sheetId="9" r:id="rId9"/>
    <sheet name="TRANSENER" sheetId="10" r:id="rId10"/>
  </sheets>
  <externalReferences>
    <externalReference r:id="rId13"/>
  </externalReferences>
  <definedNames>
    <definedName name="_xlnm.Print_Area" localSheetId="1">'LI-0312'!$A$1:$AD$45</definedName>
    <definedName name="_xlnm.Print_Area" localSheetId="4">'RE-0312'!$A$1:$V$45</definedName>
    <definedName name="_xlnm.Print_Area" localSheetId="3">'SA-0312'!$A$1:$U$47</definedName>
    <definedName name="_xlnm.Print_Area" localSheetId="8">'SU (ENECOR)'!$A$1:$W$57</definedName>
    <definedName name="_xlnm.Print_Area" localSheetId="6">'SU (LITSA)'!$A$1:$AD$69</definedName>
    <definedName name="_xlnm.Print_Area" localSheetId="7">'SU (TIBA)'!$A$1:$W$77</definedName>
    <definedName name="_xlnm.Print_Area" localSheetId="5">'SU (YACYLEC)'!$A$1:$AD$61</definedName>
    <definedName name="_xlnm.Print_Area" localSheetId="0">'tot-0312'!$A$1:$K$39</definedName>
    <definedName name="_xlnm.Print_Area" localSheetId="2">'TR-0312'!$A$1:$AB$45</definedName>
    <definedName name="_xlnm.Print_Area" localSheetId="9">'TRANSENER'!$A$1:$U$98</definedName>
    <definedName name="INICIO" localSheetId="1">'LI-0312'!INICIO</definedName>
    <definedName name="INICIO" localSheetId="4">'RE-0312'!INICIO</definedName>
    <definedName name="INICIO" localSheetId="3">'SA-0312'!INICIO</definedName>
    <definedName name="INICIO" localSheetId="2">'TR-0312'!INICIO</definedName>
    <definedName name="INICIO" localSheetId="9">'TRANSENER'!INICIO</definedName>
    <definedName name="INICIO">[0]!INICIO</definedName>
  </definedNames>
  <calcPr fullCalcOnLoad="1"/>
</workbook>
</file>

<file path=xl/sharedStrings.xml><?xml version="1.0" encoding="utf-8"?>
<sst xmlns="http://schemas.openxmlformats.org/spreadsheetml/2006/main" count="790" uniqueCount="290">
  <si>
    <t>SISTEMA DE TRANSPORTE DE ENERGÍA ELÉCTRICA EN ALTA TENSIÓN</t>
  </si>
  <si>
    <t>TRANSENER S.A.</t>
  </si>
  <si>
    <t>C</t>
  </si>
  <si>
    <t>ALICURA - E.T. P.del A. 2</t>
  </si>
  <si>
    <t>ALMAFUERTE - ROSARIO OESTE</t>
  </si>
  <si>
    <t>B</t>
  </si>
  <si>
    <t>CHOCON - C.H. CHOCON 2</t>
  </si>
  <si>
    <t>A</t>
  </si>
  <si>
    <t>EZEIZA - ABASTO 2</t>
  </si>
  <si>
    <t>RAMALLO - SAN NICOLAS 2</t>
  </si>
  <si>
    <t>RAMALLO - VILLA LIA  1</t>
  </si>
  <si>
    <t>RAMALLO - VILLA LIA  2</t>
  </si>
  <si>
    <t>SANTO TOME - ROMANG</t>
  </si>
  <si>
    <t>RINCON - YACYRETA III</t>
  </si>
  <si>
    <t>RINCON - SALTO GRANDE</t>
  </si>
  <si>
    <t>500/132</t>
  </si>
  <si>
    <t>ALMAFUERTE</t>
  </si>
  <si>
    <t>TRAFO 2</t>
  </si>
  <si>
    <t>TRAFO</t>
  </si>
  <si>
    <t>220/132</t>
  </si>
  <si>
    <t>CHOCON OESTE</t>
  </si>
  <si>
    <t>CHOELE CHOEL</t>
  </si>
  <si>
    <t>EL BRACHO</t>
  </si>
  <si>
    <t>EL CHOCON</t>
  </si>
  <si>
    <t>TRAFO T2</t>
  </si>
  <si>
    <t>TRAFO T4</t>
  </si>
  <si>
    <t>GRAN MENDOZA</t>
  </si>
  <si>
    <t>AUTOTRAFO 1</t>
  </si>
  <si>
    <t>RESISTENCIA</t>
  </si>
  <si>
    <t>ROMANG</t>
  </si>
  <si>
    <t>ROSARIO OESTE</t>
  </si>
  <si>
    <t>RINCÓN</t>
  </si>
  <si>
    <t>500/132/33</t>
  </si>
  <si>
    <t>BAHÍA BLANCA 500</t>
  </si>
  <si>
    <t>500/132/13,2</t>
  </si>
  <si>
    <t>OLAVARRÍA 500</t>
  </si>
  <si>
    <t>CAMPANA 500</t>
  </si>
  <si>
    <t>ABASTO</t>
  </si>
  <si>
    <t xml:space="preserve"> SALIDA TRAFO 2</t>
  </si>
  <si>
    <t xml:space="preserve"> SALIDA LINEA TANCACHA</t>
  </si>
  <si>
    <t>SALIDA ACOPLAMIENTO B-D</t>
  </si>
  <si>
    <t>SALIDA LINEA CHOCON</t>
  </si>
  <si>
    <t>SALIDA LINEA A ESTATICA</t>
  </si>
  <si>
    <t>SALIDA LINEA TUCUMAN NORTE 1</t>
  </si>
  <si>
    <t>GRAL. RODRIGUEZ</t>
  </si>
  <si>
    <t>SALIDA TRAFO 4 500/220</t>
  </si>
  <si>
    <t>SALIDA LINEA LOS REYUNOS</t>
  </si>
  <si>
    <t>OLAVARRIA</t>
  </si>
  <si>
    <t>SALIDA LINEA A BARRANQUERAS 2</t>
  </si>
  <si>
    <t xml:space="preserve"> SALIDA LINEA A FORMOSA</t>
  </si>
  <si>
    <t>SALIDA LINEA A P. LA PLAZA</t>
  </si>
  <si>
    <t>SALIDA LINEA A RECONQUISTA</t>
  </si>
  <si>
    <t>LÍNEA A PEDRO LURO</t>
  </si>
  <si>
    <t>LÍNEA A NORTE 2</t>
  </si>
  <si>
    <t>LÍNEA A PETROQUÍMICA</t>
  </si>
  <si>
    <t>LÍNEA A PUNTA ALTA</t>
  </si>
  <si>
    <t>LÍNEA A HENDERSON</t>
  </si>
  <si>
    <t>LÍNEA A AZUL</t>
  </si>
  <si>
    <t>LÍNEA A SIDERCA 0</t>
  </si>
  <si>
    <t>EQUIPO</t>
  </si>
  <si>
    <t xml:space="preserve">EZEIZA </t>
  </si>
  <si>
    <t>CS1</t>
  </si>
  <si>
    <t>CS2</t>
  </si>
  <si>
    <t>CS5</t>
  </si>
  <si>
    <t>CS6</t>
  </si>
  <si>
    <t xml:space="preserve">HENDERSON </t>
  </si>
  <si>
    <t>REACTOR 1 - SG</t>
  </si>
  <si>
    <t>REACTOR 2 - SG</t>
  </si>
  <si>
    <t>SALTO GRANDE</t>
  </si>
  <si>
    <t>REACTOR 1 - RI</t>
  </si>
  <si>
    <t>REACTOR 2 - RI</t>
  </si>
  <si>
    <t xml:space="preserve">ENTE NACIONAL REGULADOR </t>
  </si>
  <si>
    <t>DE LA ELECTRICIDAD</t>
  </si>
  <si>
    <t>1.-</t>
  </si>
  <si>
    <t>LÍNEAS</t>
  </si>
  <si>
    <t>Equipamiento propio</t>
  </si>
  <si>
    <t>Transportista Independiente YACYLEC S.A.</t>
  </si>
  <si>
    <t>Transportista Independiente LITSA</t>
  </si>
  <si>
    <t>2.-</t>
  </si>
  <si>
    <t>CONEXIÓN</t>
  </si>
  <si>
    <t>Transformación</t>
  </si>
  <si>
    <t>Salidas</t>
  </si>
  <si>
    <t>3.-</t>
  </si>
  <si>
    <t>POTENCIA REACTIVA</t>
  </si>
  <si>
    <t>4.-</t>
  </si>
  <si>
    <t>SUPERVISIÓN</t>
  </si>
  <si>
    <t>Transportista Independiente TIBA S.A.</t>
  </si>
  <si>
    <t xml:space="preserve">TOTAL </t>
  </si>
  <si>
    <t>SISTEMA DE TRANSPORTE DE ENERGÍA ELÉCTRICA EN ALTA TENSIÓN - TRANSENER S.A.</t>
  </si>
  <si>
    <t>1.- LÍNEAS</t>
  </si>
  <si>
    <t>1.1.- Líneas propias</t>
  </si>
  <si>
    <t xml:space="preserve">$/100 km-h : LINEAS 500 kV </t>
  </si>
  <si>
    <t xml:space="preserve">$/100 km-h : LINEAS 220 kV </t>
  </si>
  <si>
    <t>N°</t>
  </si>
  <si>
    <t>U
[kV]</t>
  </si>
  <si>
    <t>Long.
[km]</t>
  </si>
  <si>
    <t>CL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</si>
  <si>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</si>
  <si>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</si>
  <si>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</si>
  <si>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</si>
  <si>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</si>
  <si>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</si>
  <si>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</si>
  <si>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Rest.
%</t>
  </si>
  <si>
    <t>R.D.</t>
  </si>
  <si>
    <t>AUT.</t>
  </si>
  <si>
    <t>PENALIZ.
PROGRAM.</t>
  </si>
  <si>
    <t>REDUCC.
PROGRAM.</t>
  </si>
  <si>
    <t>PENALIZACIÓN FORZADA
Por Salida    1ras 5 hs.   hs. Restantes</t>
  </si>
  <si>
    <t>REDUCCIÓN FORZADA
Por Salida       1ras 5 hs.     hs. Restantes</t>
  </si>
  <si>
    <t>RESTANTE
FORZADA</t>
  </si>
  <si>
    <t>REDUCCIÓN
RESTANTE</t>
  </si>
  <si>
    <t>Informó
enTérm.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</si>
  <si>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</si>
  <si>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</si>
  <si>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REDUCC.
RESTANTE</t>
  </si>
  <si>
    <t>PENALIZAC.
PROGRAM.</t>
  </si>
  <si>
    <t>PENALIZACION FORZADA
Por Salida      1ras 5 hs.     hs. Restantes</t>
  </si>
  <si>
    <t>ENTE NACIONAL REGULADOR</t>
  </si>
  <si>
    <t>2.- CONEXIÓN</t>
  </si>
  <si>
    <t>2.1.- Transformación</t>
  </si>
  <si>
    <t>Por Transformador por cada MVA    $ =</t>
  </si>
  <si>
    <t>Coeficiente de penalización por salida forzada   =</t>
  </si>
  <si>
    <t>ESTACIÓN
TRANSFORMADORA</t>
  </si>
  <si>
    <t>POT.
[MVA]</t>
  </si>
  <si>
    <t>Hs
Indisp.</t>
  </si>
  <si>
    <t>E.N.S.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</si>
  <si>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</si>
  <si>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</si>
  <si>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</si>
  <si>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</si>
  <si>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</si>
  <si>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</si>
  <si>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</si>
  <si>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</si>
  <si>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PENALIZAC. FORZADA
Por Salida       hs. Restantes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</si>
  <si>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</si>
  <si>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</si>
  <si>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</si>
  <si>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</si>
  <si>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Tipo 
Sal.</t>
  </si>
  <si>
    <t>SISTEMA DE TRANSPORTE DE ENERGÍA ELÉCTRICA EN ALTA TENSIÓN - TRANSENER  S.A.</t>
  </si>
  <si>
    <t>4.- SUPERVISIÓN</t>
  </si>
  <si>
    <t>a)</t>
  </si>
  <si>
    <t>Datos</t>
  </si>
  <si>
    <t>Remuneración LÍNEAS 500 kV              =</t>
  </si>
  <si>
    <t>$/100 km-h</t>
  </si>
  <si>
    <t>Porcentaje por Supervisión  =</t>
  </si>
  <si>
    <t>Remuneración TRANSFORMADOR    =</t>
  </si>
  <si>
    <t>$/MVA</t>
  </si>
  <si>
    <t>Tiempo de servicio =</t>
  </si>
  <si>
    <t>hs</t>
  </si>
  <si>
    <t>Remuneración SALIDA 132 kV             =</t>
  </si>
  <si>
    <t>b)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</si>
  <si>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</si>
  <si>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t>CS =</t>
  </si>
  <si>
    <t>c)</t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</si>
  <si>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</si>
  <si>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t>Tipo 
Sal</t>
  </si>
  <si>
    <t>REDUCC. FORZADA
Por Salida        1ras 5 hs.      hs. Restantes</t>
  </si>
  <si>
    <t>K (P;ENS)</t>
  </si>
  <si>
    <t>PENALIZAC. FORZADA
Por Salida    hs. Restantes</t>
  </si>
  <si>
    <t>SM =</t>
  </si>
  <si>
    <t>d)</t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</si>
  <si>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</si>
  <si>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t>LONG.</t>
  </si>
  <si>
    <t>U [kV]</t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</si>
  <si>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</si>
  <si>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</si>
  <si>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Total</t>
    </r>
  </si>
  <si>
    <t xml:space="preserve"> Rincón - Salto Grande</t>
  </si>
  <si>
    <t xml:space="preserve"> Rincón - San Isidro</t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</si>
  <si>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</si>
  <si>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</si>
  <si>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</si>
  <si>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</si>
  <si>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t>Rincón - TR06</t>
  </si>
  <si>
    <t>E.T.</t>
  </si>
  <si>
    <t>SALIDA</t>
  </si>
  <si>
    <r>
      <t>RM</t>
    </r>
    <r>
      <rPr>
        <sz val="12"/>
        <rFont val="Times New Roman"/>
        <family val="1"/>
      </rPr>
      <t xml:space="preserve"> por Conexión</t>
    </r>
  </si>
  <si>
    <t>Rincón</t>
  </si>
  <si>
    <t>Ituzaingó, Ita Ibate, Virasoro</t>
  </si>
  <si>
    <t>e)</t>
  </si>
  <si>
    <t>SANCIÓN</t>
  </si>
  <si>
    <t>Sanción calculada</t>
  </si>
  <si>
    <t>TOTAL A PENALIZAR A TRANSENER S.A POR SUPERVISIÓN A L.I.T.S.A.</t>
  </si>
  <si>
    <t>SANCIÓN =</t>
  </si>
  <si>
    <t>Valor Mensual del Canon                        =</t>
  </si>
  <si>
    <t>Línea Rincón - Resistencia</t>
  </si>
  <si>
    <t>3 Líneas Rincón - Yacyretá</t>
  </si>
  <si>
    <t>TOTAL A PENALIZAR A TRANSENER S.A POR SUPERVISIÓN A YACYLEC S.A.</t>
  </si>
  <si>
    <t>4.3.- Transportista Independiente  T.I.B.A.</t>
  </si>
  <si>
    <t xml:space="preserve">Cargo por Transformador por MVA = 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</si>
  <si>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</si>
  <si>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</si>
  <si>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</si>
  <si>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</si>
  <si>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</si>
  <si>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</si>
  <si>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</si>
  <si>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</si>
  <si>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</si>
  <si>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</si>
  <si>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</si>
  <si>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>RIO GRANDE - LUJAN</t>
  </si>
  <si>
    <t>RINCON - PASO DE LA PATRIA</t>
  </si>
  <si>
    <t>RESISTENCIA - PASO DE LA PATRIA</t>
  </si>
  <si>
    <t>PASO DE LA PATRIA</t>
  </si>
  <si>
    <t>Transportista Independiente ENECOR S.A.</t>
  </si>
  <si>
    <t>SALIDA LINEA SAN LORENZO</t>
  </si>
  <si>
    <t>4.1.- Transportista Independiente YACYLEC S.A.</t>
  </si>
  <si>
    <t>4.2.- Transportista Independiente L.I.T.S.A.</t>
  </si>
  <si>
    <t>R1B5CL</t>
  </si>
  <si>
    <t>R1B5HE</t>
  </si>
  <si>
    <t>R2L5RO</t>
  </si>
  <si>
    <t xml:space="preserve">Salida en 500 kV en $/h </t>
  </si>
  <si>
    <t>Salida en 132 kV en $/h</t>
  </si>
  <si>
    <t>TOTAL A PENALIZAR A TRANSENER S.A POR SUPERVISIÓN A T.I.B.A.</t>
  </si>
  <si>
    <t>4.4.- Transportista Independiente  ENECOR S.A.</t>
  </si>
  <si>
    <t>TOTAL A PENALIZAR A TRANSENER S.A POR SUPERVISIÓN A ENECOR S.A.</t>
  </si>
  <si>
    <t>Paso de la Patria Trafo 1</t>
  </si>
  <si>
    <t>Paso de la Patria</t>
  </si>
  <si>
    <t>Factor X =</t>
  </si>
  <si>
    <t>OLAVARRIA - BAHIA BLANCA 1</t>
  </si>
  <si>
    <t>AUTOTRAFO 2</t>
  </si>
  <si>
    <t>LÍNEA A PETROQUÍMICA 2</t>
  </si>
  <si>
    <t>LÍNEA A PETROQUÍMICA 3</t>
  </si>
  <si>
    <t>GRAL. RODRIGUEZ - RAMALLO</t>
  </si>
  <si>
    <t>RAMALLO - ROSARIO OESTE</t>
  </si>
  <si>
    <t>500/132/13,8</t>
  </si>
  <si>
    <t>F</t>
  </si>
  <si>
    <t>Valores remuneratorios según Res. ENRE N° 618/01 - 544/01 - 533/01</t>
  </si>
  <si>
    <t>Salto Grande</t>
  </si>
  <si>
    <t>Trafo 2 500/132 kV</t>
  </si>
  <si>
    <t>$/hora</t>
  </si>
  <si>
    <t>Remuneración SALIDA 500 kV             =</t>
  </si>
  <si>
    <t>Salto Grande - TR02</t>
  </si>
  <si>
    <t>P</t>
  </si>
  <si>
    <t>500/132/34</t>
  </si>
  <si>
    <t>SI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</si>
  <si>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</si>
  <si>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</si>
  <si>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</si>
  <si>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</si>
  <si>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</si>
  <si>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</si>
  <si>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</si>
  <si>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</si>
  <si>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</si>
  <si>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</si>
  <si>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</si>
  <si>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</si>
  <si>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</si>
  <si>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</si>
  <si>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</si>
  <si>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</si>
  <si>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</si>
  <si>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</si>
  <si>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</si>
  <si>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</si>
  <si>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</si>
  <si>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</si>
  <si>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</si>
  <si>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</si>
  <si>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</si>
  <si>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</si>
  <si>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</si>
  <si>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</si>
  <si>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</si>
  <si>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</si>
  <si>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(DTE 0312)</t>
  </si>
  <si>
    <t>Desde el 01 al 31 de diciembre de 2003</t>
  </si>
  <si>
    <t>SISTEMA DE TRANSPORTE DE ENERGÍA ELÉCTRICA EN ALTA TENSION</t>
  </si>
  <si>
    <t>INDISPONIBILIDADES FORZADAS DE LÍNEAS - TASA DE FALLA</t>
  </si>
  <si>
    <t>CLASE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</si>
  <si>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</si>
  <si>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</si>
  <si>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</si>
  <si>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</si>
  <si>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 km</t>
  </si>
  <si>
    <t>Correspondiente al mes de diciembre de 2003 (provisoria)</t>
  </si>
  <si>
    <t>TOTAL DE PENALIZACIONES A APLICAR</t>
  </si>
  <si>
    <t>TOTAL Res. ENRE 685/07</t>
  </si>
  <si>
    <t>DIEFERENCIA</t>
  </si>
  <si>
    <t xml:space="preserve">P - PROGRAMADA                </t>
  </si>
  <si>
    <t xml:space="preserve">F - FORZADA                      </t>
  </si>
  <si>
    <t xml:space="preserve">P - PROGRAMADA                    </t>
  </si>
  <si>
    <t xml:space="preserve">P - PROGRAMADA                   </t>
  </si>
  <si>
    <t>ANEXO I -1 a la Resolución ENRE N°  403 /2008.-</t>
  </si>
</sst>
</file>

<file path=xl/styles.xml><?xml version="1.0" encoding="utf-8"?>
<styleSheet xmlns="http://schemas.openxmlformats.org/spreadsheetml/2006/main">
  <numFmts count="4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mmm\-yyyy"/>
    <numFmt numFmtId="190" formatCode="&quot;$&quot;\ #,##0.0;&quot;$&quot;\ \-#,##0.0"/>
    <numFmt numFmtId="191" formatCode="&quot;$&quot;\ #,##0.000;&quot;$&quot;\ \-#,##0.000"/>
    <numFmt numFmtId="192" formatCode="&quot;$&quot;\ #,##0.0000;&quot;$&quot;\ \-#,##0.0000"/>
    <numFmt numFmtId="193" formatCode="&quot;$&quot;\ #,##0.00000;&quot;$&quot;\ \-#,##0.00000"/>
    <numFmt numFmtId="194" formatCode="&quot;$&quot;\ #,##0.000000;&quot;$&quot;\ \-#,##0.000000"/>
    <numFmt numFmtId="195" formatCode="&quot;$&quot;#,##0.0;&quot;$&quot;\-#,##0.0"/>
    <numFmt numFmtId="196" formatCode="&quot;$&quot;#,##0;&quot;$&quot;\-#,##0"/>
    <numFmt numFmtId="197" formatCode="&quot;$&quot;\ #,##0.0000000;&quot;$&quot;\ \-#,##0.0000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#,##0.000_);[Red]\(#,##0.000\)"/>
    <numFmt numFmtId="202" formatCode="#,##0.0000_);[Red]\(#,##0.0000\)"/>
    <numFmt numFmtId="203" formatCode="#,##0.00000_);[Red]\(#,##0.00000\)"/>
    <numFmt numFmtId="204" formatCode="#,##0.000000_);[Red]\(#,##0.000000\)"/>
  </numFmts>
  <fonts count="1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sz val="10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0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b/>
      <i/>
      <sz val="14"/>
      <name val="Times New Roman"/>
      <family val="1"/>
    </font>
    <font>
      <sz val="11"/>
      <color indexed="13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1"/>
      <color indexed="8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color indexed="10"/>
      <name val="Times New Roman"/>
      <family val="1"/>
    </font>
    <font>
      <sz val="7"/>
      <color indexed="14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b/>
      <i/>
      <u val="single"/>
      <sz val="12"/>
      <name val="Arial"/>
      <family val="0"/>
    </font>
    <font>
      <sz val="12"/>
      <name val="MS Sans Serif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b/>
      <sz val="10"/>
      <color indexed="10"/>
      <name val="Times New Roman"/>
      <family val="0"/>
    </font>
    <font>
      <sz val="11"/>
      <color indexed="50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4"/>
      <name val="MS Sans Serif"/>
      <family val="0"/>
    </font>
    <font>
      <b/>
      <sz val="10"/>
      <color indexed="48"/>
      <name val="Times New Roman"/>
      <family val="0"/>
    </font>
    <font>
      <sz val="11"/>
      <color indexed="26"/>
      <name val="MS Sans Serif"/>
      <family val="2"/>
    </font>
    <font>
      <sz val="10"/>
      <color indexed="26"/>
      <name val="Times New Roman"/>
      <family val="1"/>
    </font>
    <font>
      <b/>
      <sz val="10"/>
      <color indexed="26"/>
      <name val="Times New Roman"/>
      <family val="0"/>
    </font>
    <font>
      <sz val="11"/>
      <color indexed="62"/>
      <name val="MS Sans Serif"/>
      <family val="2"/>
    </font>
    <font>
      <sz val="10"/>
      <color indexed="62"/>
      <name val="MS Sans Serif"/>
      <family val="2"/>
    </font>
    <font>
      <sz val="10"/>
      <color indexed="62"/>
      <name val="Times New Roman"/>
      <family val="1"/>
    </font>
    <font>
      <b/>
      <sz val="10"/>
      <color indexed="62"/>
      <name val="Times New Roman"/>
      <family val="1"/>
    </font>
    <font>
      <sz val="11"/>
      <color indexed="60"/>
      <name val="MS Sans Serif"/>
      <family val="2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sz val="11"/>
      <color indexed="11"/>
      <name val="MS Sans Serif"/>
      <family val="2"/>
    </font>
    <font>
      <sz val="10"/>
      <color indexed="11"/>
      <name val="Times New Roman"/>
      <family val="1"/>
    </font>
    <font>
      <b/>
      <sz val="10"/>
      <color indexed="11"/>
      <name val="Times New Roman"/>
      <family val="1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61"/>
      <name val="MS Sans Serif"/>
      <family val="2"/>
    </font>
    <font>
      <b/>
      <sz val="10"/>
      <color indexed="61"/>
      <name val="Times New Roman"/>
      <family val="0"/>
    </font>
    <font>
      <sz val="11"/>
      <color indexed="54"/>
      <name val="MS Sans Serif"/>
      <family val="2"/>
    </font>
    <font>
      <b/>
      <sz val="10"/>
      <color indexed="54"/>
      <name val="Times New Roman"/>
      <family val="0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sz val="11"/>
      <color indexed="58"/>
      <name val="MS Sans Serif"/>
      <family val="2"/>
    </font>
    <font>
      <b/>
      <sz val="10"/>
      <color indexed="5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48"/>
      <name val="Times New Roman"/>
      <family val="0"/>
    </font>
    <font>
      <b/>
      <sz val="12"/>
      <color indexed="9"/>
      <name val="Times New Roman"/>
      <family val="0"/>
    </font>
    <font>
      <sz val="11"/>
      <color indexed="34"/>
      <name val="MS Sans Serif"/>
      <family val="2"/>
    </font>
    <font>
      <sz val="10"/>
      <color indexed="34"/>
      <name val="MS Sans Serif"/>
      <family val="2"/>
    </font>
    <font>
      <b/>
      <sz val="12"/>
      <color indexed="34"/>
      <name val="Times New Roman"/>
      <family val="0"/>
    </font>
    <font>
      <sz val="10"/>
      <color indexed="9"/>
      <name val="MS Sans Serif"/>
      <family val="2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sz val="10"/>
      <color indexed="3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sz val="12"/>
      <name val="Arial"/>
      <family val="0"/>
    </font>
    <font>
      <b/>
      <i/>
      <sz val="12"/>
      <name val="Times New Roman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44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2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3" fontId="4" fillId="0" borderId="1" xfId="0" applyNumberFormat="1" applyFont="1" applyBorder="1" applyAlignment="1" applyProtection="1">
      <alignment horizontal="center"/>
      <protection/>
    </xf>
    <xf numFmtId="172" fontId="4" fillId="0" borderId="2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>
      <alignment horizontal="center"/>
      <protection/>
    </xf>
    <xf numFmtId="22" fontId="4" fillId="0" borderId="4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 applyProtection="1" quotePrefix="1">
      <alignment horizontal="center"/>
      <protection/>
    </xf>
    <xf numFmtId="172" fontId="4" fillId="2" borderId="1" xfId="0" applyNumberFormat="1" applyFont="1" applyFill="1" applyBorder="1" applyAlignment="1" applyProtection="1" quotePrefix="1">
      <alignment horizontal="center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9" fontId="4" fillId="0" borderId="2" xfId="0" applyNumberFormat="1" applyFont="1" applyBorder="1" applyAlignment="1" applyProtection="1" quotePrefix="1">
      <alignment horizontal="center"/>
      <protection/>
    </xf>
    <xf numFmtId="4" fontId="16" fillId="0" borderId="2" xfId="0" applyNumberFormat="1" applyFont="1" applyFill="1" applyBorder="1" applyAlignment="1">
      <alignment horizontal="right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0" fontId="4" fillId="0" borderId="5" xfId="0" applyFont="1" applyBorder="1" applyAlignment="1">
      <alignment horizontal="center"/>
    </xf>
    <xf numFmtId="176" fontId="4" fillId="0" borderId="6" xfId="0" applyNumberFormat="1" applyFont="1" applyBorder="1" applyAlignment="1" applyProtection="1">
      <alignment horizontal="center"/>
      <protection/>
    </xf>
    <xf numFmtId="179" fontId="4" fillId="0" borderId="6" xfId="0" applyNumberFormat="1" applyFont="1" applyBorder="1" applyAlignment="1" applyProtection="1" quotePrefix="1">
      <alignment horizontal="center"/>
      <protection/>
    </xf>
    <xf numFmtId="4" fontId="5" fillId="0" borderId="6" xfId="0" applyNumberFormat="1" applyFont="1" applyBorder="1" applyAlignment="1" applyProtection="1">
      <alignment horizontal="center"/>
      <protection/>
    </xf>
    <xf numFmtId="2" fontId="16" fillId="0" borderId="7" xfId="0" applyNumberFormat="1" applyFont="1" applyFill="1" applyBorder="1" applyAlignment="1">
      <alignment horizontal="right"/>
    </xf>
    <xf numFmtId="172" fontId="5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9" fontId="4" fillId="0" borderId="0" xfId="0" applyNumberFormat="1" applyFont="1" applyBorder="1" applyAlignment="1" applyProtection="1" quotePrefix="1">
      <alignment horizontal="center"/>
      <protection/>
    </xf>
    <xf numFmtId="2" fontId="15" fillId="0" borderId="8" xfId="0" applyNumberFormat="1" applyFont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5" xfId="0" applyFont="1" applyFill="1" applyBorder="1" applyAlignment="1">
      <alignment horizontal="center"/>
    </xf>
    <xf numFmtId="172" fontId="4" fillId="0" borderId="5" xfId="0" applyNumberFormat="1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172" fontId="4" fillId="0" borderId="5" xfId="0" applyNumberFormat="1" applyFont="1" applyBorder="1" applyAlignment="1" applyProtection="1">
      <alignment horizontal="center"/>
      <protection/>
    </xf>
    <xf numFmtId="1" fontId="4" fillId="0" borderId="10" xfId="0" applyNumberFormat="1" applyFont="1" applyBorder="1" applyAlignment="1" applyProtection="1" quotePrefix="1">
      <alignment horizontal="center"/>
      <protection/>
    </xf>
    <xf numFmtId="176" fontId="4" fillId="0" borderId="1" xfId="0" applyNumberFormat="1" applyFont="1" applyFill="1" applyBorder="1" applyAlignment="1" applyProtection="1">
      <alignment horizontal="center"/>
      <protection/>
    </xf>
    <xf numFmtId="22" fontId="4" fillId="0" borderId="1" xfId="0" applyNumberFormat="1" applyFont="1" applyFill="1" applyBorder="1" applyAlignment="1">
      <alignment horizontal="center"/>
    </xf>
    <xf numFmtId="22" fontId="4" fillId="0" borderId="1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 quotePrefix="1">
      <alignment horizontal="center"/>
      <protection/>
    </xf>
    <xf numFmtId="176" fontId="4" fillId="0" borderId="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76" fontId="4" fillId="0" borderId="6" xfId="0" applyNumberFormat="1" applyFont="1" applyFill="1" applyBorder="1" applyAlignment="1" applyProtection="1">
      <alignment horizontal="center"/>
      <protection/>
    </xf>
    <xf numFmtId="38" fontId="4" fillId="0" borderId="6" xfId="0" applyNumberFormat="1" applyFont="1" applyFill="1" applyBorder="1" applyAlignment="1" applyProtection="1">
      <alignment horizontal="center"/>
      <protection/>
    </xf>
    <xf numFmtId="172" fontId="4" fillId="0" borderId="6" xfId="0" applyNumberFormat="1" applyFont="1" applyFill="1" applyBorder="1" applyAlignment="1" applyProtection="1" quotePrefix="1">
      <alignment horizontal="center"/>
      <protection/>
    </xf>
    <xf numFmtId="176" fontId="19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22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172" fontId="5" fillId="0" borderId="1" xfId="0" applyNumberFormat="1" applyFont="1" applyBorder="1" applyAlignment="1" applyProtection="1" quotePrefix="1">
      <alignment horizontal="center"/>
      <protection/>
    </xf>
    <xf numFmtId="22" fontId="4" fillId="0" borderId="13" xfId="0" applyNumberFormat="1" applyFont="1" applyBorder="1" applyAlignment="1">
      <alignment horizontal="center"/>
    </xf>
    <xf numFmtId="22" fontId="4" fillId="0" borderId="1" xfId="0" applyNumberFormat="1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4" fontId="18" fillId="0" borderId="1" xfId="0" applyNumberFormat="1" applyFont="1" applyFill="1" applyBorder="1" applyAlignment="1">
      <alignment horizontal="right"/>
    </xf>
    <xf numFmtId="176" fontId="4" fillId="0" borderId="11" xfId="0" applyNumberFormat="1" applyFont="1" applyBorder="1" applyAlignment="1" applyProtection="1">
      <alignment horizontal="center"/>
      <protection/>
    </xf>
    <xf numFmtId="4" fontId="20" fillId="0" borderId="0" xfId="0" applyNumberFormat="1" applyFont="1" applyFill="1" applyBorder="1" applyAlignment="1">
      <alignment horizontal="center"/>
    </xf>
    <xf numFmtId="7" fontId="12" fillId="0" borderId="14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22" fontId="4" fillId="0" borderId="16" xfId="0" applyNumberFormat="1" applyFont="1" applyBorder="1" applyAlignment="1">
      <alignment horizontal="center"/>
    </xf>
    <xf numFmtId="22" fontId="4" fillId="0" borderId="15" xfId="0" applyNumberFormat="1" applyFont="1" applyBorder="1" applyAlignment="1" applyProtection="1">
      <alignment horizontal="center"/>
      <protection/>
    </xf>
    <xf numFmtId="2" fontId="4" fillId="0" borderId="5" xfId="0" applyNumberFormat="1" applyFont="1" applyFill="1" applyBorder="1" applyAlignment="1" applyProtection="1" quotePrefix="1">
      <alignment horizontal="center"/>
      <protection/>
    </xf>
    <xf numFmtId="172" fontId="4" fillId="0" borderId="5" xfId="0" applyNumberFormat="1" applyFont="1" applyFill="1" applyBorder="1" applyAlignment="1" applyProtection="1" quotePrefix="1">
      <alignment horizontal="center"/>
      <protection/>
    </xf>
    <xf numFmtId="176" fontId="4" fillId="0" borderId="9" xfId="0" applyNumberFormat="1" applyFont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5" fillId="0" borderId="0" xfId="0" applyFont="1" applyFill="1" applyBorder="1" applyAlignment="1" applyProtection="1">
      <alignment horizontal="centerContinuous"/>
      <protection/>
    </xf>
    <xf numFmtId="0" fontId="26" fillId="0" borderId="0" xfId="0" applyNumberFormat="1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8" xfId="0" applyFont="1" applyBorder="1" applyAlignment="1">
      <alignment/>
    </xf>
    <xf numFmtId="0" fontId="29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4" fillId="0" borderId="0" xfId="0" applyNumberFormat="1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14" fillId="0" borderId="21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4" fillId="0" borderId="20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0" fontId="14" fillId="0" borderId="21" xfId="0" applyFont="1" applyBorder="1" applyAlignment="1">
      <alignment/>
    </xf>
    <xf numFmtId="0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31" fillId="0" borderId="0" xfId="0" applyNumberFormat="1" applyFont="1" applyBorder="1" applyAlignment="1">
      <alignment horizontal="right"/>
    </xf>
    <xf numFmtId="0" fontId="32" fillId="0" borderId="0" xfId="0" applyFont="1" applyBorder="1" applyAlignment="1">
      <alignment/>
    </xf>
    <xf numFmtId="7" fontId="31" fillId="0" borderId="0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13" fillId="0" borderId="22" xfId="0" applyFont="1" applyBorder="1" applyAlignment="1">
      <alignment horizontal="center"/>
    </xf>
    <xf numFmtId="7" fontId="13" fillId="0" borderId="23" xfId="0" applyNumberFormat="1" applyFont="1" applyBorder="1" applyAlignment="1">
      <alignment horizontal="center"/>
    </xf>
    <xf numFmtId="0" fontId="29" fillId="0" borderId="24" xfId="0" applyFont="1" applyBorder="1" applyAlignment="1">
      <alignment/>
    </xf>
    <xf numFmtId="0" fontId="29" fillId="0" borderId="25" xfId="0" applyNumberFormat="1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0" xfId="0" applyFont="1" applyFill="1" applyBorder="1" applyAlignment="1">
      <alignment/>
    </xf>
    <xf numFmtId="4" fontId="29" fillId="0" borderId="0" xfId="0" applyNumberFormat="1" applyFont="1" applyFill="1" applyBorder="1" applyAlignment="1">
      <alignment/>
    </xf>
    <xf numFmtId="7" fontId="29" fillId="0" borderId="0" xfId="0" applyNumberFormat="1" applyFont="1" applyBorder="1" applyAlignment="1">
      <alignment/>
    </xf>
    <xf numFmtId="176" fontId="29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31" fillId="0" borderId="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 applyProtection="1">
      <alignment horizontal="left"/>
      <protection/>
    </xf>
    <xf numFmtId="0" fontId="4" fillId="0" borderId="1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22" fontId="4" fillId="0" borderId="0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1" xfId="0" applyFont="1" applyFill="1" applyBorder="1" applyAlignment="1">
      <alignment horizontal="center"/>
    </xf>
    <xf numFmtId="4" fontId="4" fillId="0" borderId="21" xfId="0" applyNumberFormat="1" applyFont="1" applyFill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10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1" xfId="0" applyFont="1" applyFill="1" applyBorder="1" applyAlignment="1">
      <alignment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21" xfId="0" applyFont="1" applyFill="1" applyBorder="1" applyAlignment="1">
      <alignment horizontal="centerContinuous"/>
    </xf>
    <xf numFmtId="0" fontId="0" fillId="0" borderId="22" xfId="0" applyFont="1" applyBorder="1" applyAlignment="1" applyProtection="1">
      <alignment horizontal="center"/>
      <protection/>
    </xf>
    <xf numFmtId="0" fontId="33" fillId="0" borderId="28" xfId="0" applyFont="1" applyBorder="1" applyAlignment="1">
      <alignment horizontal="center" vertical="center"/>
    </xf>
    <xf numFmtId="176" fontId="33" fillId="0" borderId="28" xfId="0" applyNumberFormat="1" applyFont="1" applyBorder="1" applyAlignment="1" applyProtection="1">
      <alignment horizontal="center" vertical="center"/>
      <protection/>
    </xf>
    <xf numFmtId="0" fontId="33" fillId="0" borderId="28" xfId="0" applyFont="1" applyBorder="1" applyAlignment="1" applyProtection="1">
      <alignment horizontal="center" vertical="center"/>
      <protection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172" fontId="33" fillId="0" borderId="23" xfId="0" applyNumberFormat="1" applyFont="1" applyBorder="1" applyAlignment="1" applyProtection="1">
      <alignment horizontal="center" vertical="center" wrapText="1"/>
      <protection/>
    </xf>
    <xf numFmtId="0" fontId="33" fillId="0" borderId="29" xfId="0" applyFont="1" applyBorder="1" applyAlignment="1" applyProtection="1">
      <alignment horizontal="center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0" fontId="33" fillId="0" borderId="28" xfId="0" applyFont="1" applyBorder="1" applyAlignment="1" applyProtection="1">
      <alignment horizontal="center" vertical="center" wrapText="1"/>
      <protection/>
    </xf>
    <xf numFmtId="0" fontId="33" fillId="0" borderId="23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16" fillId="0" borderId="2" xfId="0" applyFont="1" applyBorder="1" applyAlignment="1">
      <alignment/>
    </xf>
    <xf numFmtId="0" fontId="26" fillId="0" borderId="0" xfId="0" applyFont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/>
    </xf>
    <xf numFmtId="0" fontId="7" fillId="0" borderId="0" xfId="0" applyFont="1" applyFill="1" applyAlignment="1">
      <alignment horizontal="centerContinuous"/>
    </xf>
    <xf numFmtId="0" fontId="2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1" fillId="0" borderId="20" xfId="0" applyFont="1" applyFill="1" applyBorder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34" fillId="0" borderId="21" xfId="0" applyFont="1" applyFill="1" applyBorder="1" applyAlignment="1">
      <alignment horizontal="centerContinuous"/>
    </xf>
    <xf numFmtId="0" fontId="0" fillId="0" borderId="22" xfId="0" applyFont="1" applyFill="1" applyBorder="1" applyAlignment="1" applyProtection="1" quotePrefix="1">
      <alignment horizontal="left"/>
      <protection/>
    </xf>
    <xf numFmtId="0" fontId="0" fillId="0" borderId="29" xfId="0" applyFont="1" applyFill="1" applyBorder="1" applyAlignment="1" applyProtection="1">
      <alignment horizontal="center"/>
      <protection/>
    </xf>
    <xf numFmtId="172" fontId="0" fillId="0" borderId="23" xfId="0" applyNumberFormat="1" applyFont="1" applyFill="1" applyBorder="1" applyAlignment="1" applyProtection="1">
      <alignment horizontal="center"/>
      <protection/>
    </xf>
    <xf numFmtId="0" fontId="33" fillId="0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center" vertical="center"/>
      <protection/>
    </xf>
    <xf numFmtId="0" fontId="33" fillId="0" borderId="28" xfId="0" applyFont="1" applyFill="1" applyBorder="1" applyAlignment="1" applyProtection="1">
      <alignment horizontal="center" vertical="center" wrapText="1"/>
      <protection/>
    </xf>
    <xf numFmtId="0" fontId="33" fillId="0" borderId="28" xfId="0" applyFont="1" applyFill="1" applyBorder="1" applyAlignment="1" applyProtection="1" quotePrefix="1">
      <alignment horizontal="center" vertical="center" wrapText="1"/>
      <protection/>
    </xf>
    <xf numFmtId="0" fontId="33" fillId="0" borderId="2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/>
    </xf>
    <xf numFmtId="4" fontId="18" fillId="0" borderId="2" xfId="0" applyNumberFormat="1" applyFont="1" applyFill="1" applyBorder="1" applyAlignment="1">
      <alignment horizontal="right"/>
    </xf>
    <xf numFmtId="176" fontId="35" fillId="0" borderId="3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2" fontId="5" fillId="0" borderId="3" xfId="0" applyNumberFormat="1" applyFont="1" applyBorder="1" applyAlignment="1" applyProtection="1">
      <alignment horizontal="center"/>
      <protection/>
    </xf>
    <xf numFmtId="176" fontId="4" fillId="0" borderId="3" xfId="0" applyNumberFormat="1" applyFont="1" applyBorder="1" applyAlignment="1" applyProtection="1">
      <alignment horizontal="center"/>
      <protection/>
    </xf>
    <xf numFmtId="2" fontId="15" fillId="0" borderId="3" xfId="0" applyNumberFormat="1" applyFont="1" applyBorder="1" applyAlignment="1">
      <alignment horizontal="center"/>
    </xf>
    <xf numFmtId="176" fontId="5" fillId="0" borderId="3" xfId="0" applyNumberFormat="1" applyFont="1" applyBorder="1" applyAlignment="1" applyProtection="1" quotePrefix="1">
      <alignment horizontal="center"/>
      <protection/>
    </xf>
    <xf numFmtId="176" fontId="4" fillId="0" borderId="3" xfId="0" applyNumberFormat="1" applyFont="1" applyBorder="1" applyAlignment="1">
      <alignment horizontal="center"/>
    </xf>
    <xf numFmtId="176" fontId="19" fillId="0" borderId="3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1" xfId="0" applyFont="1" applyBorder="1" applyAlignment="1">
      <alignment horizontal="centerContinuous"/>
    </xf>
    <xf numFmtId="0" fontId="32" fillId="0" borderId="2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2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2" xfId="0" applyFont="1" applyBorder="1" applyAlignment="1" applyProtection="1">
      <alignment horizontal="left"/>
      <protection/>
    </xf>
    <xf numFmtId="0" fontId="33" fillId="0" borderId="29" xfId="0" applyFont="1" applyBorder="1" applyAlignment="1">
      <alignment horizontal="center" vertical="center" wrapText="1"/>
    </xf>
    <xf numFmtId="0" fontId="33" fillId="0" borderId="23" xfId="0" applyFont="1" applyBorder="1" applyAlignment="1" applyProtection="1">
      <alignment horizontal="center" vertical="center" wrapText="1"/>
      <protection/>
    </xf>
    <xf numFmtId="176" fontId="18" fillId="0" borderId="1" xfId="0" applyNumberFormat="1" applyFont="1" applyFill="1" applyBorder="1" applyAlignment="1">
      <alignment horizontal="center"/>
    </xf>
    <xf numFmtId="7" fontId="35" fillId="0" borderId="7" xfId="0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 applyProtection="1" quotePrefix="1">
      <alignment horizontal="center"/>
      <protection/>
    </xf>
    <xf numFmtId="0" fontId="4" fillId="0" borderId="32" xfId="0" applyFont="1" applyBorder="1" applyAlignment="1">
      <alignment/>
    </xf>
    <xf numFmtId="0" fontId="31" fillId="0" borderId="0" xfId="0" applyFont="1" applyBorder="1" applyAlignment="1">
      <alignment/>
    </xf>
    <xf numFmtId="0" fontId="37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72" fontId="4" fillId="0" borderId="0" xfId="0" applyNumberFormat="1" applyFont="1" applyBorder="1" applyAlignment="1" applyProtection="1">
      <alignment horizontal="center"/>
      <protection/>
    </xf>
    <xf numFmtId="2" fontId="15" fillId="0" borderId="0" xfId="0" applyNumberFormat="1" applyFont="1" applyBorder="1" applyAlignment="1">
      <alignment horizontal="center"/>
    </xf>
    <xf numFmtId="176" fontId="5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center"/>
      <protection/>
    </xf>
    <xf numFmtId="176" fontId="22" fillId="0" borderId="0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0" fillId="0" borderId="21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Continuous"/>
      <protection/>
    </xf>
    <xf numFmtId="0" fontId="11" fillId="0" borderId="21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36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 quotePrefix="1">
      <alignment horizontal="left"/>
      <protection/>
    </xf>
    <xf numFmtId="0" fontId="0" fillId="0" borderId="29" xfId="0" applyFont="1" applyBorder="1" applyAlignment="1" applyProtection="1">
      <alignment horizontal="center"/>
      <protection/>
    </xf>
    <xf numFmtId="172" fontId="0" fillId="0" borderId="23" xfId="0" applyNumberFormat="1" applyFont="1" applyBorder="1" applyAlignment="1" applyProtection="1">
      <alignment horizontal="center"/>
      <protection/>
    </xf>
    <xf numFmtId="0" fontId="33" fillId="0" borderId="28" xfId="0" applyFont="1" applyBorder="1" applyAlignment="1" applyProtection="1" quotePrefix="1">
      <alignment horizontal="center" vertical="center" wrapText="1"/>
      <protection/>
    </xf>
    <xf numFmtId="0" fontId="38" fillId="0" borderId="28" xfId="0" applyFont="1" applyFill="1" applyBorder="1" applyAlignment="1">
      <alignment horizontal="center" vertical="center" wrapText="1"/>
    </xf>
    <xf numFmtId="176" fontId="18" fillId="0" borderId="5" xfId="0" applyNumberFormat="1" applyFont="1" applyFill="1" applyBorder="1" applyAlignment="1">
      <alignment horizontal="center"/>
    </xf>
    <xf numFmtId="176" fontId="18" fillId="0" borderId="7" xfId="0" applyNumberFormat="1" applyFont="1" applyFill="1" applyBorder="1" applyAlignment="1">
      <alignment horizontal="center"/>
    </xf>
    <xf numFmtId="180" fontId="0" fillId="0" borderId="23" xfId="0" applyNumberFormat="1" applyFont="1" applyBorder="1" applyAlignment="1">
      <alignment horizontal="center"/>
    </xf>
    <xf numFmtId="7" fontId="13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41" fillId="0" borderId="36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/>
      <protection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left" vertical="top"/>
      <protection/>
    </xf>
    <xf numFmtId="0" fontId="41" fillId="0" borderId="0" xfId="0" applyFont="1" applyAlignment="1">
      <alignment/>
    </xf>
    <xf numFmtId="0" fontId="41" fillId="0" borderId="20" xfId="0" applyFont="1" applyBorder="1" applyAlignment="1">
      <alignment/>
    </xf>
    <xf numFmtId="172" fontId="44" fillId="0" borderId="0" xfId="0" applyNumberFormat="1" applyFont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center"/>
      <protection/>
    </xf>
    <xf numFmtId="173" fontId="41" fillId="0" borderId="0" xfId="0" applyNumberFormat="1" applyFont="1" applyBorder="1" applyAlignment="1" applyProtection="1">
      <alignment horizontal="center"/>
      <protection/>
    </xf>
    <xf numFmtId="176" fontId="41" fillId="0" borderId="0" xfId="0" applyNumberFormat="1" applyFont="1" applyBorder="1" applyAlignment="1" applyProtection="1">
      <alignment horizontal="center"/>
      <protection/>
    </xf>
    <xf numFmtId="179" fontId="41" fillId="0" borderId="0" xfId="0" applyNumberFormat="1" applyFont="1" applyBorder="1" applyAlignment="1" applyProtection="1" quotePrefix="1">
      <alignment horizontal="center"/>
      <protection/>
    </xf>
    <xf numFmtId="2" fontId="45" fillId="0" borderId="0" xfId="0" applyNumberFormat="1" applyFont="1" applyBorder="1" applyAlignment="1" applyProtection="1">
      <alignment horizontal="center"/>
      <protection/>
    </xf>
    <xf numFmtId="7" fontId="46" fillId="0" borderId="0" xfId="0" applyNumberFormat="1" applyFont="1" applyFill="1" applyBorder="1" applyAlignment="1" applyProtection="1">
      <alignment horizontal="right"/>
      <protection/>
    </xf>
    <xf numFmtId="4" fontId="41" fillId="0" borderId="21" xfId="0" applyNumberFormat="1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2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22" fontId="41" fillId="0" borderId="0" xfId="0" applyNumberFormat="1" applyFont="1" applyFill="1" applyBorder="1" applyAlignment="1">
      <alignment/>
    </xf>
    <xf numFmtId="7" fontId="48" fillId="0" borderId="0" xfId="0" applyNumberFormat="1" applyFont="1" applyFill="1" applyBorder="1" applyAlignment="1">
      <alignment horizontal="right"/>
    </xf>
    <xf numFmtId="4" fontId="47" fillId="0" borderId="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/>
    </xf>
    <xf numFmtId="0" fontId="41" fillId="0" borderId="0" xfId="0" applyFont="1" applyBorder="1" applyAlignment="1">
      <alignment/>
    </xf>
    <xf numFmtId="7" fontId="46" fillId="0" borderId="0" xfId="0" applyNumberFormat="1" applyFont="1" applyFill="1" applyBorder="1" applyAlignment="1">
      <alignment horizontal="right"/>
    </xf>
    <xf numFmtId="0" fontId="41" fillId="0" borderId="21" xfId="0" applyFont="1" applyBorder="1" applyAlignment="1">
      <alignment/>
    </xf>
    <xf numFmtId="0" fontId="20" fillId="0" borderId="0" xfId="0" applyFont="1" applyBorder="1" applyAlignment="1">
      <alignment/>
    </xf>
    <xf numFmtId="0" fontId="49" fillId="0" borderId="0" xfId="0" applyFont="1" applyBorder="1" applyAlignment="1" quotePrefix="1">
      <alignment horizontal="left"/>
    </xf>
    <xf numFmtId="176" fontId="16" fillId="0" borderId="0" xfId="0" applyNumberFormat="1" applyFont="1" applyBorder="1" applyAlignment="1" applyProtection="1">
      <alignment horizontal="left"/>
      <protection/>
    </xf>
    <xf numFmtId="0" fontId="50" fillId="0" borderId="0" xfId="0" applyFont="1" applyAlignment="1">
      <alignment/>
    </xf>
    <xf numFmtId="173" fontId="29" fillId="0" borderId="0" xfId="0" applyNumberFormat="1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left"/>
      <protection/>
    </xf>
    <xf numFmtId="0" fontId="29" fillId="0" borderId="6" xfId="0" applyFont="1" applyBorder="1" applyAlignment="1">
      <alignment horizontal="center"/>
    </xf>
    <xf numFmtId="0" fontId="29" fillId="0" borderId="1" xfId="0" applyFont="1" applyBorder="1" applyAlignment="1">
      <alignment/>
    </xf>
    <xf numFmtId="172" fontId="29" fillId="0" borderId="2" xfId="0" applyNumberFormat="1" applyFont="1" applyBorder="1" applyAlignment="1" applyProtection="1">
      <alignment/>
      <protection/>
    </xf>
    <xf numFmtId="172" fontId="29" fillId="0" borderId="1" xfId="0" applyNumberFormat="1" applyFont="1" applyBorder="1" applyAlignment="1" applyProtection="1">
      <alignment horizontal="center"/>
      <protection/>
    </xf>
    <xf numFmtId="0" fontId="29" fillId="0" borderId="37" xfId="0" applyFont="1" applyBorder="1" applyAlignment="1">
      <alignment horizontal="center"/>
    </xf>
    <xf numFmtId="172" fontId="52" fillId="0" borderId="6" xfId="0" applyNumberFormat="1" applyFont="1" applyBorder="1" applyAlignment="1" applyProtection="1">
      <alignment horizontal="center"/>
      <protection/>
    </xf>
    <xf numFmtId="0" fontId="29" fillId="0" borderId="6" xfId="0" applyFont="1" applyBorder="1" applyAlignment="1" applyProtection="1">
      <alignment horizontal="center"/>
      <protection/>
    </xf>
    <xf numFmtId="173" fontId="29" fillId="0" borderId="6" xfId="0" applyNumberFormat="1" applyFont="1" applyBorder="1" applyAlignment="1" applyProtection="1">
      <alignment horizontal="center"/>
      <protection/>
    </xf>
    <xf numFmtId="176" fontId="29" fillId="0" borderId="6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>
      <alignment horizontal="center"/>
    </xf>
    <xf numFmtId="172" fontId="52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center"/>
      <protection/>
    </xf>
    <xf numFmtId="179" fontId="29" fillId="0" borderId="0" xfId="0" applyNumberFormat="1" applyFont="1" applyBorder="1" applyAlignment="1" applyProtection="1" quotePrefix="1">
      <alignment horizontal="center"/>
      <protection/>
    </xf>
    <xf numFmtId="2" fontId="29" fillId="0" borderId="38" xfId="0" applyNumberFormat="1" applyFont="1" applyBorder="1" applyAlignment="1" applyProtection="1">
      <alignment horizontal="center"/>
      <protection/>
    </xf>
    <xf numFmtId="0" fontId="29" fillId="0" borderId="20" xfId="0" applyFont="1" applyBorder="1" applyAlignment="1">
      <alignment/>
    </xf>
    <xf numFmtId="2" fontId="53" fillId="0" borderId="0" xfId="0" applyNumberFormat="1" applyFont="1" applyBorder="1" applyAlignment="1" applyProtection="1">
      <alignment horizontal="left"/>
      <protection/>
    </xf>
    <xf numFmtId="176" fontId="53" fillId="0" borderId="0" xfId="0" applyNumberFormat="1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/>
      <protection/>
    </xf>
    <xf numFmtId="173" fontId="53" fillId="0" borderId="0" xfId="0" applyNumberFormat="1" applyFont="1" applyBorder="1" applyAlignment="1" applyProtection="1">
      <alignment horizontal="center"/>
      <protection/>
    </xf>
    <xf numFmtId="179" fontId="53" fillId="0" borderId="0" xfId="0" applyNumberFormat="1" applyFont="1" applyBorder="1" applyAlignment="1" applyProtection="1" quotePrefix="1">
      <alignment horizontal="center"/>
      <protection/>
    </xf>
    <xf numFmtId="0" fontId="53" fillId="0" borderId="0" xfId="0" applyFont="1" applyAlignment="1">
      <alignment/>
    </xf>
    <xf numFmtId="2" fontId="53" fillId="0" borderId="0" xfId="0" applyNumberFormat="1" applyFont="1" applyBorder="1" applyAlignment="1" applyProtection="1">
      <alignment horizontal="center"/>
      <protection/>
    </xf>
    <xf numFmtId="176" fontId="53" fillId="0" borderId="0" xfId="0" applyNumberFormat="1" applyFont="1" applyBorder="1" applyAlignment="1" applyProtection="1" quotePrefix="1">
      <alignment horizontal="center"/>
      <protection/>
    </xf>
    <xf numFmtId="4" fontId="53" fillId="0" borderId="0" xfId="0" applyNumberFormat="1" applyFont="1" applyBorder="1" applyAlignment="1" applyProtection="1">
      <alignment horizontal="center"/>
      <protection/>
    </xf>
    <xf numFmtId="7" fontId="53" fillId="0" borderId="0" xfId="0" applyNumberFormat="1" applyFont="1" applyFill="1" applyBorder="1" applyAlignment="1">
      <alignment horizontal="center"/>
    </xf>
    <xf numFmtId="4" fontId="29" fillId="0" borderId="2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54" fillId="0" borderId="0" xfId="0" applyNumberFormat="1" applyFont="1" applyBorder="1" applyAlignment="1" applyProtection="1">
      <alignment horizontal="left"/>
      <protection/>
    </xf>
    <xf numFmtId="2" fontId="51" fillId="0" borderId="0" xfId="0" applyNumberFormat="1" applyFont="1" applyBorder="1" applyAlignment="1" applyProtection="1">
      <alignment horizontal="center"/>
      <protection/>
    </xf>
    <xf numFmtId="176" fontId="52" fillId="0" borderId="0" xfId="0" applyNumberFormat="1" applyFont="1" applyBorder="1" applyAlignment="1" applyProtection="1" quotePrefix="1">
      <alignment horizontal="center"/>
      <protection/>
    </xf>
    <xf numFmtId="4" fontId="52" fillId="0" borderId="0" xfId="0" applyNumberFormat="1" applyFont="1" applyBorder="1" applyAlignment="1" applyProtection="1">
      <alignment horizontal="center"/>
      <protection/>
    </xf>
    <xf numFmtId="176" fontId="53" fillId="0" borderId="0" xfId="0" applyNumberFormat="1" applyFont="1" applyBorder="1" applyAlignment="1" applyProtection="1" quotePrefix="1">
      <alignment horizontal="right"/>
      <protection/>
    </xf>
    <xf numFmtId="0" fontId="29" fillId="0" borderId="0" xfId="0" applyFont="1" applyAlignment="1">
      <alignment horizontal="centerContinuous"/>
    </xf>
    <xf numFmtId="7" fontId="29" fillId="0" borderId="0" xfId="0" applyNumberFormat="1" applyFont="1" applyBorder="1" applyAlignment="1">
      <alignment horizontal="right"/>
    </xf>
    <xf numFmtId="176" fontId="30" fillId="0" borderId="0" xfId="0" applyNumberFormat="1" applyFont="1" applyBorder="1" applyAlignment="1" applyProtection="1">
      <alignment horizontal="left"/>
      <protection/>
    </xf>
    <xf numFmtId="10" fontId="29" fillId="0" borderId="0" xfId="0" applyNumberFormat="1" applyFont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7" fontId="29" fillId="0" borderId="0" xfId="0" applyNumberFormat="1" applyFont="1" applyAlignment="1">
      <alignment horizontal="right"/>
    </xf>
    <xf numFmtId="0" fontId="50" fillId="0" borderId="0" xfId="0" applyFont="1" applyAlignment="1" quotePrefix="1">
      <alignment/>
    </xf>
    <xf numFmtId="7" fontId="29" fillId="0" borderId="0" xfId="0" applyNumberFormat="1" applyFont="1" applyBorder="1" applyAlignment="1" applyProtection="1">
      <alignment horizontal="center"/>
      <protection/>
    </xf>
    <xf numFmtId="7" fontId="29" fillId="0" borderId="0" xfId="0" applyNumberFormat="1" applyFont="1" applyBorder="1" applyAlignment="1" applyProtection="1">
      <alignment horizontal="left"/>
      <protection/>
    </xf>
    <xf numFmtId="0" fontId="29" fillId="0" borderId="26" xfId="0" applyFont="1" applyFill="1" applyBorder="1" applyAlignment="1">
      <alignment/>
    </xf>
    <xf numFmtId="0" fontId="0" fillId="0" borderId="18" xfId="0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59" fillId="3" borderId="22" xfId="0" applyFont="1" applyFill="1" applyBorder="1" applyAlignment="1" applyProtection="1">
      <alignment horizontal="centerContinuous" vertical="center" wrapText="1"/>
      <protection/>
    </xf>
    <xf numFmtId="0" fontId="60" fillId="3" borderId="29" xfId="0" applyFont="1" applyFill="1" applyBorder="1" applyAlignment="1">
      <alignment horizontal="centerContinuous"/>
    </xf>
    <xf numFmtId="0" fontId="59" fillId="3" borderId="23" xfId="0" applyFont="1" applyFill="1" applyBorder="1" applyAlignment="1">
      <alignment horizontal="centerContinuous" vertical="center"/>
    </xf>
    <xf numFmtId="0" fontId="61" fillId="3" borderId="28" xfId="0" applyFont="1" applyFill="1" applyBorder="1" applyAlignment="1" applyProtection="1">
      <alignment horizontal="center" vertical="center"/>
      <protection/>
    </xf>
    <xf numFmtId="176" fontId="62" fillId="3" borderId="1" xfId="0" applyNumberFormat="1" applyFont="1" applyFill="1" applyBorder="1" applyAlignment="1" applyProtection="1">
      <alignment horizontal="center"/>
      <protection/>
    </xf>
    <xf numFmtId="176" fontId="62" fillId="3" borderId="6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left"/>
      <protection/>
    </xf>
    <xf numFmtId="0" fontId="4" fillId="0" borderId="36" xfId="0" applyFont="1" applyFill="1" applyBorder="1" applyAlignment="1" applyProtection="1">
      <alignment horizontal="center"/>
      <protection/>
    </xf>
    <xf numFmtId="0" fontId="4" fillId="0" borderId="28" xfId="0" applyFont="1" applyFill="1" applyBorder="1" applyAlignment="1">
      <alignment horizontal="center"/>
    </xf>
    <xf numFmtId="0" fontId="62" fillId="3" borderId="33" xfId="0" applyFont="1" applyFill="1" applyBorder="1" applyAlignment="1">
      <alignment horizontal="center"/>
    </xf>
    <xf numFmtId="0" fontId="62" fillId="3" borderId="5" xfId="0" applyFont="1" applyFill="1" applyBorder="1" applyAlignment="1">
      <alignment horizontal="center"/>
    </xf>
    <xf numFmtId="0" fontId="62" fillId="3" borderId="1" xfId="0" applyFont="1" applyFill="1" applyBorder="1" applyAlignment="1" applyProtection="1">
      <alignment horizontal="center"/>
      <protection/>
    </xf>
    <xf numFmtId="0" fontId="62" fillId="3" borderId="12" xfId="0" applyFont="1" applyFill="1" applyBorder="1" applyAlignment="1" applyProtection="1">
      <alignment horizontal="center"/>
      <protection/>
    </xf>
    <xf numFmtId="176" fontId="62" fillId="3" borderId="5" xfId="0" applyNumberFormat="1" applyFont="1" applyFill="1" applyBorder="1" applyAlignment="1" applyProtection="1">
      <alignment horizontal="center"/>
      <protection/>
    </xf>
    <xf numFmtId="0" fontId="62" fillId="3" borderId="0" xfId="0" applyFont="1" applyFill="1" applyBorder="1" applyAlignment="1">
      <alignment horizontal="center"/>
    </xf>
    <xf numFmtId="172" fontId="62" fillId="3" borderId="4" xfId="0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/>
    </xf>
    <xf numFmtId="0" fontId="14" fillId="0" borderId="21" xfId="0" applyFont="1" applyFill="1" applyBorder="1" applyAlignment="1">
      <alignment/>
    </xf>
    <xf numFmtId="0" fontId="33" fillId="0" borderId="28" xfId="21" applyFont="1" applyBorder="1" applyAlignment="1">
      <alignment horizontal="center" vertical="center"/>
      <protection/>
    </xf>
    <xf numFmtId="0" fontId="14" fillId="0" borderId="0" xfId="0" applyFont="1" applyAlignment="1">
      <alignment horizontal="centerContinuous"/>
    </xf>
    <xf numFmtId="0" fontId="14" fillId="0" borderId="0" xfId="0" applyFont="1" applyAlignment="1">
      <alignment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4" fillId="0" borderId="39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172" fontId="4" fillId="0" borderId="39" xfId="0" applyNumberFormat="1" applyFont="1" applyBorder="1" applyAlignment="1" applyProtection="1">
      <alignment horizontal="center"/>
      <protection/>
    </xf>
    <xf numFmtId="1" fontId="4" fillId="0" borderId="41" xfId="0" applyNumberFormat="1" applyFont="1" applyBorder="1" applyAlignment="1" applyProtection="1" quotePrefix="1">
      <alignment horizontal="center"/>
      <protection/>
    </xf>
    <xf numFmtId="22" fontId="4" fillId="0" borderId="6" xfId="0" applyNumberFormat="1" applyFont="1" applyFill="1" applyBorder="1" applyAlignment="1">
      <alignment horizontal="center"/>
    </xf>
    <xf numFmtId="22" fontId="4" fillId="0" borderId="6" xfId="0" applyNumberFormat="1" applyFont="1" applyFill="1" applyBorder="1" applyAlignment="1" applyProtection="1">
      <alignment horizontal="center"/>
      <protection/>
    </xf>
    <xf numFmtId="4" fontId="4" fillId="0" borderId="6" xfId="0" applyNumberFormat="1" applyFont="1" applyFill="1" applyBorder="1" applyAlignment="1" applyProtection="1">
      <alignment horizontal="center"/>
      <protection/>
    </xf>
    <xf numFmtId="3" fontId="4" fillId="0" borderId="6" xfId="0" applyNumberFormat="1" applyFont="1" applyFill="1" applyBorder="1" applyAlignment="1" applyProtection="1">
      <alignment horizontal="center"/>
      <protection/>
    </xf>
    <xf numFmtId="176" fontId="4" fillId="0" borderId="11" xfId="0" applyNumberFormat="1" applyFont="1" applyFill="1" applyBorder="1" applyAlignment="1">
      <alignment horizontal="center"/>
    </xf>
    <xf numFmtId="4" fontId="18" fillId="0" borderId="11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2" fontId="15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4" fontId="18" fillId="0" borderId="28" xfId="0" applyNumberFormat="1" applyFont="1" applyFill="1" applyBorder="1" applyAlignment="1">
      <alignment horizontal="right"/>
    </xf>
    <xf numFmtId="1" fontId="29" fillId="0" borderId="0" xfId="0" applyNumberFormat="1" applyFont="1" applyBorder="1" applyAlignment="1" applyProtection="1">
      <alignment horizontal="center"/>
      <protection/>
    </xf>
    <xf numFmtId="0" fontId="66" fillId="4" borderId="1" xfId="0" applyFont="1" applyFill="1" applyBorder="1" applyAlignment="1">
      <alignment/>
    </xf>
    <xf numFmtId="0" fontId="65" fillId="4" borderId="28" xfId="0" applyFont="1" applyFill="1" applyBorder="1" applyAlignment="1">
      <alignment horizontal="center" vertical="center" wrapText="1"/>
    </xf>
    <xf numFmtId="0" fontId="66" fillId="4" borderId="42" xfId="0" applyFont="1" applyFill="1" applyBorder="1" applyAlignment="1">
      <alignment/>
    </xf>
    <xf numFmtId="0" fontId="55" fillId="5" borderId="2" xfId="0" applyFont="1" applyFill="1" applyBorder="1" applyAlignment="1">
      <alignment/>
    </xf>
    <xf numFmtId="0" fontId="58" fillId="5" borderId="28" xfId="0" applyFont="1" applyFill="1" applyBorder="1" applyAlignment="1">
      <alignment horizontal="center" vertical="center" wrapText="1"/>
    </xf>
    <xf numFmtId="0" fontId="55" fillId="5" borderId="42" xfId="0" applyFont="1" applyFill="1" applyBorder="1" applyAlignment="1">
      <alignment/>
    </xf>
    <xf numFmtId="176" fontId="5" fillId="3" borderId="43" xfId="0" applyNumberFormat="1" applyFont="1" applyFill="1" applyBorder="1" applyAlignment="1" applyProtection="1" quotePrefix="1">
      <alignment horizontal="center"/>
      <protection/>
    </xf>
    <xf numFmtId="4" fontId="5" fillId="3" borderId="2" xfId="0" applyNumberFormat="1" applyFont="1" applyFill="1" applyBorder="1" applyAlignment="1" applyProtection="1">
      <alignment horizontal="center"/>
      <protection/>
    </xf>
    <xf numFmtId="0" fontId="68" fillId="6" borderId="22" xfId="0" applyFont="1" applyFill="1" applyBorder="1" applyAlignment="1">
      <alignment horizontal="centerContinuous" vertical="center" wrapText="1"/>
    </xf>
    <xf numFmtId="0" fontId="69" fillId="6" borderId="29" xfId="0" applyFont="1" applyFill="1" applyBorder="1" applyAlignment="1">
      <alignment horizontal="centerContinuous"/>
    </xf>
    <xf numFmtId="0" fontId="68" fillId="6" borderId="23" xfId="0" applyFont="1" applyFill="1" applyBorder="1" applyAlignment="1">
      <alignment horizontal="centerContinuous" vertical="center"/>
    </xf>
    <xf numFmtId="176" fontId="70" fillId="6" borderId="43" xfId="0" applyNumberFormat="1" applyFont="1" applyFill="1" applyBorder="1" applyAlignment="1" applyProtection="1" quotePrefix="1">
      <alignment horizontal="center"/>
      <protection/>
    </xf>
    <xf numFmtId="4" fontId="70" fillId="6" borderId="2" xfId="0" applyNumberFormat="1" applyFont="1" applyFill="1" applyBorder="1" applyAlignment="1" applyProtection="1">
      <alignment horizontal="center"/>
      <protection/>
    </xf>
    <xf numFmtId="0" fontId="4" fillId="3" borderId="44" xfId="0" applyFont="1" applyFill="1" applyBorder="1" applyAlignment="1">
      <alignment/>
    </xf>
    <xf numFmtId="0" fontId="4" fillId="3" borderId="45" xfId="0" applyFont="1" applyFill="1" applyBorder="1" applyAlignment="1">
      <alignment/>
    </xf>
    <xf numFmtId="0" fontId="4" fillId="3" borderId="46" xfId="0" applyFont="1" applyFill="1" applyBorder="1" applyAlignment="1">
      <alignment/>
    </xf>
    <xf numFmtId="0" fontId="70" fillId="6" borderId="44" xfId="0" applyFont="1" applyFill="1" applyBorder="1" applyAlignment="1">
      <alignment/>
    </xf>
    <xf numFmtId="0" fontId="70" fillId="6" borderId="45" xfId="0" applyFont="1" applyFill="1" applyBorder="1" applyAlignment="1">
      <alignment/>
    </xf>
    <xf numFmtId="0" fontId="70" fillId="6" borderId="46" xfId="0" applyFont="1" applyFill="1" applyBorder="1" applyAlignment="1">
      <alignment/>
    </xf>
    <xf numFmtId="176" fontId="70" fillId="6" borderId="13" xfId="0" applyNumberFormat="1" applyFont="1" applyFill="1" applyBorder="1" applyAlignment="1" applyProtection="1" quotePrefix="1">
      <alignment horizontal="center"/>
      <protection/>
    </xf>
    <xf numFmtId="176" fontId="5" fillId="3" borderId="13" xfId="0" applyNumberFormat="1" applyFont="1" applyFill="1" applyBorder="1" applyAlignment="1" applyProtection="1" quotePrefix="1">
      <alignment horizontal="center"/>
      <protection/>
    </xf>
    <xf numFmtId="0" fontId="4" fillId="0" borderId="42" xfId="0" applyFont="1" applyBorder="1" applyAlignment="1">
      <alignment/>
    </xf>
    <xf numFmtId="0" fontId="73" fillId="7" borderId="42" xfId="0" applyFont="1" applyFill="1" applyBorder="1" applyAlignment="1">
      <alignment/>
    </xf>
    <xf numFmtId="4" fontId="73" fillId="7" borderId="1" xfId="0" applyNumberFormat="1" applyFont="1" applyFill="1" applyBorder="1" applyAlignment="1" applyProtection="1">
      <alignment horizontal="center"/>
      <protection/>
    </xf>
    <xf numFmtId="0" fontId="72" fillId="7" borderId="28" xfId="0" applyFont="1" applyFill="1" applyBorder="1" applyAlignment="1">
      <alignment horizontal="center" vertical="center" wrapText="1"/>
    </xf>
    <xf numFmtId="0" fontId="75" fillId="8" borderId="28" xfId="0" applyFont="1" applyFill="1" applyBorder="1" applyAlignment="1">
      <alignment horizontal="center" vertical="center" wrapText="1"/>
    </xf>
    <xf numFmtId="0" fontId="76" fillId="8" borderId="42" xfId="0" applyFont="1" applyFill="1" applyBorder="1" applyAlignment="1">
      <alignment/>
    </xf>
    <xf numFmtId="4" fontId="76" fillId="8" borderId="1" xfId="0" applyNumberFormat="1" applyFont="1" applyFill="1" applyBorder="1" applyAlignment="1" applyProtection="1">
      <alignment horizontal="center"/>
      <protection/>
    </xf>
    <xf numFmtId="2" fontId="67" fillId="4" borderId="28" xfId="0" applyNumberFormat="1" applyFont="1" applyFill="1" applyBorder="1" applyAlignment="1" applyProtection="1">
      <alignment horizontal="center"/>
      <protection/>
    </xf>
    <xf numFmtId="2" fontId="56" fillId="5" borderId="28" xfId="0" applyNumberFormat="1" applyFont="1" applyFill="1" applyBorder="1" applyAlignment="1" applyProtection="1">
      <alignment horizontal="center"/>
      <protection/>
    </xf>
    <xf numFmtId="2" fontId="57" fillId="3" borderId="28" xfId="0" applyNumberFormat="1" applyFont="1" applyFill="1" applyBorder="1" applyAlignment="1" applyProtection="1">
      <alignment horizontal="center"/>
      <protection/>
    </xf>
    <xf numFmtId="2" fontId="71" fillId="6" borderId="28" xfId="0" applyNumberFormat="1" applyFont="1" applyFill="1" applyBorder="1" applyAlignment="1" applyProtection="1">
      <alignment horizontal="center"/>
      <protection/>
    </xf>
    <xf numFmtId="2" fontId="74" fillId="7" borderId="28" xfId="0" applyNumberFormat="1" applyFont="1" applyFill="1" applyBorder="1" applyAlignment="1" applyProtection="1">
      <alignment horizontal="center"/>
      <protection/>
    </xf>
    <xf numFmtId="2" fontId="77" fillId="8" borderId="28" xfId="0" applyNumberFormat="1" applyFont="1" applyFill="1" applyBorder="1" applyAlignment="1" applyProtection="1">
      <alignment horizontal="center"/>
      <protection/>
    </xf>
    <xf numFmtId="0" fontId="79" fillId="9" borderId="1" xfId="0" applyFont="1" applyFill="1" applyBorder="1" applyAlignment="1">
      <alignment/>
    </xf>
    <xf numFmtId="0" fontId="79" fillId="9" borderId="6" xfId="0" applyFont="1" applyFill="1" applyBorder="1" applyAlignment="1" applyProtection="1">
      <alignment horizontal="center"/>
      <protection/>
    </xf>
    <xf numFmtId="0" fontId="80" fillId="10" borderId="28" xfId="0" applyFont="1" applyFill="1" applyBorder="1" applyAlignment="1" applyProtection="1">
      <alignment horizontal="center" vertical="center"/>
      <protection/>
    </xf>
    <xf numFmtId="0" fontId="81" fillId="10" borderId="1" xfId="0" applyFont="1" applyFill="1" applyBorder="1" applyAlignment="1">
      <alignment/>
    </xf>
    <xf numFmtId="172" fontId="33" fillId="0" borderId="28" xfId="0" applyNumberFormat="1" applyFont="1" applyBorder="1" applyAlignment="1" applyProtection="1">
      <alignment horizontal="center" vertical="center" wrapText="1"/>
      <protection/>
    </xf>
    <xf numFmtId="176" fontId="78" fillId="9" borderId="28" xfId="0" applyNumberFormat="1" applyFont="1" applyFill="1" applyBorder="1" applyAlignment="1" applyProtection="1">
      <alignment horizontal="center" vertical="center"/>
      <protection/>
    </xf>
    <xf numFmtId="172" fontId="4" fillId="0" borderId="1" xfId="0" applyNumberFormat="1" applyFont="1" applyBorder="1" applyAlignment="1" applyProtection="1">
      <alignment horizontal="center"/>
      <protection/>
    </xf>
    <xf numFmtId="0" fontId="79" fillId="9" borderId="1" xfId="0" applyFont="1" applyFill="1" applyBorder="1" applyAlignment="1" applyProtection="1">
      <alignment horizontal="center"/>
      <protection/>
    </xf>
    <xf numFmtId="0" fontId="79" fillId="9" borderId="42" xfId="0" applyFont="1" applyFill="1" applyBorder="1" applyAlignment="1">
      <alignment/>
    </xf>
    <xf numFmtId="0" fontId="81" fillId="10" borderId="42" xfId="0" applyFont="1" applyFill="1" applyBorder="1" applyAlignment="1">
      <alignment/>
    </xf>
    <xf numFmtId="0" fontId="4" fillId="0" borderId="42" xfId="0" applyFont="1" applyBorder="1" applyAlignment="1">
      <alignment horizontal="center"/>
    </xf>
    <xf numFmtId="176" fontId="61" fillId="3" borderId="28" xfId="0" applyNumberFormat="1" applyFont="1" applyFill="1" applyBorder="1" applyAlignment="1" applyProtection="1">
      <alignment horizontal="center" vertical="center"/>
      <protection/>
    </xf>
    <xf numFmtId="0" fontId="62" fillId="3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172" fontId="4" fillId="0" borderId="47" xfId="0" applyNumberFormat="1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>
      <alignment horizontal="center"/>
    </xf>
    <xf numFmtId="0" fontId="82" fillId="11" borderId="28" xfId="0" applyFont="1" applyFill="1" applyBorder="1" applyAlignment="1" applyProtection="1">
      <alignment horizontal="center" vertical="center"/>
      <protection/>
    </xf>
    <xf numFmtId="0" fontId="84" fillId="11" borderId="47" xfId="0" applyFont="1" applyFill="1" applyBorder="1" applyAlignment="1">
      <alignment horizontal="center"/>
    </xf>
    <xf numFmtId="0" fontId="84" fillId="11" borderId="5" xfId="0" applyFont="1" applyFill="1" applyBorder="1" applyAlignment="1">
      <alignment horizontal="center"/>
    </xf>
    <xf numFmtId="172" fontId="84" fillId="11" borderId="1" xfId="0" applyNumberFormat="1" applyFont="1" applyFill="1" applyBorder="1" applyAlignment="1" applyProtection="1">
      <alignment horizontal="center"/>
      <protection/>
    </xf>
    <xf numFmtId="172" fontId="84" fillId="11" borderId="6" xfId="0" applyNumberFormat="1" applyFont="1" applyFill="1" applyBorder="1" applyAlignment="1" applyProtection="1">
      <alignment horizontal="center"/>
      <protection/>
    </xf>
    <xf numFmtId="0" fontId="85" fillId="7" borderId="28" xfId="0" applyFont="1" applyFill="1" applyBorder="1" applyAlignment="1">
      <alignment horizontal="center" vertical="center" wrapText="1"/>
    </xf>
    <xf numFmtId="0" fontId="86" fillId="7" borderId="47" xfId="0" applyFont="1" applyFill="1" applyBorder="1" applyAlignment="1">
      <alignment horizontal="center"/>
    </xf>
    <xf numFmtId="0" fontId="86" fillId="7" borderId="5" xfId="0" applyFont="1" applyFill="1" applyBorder="1" applyAlignment="1">
      <alignment horizontal="center"/>
    </xf>
    <xf numFmtId="2" fontId="86" fillId="7" borderId="1" xfId="0" applyNumberFormat="1" applyFont="1" applyFill="1" applyBorder="1" applyAlignment="1">
      <alignment horizontal="center"/>
    </xf>
    <xf numFmtId="2" fontId="86" fillId="7" borderId="6" xfId="0" applyNumberFormat="1" applyFont="1" applyFill="1" applyBorder="1" applyAlignment="1">
      <alignment horizontal="center"/>
    </xf>
    <xf numFmtId="4" fontId="86" fillId="7" borderId="28" xfId="0" applyNumberFormat="1" applyFont="1" applyFill="1" applyBorder="1" applyAlignment="1">
      <alignment horizontal="center"/>
    </xf>
    <xf numFmtId="0" fontId="87" fillId="5" borderId="28" xfId="0" applyFont="1" applyFill="1" applyBorder="1" applyAlignment="1">
      <alignment horizontal="center" vertical="center" wrapText="1"/>
    </xf>
    <xf numFmtId="0" fontId="88" fillId="5" borderId="47" xfId="0" applyFont="1" applyFill="1" applyBorder="1" applyAlignment="1">
      <alignment horizontal="center"/>
    </xf>
    <xf numFmtId="0" fontId="88" fillId="5" borderId="5" xfId="0" applyFont="1" applyFill="1" applyBorder="1" applyAlignment="1">
      <alignment horizontal="center"/>
    </xf>
    <xf numFmtId="2" fontId="88" fillId="5" borderId="1" xfId="0" applyNumberFormat="1" applyFont="1" applyFill="1" applyBorder="1" applyAlignment="1">
      <alignment horizontal="center"/>
    </xf>
    <xf numFmtId="2" fontId="88" fillId="5" borderId="6" xfId="0" applyNumberFormat="1" applyFont="1" applyFill="1" applyBorder="1" applyAlignment="1">
      <alignment horizontal="center"/>
    </xf>
    <xf numFmtId="4" fontId="88" fillId="5" borderId="28" xfId="0" applyNumberFormat="1" applyFont="1" applyFill="1" applyBorder="1" applyAlignment="1">
      <alignment horizontal="center"/>
    </xf>
    <xf numFmtId="0" fontId="57" fillId="3" borderId="44" xfId="0" applyFont="1" applyFill="1" applyBorder="1" applyAlignment="1">
      <alignment horizontal="center"/>
    </xf>
    <xf numFmtId="0" fontId="57" fillId="3" borderId="46" xfId="0" applyFont="1" applyFill="1" applyBorder="1" applyAlignment="1">
      <alignment horizontal="center"/>
    </xf>
    <xf numFmtId="0" fontId="57" fillId="3" borderId="16" xfId="0" applyFont="1" applyFill="1" applyBorder="1" applyAlignment="1">
      <alignment horizontal="center"/>
    </xf>
    <xf numFmtId="0" fontId="57" fillId="3" borderId="10" xfId="0" applyFont="1" applyFill="1" applyBorder="1" applyAlignment="1">
      <alignment horizontal="center"/>
    </xf>
    <xf numFmtId="176" fontId="57" fillId="3" borderId="16" xfId="0" applyNumberFormat="1" applyFont="1" applyFill="1" applyBorder="1" applyAlignment="1" applyProtection="1" quotePrefix="1">
      <alignment horizontal="center"/>
      <protection/>
    </xf>
    <xf numFmtId="176" fontId="57" fillId="3" borderId="10" xfId="0" applyNumberFormat="1" applyFont="1" applyFill="1" applyBorder="1" applyAlignment="1" applyProtection="1" quotePrefix="1">
      <alignment horizontal="center"/>
      <protection/>
    </xf>
    <xf numFmtId="176" fontId="57" fillId="3" borderId="48" xfId="0" applyNumberFormat="1" applyFont="1" applyFill="1" applyBorder="1" applyAlignment="1" applyProtection="1" quotePrefix="1">
      <alignment horizontal="center"/>
      <protection/>
    </xf>
    <xf numFmtId="176" fontId="57" fillId="3" borderId="41" xfId="0" applyNumberFormat="1" applyFont="1" applyFill="1" applyBorder="1" applyAlignment="1" applyProtection="1" quotePrefix="1">
      <alignment horizontal="center"/>
      <protection/>
    </xf>
    <xf numFmtId="4" fontId="57" fillId="3" borderId="49" xfId="0" applyNumberFormat="1" applyFont="1" applyFill="1" applyBorder="1" applyAlignment="1">
      <alignment horizontal="center"/>
    </xf>
    <xf numFmtId="4" fontId="57" fillId="3" borderId="23" xfId="0" applyNumberFormat="1" applyFont="1" applyFill="1" applyBorder="1" applyAlignment="1">
      <alignment horizontal="center"/>
    </xf>
    <xf numFmtId="0" fontId="89" fillId="12" borderId="22" xfId="0" applyFont="1" applyFill="1" applyBorder="1" applyAlignment="1" applyProtection="1">
      <alignment horizontal="centerContinuous" vertical="center" wrapText="1"/>
      <protection/>
    </xf>
    <xf numFmtId="0" fontId="89" fillId="12" borderId="23" xfId="0" applyFont="1" applyFill="1" applyBorder="1" applyAlignment="1">
      <alignment horizontal="centerContinuous" vertical="center"/>
    </xf>
    <xf numFmtId="0" fontId="90" fillId="12" borderId="50" xfId="0" applyFont="1" applyFill="1" applyBorder="1" applyAlignment="1">
      <alignment horizontal="center"/>
    </xf>
    <xf numFmtId="0" fontId="90" fillId="12" borderId="51" xfId="0" applyFont="1" applyFill="1" applyBorder="1" applyAlignment="1">
      <alignment horizontal="center"/>
    </xf>
    <xf numFmtId="0" fontId="90" fillId="12" borderId="16" xfId="0" applyFont="1" applyFill="1" applyBorder="1" applyAlignment="1">
      <alignment horizontal="center"/>
    </xf>
    <xf numFmtId="0" fontId="90" fillId="12" borderId="10" xfId="0" applyFont="1" applyFill="1" applyBorder="1" applyAlignment="1">
      <alignment horizontal="center"/>
    </xf>
    <xf numFmtId="176" fontId="90" fillId="12" borderId="16" xfId="0" applyNumberFormat="1" applyFont="1" applyFill="1" applyBorder="1" applyAlignment="1" applyProtection="1" quotePrefix="1">
      <alignment horizontal="center"/>
      <protection/>
    </xf>
    <xf numFmtId="176" fontId="90" fillId="12" borderId="10" xfId="0" applyNumberFormat="1" applyFont="1" applyFill="1" applyBorder="1" applyAlignment="1" applyProtection="1" quotePrefix="1">
      <alignment horizontal="center"/>
      <protection/>
    </xf>
    <xf numFmtId="176" fontId="90" fillId="12" borderId="52" xfId="0" applyNumberFormat="1" applyFont="1" applyFill="1" applyBorder="1" applyAlignment="1" applyProtection="1" quotePrefix="1">
      <alignment horizontal="center"/>
      <protection/>
    </xf>
    <xf numFmtId="176" fontId="90" fillId="12" borderId="53" xfId="0" applyNumberFormat="1" applyFont="1" applyFill="1" applyBorder="1" applyAlignment="1" applyProtection="1" quotePrefix="1">
      <alignment horizontal="center"/>
      <protection/>
    </xf>
    <xf numFmtId="4" fontId="90" fillId="12" borderId="49" xfId="0" applyNumberFormat="1" applyFont="1" applyFill="1" applyBorder="1" applyAlignment="1">
      <alignment horizontal="center"/>
    </xf>
    <xf numFmtId="4" fontId="90" fillId="12" borderId="54" xfId="0" applyNumberFormat="1" applyFont="1" applyFill="1" applyBorder="1" applyAlignment="1">
      <alignment horizontal="center"/>
    </xf>
    <xf numFmtId="0" fontId="89" fillId="12" borderId="28" xfId="0" applyFont="1" applyFill="1" applyBorder="1" applyAlignment="1">
      <alignment horizontal="center" vertical="center" wrapText="1"/>
    </xf>
    <xf numFmtId="0" fontId="65" fillId="13" borderId="28" xfId="0" applyFont="1" applyFill="1" applyBorder="1" applyAlignment="1">
      <alignment horizontal="center" vertical="center" wrapText="1"/>
    </xf>
    <xf numFmtId="0" fontId="67" fillId="13" borderId="47" xfId="0" applyFont="1" applyFill="1" applyBorder="1" applyAlignment="1">
      <alignment horizontal="center"/>
    </xf>
    <xf numFmtId="0" fontId="67" fillId="13" borderId="5" xfId="0" applyFont="1" applyFill="1" applyBorder="1" applyAlignment="1">
      <alignment horizontal="center"/>
    </xf>
    <xf numFmtId="176" fontId="67" fillId="13" borderId="1" xfId="0" applyNumberFormat="1" applyFont="1" applyFill="1" applyBorder="1" applyAlignment="1" applyProtection="1" quotePrefix="1">
      <alignment horizontal="center"/>
      <protection/>
    </xf>
    <xf numFmtId="176" fontId="67" fillId="13" borderId="6" xfId="0" applyNumberFormat="1" applyFont="1" applyFill="1" applyBorder="1" applyAlignment="1" applyProtection="1" quotePrefix="1">
      <alignment horizontal="center"/>
      <protection/>
    </xf>
    <xf numFmtId="0" fontId="91" fillId="7" borderId="28" xfId="0" applyFont="1" applyFill="1" applyBorder="1" applyAlignment="1">
      <alignment horizontal="center" vertical="center" wrapText="1"/>
    </xf>
    <xf numFmtId="0" fontId="92" fillId="7" borderId="47" xfId="0" applyFont="1" applyFill="1" applyBorder="1" applyAlignment="1">
      <alignment horizontal="center"/>
    </xf>
    <xf numFmtId="0" fontId="92" fillId="7" borderId="5" xfId="0" applyFont="1" applyFill="1" applyBorder="1" applyAlignment="1">
      <alignment horizontal="center"/>
    </xf>
    <xf numFmtId="176" fontId="92" fillId="7" borderId="5" xfId="0" applyNumberFormat="1" applyFont="1" applyFill="1" applyBorder="1" applyAlignment="1" applyProtection="1" quotePrefix="1">
      <alignment horizontal="center"/>
      <protection/>
    </xf>
    <xf numFmtId="176" fontId="92" fillId="7" borderId="6" xfId="0" applyNumberFormat="1" applyFont="1" applyFill="1" applyBorder="1" applyAlignment="1" applyProtection="1" quotePrefix="1">
      <alignment horizontal="center"/>
      <protection/>
    </xf>
    <xf numFmtId="0" fontId="84" fillId="10" borderId="1" xfId="0" applyFont="1" applyFill="1" applyBorder="1" applyAlignment="1" applyProtection="1">
      <alignment horizontal="center"/>
      <protection/>
    </xf>
    <xf numFmtId="0" fontId="82" fillId="10" borderId="28" xfId="0" applyFont="1" applyFill="1" applyBorder="1" applyAlignment="1" applyProtection="1">
      <alignment horizontal="center" vertical="center"/>
      <protection/>
    </xf>
    <xf numFmtId="172" fontId="84" fillId="10" borderId="1" xfId="0" applyNumberFormat="1" applyFont="1" applyFill="1" applyBorder="1" applyAlignment="1" applyProtection="1">
      <alignment horizontal="center"/>
      <protection/>
    </xf>
    <xf numFmtId="0" fontId="84" fillId="10" borderId="42" xfId="0" applyFont="1" applyFill="1" applyBorder="1" applyAlignment="1" applyProtection="1">
      <alignment horizontal="center"/>
      <protection/>
    </xf>
    <xf numFmtId="0" fontId="90" fillId="12" borderId="1" xfId="0" applyFont="1" applyFill="1" applyBorder="1" applyAlignment="1" applyProtection="1">
      <alignment horizontal="center"/>
      <protection/>
    </xf>
    <xf numFmtId="2" fontId="90" fillId="12" borderId="1" xfId="0" applyNumberFormat="1" applyFont="1" applyFill="1" applyBorder="1" applyAlignment="1">
      <alignment horizontal="center"/>
    </xf>
    <xf numFmtId="0" fontId="90" fillId="12" borderId="42" xfId="0" applyFont="1" applyFill="1" applyBorder="1" applyAlignment="1" applyProtection="1">
      <alignment horizontal="center"/>
      <protection/>
    </xf>
    <xf numFmtId="4" fontId="90" fillId="12" borderId="28" xfId="0" applyNumberFormat="1" applyFont="1" applyFill="1" applyBorder="1" applyAlignment="1">
      <alignment horizontal="center"/>
    </xf>
    <xf numFmtId="0" fontId="58" fillId="5" borderId="22" xfId="0" applyFont="1" applyFill="1" applyBorder="1" applyAlignment="1" applyProtection="1">
      <alignment horizontal="centerContinuous" vertical="center" wrapText="1"/>
      <protection/>
    </xf>
    <xf numFmtId="0" fontId="58" fillId="5" borderId="23" xfId="0" applyFont="1" applyFill="1" applyBorder="1" applyAlignment="1">
      <alignment horizontal="centerContinuous" vertical="center"/>
    </xf>
    <xf numFmtId="176" fontId="56" fillId="5" borderId="44" xfId="0" applyNumberFormat="1" applyFont="1" applyFill="1" applyBorder="1" applyAlignment="1" applyProtection="1" quotePrefix="1">
      <alignment horizontal="center"/>
      <protection/>
    </xf>
    <xf numFmtId="176" fontId="56" fillId="5" borderId="46" xfId="0" applyNumberFormat="1" applyFont="1" applyFill="1" applyBorder="1" applyAlignment="1" applyProtection="1" quotePrefix="1">
      <alignment horizontal="center"/>
      <protection/>
    </xf>
    <xf numFmtId="176" fontId="56" fillId="5" borderId="13" xfId="0" applyNumberFormat="1" applyFont="1" applyFill="1" applyBorder="1" applyAlignment="1" applyProtection="1" quotePrefix="1">
      <alignment horizontal="center"/>
      <protection/>
    </xf>
    <xf numFmtId="176" fontId="56" fillId="5" borderId="55" xfId="0" applyNumberFormat="1" applyFont="1" applyFill="1" applyBorder="1" applyAlignment="1" applyProtection="1" quotePrefix="1">
      <alignment horizontal="center"/>
      <protection/>
    </xf>
    <xf numFmtId="4" fontId="56" fillId="5" borderId="49" xfId="0" applyNumberFormat="1" applyFont="1" applyFill="1" applyBorder="1" applyAlignment="1">
      <alignment horizontal="center"/>
    </xf>
    <xf numFmtId="4" fontId="56" fillId="5" borderId="54" xfId="0" applyNumberFormat="1" applyFont="1" applyFill="1" applyBorder="1" applyAlignment="1">
      <alignment horizontal="center"/>
    </xf>
    <xf numFmtId="176" fontId="83" fillId="4" borderId="1" xfId="0" applyNumberFormat="1" applyFont="1" applyFill="1" applyBorder="1" applyAlignment="1" applyProtection="1" quotePrefix="1">
      <alignment horizontal="center"/>
      <protection/>
    </xf>
    <xf numFmtId="4" fontId="83" fillId="4" borderId="28" xfId="0" applyNumberFormat="1" applyFont="1" applyFill="1" applyBorder="1" applyAlignment="1">
      <alignment horizontal="center"/>
    </xf>
    <xf numFmtId="0" fontId="82" fillId="4" borderId="28" xfId="0" applyFont="1" applyFill="1" applyBorder="1" applyAlignment="1">
      <alignment horizontal="center" vertical="center" wrapText="1"/>
    </xf>
    <xf numFmtId="176" fontId="83" fillId="4" borderId="42" xfId="0" applyNumberFormat="1" applyFont="1" applyFill="1" applyBorder="1" applyAlignment="1" applyProtection="1" quotePrefix="1">
      <alignment horizontal="center"/>
      <protection/>
    </xf>
    <xf numFmtId="0" fontId="38" fillId="7" borderId="28" xfId="0" applyFont="1" applyFill="1" applyBorder="1" applyAlignment="1">
      <alignment horizontal="center" vertical="center" wrapText="1"/>
    </xf>
    <xf numFmtId="0" fontId="93" fillId="7" borderId="47" xfId="0" applyFont="1" applyFill="1" applyBorder="1" applyAlignment="1">
      <alignment horizontal="center"/>
    </xf>
    <xf numFmtId="2" fontId="93" fillId="7" borderId="5" xfId="0" applyNumberFormat="1" applyFont="1" applyFill="1" applyBorder="1" applyAlignment="1">
      <alignment horizontal="center"/>
    </xf>
    <xf numFmtId="4" fontId="93" fillId="7" borderId="28" xfId="0" applyNumberFormat="1" applyFont="1" applyFill="1" applyBorder="1" applyAlignment="1">
      <alignment horizontal="center"/>
    </xf>
    <xf numFmtId="0" fontId="65" fillId="14" borderId="22" xfId="0" applyFont="1" applyFill="1" applyBorder="1" applyAlignment="1" applyProtection="1">
      <alignment horizontal="centerContinuous" vertical="center" wrapText="1"/>
      <protection/>
    </xf>
    <xf numFmtId="0" fontId="65" fillId="14" borderId="23" xfId="0" applyFont="1" applyFill="1" applyBorder="1" applyAlignment="1">
      <alignment horizontal="centerContinuous" vertical="center"/>
    </xf>
    <xf numFmtId="0" fontId="67" fillId="14" borderId="44" xfId="0" applyFont="1" applyFill="1" applyBorder="1" applyAlignment="1">
      <alignment horizontal="center"/>
    </xf>
    <xf numFmtId="0" fontId="67" fillId="14" borderId="46" xfId="0" applyFont="1" applyFill="1" applyBorder="1" applyAlignment="1">
      <alignment horizontal="center"/>
    </xf>
    <xf numFmtId="176" fontId="67" fillId="14" borderId="16" xfId="0" applyNumberFormat="1" applyFont="1" applyFill="1" applyBorder="1" applyAlignment="1" applyProtection="1" quotePrefix="1">
      <alignment horizontal="center"/>
      <protection/>
    </xf>
    <xf numFmtId="176" fontId="67" fillId="14" borderId="10" xfId="0" applyNumberFormat="1" applyFont="1" applyFill="1" applyBorder="1" applyAlignment="1" applyProtection="1" quotePrefix="1">
      <alignment horizontal="center"/>
      <protection/>
    </xf>
    <xf numFmtId="4" fontId="67" fillId="14" borderId="49" xfId="0" applyNumberFormat="1" applyFont="1" applyFill="1" applyBorder="1" applyAlignment="1">
      <alignment horizontal="center"/>
    </xf>
    <xf numFmtId="4" fontId="67" fillId="14" borderId="23" xfId="0" applyNumberFormat="1" applyFont="1" applyFill="1" applyBorder="1" applyAlignment="1">
      <alignment horizontal="center"/>
    </xf>
    <xf numFmtId="0" fontId="68" fillId="5" borderId="28" xfId="0" applyFont="1" applyFill="1" applyBorder="1" applyAlignment="1">
      <alignment horizontal="center" vertical="center" wrapText="1"/>
    </xf>
    <xf numFmtId="0" fontId="71" fillId="5" borderId="47" xfId="0" applyFont="1" applyFill="1" applyBorder="1" applyAlignment="1">
      <alignment horizontal="center"/>
    </xf>
    <xf numFmtId="176" fontId="71" fillId="5" borderId="5" xfId="0" applyNumberFormat="1" applyFont="1" applyFill="1" applyBorder="1" applyAlignment="1" applyProtection="1" quotePrefix="1">
      <alignment horizontal="center"/>
      <protection/>
    </xf>
    <xf numFmtId="4" fontId="71" fillId="5" borderId="28" xfId="0" applyNumberFormat="1" applyFont="1" applyFill="1" applyBorder="1" applyAlignment="1">
      <alignment horizontal="center"/>
    </xf>
    <xf numFmtId="0" fontId="4" fillId="0" borderId="47" xfId="0" applyFont="1" applyBorder="1" applyAlignment="1">
      <alignment horizontal="center"/>
    </xf>
    <xf numFmtId="172" fontId="62" fillId="3" borderId="1" xfId="0" applyNumberFormat="1" applyFont="1" applyFill="1" applyBorder="1" applyAlignment="1" applyProtection="1">
      <alignment horizontal="center"/>
      <protection/>
    </xf>
    <xf numFmtId="172" fontId="62" fillId="3" borderId="6" xfId="0" applyNumberFormat="1" applyFont="1" applyFill="1" applyBorder="1" applyAlignment="1" applyProtection="1">
      <alignment horizontal="center"/>
      <protection/>
    </xf>
    <xf numFmtId="4" fontId="67" fillId="13" borderId="28" xfId="0" applyNumberFormat="1" applyFont="1" applyFill="1" applyBorder="1" applyAlignment="1">
      <alignment horizontal="center"/>
    </xf>
    <xf numFmtId="4" fontId="92" fillId="7" borderId="28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176" fontId="84" fillId="4" borderId="6" xfId="0" applyNumberFormat="1" applyFont="1" applyFill="1" applyBorder="1" applyAlignment="1" applyProtection="1" quotePrefix="1">
      <alignment horizontal="center"/>
      <protection/>
    </xf>
    <xf numFmtId="173" fontId="94" fillId="3" borderId="6" xfId="0" applyNumberFormat="1" applyFont="1" applyFill="1" applyBorder="1" applyAlignment="1" applyProtection="1">
      <alignment horizontal="center"/>
      <protection/>
    </xf>
    <xf numFmtId="176" fontId="95" fillId="10" borderId="1" xfId="0" applyNumberFormat="1" applyFont="1" applyFill="1" applyBorder="1" applyAlignment="1" applyProtection="1">
      <alignment horizontal="center"/>
      <protection/>
    </xf>
    <xf numFmtId="176" fontId="95" fillId="10" borderId="6" xfId="0" applyNumberFormat="1" applyFont="1" applyFill="1" applyBorder="1" applyAlignment="1" applyProtection="1">
      <alignment horizontal="center"/>
      <protection/>
    </xf>
    <xf numFmtId="0" fontId="29" fillId="0" borderId="42" xfId="0" applyFont="1" applyBorder="1" applyAlignment="1">
      <alignment horizontal="center"/>
    </xf>
    <xf numFmtId="0" fontId="94" fillId="3" borderId="1" xfId="0" applyFont="1" applyFill="1" applyBorder="1" applyAlignment="1" applyProtection="1">
      <alignment horizontal="center"/>
      <protection/>
    </xf>
    <xf numFmtId="22" fontId="4" fillId="0" borderId="1" xfId="0" applyNumberFormat="1" applyFont="1" applyBorder="1" applyAlignment="1">
      <alignment horizontal="center"/>
    </xf>
    <xf numFmtId="172" fontId="29" fillId="0" borderId="42" xfId="0" applyNumberFormat="1" applyFont="1" applyBorder="1" applyAlignment="1" applyProtection="1">
      <alignment horizontal="center"/>
      <protection/>
    </xf>
    <xf numFmtId="172" fontId="94" fillId="3" borderId="42" xfId="0" applyNumberFormat="1" applyFont="1" applyFill="1" applyBorder="1" applyAlignment="1" applyProtection="1">
      <alignment horizontal="center"/>
      <protection/>
    </xf>
    <xf numFmtId="0" fontId="95" fillId="10" borderId="42" xfId="0" applyFont="1" applyFill="1" applyBorder="1" applyAlignment="1">
      <alignment horizontal="center"/>
    </xf>
    <xf numFmtId="2" fontId="95" fillId="11" borderId="28" xfId="0" applyNumberFormat="1" applyFont="1" applyFill="1" applyBorder="1" applyAlignment="1" applyProtection="1">
      <alignment horizontal="center"/>
      <protection/>
    </xf>
    <xf numFmtId="2" fontId="21" fillId="15" borderId="28" xfId="0" applyNumberFormat="1" applyFont="1" applyFill="1" applyBorder="1" applyAlignment="1" applyProtection="1">
      <alignment horizontal="center"/>
      <protection/>
    </xf>
    <xf numFmtId="0" fontId="96" fillId="4" borderId="22" xfId="0" applyFont="1" applyFill="1" applyBorder="1" applyAlignment="1" applyProtection="1">
      <alignment horizontal="centerContinuous" vertical="center" wrapText="1"/>
      <protection/>
    </xf>
    <xf numFmtId="0" fontId="97" fillId="4" borderId="29" xfId="0" applyFont="1" applyFill="1" applyBorder="1" applyAlignment="1">
      <alignment horizontal="centerContinuous"/>
    </xf>
    <xf numFmtId="0" fontId="96" fillId="4" borderId="23" xfId="0" applyFont="1" applyFill="1" applyBorder="1" applyAlignment="1">
      <alignment horizontal="centerContinuous" vertical="center"/>
    </xf>
    <xf numFmtId="2" fontId="98" fillId="4" borderId="28" xfId="0" applyNumberFormat="1" applyFont="1" applyFill="1" applyBorder="1" applyAlignment="1" applyProtection="1">
      <alignment horizontal="center"/>
      <protection/>
    </xf>
    <xf numFmtId="0" fontId="82" fillId="11" borderId="28" xfId="0" applyFont="1" applyFill="1" applyBorder="1" applyAlignment="1">
      <alignment horizontal="center" vertical="center" wrapText="1"/>
    </xf>
    <xf numFmtId="0" fontId="38" fillId="15" borderId="28" xfId="0" applyFont="1" applyFill="1" applyBorder="1" applyAlignment="1">
      <alignment horizontal="center" vertical="center" wrapText="1"/>
    </xf>
    <xf numFmtId="0" fontId="82" fillId="16" borderId="22" xfId="0" applyFont="1" applyFill="1" applyBorder="1" applyAlignment="1">
      <alignment horizontal="centerContinuous" vertical="center" wrapText="1"/>
    </xf>
    <xf numFmtId="0" fontId="99" fillId="16" borderId="29" xfId="0" applyFont="1" applyFill="1" applyBorder="1" applyAlignment="1">
      <alignment horizontal="centerContinuous"/>
    </xf>
    <xf numFmtId="0" fontId="82" fillId="16" borderId="23" xfId="0" applyFont="1" applyFill="1" applyBorder="1" applyAlignment="1">
      <alignment horizontal="centerContinuous" vertical="center"/>
    </xf>
    <xf numFmtId="2" fontId="95" fillId="16" borderId="28" xfId="0" applyNumberFormat="1" applyFont="1" applyFill="1" applyBorder="1" applyAlignment="1" applyProtection="1">
      <alignment horizontal="center"/>
      <protection/>
    </xf>
    <xf numFmtId="0" fontId="82" fillId="7" borderId="28" xfId="0" applyFont="1" applyFill="1" applyBorder="1" applyAlignment="1">
      <alignment horizontal="centerContinuous" vertical="center" wrapText="1"/>
    </xf>
    <xf numFmtId="2" fontId="95" fillId="7" borderId="28" xfId="0" applyNumberFormat="1" applyFont="1" applyFill="1" applyBorder="1" applyAlignment="1" applyProtection="1">
      <alignment horizontal="center"/>
      <protection/>
    </xf>
    <xf numFmtId="0" fontId="82" fillId="17" borderId="28" xfId="0" applyFont="1" applyFill="1" applyBorder="1" applyAlignment="1">
      <alignment horizontal="centerContinuous" vertical="center" wrapText="1"/>
    </xf>
    <xf numFmtId="2" fontId="95" fillId="17" borderId="28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 horizontal="centerContinuous"/>
      <protection/>
    </xf>
    <xf numFmtId="0" fontId="64" fillId="3" borderId="1" xfId="0" applyFont="1" applyFill="1" applyBorder="1" applyAlignment="1">
      <alignment horizontal="center"/>
    </xf>
    <xf numFmtId="176" fontId="64" fillId="3" borderId="1" xfId="0" applyNumberFormat="1" applyFont="1" applyFill="1" applyBorder="1" applyAlignment="1" applyProtection="1">
      <alignment horizontal="center"/>
      <protection/>
    </xf>
    <xf numFmtId="176" fontId="64" fillId="3" borderId="6" xfId="0" applyNumberFormat="1" applyFont="1" applyFill="1" applyBorder="1" applyAlignment="1" applyProtection="1">
      <alignment horizontal="center"/>
      <protection/>
    </xf>
    <xf numFmtId="7" fontId="16" fillId="0" borderId="42" xfId="0" applyNumberFormat="1" applyFont="1" applyBorder="1" applyAlignment="1">
      <alignment/>
    </xf>
    <xf numFmtId="7" fontId="18" fillId="0" borderId="47" xfId="0" applyNumberFormat="1" applyFont="1" applyFill="1" applyBorder="1" applyAlignment="1">
      <alignment horizontal="center"/>
    </xf>
    <xf numFmtId="183" fontId="13" fillId="0" borderId="0" xfId="0" applyNumberFormat="1" applyFont="1" applyBorder="1" applyAlignment="1">
      <alignment horizontal="right"/>
    </xf>
    <xf numFmtId="184" fontId="29" fillId="0" borderId="18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centerContinuous"/>
    </xf>
    <xf numFmtId="184" fontId="1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184" fontId="4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 horizontal="right"/>
    </xf>
    <xf numFmtId="183" fontId="13" fillId="0" borderId="0" xfId="0" applyNumberFormat="1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7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 applyProtection="1">
      <alignment horizontal="left"/>
      <protection/>
    </xf>
    <xf numFmtId="7" fontId="29" fillId="0" borderId="0" xfId="0" applyNumberFormat="1" applyFont="1" applyBorder="1" applyAlignment="1">
      <alignment horizontal="centerContinuous"/>
    </xf>
    <xf numFmtId="0" fontId="29" fillId="0" borderId="0" xfId="0" applyFont="1" applyAlignment="1">
      <alignment horizontal="right"/>
    </xf>
    <xf numFmtId="10" fontId="29" fillId="0" borderId="0" xfId="0" applyNumberFormat="1" applyFont="1" applyBorder="1" applyAlignment="1" applyProtection="1">
      <alignment horizontal="right"/>
      <protection/>
    </xf>
    <xf numFmtId="0" fontId="82" fillId="18" borderId="22" xfId="0" applyFont="1" applyFill="1" applyBorder="1" applyAlignment="1" applyProtection="1">
      <alignment horizontal="centerContinuous" vertical="center" wrapText="1"/>
      <protection/>
    </xf>
    <xf numFmtId="0" fontId="82" fillId="18" borderId="23" xfId="0" applyFont="1" applyFill="1" applyBorder="1" applyAlignment="1">
      <alignment horizontal="centerContinuous" vertical="center"/>
    </xf>
    <xf numFmtId="0" fontId="84" fillId="18" borderId="44" xfId="0" applyFont="1" applyFill="1" applyBorder="1" applyAlignment="1">
      <alignment horizontal="center"/>
    </xf>
    <xf numFmtId="0" fontId="84" fillId="18" borderId="46" xfId="0" applyFont="1" applyFill="1" applyBorder="1" applyAlignment="1">
      <alignment horizontal="left"/>
    </xf>
    <xf numFmtId="176" fontId="83" fillId="18" borderId="16" xfId="0" applyNumberFormat="1" applyFont="1" applyFill="1" applyBorder="1" applyAlignment="1" applyProtection="1" quotePrefix="1">
      <alignment horizontal="center"/>
      <protection/>
    </xf>
    <xf numFmtId="176" fontId="83" fillId="18" borderId="10" xfId="0" applyNumberFormat="1" applyFont="1" applyFill="1" applyBorder="1" applyAlignment="1" applyProtection="1" quotePrefix="1">
      <alignment horizontal="center"/>
      <protection/>
    </xf>
    <xf numFmtId="176" fontId="84" fillId="18" borderId="48" xfId="0" applyNumberFormat="1" applyFont="1" applyFill="1" applyBorder="1" applyAlignment="1" applyProtection="1" quotePrefix="1">
      <alignment horizontal="center"/>
      <protection/>
    </xf>
    <xf numFmtId="176" fontId="84" fillId="18" borderId="41" xfId="0" applyNumberFormat="1" applyFont="1" applyFill="1" applyBorder="1" applyAlignment="1" applyProtection="1" quotePrefix="1">
      <alignment horizontal="center"/>
      <protection/>
    </xf>
    <xf numFmtId="0" fontId="82" fillId="19" borderId="28" xfId="0" applyFont="1" applyFill="1" applyBorder="1" applyAlignment="1">
      <alignment horizontal="center" vertical="center" wrapText="1"/>
    </xf>
    <xf numFmtId="2" fontId="83" fillId="19" borderId="1" xfId="0" applyNumberFormat="1" applyFont="1" applyFill="1" applyBorder="1" applyAlignment="1">
      <alignment horizontal="center"/>
    </xf>
    <xf numFmtId="2" fontId="84" fillId="19" borderId="6" xfId="0" applyNumberFormat="1" applyFont="1" applyFill="1" applyBorder="1" applyAlignment="1">
      <alignment horizontal="center"/>
    </xf>
    <xf numFmtId="0" fontId="82" fillId="4" borderId="28" xfId="0" applyFont="1" applyFill="1" applyBorder="1" applyAlignment="1">
      <alignment horizontal="centerContinuous" vertical="center" wrapText="1"/>
    </xf>
    <xf numFmtId="0" fontId="62" fillId="3" borderId="42" xfId="0" applyFont="1" applyFill="1" applyBorder="1" applyAlignment="1">
      <alignment horizontal="center"/>
    </xf>
    <xf numFmtId="0" fontId="84" fillId="19" borderId="42" xfId="0" applyFont="1" applyFill="1" applyBorder="1" applyAlignment="1">
      <alignment horizontal="center"/>
    </xf>
    <xf numFmtId="0" fontId="84" fillId="4" borderId="42" xfId="0" applyFont="1" applyFill="1" applyBorder="1" applyAlignment="1">
      <alignment horizontal="left"/>
    </xf>
    <xf numFmtId="0" fontId="100" fillId="0" borderId="0" xfId="0" applyFont="1" applyBorder="1" applyAlignment="1" quotePrefix="1">
      <alignment horizontal="left"/>
    </xf>
    <xf numFmtId="0" fontId="29" fillId="0" borderId="21" xfId="0" applyFont="1" applyFill="1" applyBorder="1" applyAlignment="1">
      <alignment/>
    </xf>
    <xf numFmtId="181" fontId="29" fillId="0" borderId="0" xfId="0" applyNumberFormat="1" applyFont="1" applyBorder="1" applyAlignment="1">
      <alignment/>
    </xf>
    <xf numFmtId="2" fontId="29" fillId="0" borderId="0" xfId="0" applyNumberFormat="1" applyFont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 quotePrefix="1">
      <alignment horizontal="center"/>
      <protection/>
    </xf>
    <xf numFmtId="0" fontId="29" fillId="0" borderId="0" xfId="0" applyFont="1" applyAlignment="1" quotePrefix="1">
      <alignment/>
    </xf>
    <xf numFmtId="181" fontId="29" fillId="0" borderId="0" xfId="0" applyNumberFormat="1" applyFont="1" applyBorder="1" applyAlignment="1" applyProtection="1">
      <alignment horizontal="centerContinuous"/>
      <protection/>
    </xf>
    <xf numFmtId="176" fontId="107" fillId="4" borderId="56" xfId="0" applyNumberFormat="1" applyFont="1" applyFill="1" applyBorder="1" applyAlignment="1" applyProtection="1" quotePrefix="1">
      <alignment horizontal="center"/>
      <protection/>
    </xf>
    <xf numFmtId="181" fontId="53" fillId="0" borderId="0" xfId="0" applyNumberFormat="1" applyFont="1" applyBorder="1" applyAlignment="1" applyProtection="1">
      <alignment horizontal="centerContinuous"/>
      <protection/>
    </xf>
    <xf numFmtId="7" fontId="53" fillId="0" borderId="3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176" fontId="53" fillId="0" borderId="0" xfId="0" applyNumberFormat="1" applyFont="1" applyBorder="1" applyAlignment="1" applyProtection="1" quotePrefix="1">
      <alignment horizontal="left"/>
      <protection/>
    </xf>
    <xf numFmtId="176" fontId="12" fillId="0" borderId="0" xfId="0" applyNumberFormat="1" applyFont="1" applyBorder="1" applyAlignment="1" applyProtection="1">
      <alignment horizontal="left"/>
      <protection/>
    </xf>
    <xf numFmtId="179" fontId="12" fillId="0" borderId="0" xfId="0" applyNumberFormat="1" applyFont="1" applyBorder="1" applyAlignment="1" applyProtection="1">
      <alignment horizontal="left"/>
      <protection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left" vertical="center"/>
      <protection/>
    </xf>
    <xf numFmtId="0" fontId="63" fillId="0" borderId="0" xfId="0" applyFont="1" applyAlignment="1" quotePrefix="1">
      <alignment vertical="center"/>
    </xf>
    <xf numFmtId="0" fontId="14" fillId="0" borderId="0" xfId="0" applyFont="1" applyBorder="1" applyAlignment="1" applyProtection="1">
      <alignment horizontal="center" vertical="center"/>
      <protection/>
    </xf>
    <xf numFmtId="173" fontId="14" fillId="0" borderId="0" xfId="0" applyNumberFormat="1" applyFont="1" applyBorder="1" applyAlignment="1" applyProtection="1">
      <alignment horizontal="center" vertical="center"/>
      <protection/>
    </xf>
    <xf numFmtId="0" fontId="63" fillId="0" borderId="0" xfId="0" applyFont="1" applyAlignment="1">
      <alignment vertical="center"/>
    </xf>
    <xf numFmtId="4" fontId="13" fillId="0" borderId="22" xfId="0" applyNumberFormat="1" applyFont="1" applyBorder="1" applyAlignment="1" applyProtection="1">
      <alignment horizontal="center" vertical="center"/>
      <protection/>
    </xf>
    <xf numFmtId="7" fontId="101" fillId="0" borderId="23" xfId="0" applyNumberFormat="1" applyFont="1" applyFill="1" applyBorder="1" applyAlignment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  <protection/>
    </xf>
    <xf numFmtId="179" fontId="14" fillId="0" borderId="0" xfId="0" applyNumberFormat="1" applyFont="1" applyBorder="1" applyAlignment="1" applyProtection="1" quotePrefix="1">
      <alignment horizontal="center" vertical="center"/>
      <protection/>
    </xf>
    <xf numFmtId="2" fontId="102" fillId="0" borderId="0" xfId="0" applyNumberFormat="1" applyFont="1" applyBorder="1" applyAlignment="1" applyProtection="1">
      <alignment horizontal="center" vertical="center"/>
      <protection/>
    </xf>
    <xf numFmtId="176" fontId="103" fillId="0" borderId="0" xfId="0" applyNumberFormat="1" applyFont="1" applyBorder="1" applyAlignment="1" applyProtection="1" quotePrefix="1">
      <alignment horizontal="center" vertical="center"/>
      <protection/>
    </xf>
    <xf numFmtId="4" fontId="14" fillId="0" borderId="21" xfId="0" applyNumberFormat="1" applyFont="1" applyFill="1" applyBorder="1" applyAlignment="1">
      <alignment horizontal="center" vertical="center"/>
    </xf>
    <xf numFmtId="180" fontId="81" fillId="10" borderId="1" xfId="0" applyNumberFormat="1" applyFont="1" applyFill="1" applyBorder="1" applyAlignment="1" applyProtection="1">
      <alignment horizontal="center"/>
      <protection/>
    </xf>
    <xf numFmtId="180" fontId="81" fillId="10" borderId="6" xfId="0" applyNumberFormat="1" applyFont="1" applyFill="1" applyBorder="1" applyAlignment="1" applyProtection="1">
      <alignment horizontal="center"/>
      <protection/>
    </xf>
    <xf numFmtId="180" fontId="62" fillId="3" borderId="1" xfId="0" applyNumberFormat="1" applyFont="1" applyFill="1" applyBorder="1" applyAlignment="1" applyProtection="1">
      <alignment horizontal="center"/>
      <protection/>
    </xf>
    <xf numFmtId="180" fontId="16" fillId="0" borderId="22" xfId="0" applyNumberFormat="1" applyFont="1" applyBorder="1" applyAlignment="1">
      <alignment horizontal="centerContinuous"/>
    </xf>
    <xf numFmtId="180" fontId="29" fillId="0" borderId="0" xfId="0" applyNumberFormat="1" applyFont="1" applyBorder="1" applyAlignment="1">
      <alignment horizontal="center"/>
    </xf>
    <xf numFmtId="7" fontId="16" fillId="0" borderId="38" xfId="0" applyNumberFormat="1" applyFont="1" applyFill="1" applyBorder="1" applyAlignment="1">
      <alignment/>
    </xf>
    <xf numFmtId="7" fontId="36" fillId="0" borderId="1" xfId="0" applyNumberFormat="1" applyFont="1" applyBorder="1" applyAlignment="1" applyProtection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>
      <alignment horizontal="center"/>
    </xf>
    <xf numFmtId="0" fontId="104" fillId="0" borderId="0" xfId="0" applyFont="1" applyAlignment="1">
      <alignment horizontal="right" vertical="top"/>
    </xf>
    <xf numFmtId="0" fontId="105" fillId="0" borderId="0" xfId="0" applyFont="1" applyFill="1" applyAlignment="1">
      <alignment/>
    </xf>
    <xf numFmtId="0" fontId="106" fillId="0" borderId="0" xfId="0" applyFont="1" applyAlignment="1">
      <alignment horizontal="centerContinuous"/>
    </xf>
    <xf numFmtId="0" fontId="105" fillId="0" borderId="0" xfId="0" applyFont="1" applyAlignment="1">
      <alignment horizontal="centerContinuous"/>
    </xf>
    <xf numFmtId="0" fontId="105" fillId="0" borderId="0" xfId="0" applyFont="1" applyAlignment="1">
      <alignment/>
    </xf>
    <xf numFmtId="176" fontId="12" fillId="0" borderId="22" xfId="0" applyNumberFormat="1" applyFont="1" applyBorder="1" applyAlignment="1" applyProtection="1">
      <alignment horizontal="center"/>
      <protection/>
    </xf>
    <xf numFmtId="181" fontId="29" fillId="0" borderId="23" xfId="0" applyNumberFormat="1" applyFont="1" applyBorder="1" applyAlignment="1" applyProtection="1">
      <alignment horizontal="centerContinuous"/>
      <protection/>
    </xf>
    <xf numFmtId="0" fontId="83" fillId="11" borderId="42" xfId="0" applyFont="1" applyFill="1" applyBorder="1" applyAlignment="1">
      <alignment horizontal="center"/>
    </xf>
    <xf numFmtId="0" fontId="93" fillId="15" borderId="42" xfId="0" applyFont="1" applyFill="1" applyBorder="1" applyAlignment="1">
      <alignment horizontal="center"/>
    </xf>
    <xf numFmtId="176" fontId="107" fillId="4" borderId="44" xfId="0" applyNumberFormat="1" applyFont="1" applyFill="1" applyBorder="1" applyAlignment="1" applyProtection="1" quotePrefix="1">
      <alignment horizontal="center"/>
      <protection/>
    </xf>
    <xf numFmtId="4" fontId="107" fillId="4" borderId="57" xfId="0" applyNumberFormat="1" applyFont="1" applyFill="1" applyBorder="1" applyAlignment="1" applyProtection="1">
      <alignment horizontal="center"/>
      <protection/>
    </xf>
    <xf numFmtId="176" fontId="83" fillId="16" borderId="44" xfId="0" applyNumberFormat="1" applyFont="1" applyFill="1" applyBorder="1" applyAlignment="1" applyProtection="1" quotePrefix="1">
      <alignment horizontal="center"/>
      <protection/>
    </xf>
    <xf numFmtId="176" fontId="83" fillId="16" borderId="56" xfId="0" applyNumberFormat="1" applyFont="1" applyFill="1" applyBorder="1" applyAlignment="1" applyProtection="1" quotePrefix="1">
      <alignment horizontal="center"/>
      <protection/>
    </xf>
    <xf numFmtId="4" fontId="83" fillId="16" borderId="57" xfId="0" applyNumberFormat="1" applyFont="1" applyFill="1" applyBorder="1" applyAlignment="1" applyProtection="1">
      <alignment horizontal="center"/>
      <protection/>
    </xf>
    <xf numFmtId="4" fontId="83" fillId="7" borderId="42" xfId="0" applyNumberFormat="1" applyFont="1" applyFill="1" applyBorder="1" applyAlignment="1" applyProtection="1">
      <alignment horizontal="center"/>
      <protection/>
    </xf>
    <xf numFmtId="4" fontId="83" fillId="17" borderId="42" xfId="0" applyNumberFormat="1" applyFont="1" applyFill="1" applyBorder="1" applyAlignment="1" applyProtection="1">
      <alignment horizontal="center"/>
      <protection/>
    </xf>
    <xf numFmtId="0" fontId="4" fillId="0" borderId="57" xfId="0" applyFont="1" applyBorder="1" applyAlignment="1">
      <alignment horizontal="left"/>
    </xf>
    <xf numFmtId="0" fontId="16" fillId="0" borderId="57" xfId="0" applyFont="1" applyBorder="1" applyAlignment="1">
      <alignment horizontal="center"/>
    </xf>
    <xf numFmtId="4" fontId="4" fillId="0" borderId="1" xfId="0" applyNumberFormat="1" applyFont="1" applyFill="1" applyBorder="1" applyAlignment="1" applyProtection="1" quotePrefix="1">
      <alignment horizontal="center"/>
      <protection/>
    </xf>
    <xf numFmtId="2" fontId="83" fillId="11" borderId="1" xfId="0" applyNumberFormat="1" applyFont="1" applyFill="1" applyBorder="1" applyAlignment="1" applyProtection="1">
      <alignment horizontal="center"/>
      <protection/>
    </xf>
    <xf numFmtId="2" fontId="93" fillId="15" borderId="1" xfId="0" applyNumberFormat="1" applyFont="1" applyFill="1" applyBorder="1" applyAlignment="1" applyProtection="1">
      <alignment horizontal="center"/>
      <protection/>
    </xf>
    <xf numFmtId="176" fontId="107" fillId="4" borderId="13" xfId="0" applyNumberFormat="1" applyFont="1" applyFill="1" applyBorder="1" applyAlignment="1" applyProtection="1" quotePrefix="1">
      <alignment horizontal="center"/>
      <protection/>
    </xf>
    <xf numFmtId="176" fontId="107" fillId="4" borderId="43" xfId="0" applyNumberFormat="1" applyFont="1" applyFill="1" applyBorder="1" applyAlignment="1" applyProtection="1" quotePrefix="1">
      <alignment horizontal="center"/>
      <protection/>
    </xf>
    <xf numFmtId="4" fontId="107" fillId="4" borderId="2" xfId="0" applyNumberFormat="1" applyFont="1" applyFill="1" applyBorder="1" applyAlignment="1" applyProtection="1">
      <alignment horizontal="center"/>
      <protection/>
    </xf>
    <xf numFmtId="176" fontId="83" fillId="16" borderId="13" xfId="0" applyNumberFormat="1" applyFont="1" applyFill="1" applyBorder="1" applyAlignment="1" applyProtection="1" quotePrefix="1">
      <alignment horizontal="center"/>
      <protection/>
    </xf>
    <xf numFmtId="176" fontId="83" fillId="16" borderId="43" xfId="0" applyNumberFormat="1" applyFont="1" applyFill="1" applyBorder="1" applyAlignment="1" applyProtection="1" quotePrefix="1">
      <alignment horizontal="center"/>
      <protection/>
    </xf>
    <xf numFmtId="4" fontId="83" fillId="16" borderId="2" xfId="0" applyNumberFormat="1" applyFont="1" applyFill="1" applyBorder="1" applyAlignment="1" applyProtection="1">
      <alignment horizontal="center"/>
      <protection/>
    </xf>
    <xf numFmtId="4" fontId="83" fillId="7" borderId="1" xfId="0" applyNumberFormat="1" applyFont="1" applyFill="1" applyBorder="1" applyAlignment="1" applyProtection="1">
      <alignment horizontal="center"/>
      <protection/>
    </xf>
    <xf numFmtId="4" fontId="83" fillId="17" borderId="1" xfId="0" applyNumberFormat="1" applyFont="1" applyFill="1" applyBorder="1" applyAlignment="1" applyProtection="1">
      <alignment horizontal="center"/>
      <protection/>
    </xf>
    <xf numFmtId="2" fontId="83" fillId="11" borderId="6" xfId="0" applyNumberFormat="1" applyFont="1" applyFill="1" applyBorder="1" applyAlignment="1" applyProtection="1">
      <alignment horizontal="center"/>
      <protection/>
    </xf>
    <xf numFmtId="2" fontId="93" fillId="15" borderId="6" xfId="0" applyNumberFormat="1" applyFont="1" applyFill="1" applyBorder="1" applyAlignment="1" applyProtection="1">
      <alignment horizontal="center"/>
      <protection/>
    </xf>
    <xf numFmtId="176" fontId="107" fillId="4" borderId="52" xfId="0" applyNumberFormat="1" applyFont="1" applyFill="1" applyBorder="1" applyAlignment="1" applyProtection="1" quotePrefix="1">
      <alignment horizontal="center"/>
      <protection/>
    </xf>
    <xf numFmtId="176" fontId="107" fillId="4" borderId="58" xfId="0" applyNumberFormat="1" applyFont="1" applyFill="1" applyBorder="1" applyAlignment="1" applyProtection="1" quotePrefix="1">
      <alignment horizontal="center"/>
      <protection/>
    </xf>
    <xf numFmtId="4" fontId="107" fillId="4" borderId="11" xfId="0" applyNumberFormat="1" applyFont="1" applyFill="1" applyBorder="1" applyAlignment="1" applyProtection="1">
      <alignment horizontal="center"/>
      <protection/>
    </xf>
    <xf numFmtId="176" fontId="83" fillId="16" borderId="52" xfId="0" applyNumberFormat="1" applyFont="1" applyFill="1" applyBorder="1" applyAlignment="1" applyProtection="1" quotePrefix="1">
      <alignment horizontal="center"/>
      <protection/>
    </xf>
    <xf numFmtId="176" fontId="83" fillId="16" borderId="58" xfId="0" applyNumberFormat="1" applyFont="1" applyFill="1" applyBorder="1" applyAlignment="1" applyProtection="1" quotePrefix="1">
      <alignment horizontal="center"/>
      <protection/>
    </xf>
    <xf numFmtId="4" fontId="83" fillId="16" borderId="11" xfId="0" applyNumberFormat="1" applyFont="1" applyFill="1" applyBorder="1" applyAlignment="1" applyProtection="1">
      <alignment horizontal="center"/>
      <protection/>
    </xf>
    <xf numFmtId="4" fontId="83" fillId="7" borderId="6" xfId="0" applyNumberFormat="1" applyFont="1" applyFill="1" applyBorder="1" applyAlignment="1" applyProtection="1">
      <alignment horizontal="center"/>
      <protection/>
    </xf>
    <xf numFmtId="4" fontId="83" fillId="17" borderId="6" xfId="0" applyNumberFormat="1" applyFont="1" applyFill="1" applyBorder="1" applyAlignment="1" applyProtection="1">
      <alignment horizontal="center"/>
      <protection/>
    </xf>
    <xf numFmtId="176" fontId="35" fillId="0" borderId="6" xfId="0" applyNumberFormat="1" applyFont="1" applyFill="1" applyBorder="1" applyAlignment="1">
      <alignment horizontal="center"/>
    </xf>
    <xf numFmtId="7" fontId="16" fillId="0" borderId="28" xfId="0" applyNumberFormat="1" applyFont="1" applyBorder="1" applyAlignment="1" applyProtection="1">
      <alignment horizontal="right"/>
      <protection/>
    </xf>
    <xf numFmtId="2" fontId="95" fillId="0" borderId="29" xfId="0" applyNumberFormat="1" applyFont="1" applyFill="1" applyBorder="1" applyAlignment="1" applyProtection="1">
      <alignment horizontal="center"/>
      <protection/>
    </xf>
    <xf numFmtId="2" fontId="21" fillId="0" borderId="29" xfId="0" applyNumberFormat="1" applyFont="1" applyFill="1" applyBorder="1" applyAlignment="1" applyProtection="1">
      <alignment horizontal="center"/>
      <protection/>
    </xf>
    <xf numFmtId="2" fontId="98" fillId="0" borderId="29" xfId="0" applyNumberFormat="1" applyFont="1" applyFill="1" applyBorder="1" applyAlignment="1" applyProtection="1">
      <alignment horizontal="center"/>
      <protection/>
    </xf>
    <xf numFmtId="0" fontId="61" fillId="20" borderId="28" xfId="0" applyFont="1" applyFill="1" applyBorder="1" applyAlignment="1" applyProtection="1">
      <alignment horizontal="center" vertical="center"/>
      <protection/>
    </xf>
    <xf numFmtId="0" fontId="33" fillId="0" borderId="22" xfId="0" applyFont="1" applyFill="1" applyBorder="1" applyAlignment="1" applyProtection="1">
      <alignment horizontal="centerContinuous" vertical="center"/>
      <protection/>
    </xf>
    <xf numFmtId="0" fontId="33" fillId="0" borderId="29" xfId="0" applyFont="1" applyFill="1" applyBorder="1" applyAlignment="1" applyProtection="1">
      <alignment horizontal="centerContinuous" vertical="center"/>
      <protection/>
    </xf>
    <xf numFmtId="0" fontId="82" fillId="20" borderId="59" xfId="0" applyFont="1" applyFill="1" applyBorder="1" applyAlignment="1">
      <alignment vertical="center" wrapText="1"/>
    </xf>
    <xf numFmtId="0" fontId="82" fillId="20" borderId="36" xfId="0" applyFont="1" applyFill="1" applyBorder="1" applyAlignment="1">
      <alignment vertical="center" wrapText="1"/>
    </xf>
    <xf numFmtId="0" fontId="82" fillId="20" borderId="38" xfId="0" applyFont="1" applyFill="1" applyBorder="1" applyAlignment="1">
      <alignment vertical="center" wrapText="1"/>
    </xf>
    <xf numFmtId="0" fontId="64" fillId="20" borderId="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84" fillId="20" borderId="35" xfId="0" applyFont="1" applyFill="1" applyBorder="1" applyAlignment="1">
      <alignment horizontal="left"/>
    </xf>
    <xf numFmtId="0" fontId="84" fillId="20" borderId="0" xfId="0" applyFont="1" applyFill="1" applyBorder="1" applyAlignment="1">
      <alignment horizontal="left"/>
    </xf>
    <xf numFmtId="0" fontId="84" fillId="20" borderId="34" xfId="0" applyFont="1" applyFill="1" applyBorder="1" applyAlignment="1">
      <alignment horizontal="left"/>
    </xf>
    <xf numFmtId="176" fontId="64" fillId="20" borderId="1" xfId="0" applyNumberFormat="1" applyFont="1" applyFill="1" applyBorder="1" applyAlignment="1" applyProtection="1">
      <alignment horizontal="center"/>
      <protection/>
    </xf>
    <xf numFmtId="176" fontId="4" fillId="0" borderId="12" xfId="0" applyNumberFormat="1" applyFont="1" applyBorder="1" applyAlignment="1" applyProtection="1">
      <alignment horizontal="centerContinuous"/>
      <protection/>
    </xf>
    <xf numFmtId="176" fontId="4" fillId="0" borderId="2" xfId="0" applyNumberFormat="1" applyFont="1" applyBorder="1" applyAlignment="1" applyProtection="1">
      <alignment horizontal="centerContinuous"/>
      <protection/>
    </xf>
    <xf numFmtId="176" fontId="83" fillId="20" borderId="35" xfId="0" applyNumberFormat="1" applyFont="1" applyFill="1" applyBorder="1" applyAlignment="1" applyProtection="1" quotePrefix="1">
      <alignment horizontal="center"/>
      <protection/>
    </xf>
    <xf numFmtId="176" fontId="83" fillId="20" borderId="0" xfId="0" applyNumberFormat="1" applyFont="1" applyFill="1" applyBorder="1" applyAlignment="1" applyProtection="1" quotePrefix="1">
      <alignment horizontal="center"/>
      <protection/>
    </xf>
    <xf numFmtId="176" fontId="83" fillId="20" borderId="34" xfId="0" applyNumberFormat="1" applyFont="1" applyFill="1" applyBorder="1" applyAlignment="1" applyProtection="1" quotePrefix="1">
      <alignment horizontal="center"/>
      <protection/>
    </xf>
    <xf numFmtId="176" fontId="64" fillId="20" borderId="6" xfId="0" applyNumberFormat="1" applyFont="1" applyFill="1" applyBorder="1" applyAlignment="1" applyProtection="1">
      <alignment horizontal="center"/>
      <protection/>
    </xf>
    <xf numFmtId="176" fontId="4" fillId="0" borderId="60" xfId="0" applyNumberFormat="1" applyFont="1" applyBorder="1" applyAlignment="1" applyProtection="1">
      <alignment horizontal="centerContinuous"/>
      <protection/>
    </xf>
    <xf numFmtId="176" fontId="4" fillId="0" borderId="11" xfId="0" applyNumberFormat="1" applyFont="1" applyBorder="1" applyAlignment="1" applyProtection="1">
      <alignment horizontal="centerContinuous"/>
      <protection/>
    </xf>
    <xf numFmtId="176" fontId="84" fillId="20" borderId="60" xfId="0" applyNumberFormat="1" applyFont="1" applyFill="1" applyBorder="1" applyAlignment="1" applyProtection="1" quotePrefix="1">
      <alignment horizontal="center"/>
      <protection/>
    </xf>
    <xf numFmtId="176" fontId="84" fillId="20" borderId="27" xfId="0" applyNumberFormat="1" applyFont="1" applyFill="1" applyBorder="1" applyAlignment="1" applyProtection="1" quotePrefix="1">
      <alignment horizontal="center"/>
      <protection/>
    </xf>
    <xf numFmtId="176" fontId="84" fillId="20" borderId="11" xfId="0" applyNumberFormat="1" applyFont="1" applyFill="1" applyBorder="1" applyAlignment="1" applyProtection="1" quotePrefix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Continuous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4" fontId="18" fillId="0" borderId="0" xfId="0" applyNumberFormat="1" applyFont="1" applyFill="1" applyBorder="1" applyAlignment="1">
      <alignment horizontal="right"/>
    </xf>
    <xf numFmtId="7" fontId="12" fillId="0" borderId="0" xfId="0" applyNumberFormat="1" applyFont="1" applyBorder="1" applyAlignment="1">
      <alignment horizontal="centerContinuous"/>
    </xf>
    <xf numFmtId="176" fontId="29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78" fontId="29" fillId="0" borderId="0" xfId="0" applyNumberFormat="1" applyFont="1" applyBorder="1" applyAlignment="1" applyProtection="1">
      <alignment horizontal="center"/>
      <protection/>
    </xf>
    <xf numFmtId="7" fontId="29" fillId="0" borderId="3" xfId="0" applyNumberFormat="1" applyFont="1" applyBorder="1" applyAlignment="1">
      <alignment horizontal="centerContinuous"/>
    </xf>
    <xf numFmtId="0" fontId="25" fillId="0" borderId="0" xfId="0" applyFont="1" applyFill="1" applyBorder="1" applyAlignment="1" applyProtection="1">
      <alignment horizontal="center"/>
      <protection/>
    </xf>
    <xf numFmtId="0" fontId="16" fillId="0" borderId="61" xfId="0" applyFont="1" applyBorder="1" applyAlignment="1">
      <alignment horizontal="centerContinuous"/>
    </xf>
    <xf numFmtId="0" fontId="16" fillId="0" borderId="62" xfId="0" applyFont="1" applyBorder="1" applyAlignment="1">
      <alignment horizontal="centerContinuous"/>
    </xf>
    <xf numFmtId="180" fontId="16" fillId="0" borderId="63" xfId="0" applyNumberFormat="1" applyFont="1" applyBorder="1" applyAlignment="1">
      <alignment horizontal="center"/>
    </xf>
    <xf numFmtId="0" fontId="16" fillId="0" borderId="64" xfId="0" applyFont="1" applyBorder="1" applyAlignment="1">
      <alignment horizontal="centerContinuous"/>
    </xf>
    <xf numFmtId="0" fontId="16" fillId="0" borderId="65" xfId="0" applyFont="1" applyBorder="1" applyAlignment="1">
      <alignment horizontal="centerContinuous"/>
    </xf>
    <xf numFmtId="180" fontId="16" fillId="0" borderId="66" xfId="0" applyNumberFormat="1" applyFont="1" applyFill="1" applyBorder="1" applyAlignment="1">
      <alignment horizontal="center"/>
    </xf>
    <xf numFmtId="0" fontId="16" fillId="0" borderId="67" xfId="0" applyFont="1" applyBorder="1" applyAlignment="1">
      <alignment horizontal="centerContinuous"/>
    </xf>
    <xf numFmtId="0" fontId="16" fillId="0" borderId="68" xfId="0" applyFont="1" applyBorder="1" applyAlignment="1">
      <alignment horizontal="centerContinuous"/>
    </xf>
    <xf numFmtId="172" fontId="16" fillId="0" borderId="0" xfId="0" applyNumberFormat="1" applyFont="1" applyBorder="1" applyAlignment="1" applyProtection="1" quotePrefix="1">
      <alignment horizontal="center"/>
      <protection/>
    </xf>
    <xf numFmtId="0" fontId="16" fillId="0" borderId="0" xfId="0" applyFont="1" applyFill="1" applyBorder="1" applyAlignment="1">
      <alignment horizontal="centerContinuous"/>
    </xf>
    <xf numFmtId="1" fontId="29" fillId="0" borderId="0" xfId="0" applyNumberFormat="1" applyFont="1" applyBorder="1" applyAlignment="1" applyProtection="1">
      <alignment horizontal="centerContinuous"/>
      <protection/>
    </xf>
    <xf numFmtId="0" fontId="25" fillId="0" borderId="0" xfId="0" applyFont="1" applyFill="1" applyBorder="1" applyAlignment="1" applyProtection="1">
      <alignment horizontal="left"/>
      <protection/>
    </xf>
    <xf numFmtId="1" fontId="0" fillId="0" borderId="69" xfId="0" applyNumberFormat="1" applyBorder="1" applyAlignment="1">
      <alignment horizontal="center"/>
    </xf>
    <xf numFmtId="1" fontId="16" fillId="0" borderId="63" xfId="0" applyNumberFormat="1" applyFont="1" applyBorder="1" applyAlignment="1">
      <alignment horizontal="center"/>
    </xf>
    <xf numFmtId="1" fontId="16" fillId="0" borderId="66" xfId="0" applyNumberFormat="1" applyFont="1" applyFill="1" applyBorder="1" applyAlignment="1">
      <alignment horizontal="center"/>
    </xf>
    <xf numFmtId="181" fontId="12" fillId="0" borderId="23" xfId="0" applyNumberFormat="1" applyFont="1" applyBorder="1" applyAlignment="1" applyProtection="1">
      <alignment horizontal="centerContinuous"/>
      <protection/>
    </xf>
    <xf numFmtId="2" fontId="95" fillId="0" borderId="27" xfId="0" applyNumberFormat="1" applyFont="1" applyFill="1" applyBorder="1" applyAlignment="1" applyProtection="1">
      <alignment horizontal="center"/>
      <protection/>
    </xf>
    <xf numFmtId="2" fontId="21" fillId="0" borderId="27" xfId="0" applyNumberFormat="1" applyFont="1" applyFill="1" applyBorder="1" applyAlignment="1" applyProtection="1">
      <alignment horizontal="center"/>
      <protection/>
    </xf>
    <xf numFmtId="2" fontId="98" fillId="0" borderId="27" xfId="0" applyNumberFormat="1" applyFont="1" applyFill="1" applyBorder="1" applyAlignment="1" applyProtection="1">
      <alignment horizontal="center"/>
      <protection/>
    </xf>
    <xf numFmtId="0" fontId="4" fillId="0" borderId="42" xfId="0" applyFont="1" applyFill="1" applyBorder="1" applyAlignment="1">
      <alignment horizontal="centerContinuous"/>
    </xf>
    <xf numFmtId="176" fontId="4" fillId="0" borderId="1" xfId="0" applyNumberFormat="1" applyFont="1" applyBorder="1" applyAlignment="1" applyProtection="1">
      <alignment horizontal="centerContinuous"/>
      <protection/>
    </xf>
    <xf numFmtId="176" fontId="4" fillId="0" borderId="6" xfId="0" applyNumberFormat="1" applyFont="1" applyBorder="1" applyAlignment="1" applyProtection="1">
      <alignment horizontal="centerContinuous"/>
      <protection/>
    </xf>
    <xf numFmtId="0" fontId="6" fillId="0" borderId="57" xfId="0" applyFont="1" applyBorder="1" applyAlignment="1" applyProtection="1">
      <alignment horizontal="center"/>
      <protection/>
    </xf>
    <xf numFmtId="0" fontId="4" fillId="0" borderId="39" xfId="0" applyFont="1" applyBorder="1" applyAlignment="1">
      <alignment horizontal="center"/>
    </xf>
    <xf numFmtId="0" fontId="6" fillId="0" borderId="70" xfId="0" applyFont="1" applyBorder="1" applyAlignment="1" applyProtection="1">
      <alignment horizontal="center"/>
      <protection/>
    </xf>
    <xf numFmtId="0" fontId="6" fillId="0" borderId="71" xfId="0" applyFont="1" applyBorder="1" applyAlignment="1" applyProtection="1">
      <alignment horizontal="center"/>
      <protection/>
    </xf>
    <xf numFmtId="172" fontId="5" fillId="0" borderId="39" xfId="0" applyNumberFormat="1" applyFont="1" applyBorder="1" applyAlignment="1" applyProtection="1" quotePrefix="1">
      <alignment horizontal="center"/>
      <protection/>
    </xf>
    <xf numFmtId="176" fontId="62" fillId="3" borderId="39" xfId="0" applyNumberFormat="1" applyFont="1" applyFill="1" applyBorder="1" applyAlignment="1" applyProtection="1">
      <alignment horizontal="center"/>
      <protection/>
    </xf>
    <xf numFmtId="22" fontId="4" fillId="0" borderId="48" xfId="0" applyNumberFormat="1" applyFont="1" applyBorder="1" applyAlignment="1">
      <alignment horizontal="center"/>
    </xf>
    <xf numFmtId="22" fontId="4" fillId="0" borderId="39" xfId="0" applyNumberFormat="1" applyFont="1" applyBorder="1" applyAlignment="1" applyProtection="1">
      <alignment horizontal="center"/>
      <protection/>
    </xf>
    <xf numFmtId="2" fontId="4" fillId="0" borderId="39" xfId="0" applyNumberFormat="1" applyFont="1" applyFill="1" applyBorder="1" applyAlignment="1" applyProtection="1" quotePrefix="1">
      <alignment horizontal="center"/>
      <protection/>
    </xf>
    <xf numFmtId="172" fontId="4" fillId="0" borderId="39" xfId="0" applyNumberFormat="1" applyFont="1" applyFill="1" applyBorder="1" applyAlignment="1" applyProtection="1" quotePrefix="1">
      <alignment horizontal="center"/>
      <protection/>
    </xf>
    <xf numFmtId="176" fontId="4" fillId="0" borderId="71" xfId="0" applyNumberFormat="1" applyFont="1" applyBorder="1" applyAlignment="1" applyProtection="1">
      <alignment horizontal="center"/>
      <protection/>
    </xf>
    <xf numFmtId="176" fontId="4" fillId="0" borderId="70" xfId="0" applyNumberFormat="1" applyFont="1" applyBorder="1" applyAlignment="1" applyProtection="1">
      <alignment horizontal="center"/>
      <protection/>
    </xf>
    <xf numFmtId="172" fontId="84" fillId="10" borderId="39" xfId="0" applyNumberFormat="1" applyFont="1" applyFill="1" applyBorder="1" applyAlignment="1" applyProtection="1">
      <alignment horizontal="center"/>
      <protection/>
    </xf>
    <xf numFmtId="2" fontId="90" fillId="12" borderId="39" xfId="0" applyNumberFormat="1" applyFont="1" applyFill="1" applyBorder="1" applyAlignment="1">
      <alignment horizontal="center"/>
    </xf>
    <xf numFmtId="176" fontId="56" fillId="5" borderId="48" xfId="0" applyNumberFormat="1" applyFont="1" applyFill="1" applyBorder="1" applyAlignment="1" applyProtection="1" quotePrefix="1">
      <alignment horizontal="center"/>
      <protection/>
    </xf>
    <xf numFmtId="176" fontId="56" fillId="5" borderId="41" xfId="0" applyNumberFormat="1" applyFont="1" applyFill="1" applyBorder="1" applyAlignment="1" applyProtection="1" quotePrefix="1">
      <alignment horizontal="center"/>
      <protection/>
    </xf>
    <xf numFmtId="176" fontId="83" fillId="4" borderId="39" xfId="0" applyNumberFormat="1" applyFont="1" applyFill="1" applyBorder="1" applyAlignment="1" applyProtection="1" quotePrefix="1">
      <alignment horizontal="center"/>
      <protection/>
    </xf>
    <xf numFmtId="176" fontId="4" fillId="0" borderId="39" xfId="0" applyNumberFormat="1" applyFont="1" applyBorder="1" applyAlignment="1">
      <alignment horizontal="center"/>
    </xf>
    <xf numFmtId="4" fontId="18" fillId="0" borderId="39" xfId="0" applyNumberFormat="1" applyFont="1" applyFill="1" applyBorder="1" applyAlignment="1">
      <alignment horizontal="right"/>
    </xf>
    <xf numFmtId="0" fontId="104" fillId="0" borderId="0" xfId="0" applyFont="1" applyAlignment="1">
      <alignment horizontal="right" vertical="top"/>
    </xf>
    <xf numFmtId="0" fontId="104" fillId="0" borderId="0" xfId="0" applyFont="1" applyFill="1" applyAlignment="1">
      <alignment horizontal="right" vertical="top"/>
    </xf>
    <xf numFmtId="172" fontId="16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7" fontId="12" fillId="0" borderId="14" xfId="0" applyNumberFormat="1" applyFont="1" applyFill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 horizontal="left" vertical="center"/>
      <protection/>
    </xf>
    <xf numFmtId="18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180" fontId="0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180" fontId="16" fillId="0" borderId="72" xfId="0" applyNumberFormat="1" applyFont="1" applyBorder="1" applyAlignment="1">
      <alignment horizontal="center"/>
    </xf>
    <xf numFmtId="1" fontId="16" fillId="0" borderId="72" xfId="0" applyNumberFormat="1" applyFont="1" applyBorder="1" applyAlignment="1">
      <alignment horizontal="center"/>
    </xf>
    <xf numFmtId="0" fontId="110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172" fontId="4" fillId="0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23" applyFont="1" applyFill="1" applyBorder="1" applyAlignment="1" applyProtection="1">
      <alignment horizontal="center"/>
      <protection locked="0"/>
    </xf>
    <xf numFmtId="172" fontId="4" fillId="0" borderId="1" xfId="23" applyNumberFormat="1" applyFont="1" applyFill="1" applyBorder="1" applyAlignment="1" applyProtection="1">
      <alignment horizontal="center"/>
      <protection locked="0"/>
    </xf>
    <xf numFmtId="173" fontId="4" fillId="0" borderId="1" xfId="23" applyNumberFormat="1" applyFont="1" applyFill="1" applyBorder="1" applyAlignment="1" applyProtection="1">
      <alignment horizontal="center"/>
      <protection locked="0"/>
    </xf>
    <xf numFmtId="172" fontId="4" fillId="0" borderId="1" xfId="0" applyNumberFormat="1" applyFont="1" applyBorder="1" applyAlignment="1" applyProtection="1">
      <alignment horizontal="center"/>
      <protection locked="0"/>
    </xf>
    <xf numFmtId="173" fontId="4" fillId="0" borderId="1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172" fontId="5" fillId="0" borderId="6" xfId="0" applyNumberFormat="1" applyFont="1" applyBorder="1" applyAlignment="1" applyProtection="1">
      <alignment horizontal="center"/>
      <protection locked="0"/>
    </xf>
    <xf numFmtId="173" fontId="4" fillId="0" borderId="6" xfId="0" applyNumberFormat="1" applyFont="1" applyBorder="1" applyAlignment="1" applyProtection="1">
      <alignment horizontal="center"/>
      <protection locked="0"/>
    </xf>
    <xf numFmtId="22" fontId="4" fillId="0" borderId="2" xfId="0" applyNumberFormat="1" applyFont="1" applyFill="1" applyBorder="1" applyAlignment="1" applyProtection="1">
      <alignment horizontal="center"/>
      <protection locked="0"/>
    </xf>
    <xf numFmtId="22" fontId="4" fillId="0" borderId="4" xfId="0" applyNumberFormat="1" applyFont="1" applyFill="1" applyBorder="1" applyAlignment="1" applyProtection="1">
      <alignment horizontal="center"/>
      <protection locked="0"/>
    </xf>
    <xf numFmtId="22" fontId="4" fillId="0" borderId="2" xfId="23" applyNumberFormat="1" applyFont="1" applyFill="1" applyBorder="1" applyAlignment="1" applyProtection="1">
      <alignment horizontal="center"/>
      <protection locked="0"/>
    </xf>
    <xf numFmtId="22" fontId="4" fillId="0" borderId="12" xfId="23" applyNumberFormat="1" applyFont="1" applyFill="1" applyBorder="1" applyAlignment="1" applyProtection="1">
      <alignment horizontal="center"/>
      <protection locked="0"/>
    </xf>
    <xf numFmtId="22" fontId="4" fillId="0" borderId="2" xfId="0" applyNumberFormat="1" applyFont="1" applyBorder="1" applyAlignment="1" applyProtection="1">
      <alignment horizontal="center"/>
      <protection locked="0"/>
    </xf>
    <xf numFmtId="22" fontId="4" fillId="0" borderId="4" xfId="0" applyNumberFormat="1" applyFont="1" applyBorder="1" applyAlignment="1" applyProtection="1">
      <alignment horizontal="center"/>
      <protection locked="0"/>
    </xf>
    <xf numFmtId="22" fontId="4" fillId="0" borderId="12" xfId="0" applyNumberFormat="1" applyFont="1" applyBorder="1" applyAlignment="1" applyProtection="1">
      <alignment horizontal="center"/>
      <protection locked="0"/>
    </xf>
    <xf numFmtId="176" fontId="4" fillId="0" borderId="6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179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1" xfId="0" applyNumberFormat="1" applyFont="1" applyBorder="1" applyAlignment="1" applyProtection="1">
      <alignment horizontal="center"/>
      <protection locked="0"/>
    </xf>
    <xf numFmtId="2" fontId="67" fillId="4" borderId="1" xfId="0" applyNumberFormat="1" applyFont="1" applyFill="1" applyBorder="1" applyAlignment="1" applyProtection="1">
      <alignment horizontal="center"/>
      <protection locked="0"/>
    </xf>
    <xf numFmtId="2" fontId="56" fillId="5" borderId="2" xfId="0" applyNumberFormat="1" applyFont="1" applyFill="1" applyBorder="1" applyAlignment="1" applyProtection="1">
      <alignment horizontal="center"/>
      <protection locked="0"/>
    </xf>
    <xf numFmtId="176" fontId="57" fillId="3" borderId="13" xfId="0" applyNumberFormat="1" applyFont="1" applyFill="1" applyBorder="1" applyAlignment="1" applyProtection="1" quotePrefix="1">
      <alignment horizontal="center"/>
      <protection locked="0"/>
    </xf>
    <xf numFmtId="176" fontId="57" fillId="3" borderId="43" xfId="0" applyNumberFormat="1" applyFont="1" applyFill="1" applyBorder="1" applyAlignment="1" applyProtection="1" quotePrefix="1">
      <alignment horizontal="center"/>
      <protection locked="0"/>
    </xf>
    <xf numFmtId="4" fontId="57" fillId="3" borderId="2" xfId="0" applyNumberFormat="1" applyFont="1" applyFill="1" applyBorder="1" applyAlignment="1" applyProtection="1">
      <alignment horizontal="center"/>
      <protection locked="0"/>
    </xf>
    <xf numFmtId="176" fontId="71" fillId="6" borderId="13" xfId="0" applyNumberFormat="1" applyFont="1" applyFill="1" applyBorder="1" applyAlignment="1" applyProtection="1" quotePrefix="1">
      <alignment horizontal="center"/>
      <protection locked="0"/>
    </xf>
    <xf numFmtId="176" fontId="71" fillId="6" borderId="43" xfId="0" applyNumberFormat="1" applyFont="1" applyFill="1" applyBorder="1" applyAlignment="1" applyProtection="1" quotePrefix="1">
      <alignment horizontal="center"/>
      <protection locked="0"/>
    </xf>
    <xf numFmtId="4" fontId="71" fillId="6" borderId="2" xfId="0" applyNumberFormat="1" applyFont="1" applyFill="1" applyBorder="1" applyAlignment="1" applyProtection="1">
      <alignment horizontal="center"/>
      <protection locked="0"/>
    </xf>
    <xf numFmtId="4" fontId="74" fillId="7" borderId="1" xfId="0" applyNumberFormat="1" applyFont="1" applyFill="1" applyBorder="1" applyAlignment="1" applyProtection="1">
      <alignment horizontal="center"/>
      <protection locked="0"/>
    </xf>
    <xf numFmtId="4" fontId="77" fillId="8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Border="1" applyAlignment="1" applyProtection="1">
      <alignment horizontal="center"/>
      <protection locked="0"/>
    </xf>
    <xf numFmtId="179" fontId="4" fillId="0" borderId="6" xfId="0" applyNumberFormat="1" applyFont="1" applyBorder="1" applyAlignment="1" applyProtection="1" quotePrefix="1">
      <alignment horizontal="center"/>
      <protection locked="0"/>
    </xf>
    <xf numFmtId="2" fontId="66" fillId="4" borderId="6" xfId="0" applyNumberFormat="1" applyFont="1" applyFill="1" applyBorder="1" applyAlignment="1" applyProtection="1">
      <alignment horizontal="center"/>
      <protection locked="0"/>
    </xf>
    <xf numFmtId="2" fontId="56" fillId="5" borderId="6" xfId="0" applyNumberFormat="1" applyFont="1" applyFill="1" applyBorder="1" applyAlignment="1" applyProtection="1">
      <alignment horizontal="center"/>
      <protection locked="0"/>
    </xf>
    <xf numFmtId="176" fontId="57" fillId="3" borderId="52" xfId="0" applyNumberFormat="1" applyFont="1" applyFill="1" applyBorder="1" applyAlignment="1" applyProtection="1" quotePrefix="1">
      <alignment horizontal="center"/>
      <protection locked="0"/>
    </xf>
    <xf numFmtId="176" fontId="57" fillId="3" borderId="73" xfId="0" applyNumberFormat="1" applyFont="1" applyFill="1" applyBorder="1" applyAlignment="1" applyProtection="1" quotePrefix="1">
      <alignment horizontal="center"/>
      <protection locked="0"/>
    </xf>
    <xf numFmtId="4" fontId="57" fillId="3" borderId="53" xfId="0" applyNumberFormat="1" applyFont="1" applyFill="1" applyBorder="1" applyAlignment="1" applyProtection="1">
      <alignment horizontal="center"/>
      <protection locked="0"/>
    </xf>
    <xf numFmtId="176" fontId="71" fillId="6" borderId="52" xfId="0" applyNumberFormat="1" applyFont="1" applyFill="1" applyBorder="1" applyAlignment="1" applyProtection="1" quotePrefix="1">
      <alignment horizontal="center"/>
      <protection locked="0"/>
    </xf>
    <xf numFmtId="176" fontId="71" fillId="6" borderId="73" xfId="0" applyNumberFormat="1" applyFont="1" applyFill="1" applyBorder="1" applyAlignment="1" applyProtection="1" quotePrefix="1">
      <alignment horizontal="center"/>
      <protection locked="0"/>
    </xf>
    <xf numFmtId="4" fontId="71" fillId="6" borderId="53" xfId="0" applyNumberFormat="1" applyFont="1" applyFill="1" applyBorder="1" applyAlignment="1" applyProtection="1">
      <alignment horizontal="center"/>
      <protection locked="0"/>
    </xf>
    <xf numFmtId="4" fontId="74" fillId="7" borderId="6" xfId="0" applyNumberFormat="1" applyFont="1" applyFill="1" applyBorder="1" applyAlignment="1" applyProtection="1">
      <alignment horizontal="center"/>
      <protection locked="0"/>
    </xf>
    <xf numFmtId="4" fontId="77" fillId="8" borderId="6" xfId="0" applyNumberFormat="1" applyFont="1" applyFill="1" applyBorder="1" applyAlignment="1" applyProtection="1">
      <alignment horizontal="center"/>
      <protection locked="0"/>
    </xf>
    <xf numFmtId="4" fontId="5" fillId="0" borderId="6" xfId="0" applyNumberFormat="1" applyFont="1" applyBorder="1" applyAlignment="1" applyProtection="1">
      <alignment horizontal="center"/>
      <protection locked="0"/>
    </xf>
    <xf numFmtId="179" fontId="4" fillId="0" borderId="2" xfId="0" applyNumberFormat="1" applyFont="1" applyBorder="1" applyAlignment="1" applyProtection="1" quotePrefix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172" fontId="4" fillId="0" borderId="5" xfId="0" applyNumberFormat="1" applyFont="1" applyBorder="1" applyAlignment="1" applyProtection="1">
      <alignment horizontal="center"/>
      <protection locked="0"/>
    </xf>
    <xf numFmtId="1" fontId="4" fillId="0" borderId="10" xfId="0" applyNumberFormat="1" applyFont="1" applyBorder="1" applyAlignment="1" applyProtection="1" quotePrefix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 quotePrefix="1">
      <alignment horizontal="center"/>
      <protection locked="0"/>
    </xf>
    <xf numFmtId="172" fontId="5" fillId="0" borderId="39" xfId="0" applyNumberFormat="1" applyFont="1" applyFill="1" applyBorder="1" applyAlignment="1" applyProtection="1">
      <alignment horizontal="center"/>
      <protection locked="0"/>
    </xf>
    <xf numFmtId="22" fontId="4" fillId="0" borderId="1" xfId="0" applyNumberFormat="1" applyFont="1" applyFill="1" applyBorder="1" applyAlignment="1" applyProtection="1">
      <alignment horizontal="center"/>
      <protection locked="0"/>
    </xf>
    <xf numFmtId="38" fontId="4" fillId="0" borderId="6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Fill="1" applyBorder="1" applyAlignment="1" applyProtection="1">
      <alignment horizontal="center"/>
      <protection locked="0"/>
    </xf>
    <xf numFmtId="176" fontId="4" fillId="0" borderId="1" xfId="0" applyNumberFormat="1" applyFont="1" applyBorder="1" applyAlignment="1" applyProtection="1" quotePrefix="1">
      <alignment horizontal="center"/>
      <protection locked="0"/>
    </xf>
    <xf numFmtId="176" fontId="4" fillId="0" borderId="6" xfId="0" applyNumberFormat="1" applyFont="1" applyFill="1" applyBorder="1" applyAlignment="1" applyProtection="1">
      <alignment horizontal="center"/>
      <protection locked="0"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72" fontId="5" fillId="0" borderId="1" xfId="0" applyNumberFormat="1" applyFont="1" applyBorder="1" applyAlignment="1" applyProtection="1" quotePrefix="1">
      <alignment horizontal="center"/>
      <protection locked="0"/>
    </xf>
    <xf numFmtId="0" fontId="6" fillId="0" borderId="60" xfId="0" applyFont="1" applyBorder="1" applyAlignment="1" applyProtection="1">
      <alignment horizontal="center"/>
      <protection locked="0"/>
    </xf>
    <xf numFmtId="22" fontId="4" fillId="0" borderId="13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176" fontId="4" fillId="0" borderId="11" xfId="0" applyNumberFormat="1" applyFont="1" applyBorder="1" applyAlignment="1" applyProtection="1">
      <alignment horizontal="center"/>
      <protection locked="0"/>
    </xf>
    <xf numFmtId="172" fontId="84" fillId="10" borderId="1" xfId="0" applyNumberFormat="1" applyFont="1" applyFill="1" applyBorder="1" applyAlignment="1" applyProtection="1">
      <alignment horizontal="center"/>
      <protection locked="0"/>
    </xf>
    <xf numFmtId="2" fontId="90" fillId="12" borderId="1" xfId="0" applyNumberFormat="1" applyFont="1" applyFill="1" applyBorder="1" applyAlignment="1" applyProtection="1">
      <alignment horizontal="center"/>
      <protection locked="0"/>
    </xf>
    <xf numFmtId="176" fontId="56" fillId="5" borderId="13" xfId="0" applyNumberFormat="1" applyFont="1" applyFill="1" applyBorder="1" applyAlignment="1" applyProtection="1" quotePrefix="1">
      <alignment horizontal="center"/>
      <protection locked="0"/>
    </xf>
    <xf numFmtId="176" fontId="56" fillId="5" borderId="55" xfId="0" applyNumberFormat="1" applyFont="1" applyFill="1" applyBorder="1" applyAlignment="1" applyProtection="1" quotePrefix="1">
      <alignment horizontal="center"/>
      <protection locked="0"/>
    </xf>
    <xf numFmtId="176" fontId="83" fillId="4" borderId="1" xfId="0" applyNumberFormat="1" applyFont="1" applyFill="1" applyBorder="1" applyAlignment="1" applyProtection="1" quotePrefix="1">
      <alignment horizontal="center"/>
      <protection locked="0"/>
    </xf>
    <xf numFmtId="172" fontId="84" fillId="10" borderId="6" xfId="0" applyNumberFormat="1" applyFont="1" applyFill="1" applyBorder="1" applyAlignment="1" applyProtection="1">
      <alignment horizontal="center"/>
      <protection locked="0"/>
    </xf>
    <xf numFmtId="2" fontId="90" fillId="12" borderId="6" xfId="0" applyNumberFormat="1" applyFont="1" applyFill="1" applyBorder="1" applyAlignment="1" applyProtection="1">
      <alignment horizontal="center"/>
      <protection locked="0"/>
    </xf>
    <xf numFmtId="176" fontId="56" fillId="5" borderId="52" xfId="0" applyNumberFormat="1" applyFont="1" applyFill="1" applyBorder="1" applyAlignment="1" applyProtection="1" quotePrefix="1">
      <alignment horizontal="center"/>
      <protection locked="0"/>
    </xf>
    <xf numFmtId="176" fontId="56" fillId="5" borderId="53" xfId="0" applyNumberFormat="1" applyFont="1" applyFill="1" applyBorder="1" applyAlignment="1" applyProtection="1" quotePrefix="1">
      <alignment horizontal="center"/>
      <protection locked="0"/>
    </xf>
    <xf numFmtId="176" fontId="83" fillId="4" borderId="6" xfId="0" applyNumberFormat="1" applyFont="1" applyFill="1" applyBorder="1" applyAlignment="1" applyProtection="1" quotePrefix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172" fontId="62" fillId="3" borderId="3" xfId="0" applyNumberFormat="1" applyFont="1" applyFill="1" applyBorder="1" applyAlignment="1" applyProtection="1">
      <alignment horizontal="center"/>
      <protection locked="0"/>
    </xf>
    <xf numFmtId="2" fontId="93" fillId="7" borderId="1" xfId="0" applyNumberFormat="1" applyFont="1" applyFill="1" applyBorder="1" applyAlignment="1" applyProtection="1">
      <alignment horizontal="center"/>
      <protection locked="0"/>
    </xf>
    <xf numFmtId="176" fontId="67" fillId="14" borderId="16" xfId="0" applyNumberFormat="1" applyFont="1" applyFill="1" applyBorder="1" applyAlignment="1" applyProtection="1" quotePrefix="1">
      <alignment horizontal="center"/>
      <protection locked="0"/>
    </xf>
    <xf numFmtId="176" fontId="67" fillId="14" borderId="10" xfId="0" applyNumberFormat="1" applyFont="1" applyFill="1" applyBorder="1" applyAlignment="1" applyProtection="1" quotePrefix="1">
      <alignment horizontal="center"/>
      <protection locked="0"/>
    </xf>
    <xf numFmtId="176" fontId="71" fillId="5" borderId="5" xfId="0" applyNumberFormat="1" applyFont="1" applyFill="1" applyBorder="1" applyAlignment="1" applyProtection="1" quotePrefix="1">
      <alignment horizontal="center"/>
      <protection locked="0"/>
    </xf>
    <xf numFmtId="172" fontId="62" fillId="3" borderId="27" xfId="0" applyNumberFormat="1" applyFont="1" applyFill="1" applyBorder="1" applyAlignment="1" applyProtection="1">
      <alignment horizontal="center"/>
      <protection locked="0"/>
    </xf>
    <xf numFmtId="2" fontId="93" fillId="7" borderId="6" xfId="0" applyNumberFormat="1" applyFont="1" applyFill="1" applyBorder="1" applyAlignment="1" applyProtection="1">
      <alignment horizontal="center"/>
      <protection locked="0"/>
    </xf>
    <xf numFmtId="176" fontId="67" fillId="14" borderId="48" xfId="0" applyNumberFormat="1" applyFont="1" applyFill="1" applyBorder="1" applyAlignment="1" applyProtection="1" quotePrefix="1">
      <alignment horizontal="center"/>
      <protection locked="0"/>
    </xf>
    <xf numFmtId="176" fontId="67" fillId="14" borderId="41" xfId="0" applyNumberFormat="1" applyFont="1" applyFill="1" applyBorder="1" applyAlignment="1" applyProtection="1" quotePrefix="1">
      <alignment horizontal="center"/>
      <protection locked="0"/>
    </xf>
    <xf numFmtId="176" fontId="71" fillId="5" borderId="6" xfId="0" applyNumberFormat="1" applyFont="1" applyFill="1" applyBorder="1" applyAlignment="1" applyProtection="1" quotePrefix="1">
      <alignment horizontal="center"/>
      <protection locked="0"/>
    </xf>
    <xf numFmtId="1" fontId="29" fillId="0" borderId="0" xfId="0" applyNumberFormat="1" applyFont="1" applyBorder="1" applyAlignment="1" applyProtection="1">
      <alignment horizontal="left"/>
      <protection/>
    </xf>
    <xf numFmtId="7" fontId="21" fillId="0" borderId="14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29" fillId="0" borderId="0" xfId="0" applyFont="1" applyBorder="1" applyAlignment="1">
      <alignment horizontal="centerContinuous"/>
    </xf>
    <xf numFmtId="0" fontId="111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12" fillId="0" borderId="0" xfId="0" applyFont="1" applyAlignment="1">
      <alignment/>
    </xf>
    <xf numFmtId="0" fontId="112" fillId="0" borderId="0" xfId="0" applyFont="1" applyAlignment="1">
      <alignment horizontal="centerContinuous"/>
    </xf>
    <xf numFmtId="0" fontId="113" fillId="0" borderId="0" xfId="0" applyFont="1" applyAlignment="1">
      <alignment horizontal="centerContinuous"/>
    </xf>
    <xf numFmtId="0" fontId="112" fillId="0" borderId="0" xfId="0" applyFont="1" applyAlignment="1">
      <alignment/>
    </xf>
    <xf numFmtId="0" fontId="29" fillId="0" borderId="0" xfId="0" applyFont="1" applyAlignment="1">
      <alignment/>
    </xf>
    <xf numFmtId="0" fontId="113" fillId="0" borderId="0" xfId="0" applyFont="1" applyAlignment="1">
      <alignment/>
    </xf>
    <xf numFmtId="0" fontId="113" fillId="0" borderId="0" xfId="0" applyFont="1" applyAlignment="1">
      <alignment/>
    </xf>
    <xf numFmtId="0" fontId="29" fillId="0" borderId="17" xfId="0" applyFont="1" applyBorder="1" applyAlignment="1">
      <alignment horizontal="centerContinuous"/>
    </xf>
    <xf numFmtId="0" fontId="29" fillId="0" borderId="18" xfId="0" applyFont="1" applyBorder="1" applyAlignment="1">
      <alignment horizontal="centerContinuous"/>
    </xf>
    <xf numFmtId="0" fontId="29" fillId="0" borderId="19" xfId="0" applyFont="1" applyBorder="1" applyAlignment="1">
      <alignment/>
    </xf>
    <xf numFmtId="0" fontId="29" fillId="0" borderId="21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33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17" fontId="33" fillId="0" borderId="28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114" fillId="0" borderId="0" xfId="0" applyFont="1" applyAlignment="1">
      <alignment vertical="center"/>
    </xf>
    <xf numFmtId="0" fontId="114" fillId="0" borderId="20" xfId="0" applyFont="1" applyBorder="1" applyAlignment="1">
      <alignment vertical="center"/>
    </xf>
    <xf numFmtId="0" fontId="114" fillId="0" borderId="12" xfId="0" applyFont="1" applyBorder="1" applyAlignment="1">
      <alignment vertical="center"/>
    </xf>
    <xf numFmtId="0" fontId="114" fillId="0" borderId="1" xfId="0" applyFont="1" applyBorder="1" applyAlignment="1">
      <alignment vertical="center"/>
    </xf>
    <xf numFmtId="0" fontId="114" fillId="0" borderId="47" xfId="0" applyFont="1" applyBorder="1" applyAlignment="1">
      <alignment vertical="center"/>
    </xf>
    <xf numFmtId="0" fontId="114" fillId="0" borderId="21" xfId="0" applyFont="1" applyBorder="1" applyAlignment="1">
      <alignment vertical="center"/>
    </xf>
    <xf numFmtId="0" fontId="114" fillId="1" borderId="13" xfId="0" applyFont="1" applyFill="1" applyBorder="1" applyAlignment="1">
      <alignment horizontal="center" vertical="center"/>
    </xf>
    <xf numFmtId="0" fontId="114" fillId="1" borderId="1" xfId="0" applyFont="1" applyFill="1" applyBorder="1" applyAlignment="1">
      <alignment horizontal="center" vertical="center"/>
    </xf>
    <xf numFmtId="0" fontId="114" fillId="0" borderId="33" xfId="0" applyFont="1" applyBorder="1" applyAlignment="1">
      <alignment horizontal="center" vertical="center"/>
    </xf>
    <xf numFmtId="0" fontId="114" fillId="0" borderId="16" xfId="0" applyFont="1" applyBorder="1" applyAlignment="1">
      <alignment horizontal="center" vertical="center"/>
    </xf>
    <xf numFmtId="0" fontId="114" fillId="0" borderId="5" xfId="0" applyFont="1" applyBorder="1" applyAlignment="1">
      <alignment horizontal="center" vertical="center"/>
    </xf>
    <xf numFmtId="0" fontId="114" fillId="1" borderId="16" xfId="0" applyFont="1" applyFill="1" applyBorder="1" applyAlignment="1">
      <alignment horizontal="center" vertical="center"/>
    </xf>
    <xf numFmtId="0" fontId="114" fillId="1" borderId="5" xfId="0" applyFont="1" applyFill="1" applyBorder="1" applyAlignment="1">
      <alignment horizontal="center" vertical="center"/>
    </xf>
    <xf numFmtId="0" fontId="114" fillId="0" borderId="48" xfId="0" applyFont="1" applyBorder="1" applyAlignment="1">
      <alignment horizontal="center" vertical="center"/>
    </xf>
    <xf numFmtId="0" fontId="114" fillId="0" borderId="39" xfId="0" applyFont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vertical="center"/>
    </xf>
    <xf numFmtId="0" fontId="115" fillId="0" borderId="0" xfId="0" applyFont="1" applyFill="1" applyBorder="1" applyAlignment="1">
      <alignment horizontal="right" vertical="center"/>
    </xf>
    <xf numFmtId="178" fontId="115" fillId="0" borderId="28" xfId="0" applyNumberFormat="1" applyFont="1" applyFill="1" applyBorder="1" applyAlignment="1">
      <alignment horizontal="center" vertical="center"/>
    </xf>
    <xf numFmtId="0" fontId="114" fillId="0" borderId="22" xfId="0" applyFont="1" applyFill="1" applyBorder="1" applyAlignment="1">
      <alignment horizontal="center" vertical="center"/>
    </xf>
    <xf numFmtId="0" fontId="114" fillId="0" borderId="29" xfId="0" applyFont="1" applyFill="1" applyBorder="1" applyAlignment="1">
      <alignment horizontal="center" vertical="center"/>
    </xf>
    <xf numFmtId="0" fontId="114" fillId="0" borderId="23" xfId="0" applyFont="1" applyFill="1" applyBorder="1" applyAlignment="1">
      <alignment horizontal="center" vertical="center"/>
    </xf>
    <xf numFmtId="0" fontId="114" fillId="0" borderId="0" xfId="0" applyFont="1" applyBorder="1" applyAlignment="1">
      <alignment horizontal="center" vertical="center"/>
    </xf>
    <xf numFmtId="0" fontId="114" fillId="0" borderId="0" xfId="0" applyFont="1" applyBorder="1" applyAlignment="1">
      <alignment vertical="center"/>
    </xf>
    <xf numFmtId="0" fontId="114" fillId="0" borderId="0" xfId="0" applyFont="1" applyBorder="1" applyAlignment="1">
      <alignment horizontal="right" vertical="center"/>
    </xf>
    <xf numFmtId="0" fontId="115" fillId="0" borderId="0" xfId="0" applyFont="1" applyBorder="1" applyAlignment="1">
      <alignment horizontal="right" vertical="center"/>
    </xf>
    <xf numFmtId="0" fontId="114" fillId="0" borderId="28" xfId="0" applyFont="1" applyBorder="1" applyAlignment="1">
      <alignment horizontal="center" vertical="center"/>
    </xf>
    <xf numFmtId="0" fontId="114" fillId="0" borderId="6" xfId="0" applyFont="1" applyBorder="1" applyAlignment="1">
      <alignment horizontal="center" vertical="center"/>
    </xf>
    <xf numFmtId="2" fontId="115" fillId="2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0" xfId="22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right" vertical="center"/>
    </xf>
    <xf numFmtId="2" fontId="31" fillId="0" borderId="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9" xfId="0" applyBorder="1" applyAlignment="1">
      <alignment/>
    </xf>
    <xf numFmtId="0" fontId="17" fillId="0" borderId="29" xfId="0" applyFont="1" applyBorder="1" applyAlignment="1">
      <alignment horizontal="right"/>
    </xf>
    <xf numFmtId="2" fontId="17" fillId="0" borderId="29" xfId="0" applyNumberFormat="1" applyFont="1" applyBorder="1" applyAlignment="1">
      <alignment horizontal="center"/>
    </xf>
    <xf numFmtId="0" fontId="117" fillId="0" borderId="29" xfId="0" applyFont="1" applyBorder="1" applyAlignment="1">
      <alignment/>
    </xf>
    <xf numFmtId="0" fontId="0" fillId="0" borderId="23" xfId="0" applyBorder="1" applyAlignment="1">
      <alignment/>
    </xf>
    <xf numFmtId="0" fontId="29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7" fontId="4" fillId="0" borderId="0" xfId="0" applyNumberFormat="1" applyFont="1" applyBorder="1" applyAlignment="1">
      <alignment/>
    </xf>
    <xf numFmtId="0" fontId="116" fillId="0" borderId="69" xfId="0" applyFont="1" applyFill="1" applyBorder="1" applyAlignment="1" applyProtection="1">
      <alignment horizontal="right"/>
      <protection/>
    </xf>
    <xf numFmtId="176" fontId="4" fillId="0" borderId="15" xfId="0" applyNumberFormat="1" applyFont="1" applyBorder="1" applyAlignment="1" applyProtection="1">
      <alignment horizontal="center"/>
      <protection/>
    </xf>
    <xf numFmtId="176" fontId="4" fillId="0" borderId="9" xfId="0" applyNumberFormat="1" applyFont="1" applyBorder="1" applyAlignment="1" applyProtection="1">
      <alignment horizontal="center"/>
      <protection/>
    </xf>
    <xf numFmtId="0" fontId="4" fillId="2" borderId="1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7" fontId="16" fillId="0" borderId="3" xfId="0" applyNumberFormat="1" applyFont="1" applyFill="1" applyBorder="1" applyAlignment="1">
      <alignment horizontal="center"/>
    </xf>
    <xf numFmtId="7" fontId="16" fillId="0" borderId="0" xfId="0" applyNumberFormat="1" applyFont="1" applyFill="1" applyBorder="1" applyAlignment="1">
      <alignment horizontal="center"/>
    </xf>
    <xf numFmtId="0" fontId="33" fillId="0" borderId="22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center"/>
      <protection/>
    </xf>
    <xf numFmtId="0" fontId="33" fillId="0" borderId="23" xfId="0" applyFont="1" applyBorder="1" applyAlignment="1" applyProtection="1">
      <alignment horizontal="center" vertic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DENOR9604" xfId="21"/>
    <cellStyle name="Normal_líneas" xfId="22"/>
    <cellStyle name="Normal_TRAN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0</xdr:row>
      <xdr:rowOff>47625</xdr:rowOff>
    </xdr:from>
    <xdr:to>
      <xdr:col>1</xdr:col>
      <xdr:colOff>114300</xdr:colOff>
      <xdr:row>1</xdr:row>
      <xdr:rowOff>314325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47625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9525</xdr:rowOff>
    </xdr:from>
    <xdr:to>
      <xdr:col>1</xdr:col>
      <xdr:colOff>247650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0025" y="3409950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1247775</xdr:colOff>
      <xdr:row>0</xdr:row>
      <xdr:rowOff>9525</xdr:rowOff>
    </xdr:from>
    <xdr:to>
      <xdr:col>0</xdr:col>
      <xdr:colOff>1752600</xdr:colOff>
      <xdr:row>2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9525"/>
          <a:ext cx="50482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47625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29875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NSENER\TBASEN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asa"/>
      <sheetName val="FM-ATENTADOS"/>
    </sheetNames>
    <sheetDataSet>
      <sheetData sheetId="0">
        <row r="15">
          <cell r="DL15">
            <v>37591</v>
          </cell>
          <cell r="DM15">
            <v>37622</v>
          </cell>
          <cell r="DN15">
            <v>37653</v>
          </cell>
          <cell r="DO15">
            <v>37681</v>
          </cell>
          <cell r="DP15">
            <v>37712</v>
          </cell>
          <cell r="DQ15">
            <v>37742</v>
          </cell>
          <cell r="DR15">
            <v>37773</v>
          </cell>
          <cell r="DS15">
            <v>37803</v>
          </cell>
          <cell r="DT15">
            <v>37834</v>
          </cell>
          <cell r="DU15">
            <v>37865</v>
          </cell>
          <cell r="DV15">
            <v>37895</v>
          </cell>
          <cell r="DW15">
            <v>37926</v>
          </cell>
          <cell r="DX15">
            <v>37956</v>
          </cell>
        </row>
        <row r="17">
          <cell r="C17">
            <v>1</v>
          </cell>
          <cell r="D17" t="str">
            <v>ABASTO - OLAVARRIA 1</v>
          </cell>
          <cell r="E17">
            <v>500</v>
          </cell>
          <cell r="F17">
            <v>291</v>
          </cell>
          <cell r="G17" t="str">
            <v>B</v>
          </cell>
          <cell r="DS17">
            <v>1</v>
          </cell>
        </row>
        <row r="18">
          <cell r="C18">
            <v>2</v>
          </cell>
          <cell r="D18" t="str">
            <v>ABASTO - OLAVARRIA 2</v>
          </cell>
          <cell r="E18">
            <v>500</v>
          </cell>
          <cell r="F18">
            <v>301.9</v>
          </cell>
          <cell r="DL18">
            <v>1</v>
          </cell>
          <cell r="DO18">
            <v>1</v>
          </cell>
        </row>
        <row r="19">
          <cell r="C19">
            <v>3</v>
          </cell>
          <cell r="D19" t="str">
            <v>AGUA DEL CAJON - CHOCON OESTE</v>
          </cell>
          <cell r="E19">
            <v>500</v>
          </cell>
          <cell r="F19">
            <v>52</v>
          </cell>
        </row>
        <row r="20">
          <cell r="C20">
            <v>4</v>
          </cell>
          <cell r="D20" t="str">
            <v>ALICURA - E.T. P.del A. 1 (5LG1)</v>
          </cell>
          <cell r="E20">
            <v>500</v>
          </cell>
          <cell r="F20">
            <v>76</v>
          </cell>
          <cell r="G20" t="str">
            <v>C</v>
          </cell>
          <cell r="DM20">
            <v>1</v>
          </cell>
          <cell r="DO20">
            <v>1</v>
          </cell>
        </row>
        <row r="21">
          <cell r="C21">
            <v>5</v>
          </cell>
          <cell r="D21" t="str">
            <v>ALICURA - E.T. P.del A. 2 (5LG2)</v>
          </cell>
          <cell r="E21">
            <v>500</v>
          </cell>
          <cell r="F21">
            <v>76</v>
          </cell>
          <cell r="G21" t="str">
            <v>C</v>
          </cell>
          <cell r="DR21">
            <v>1</v>
          </cell>
          <cell r="DT21">
            <v>1</v>
          </cell>
        </row>
        <row r="22">
          <cell r="C22">
            <v>6</v>
          </cell>
          <cell r="D22" t="str">
            <v>ALMAFUERTE - EMBALSE </v>
          </cell>
          <cell r="E22">
            <v>500</v>
          </cell>
          <cell r="F22">
            <v>12</v>
          </cell>
          <cell r="G22" t="str">
            <v>A</v>
          </cell>
        </row>
        <row r="23">
          <cell r="C23">
            <v>7</v>
          </cell>
          <cell r="D23" t="str">
            <v> ALMAFUERTE - ROSARIO OESTE</v>
          </cell>
          <cell r="E23">
            <v>500</v>
          </cell>
          <cell r="F23">
            <v>345</v>
          </cell>
          <cell r="G23" t="str">
            <v>B</v>
          </cell>
        </row>
        <row r="24">
          <cell r="C24">
            <v>8</v>
          </cell>
          <cell r="D24" t="str">
            <v>BAHIA BLANCA - CHOELE CHOEL 1</v>
          </cell>
          <cell r="E24">
            <v>500</v>
          </cell>
          <cell r="F24">
            <v>346</v>
          </cell>
          <cell r="G24" t="str">
            <v>B</v>
          </cell>
          <cell r="DO24">
            <v>1</v>
          </cell>
        </row>
        <row r="25">
          <cell r="C25">
            <v>9</v>
          </cell>
          <cell r="D25" t="str">
            <v>BAHIA BLANCA - CHOELE CHOEL 2</v>
          </cell>
          <cell r="E25">
            <v>500</v>
          </cell>
          <cell r="F25">
            <v>348.4</v>
          </cell>
          <cell r="DM25">
            <v>2</v>
          </cell>
          <cell r="DO25">
            <v>2</v>
          </cell>
          <cell r="DR25">
            <v>1</v>
          </cell>
        </row>
        <row r="26">
          <cell r="C26">
            <v>10</v>
          </cell>
          <cell r="D26" t="str">
            <v>CERR. de la CTA - P.BAND. (A3)</v>
          </cell>
          <cell r="E26">
            <v>500</v>
          </cell>
          <cell r="F26">
            <v>27</v>
          </cell>
          <cell r="G26" t="str">
            <v>C</v>
          </cell>
        </row>
        <row r="27">
          <cell r="C27">
            <v>11</v>
          </cell>
          <cell r="D27" t="str">
            <v>COLONIA ELIA - CAMPANA</v>
          </cell>
          <cell r="E27">
            <v>500</v>
          </cell>
          <cell r="F27">
            <v>194</v>
          </cell>
          <cell r="G27" t="str">
            <v>C</v>
          </cell>
        </row>
        <row r="28">
          <cell r="C28">
            <v>12</v>
          </cell>
          <cell r="D28" t="str">
            <v>CHO. W. - CHOELE CHOEL (5WH1)</v>
          </cell>
          <cell r="E28">
            <v>500</v>
          </cell>
          <cell r="F28">
            <v>269</v>
          </cell>
          <cell r="G28" t="str">
            <v>B</v>
          </cell>
        </row>
        <row r="29">
          <cell r="C29">
            <v>13</v>
          </cell>
          <cell r="D29" t="str">
            <v>CHO.W. - CHO. 1 (5WC1)</v>
          </cell>
          <cell r="E29">
            <v>500</v>
          </cell>
          <cell r="F29">
            <v>4.5</v>
          </cell>
          <cell r="G29" t="str">
            <v>C</v>
          </cell>
        </row>
        <row r="30">
          <cell r="C30">
            <v>14</v>
          </cell>
          <cell r="D30" t="str">
            <v>CHO.W. - CHO. 2 (5WC2)</v>
          </cell>
          <cell r="E30">
            <v>500</v>
          </cell>
          <cell r="F30">
            <v>4.5</v>
          </cell>
          <cell r="G30" t="str">
            <v>C</v>
          </cell>
        </row>
        <row r="31">
          <cell r="C31">
            <v>15</v>
          </cell>
          <cell r="D31" t="str">
            <v>CHOCON - C.H. CHOCON 1</v>
          </cell>
          <cell r="E31">
            <v>500</v>
          </cell>
          <cell r="F31">
            <v>3</v>
          </cell>
          <cell r="G31" t="str">
            <v>C</v>
          </cell>
        </row>
        <row r="32">
          <cell r="C32">
            <v>16</v>
          </cell>
          <cell r="D32" t="str">
            <v>CHOCON - C.H. CHOCON 2</v>
          </cell>
          <cell r="E32">
            <v>500</v>
          </cell>
          <cell r="F32">
            <v>3</v>
          </cell>
          <cell r="G32" t="str">
            <v>C</v>
          </cell>
          <cell r="DS32">
            <v>1</v>
          </cell>
        </row>
        <row r="33">
          <cell r="C33">
            <v>17</v>
          </cell>
          <cell r="D33" t="str">
            <v>CHOCON - C.H. CHOCON 3</v>
          </cell>
          <cell r="E33">
            <v>500</v>
          </cell>
          <cell r="F33">
            <v>3</v>
          </cell>
          <cell r="G33" t="str">
            <v>C</v>
          </cell>
        </row>
        <row r="34">
          <cell r="C34">
            <v>18</v>
          </cell>
          <cell r="D34" t="str">
            <v>CHOCON - PUELCHES 1</v>
          </cell>
          <cell r="E34">
            <v>500</v>
          </cell>
          <cell r="F34">
            <v>304</v>
          </cell>
          <cell r="G34" t="str">
            <v>A</v>
          </cell>
          <cell r="DS34">
            <v>1</v>
          </cell>
        </row>
        <row r="35">
          <cell r="C35">
            <v>19</v>
          </cell>
          <cell r="D35" t="str">
            <v>CHOCON - PUELCHES 2</v>
          </cell>
          <cell r="E35">
            <v>500</v>
          </cell>
          <cell r="F35">
            <v>304</v>
          </cell>
          <cell r="G35" t="str">
            <v>A</v>
          </cell>
          <cell r="DV35">
            <v>1</v>
          </cell>
        </row>
        <row r="36">
          <cell r="C36">
            <v>20</v>
          </cell>
          <cell r="D36" t="str">
            <v>E.T.P.del AGUILA - CENTRAL P.del A. 1</v>
          </cell>
          <cell r="E36">
            <v>500</v>
          </cell>
          <cell r="F36">
            <v>5.6</v>
          </cell>
          <cell r="G36" t="str">
            <v>C</v>
          </cell>
          <cell r="DQ36">
            <v>1</v>
          </cell>
        </row>
        <row r="37">
          <cell r="C37">
            <v>21</v>
          </cell>
          <cell r="D37" t="str">
            <v>E.T.P.del AGUILA - CENTRAL P.del A. 2</v>
          </cell>
          <cell r="E37">
            <v>500</v>
          </cell>
          <cell r="F37">
            <v>5.6</v>
          </cell>
          <cell r="G37" t="str">
            <v>C</v>
          </cell>
        </row>
        <row r="38">
          <cell r="C38">
            <v>22</v>
          </cell>
          <cell r="D38" t="str">
            <v>EL BRACHO - RECREO(5)</v>
          </cell>
          <cell r="E38">
            <v>500</v>
          </cell>
          <cell r="F38">
            <v>255</v>
          </cell>
          <cell r="G38" t="str">
            <v>C</v>
          </cell>
        </row>
        <row r="39">
          <cell r="C39">
            <v>23</v>
          </cell>
          <cell r="D39" t="str">
            <v>EZEIZA - ABASTO 1</v>
          </cell>
          <cell r="E39">
            <v>500</v>
          </cell>
          <cell r="F39">
            <v>58</v>
          </cell>
          <cell r="G39" t="str">
            <v>C</v>
          </cell>
        </row>
        <row r="40">
          <cell r="C40">
            <v>24</v>
          </cell>
          <cell r="D40" t="str">
            <v>EZEIZA - ABASTO 2</v>
          </cell>
          <cell r="E40">
            <v>500</v>
          </cell>
          <cell r="F40">
            <v>58</v>
          </cell>
          <cell r="G40" t="str">
            <v>C</v>
          </cell>
        </row>
        <row r="41">
          <cell r="C41">
            <v>25</v>
          </cell>
          <cell r="D41" t="str">
            <v>EZEIZA - RODRIGUEZ 1</v>
          </cell>
          <cell r="E41">
            <v>500</v>
          </cell>
          <cell r="F41">
            <v>53</v>
          </cell>
          <cell r="G41" t="str">
            <v>C</v>
          </cell>
          <cell r="DV41">
            <v>1</v>
          </cell>
        </row>
        <row r="42">
          <cell r="C42">
            <v>26</v>
          </cell>
          <cell r="D42" t="str">
            <v>EZEIZA - RODRIGUEZ 2</v>
          </cell>
          <cell r="E42">
            <v>500</v>
          </cell>
          <cell r="F42">
            <v>53</v>
          </cell>
          <cell r="G42" t="str">
            <v>C</v>
          </cell>
        </row>
        <row r="43">
          <cell r="C43">
            <v>27</v>
          </cell>
          <cell r="D43" t="str">
            <v>EZEIZA- HENDERSON 1</v>
          </cell>
          <cell r="E43">
            <v>500</v>
          </cell>
          <cell r="F43">
            <v>313</v>
          </cell>
          <cell r="G43" t="str">
            <v>A</v>
          </cell>
        </row>
        <row r="44">
          <cell r="C44">
            <v>28</v>
          </cell>
          <cell r="D44" t="str">
            <v>EZEIZA - HENDERSON 2</v>
          </cell>
          <cell r="E44">
            <v>500</v>
          </cell>
          <cell r="F44">
            <v>313</v>
          </cell>
          <cell r="G44" t="str">
            <v>A</v>
          </cell>
        </row>
        <row r="45">
          <cell r="C45">
            <v>29</v>
          </cell>
          <cell r="D45" t="str">
            <v>GRAL. RODRIGUEZ - CAMPANA </v>
          </cell>
          <cell r="E45">
            <v>500</v>
          </cell>
          <cell r="F45">
            <v>42</v>
          </cell>
          <cell r="G45" t="str">
            <v>B</v>
          </cell>
        </row>
        <row r="46">
          <cell r="C46">
            <v>30</v>
          </cell>
          <cell r="D46" t="str">
            <v>GRAL. RODRIGUEZ- ROSARIO OESTE </v>
          </cell>
          <cell r="E46">
            <v>500</v>
          </cell>
          <cell r="F46">
            <v>258</v>
          </cell>
          <cell r="G46" t="str">
            <v>C</v>
          </cell>
          <cell r="DL46" t="str">
            <v>XXXX</v>
          </cell>
          <cell r="DM46" t="str">
            <v>XXXX</v>
          </cell>
          <cell r="DN46" t="str">
            <v>XXXX</v>
          </cell>
          <cell r="DO46" t="str">
            <v>XXXX</v>
          </cell>
          <cell r="DP46" t="str">
            <v>XXXX</v>
          </cell>
          <cell r="DQ46" t="str">
            <v>XXXX</v>
          </cell>
          <cell r="DR46" t="str">
            <v>XXXX</v>
          </cell>
          <cell r="DS46" t="str">
            <v>XXXX</v>
          </cell>
          <cell r="DT46" t="str">
            <v>XXXX</v>
          </cell>
          <cell r="DU46" t="str">
            <v>XXXX</v>
          </cell>
          <cell r="DV46" t="str">
            <v>XXXX</v>
          </cell>
          <cell r="DW46" t="str">
            <v>XXXX</v>
          </cell>
        </row>
        <row r="47">
          <cell r="C47">
            <v>31</v>
          </cell>
          <cell r="D47" t="str">
            <v>MALVINAS ARG. - ALMAFUERTE </v>
          </cell>
          <cell r="E47">
            <v>500</v>
          </cell>
          <cell r="F47">
            <v>105</v>
          </cell>
          <cell r="G47" t="str">
            <v>B</v>
          </cell>
          <cell r="DU47">
            <v>1</v>
          </cell>
        </row>
        <row r="48">
          <cell r="C48">
            <v>32</v>
          </cell>
          <cell r="D48" t="str">
            <v>OLAVARRIA - BAHIA BLANCA 1</v>
          </cell>
          <cell r="E48">
            <v>500</v>
          </cell>
          <cell r="F48">
            <v>255</v>
          </cell>
          <cell r="G48" t="str">
            <v>B</v>
          </cell>
          <cell r="DL48">
            <v>3</v>
          </cell>
          <cell r="DO48">
            <v>2</v>
          </cell>
          <cell r="DP48">
            <v>2</v>
          </cell>
          <cell r="DT48">
            <v>1</v>
          </cell>
        </row>
        <row r="49">
          <cell r="C49">
            <v>33</v>
          </cell>
          <cell r="D49" t="str">
            <v>OLAVARRIA - BAHIA BLANCA 2</v>
          </cell>
          <cell r="E49">
            <v>500</v>
          </cell>
          <cell r="F49">
            <v>254.8</v>
          </cell>
          <cell r="DO49">
            <v>2</v>
          </cell>
          <cell r="DS49">
            <v>1</v>
          </cell>
        </row>
        <row r="50">
          <cell r="C50">
            <v>34</v>
          </cell>
          <cell r="D50" t="str">
            <v>P.del AGUILA  - CHOELE CHOEL</v>
          </cell>
          <cell r="E50">
            <v>500</v>
          </cell>
          <cell r="F50">
            <v>386.7</v>
          </cell>
        </row>
        <row r="51">
          <cell r="C51">
            <v>35</v>
          </cell>
          <cell r="D51" t="str">
            <v>P.del AGUILA  - CHO. W. 1 (5GW1)</v>
          </cell>
          <cell r="E51">
            <v>500</v>
          </cell>
          <cell r="F51">
            <v>165</v>
          </cell>
          <cell r="G51" t="str">
            <v>A</v>
          </cell>
        </row>
        <row r="52">
          <cell r="C52">
            <v>36</v>
          </cell>
          <cell r="D52" t="str">
            <v>P.del AGUILA  - CHO. W. 2 (5GW2)</v>
          </cell>
          <cell r="E52">
            <v>500</v>
          </cell>
          <cell r="F52">
            <v>170</v>
          </cell>
          <cell r="G52" t="str">
            <v>A</v>
          </cell>
        </row>
        <row r="53">
          <cell r="C53">
            <v>37</v>
          </cell>
          <cell r="D53" t="str">
            <v>PUELCHES - HENDERSON 1 (B1)</v>
          </cell>
          <cell r="E53">
            <v>500</v>
          </cell>
          <cell r="F53">
            <v>421</v>
          </cell>
          <cell r="G53" t="str">
            <v>A</v>
          </cell>
          <cell r="DU53">
            <v>1</v>
          </cell>
        </row>
        <row r="54">
          <cell r="C54">
            <v>38</v>
          </cell>
          <cell r="D54" t="str">
            <v>PUELCHES - HENDERSON 2 (B2)</v>
          </cell>
          <cell r="E54">
            <v>500</v>
          </cell>
          <cell r="F54">
            <v>421</v>
          </cell>
          <cell r="G54" t="str">
            <v>A</v>
          </cell>
          <cell r="DL54" t="str">
            <v>XXXX</v>
          </cell>
          <cell r="DM54" t="str">
            <v>XXXX</v>
          </cell>
          <cell r="DN54" t="str">
            <v>XXXX</v>
          </cell>
          <cell r="DO54" t="str">
            <v>XXXX</v>
          </cell>
          <cell r="DP54" t="str">
            <v>XXXX</v>
          </cell>
          <cell r="DQ54" t="str">
            <v>XXXX</v>
          </cell>
          <cell r="DR54" t="str">
            <v>XXXX</v>
          </cell>
          <cell r="DS54" t="str">
            <v>XXXX</v>
          </cell>
          <cell r="DT54" t="str">
            <v>XXXX</v>
          </cell>
          <cell r="DU54" t="str">
            <v>XXXX</v>
          </cell>
          <cell r="DV54" t="str">
            <v>XXXX</v>
          </cell>
          <cell r="DW54" t="str">
            <v>XXXX</v>
          </cell>
        </row>
        <row r="55">
          <cell r="C55">
            <v>39</v>
          </cell>
          <cell r="D55" t="str">
            <v>RECREO - MALVINAS ARG. </v>
          </cell>
          <cell r="E55">
            <v>500</v>
          </cell>
          <cell r="F55">
            <v>259</v>
          </cell>
          <cell r="G55" t="str">
            <v>C</v>
          </cell>
        </row>
        <row r="56">
          <cell r="C56">
            <v>40</v>
          </cell>
          <cell r="D56" t="str">
            <v>RIO GRANDE - EMBALSE</v>
          </cell>
          <cell r="E56">
            <v>500</v>
          </cell>
          <cell r="F56">
            <v>30</v>
          </cell>
          <cell r="G56" t="str">
            <v>B</v>
          </cell>
        </row>
        <row r="57">
          <cell r="C57">
            <v>41</v>
          </cell>
          <cell r="D57" t="str">
            <v>RIO GRANDE - GRAN MENDOZA</v>
          </cell>
          <cell r="E57">
            <v>500</v>
          </cell>
          <cell r="F57">
            <v>407</v>
          </cell>
          <cell r="G57" t="str">
            <v>B</v>
          </cell>
          <cell r="DL57" t="str">
            <v>XXXX</v>
          </cell>
          <cell r="DM57" t="str">
            <v>XXXX</v>
          </cell>
          <cell r="DN57" t="str">
            <v>XXXX</v>
          </cell>
          <cell r="DO57" t="str">
            <v>XXXX</v>
          </cell>
          <cell r="DP57" t="str">
            <v>XXXX</v>
          </cell>
          <cell r="DQ57" t="str">
            <v>XXXX</v>
          </cell>
          <cell r="DR57" t="str">
            <v>XXXX</v>
          </cell>
          <cell r="DS57" t="str">
            <v>XXXX</v>
          </cell>
          <cell r="DT57" t="str">
            <v>XXXX</v>
          </cell>
          <cell r="DU57" t="str">
            <v>XXXX</v>
          </cell>
          <cell r="DV57" t="str">
            <v>XXXX</v>
          </cell>
          <cell r="DW57" t="str">
            <v>XXXX</v>
          </cell>
        </row>
        <row r="58">
          <cell r="C58">
            <v>42</v>
          </cell>
          <cell r="D58" t="str">
            <v>RIO GRANDE - LUJAN</v>
          </cell>
          <cell r="E58">
            <v>500</v>
          </cell>
          <cell r="F58">
            <v>150</v>
          </cell>
          <cell r="G58" t="str">
            <v>A</v>
          </cell>
        </row>
        <row r="59">
          <cell r="C59">
            <v>43</v>
          </cell>
          <cell r="D59" t="str">
            <v>LUJAN - GRAN MENDOZA</v>
          </cell>
          <cell r="E59">
            <v>500</v>
          </cell>
          <cell r="F59">
            <v>257</v>
          </cell>
          <cell r="G59" t="str">
            <v>B</v>
          </cell>
        </row>
        <row r="60">
          <cell r="C60">
            <v>44</v>
          </cell>
          <cell r="D60" t="str">
            <v>ROMANG - RESISTENCIA</v>
          </cell>
          <cell r="E60">
            <v>500</v>
          </cell>
          <cell r="F60">
            <v>256</v>
          </cell>
          <cell r="G60" t="str">
            <v>A</v>
          </cell>
          <cell r="DN60">
            <v>1</v>
          </cell>
          <cell r="DO60">
            <v>1</v>
          </cell>
          <cell r="DW60">
            <v>1</v>
          </cell>
        </row>
        <row r="61">
          <cell r="C61">
            <v>45</v>
          </cell>
          <cell r="D61" t="str">
            <v>ROSARIO OESTE -SANTO TOME</v>
          </cell>
          <cell r="E61">
            <v>500</v>
          </cell>
          <cell r="F61">
            <v>159</v>
          </cell>
          <cell r="G61" t="str">
            <v>C</v>
          </cell>
          <cell r="DN61">
            <v>1</v>
          </cell>
        </row>
        <row r="62">
          <cell r="C62">
            <v>46</v>
          </cell>
          <cell r="D62" t="str">
            <v>SALTO GRANDE - SANTO TOME </v>
          </cell>
          <cell r="E62">
            <v>500</v>
          </cell>
          <cell r="F62">
            <v>289</v>
          </cell>
          <cell r="G62" t="str">
            <v>C</v>
          </cell>
          <cell r="DL62">
            <v>1</v>
          </cell>
          <cell r="DM62">
            <v>1</v>
          </cell>
          <cell r="DW62">
            <v>1</v>
          </cell>
        </row>
        <row r="63">
          <cell r="C63">
            <v>47</v>
          </cell>
          <cell r="D63" t="str">
            <v>SANTO TOME - ROMANG </v>
          </cell>
          <cell r="E63">
            <v>500</v>
          </cell>
          <cell r="F63">
            <v>270</v>
          </cell>
          <cell r="G63" t="str">
            <v>A</v>
          </cell>
          <cell r="DT63">
            <v>1</v>
          </cell>
        </row>
        <row r="65">
          <cell r="C65">
            <v>48</v>
          </cell>
          <cell r="D65" t="str">
            <v>GRAL. RODRIGUEZ - VILLA  LIA 1</v>
          </cell>
          <cell r="E65">
            <v>220</v>
          </cell>
          <cell r="F65">
            <v>61</v>
          </cell>
          <cell r="G65" t="str">
            <v>C</v>
          </cell>
          <cell r="DS65">
            <v>1</v>
          </cell>
        </row>
        <row r="66">
          <cell r="C66">
            <v>49</v>
          </cell>
          <cell r="D66" t="str">
            <v>GRAL. RODRIGUEZ - VILLA  LIA 2</v>
          </cell>
          <cell r="E66">
            <v>220</v>
          </cell>
          <cell r="F66">
            <v>61</v>
          </cell>
          <cell r="G66" t="str">
            <v>C</v>
          </cell>
          <cell r="DL66">
            <v>1</v>
          </cell>
        </row>
        <row r="67">
          <cell r="C67">
            <v>50</v>
          </cell>
          <cell r="D67" t="str">
            <v>RAMALLO - SAN NICOLAS (2)</v>
          </cell>
          <cell r="E67">
            <v>220</v>
          </cell>
          <cell r="F67">
            <v>6</v>
          </cell>
          <cell r="G67" t="str">
            <v>C</v>
          </cell>
        </row>
        <row r="68">
          <cell r="C68">
            <v>51</v>
          </cell>
          <cell r="D68" t="str">
            <v>RAMALLO - SAN NICOLAS (1)</v>
          </cell>
          <cell r="E68">
            <v>220</v>
          </cell>
          <cell r="F68">
            <v>6</v>
          </cell>
          <cell r="G68" t="str">
            <v>C</v>
          </cell>
          <cell r="DW68">
            <v>1</v>
          </cell>
        </row>
        <row r="69">
          <cell r="C69">
            <v>52</v>
          </cell>
          <cell r="D69" t="str">
            <v>RAMALLO - VILLA LIA  1</v>
          </cell>
          <cell r="E69">
            <v>220</v>
          </cell>
          <cell r="F69">
            <v>114</v>
          </cell>
          <cell r="G69" t="str">
            <v>C</v>
          </cell>
          <cell r="DL69">
            <v>1</v>
          </cell>
          <cell r="DP69">
            <v>1</v>
          </cell>
          <cell r="DQ69">
            <v>1</v>
          </cell>
        </row>
        <row r="70">
          <cell r="C70">
            <v>53</v>
          </cell>
          <cell r="D70" t="str">
            <v>RAMALLO - VILLA LIA  2</v>
          </cell>
          <cell r="E70">
            <v>220</v>
          </cell>
          <cell r="F70">
            <v>114</v>
          </cell>
          <cell r="G70" t="str">
            <v>C</v>
          </cell>
        </row>
        <row r="71">
          <cell r="C71">
            <v>54</v>
          </cell>
          <cell r="D71" t="str">
            <v>ROSARIO OESTE - RAMALLO  1</v>
          </cell>
          <cell r="E71">
            <v>220</v>
          </cell>
          <cell r="F71">
            <v>77</v>
          </cell>
          <cell r="G71" t="str">
            <v>C</v>
          </cell>
          <cell r="DL71">
            <v>1</v>
          </cell>
          <cell r="DT71">
            <v>1</v>
          </cell>
        </row>
        <row r="72">
          <cell r="C72">
            <v>55</v>
          </cell>
          <cell r="D72" t="str">
            <v>ROSARIO OESTE - RAMALLO  2</v>
          </cell>
          <cell r="E72">
            <v>220</v>
          </cell>
          <cell r="F72">
            <v>77</v>
          </cell>
          <cell r="G72" t="str">
            <v>C</v>
          </cell>
          <cell r="DW72">
            <v>1</v>
          </cell>
        </row>
        <row r="73">
          <cell r="C73">
            <v>56</v>
          </cell>
          <cell r="D73" t="str">
            <v>VILLA LIA - ATUCHA 1</v>
          </cell>
          <cell r="E73">
            <v>220</v>
          </cell>
          <cell r="F73">
            <v>26</v>
          </cell>
          <cell r="G73" t="str">
            <v>C</v>
          </cell>
        </row>
        <row r="74">
          <cell r="C74">
            <v>57</v>
          </cell>
          <cell r="D74" t="str">
            <v>VILLA LIA - ATUCHA 2</v>
          </cell>
          <cell r="E74">
            <v>220</v>
          </cell>
          <cell r="F74">
            <v>26</v>
          </cell>
          <cell r="G74" t="str">
            <v>C</v>
          </cell>
        </row>
        <row r="76">
          <cell r="C76">
            <v>58</v>
          </cell>
          <cell r="D76" t="str">
            <v>GRAL RODRIGUEZ - RAMALLO</v>
          </cell>
          <cell r="E76">
            <v>500</v>
          </cell>
          <cell r="F76">
            <v>183.9</v>
          </cell>
          <cell r="G76" t="str">
            <v>C</v>
          </cell>
          <cell r="DL76">
            <v>1</v>
          </cell>
        </row>
        <row r="77">
          <cell r="C77">
            <v>59</v>
          </cell>
          <cell r="D77" t="str">
            <v>RAMALLO - ROSARIO OESTE</v>
          </cell>
          <cell r="E77">
            <v>500</v>
          </cell>
          <cell r="F77">
            <v>77</v>
          </cell>
          <cell r="G77" t="str">
            <v>C</v>
          </cell>
          <cell r="DN77">
            <v>1</v>
          </cell>
          <cell r="DW77">
            <v>1</v>
          </cell>
        </row>
        <row r="78">
          <cell r="C78">
            <v>60</v>
          </cell>
          <cell r="D78" t="str">
            <v>MACACHIN - HENDERSON</v>
          </cell>
          <cell r="E78">
            <v>500</v>
          </cell>
          <cell r="F78">
            <v>194</v>
          </cell>
          <cell r="G78" t="str">
            <v>A</v>
          </cell>
          <cell r="DR78">
            <v>1</v>
          </cell>
          <cell r="DU78">
            <v>1</v>
          </cell>
        </row>
        <row r="79">
          <cell r="C79">
            <v>61</v>
          </cell>
          <cell r="D79" t="str">
            <v>PUELCHES - MACACHIN</v>
          </cell>
          <cell r="E79">
            <v>500</v>
          </cell>
          <cell r="F79">
            <v>227</v>
          </cell>
          <cell r="G79" t="str">
            <v>A</v>
          </cell>
          <cell r="DU79">
            <v>2</v>
          </cell>
        </row>
        <row r="82">
          <cell r="C82">
            <v>62</v>
          </cell>
          <cell r="D82" t="str">
            <v>YACYRETÁ - RINCON I</v>
          </cell>
          <cell r="E82">
            <v>500</v>
          </cell>
          <cell r="F82">
            <v>3.6</v>
          </cell>
          <cell r="G82" t="str">
            <v>B</v>
          </cell>
        </row>
        <row r="83">
          <cell r="C83">
            <v>63</v>
          </cell>
          <cell r="D83" t="str">
            <v>YACYRETÁ - RINCON II</v>
          </cell>
          <cell r="E83">
            <v>500</v>
          </cell>
          <cell r="F83">
            <v>3.6</v>
          </cell>
          <cell r="G83" t="str">
            <v>B</v>
          </cell>
        </row>
        <row r="84">
          <cell r="C84">
            <v>64</v>
          </cell>
          <cell r="D84" t="str">
            <v>YACYRETÁ - RINCON III</v>
          </cell>
          <cell r="E84">
            <v>500</v>
          </cell>
          <cell r="F84">
            <v>3.6</v>
          </cell>
          <cell r="G84" t="str">
            <v>B</v>
          </cell>
        </row>
        <row r="85">
          <cell r="C85">
            <v>65</v>
          </cell>
          <cell r="D85" t="str">
            <v>RINCON - PASO DE LA PATRIA</v>
          </cell>
          <cell r="E85">
            <v>500</v>
          </cell>
          <cell r="F85">
            <v>227</v>
          </cell>
          <cell r="G85" t="str">
            <v>A</v>
          </cell>
        </row>
        <row r="86">
          <cell r="C86">
            <v>66</v>
          </cell>
          <cell r="D86" t="str">
            <v>PASO DE LA PATRIA - RESISTENCIA</v>
          </cell>
          <cell r="E86">
            <v>500</v>
          </cell>
          <cell r="F86">
            <v>40</v>
          </cell>
          <cell r="G86" t="str">
            <v>C</v>
          </cell>
          <cell r="DW86">
            <v>1</v>
          </cell>
        </row>
        <row r="87">
          <cell r="C87">
            <v>67</v>
          </cell>
          <cell r="D87" t="str">
            <v>RINCON - RESISTENCIA</v>
          </cell>
          <cell r="E87">
            <v>500</v>
          </cell>
          <cell r="F87">
            <v>267</v>
          </cell>
          <cell r="G87" t="str">
            <v>B</v>
          </cell>
          <cell r="DL87" t="str">
            <v>XXXX</v>
          </cell>
          <cell r="DM87" t="str">
            <v>XXXX</v>
          </cell>
          <cell r="DN87" t="str">
            <v>XXXX</v>
          </cell>
          <cell r="DO87" t="str">
            <v>XXXX</v>
          </cell>
          <cell r="DP87" t="str">
            <v>XXXX</v>
          </cell>
          <cell r="DQ87" t="str">
            <v>XXXX</v>
          </cell>
          <cell r="DR87" t="str">
            <v>XXXX</v>
          </cell>
          <cell r="DS87" t="str">
            <v>XXXX</v>
          </cell>
          <cell r="DT87" t="str">
            <v>XXXX</v>
          </cell>
          <cell r="DU87" t="str">
            <v>XXXX</v>
          </cell>
          <cell r="DV87" t="str">
            <v>XXXX</v>
          </cell>
          <cell r="DW87" t="str">
            <v>XXXX</v>
          </cell>
        </row>
        <row r="89">
          <cell r="C89">
            <v>68</v>
          </cell>
          <cell r="D89" t="str">
            <v>RINCON - SALTO GRANDE</v>
          </cell>
          <cell r="E89">
            <v>500</v>
          </cell>
          <cell r="F89">
            <v>506</v>
          </cell>
          <cell r="G89" t="str">
            <v>A</v>
          </cell>
          <cell r="DV89">
            <v>1</v>
          </cell>
        </row>
        <row r="90">
          <cell r="C90">
            <v>69</v>
          </cell>
          <cell r="D90" t="str">
            <v>RINCON - SAN ISIDRO</v>
          </cell>
          <cell r="E90">
            <v>500</v>
          </cell>
          <cell r="F90">
            <v>85</v>
          </cell>
          <cell r="G90" t="str">
            <v>C</v>
          </cell>
        </row>
        <row r="100">
          <cell r="DL100">
            <v>0.68</v>
          </cell>
          <cell r="DM100">
            <v>0.71</v>
          </cell>
          <cell r="DN100">
            <v>0.69</v>
          </cell>
          <cell r="DO100">
            <v>0.72</v>
          </cell>
          <cell r="DP100">
            <v>0.78</v>
          </cell>
          <cell r="DQ100">
            <v>0.78</v>
          </cell>
          <cell r="DR100">
            <v>0.77</v>
          </cell>
          <cell r="DS100">
            <v>0.79</v>
          </cell>
          <cell r="DT100">
            <v>0.8</v>
          </cell>
          <cell r="DU100">
            <v>0.8</v>
          </cell>
          <cell r="DV100">
            <v>0.82</v>
          </cell>
          <cell r="DW100">
            <v>0.79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50"/>
  <sheetViews>
    <sheetView zoomScale="75" zoomScaleNormal="75" workbookViewId="0" topLeftCell="A1">
      <selection activeCell="F3" sqref="F3"/>
    </sheetView>
  </sheetViews>
  <sheetFormatPr defaultColWidth="11.421875" defaultRowHeight="12.75"/>
  <cols>
    <col min="1" max="1" width="22.7109375" style="16" customWidth="1"/>
    <col min="2" max="2" width="15.57421875" style="16" customWidth="1"/>
    <col min="3" max="3" width="15.8515625" style="16" customWidth="1"/>
    <col min="4" max="4" width="17.8515625" style="16" customWidth="1"/>
    <col min="5" max="5" width="22.28125" style="16" customWidth="1"/>
    <col min="6" max="6" width="34.57421875" style="16" bestFit="1" customWidth="1"/>
    <col min="7" max="7" width="36.00390625" style="16" customWidth="1"/>
    <col min="8" max="8" width="18.140625" style="16" customWidth="1"/>
    <col min="9" max="9" width="21.28125" style="16" customWidth="1"/>
    <col min="10" max="10" width="12.28125" style="16" customWidth="1"/>
    <col min="11" max="11" width="15.7109375" style="16" customWidth="1"/>
    <col min="12" max="13" width="11.421875" style="16" customWidth="1"/>
    <col min="14" max="14" width="14.140625" style="16" customWidth="1"/>
    <col min="15" max="15" width="11.421875" style="16" customWidth="1"/>
    <col min="16" max="16" width="14.7109375" style="16" customWidth="1"/>
    <col min="17" max="17" width="11.421875" style="16" customWidth="1"/>
    <col min="18" max="18" width="12.00390625" style="16" customWidth="1"/>
    <col min="19" max="16384" width="11.421875" style="16" customWidth="1"/>
  </cols>
  <sheetData>
    <row r="1" spans="2:11" s="93" customFormat="1" ht="26.25">
      <c r="B1" s="94"/>
      <c r="E1" s="13"/>
      <c r="K1" s="754"/>
    </row>
    <row r="2" spans="2:10" s="93" customFormat="1" ht="26.25">
      <c r="B2" s="94" t="s">
        <v>289</v>
      </c>
      <c r="C2" s="95"/>
      <c r="D2" s="96"/>
      <c r="E2" s="96"/>
      <c r="F2" s="96"/>
      <c r="G2" s="96"/>
      <c r="H2" s="96"/>
      <c r="I2" s="96"/>
      <c r="J2" s="96"/>
    </row>
    <row r="3" spans="3:19" ht="12.75">
      <c r="C3"/>
      <c r="D3" s="97"/>
      <c r="E3" s="97"/>
      <c r="F3" s="97"/>
      <c r="G3" s="97"/>
      <c r="H3" s="97"/>
      <c r="I3" s="97"/>
      <c r="J3" s="97"/>
      <c r="P3" s="14"/>
      <c r="Q3" s="14"/>
      <c r="R3" s="14"/>
      <c r="S3" s="14"/>
    </row>
    <row r="4" spans="1:19" s="100" customFormat="1" ht="12.75">
      <c r="A4" s="98" t="s">
        <v>71</v>
      </c>
      <c r="B4" s="99"/>
      <c r="D4" s="101"/>
      <c r="E4" s="101"/>
      <c r="F4" s="101"/>
      <c r="G4" s="101"/>
      <c r="H4" s="101"/>
      <c r="I4" s="97"/>
      <c r="J4" s="97"/>
      <c r="K4" s="101"/>
      <c r="L4" s="101"/>
      <c r="M4" s="101"/>
      <c r="N4" s="101"/>
      <c r="O4" s="101"/>
      <c r="P4" s="101"/>
      <c r="Q4" s="101"/>
      <c r="R4" s="101"/>
      <c r="S4" s="101"/>
    </row>
    <row r="5" spans="1:19" s="100" customFormat="1" ht="11.25">
      <c r="A5" s="98" t="s">
        <v>72</v>
      </c>
      <c r="B5" s="99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</row>
    <row r="6" spans="2:19" s="93" customFormat="1" ht="11.25" customHeight="1">
      <c r="B6" s="102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2:19" s="10" customFormat="1" ht="21">
      <c r="B7" s="268" t="s">
        <v>0</v>
      </c>
      <c r="C7" s="104"/>
      <c r="D7" s="8"/>
      <c r="E7" s="8"/>
      <c r="F7" s="9"/>
      <c r="G7" s="9"/>
      <c r="H7" s="9"/>
      <c r="I7" s="9"/>
      <c r="J7" s="9"/>
      <c r="K7" s="11"/>
      <c r="L7" s="11"/>
      <c r="M7" s="11"/>
      <c r="N7" s="11"/>
      <c r="O7" s="11"/>
      <c r="P7" s="11"/>
      <c r="Q7" s="11"/>
      <c r="R7" s="11"/>
      <c r="S7" s="11"/>
    </row>
    <row r="8" spans="9:19" ht="12.75"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2:19" s="10" customFormat="1" ht="21">
      <c r="B9" s="268" t="s">
        <v>1</v>
      </c>
      <c r="C9" s="104"/>
      <c r="D9" s="8"/>
      <c r="E9" s="8"/>
      <c r="F9" s="8"/>
      <c r="G9" s="8"/>
      <c r="H9" s="8"/>
      <c r="I9" s="9"/>
      <c r="J9" s="9"/>
      <c r="K9" s="11"/>
      <c r="L9" s="11"/>
      <c r="M9" s="11"/>
      <c r="N9" s="11"/>
      <c r="O9" s="11"/>
      <c r="P9" s="11"/>
      <c r="Q9" s="11"/>
      <c r="R9" s="11"/>
      <c r="S9" s="11"/>
    </row>
    <row r="10" spans="4:19" ht="12.75">
      <c r="D10" s="106"/>
      <c r="E10" s="106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2:19" s="10" customFormat="1" ht="20.25">
      <c r="B11" s="268" t="s">
        <v>282</v>
      </c>
      <c r="C11" s="4"/>
      <c r="D11" s="105"/>
      <c r="E11" s="105"/>
      <c r="F11" s="8"/>
      <c r="G11" s="8"/>
      <c r="H11" s="8"/>
      <c r="I11" s="9"/>
      <c r="J11" s="9"/>
      <c r="K11" s="11"/>
      <c r="L11" s="11"/>
      <c r="M11" s="11"/>
      <c r="N11" s="11"/>
      <c r="O11" s="11"/>
      <c r="P11" s="11"/>
      <c r="Q11" s="11"/>
      <c r="R11" s="11"/>
      <c r="S11" s="11"/>
    </row>
    <row r="12" spans="4:19" s="107" customFormat="1" ht="16.5" thickBot="1">
      <c r="D12" s="108"/>
      <c r="E12" s="108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</row>
    <row r="13" spans="2:19" s="107" customFormat="1" ht="16.5" thickTop="1">
      <c r="B13" s="110"/>
      <c r="C13" s="111"/>
      <c r="D13" s="111"/>
      <c r="E13" s="568"/>
      <c r="F13" s="111"/>
      <c r="G13" s="111"/>
      <c r="H13" s="111"/>
      <c r="I13" s="111"/>
      <c r="J13" s="112"/>
      <c r="K13" s="109"/>
      <c r="L13" s="109"/>
      <c r="M13" s="109"/>
      <c r="N13" s="109"/>
      <c r="O13" s="109"/>
      <c r="P13" s="109"/>
      <c r="Q13" s="109"/>
      <c r="R13" s="109"/>
      <c r="S13" s="109"/>
    </row>
    <row r="14" spans="2:19" s="15" customFormat="1" ht="19.5">
      <c r="B14" s="113" t="s">
        <v>272</v>
      </c>
      <c r="C14" s="114"/>
      <c r="D14" s="115"/>
      <c r="E14" s="569"/>
      <c r="F14" s="116"/>
      <c r="G14" s="116"/>
      <c r="H14" s="116"/>
      <c r="I14" s="117"/>
      <c r="J14" s="118"/>
      <c r="K14" s="119"/>
      <c r="L14" s="119"/>
      <c r="M14" s="119"/>
      <c r="N14" s="119"/>
      <c r="O14" s="119"/>
      <c r="P14" s="119"/>
      <c r="Q14" s="119"/>
      <c r="R14" s="119"/>
      <c r="S14" s="119"/>
    </row>
    <row r="15" spans="2:19" s="15" customFormat="1" ht="13.5" customHeight="1">
      <c r="B15" s="120"/>
      <c r="C15" s="121"/>
      <c r="D15" s="567"/>
      <c r="E15" s="570"/>
      <c r="F15" s="68"/>
      <c r="G15" s="68"/>
      <c r="H15" s="68"/>
      <c r="I15" s="119"/>
      <c r="J15" s="122"/>
      <c r="K15" s="119"/>
      <c r="L15" s="119"/>
      <c r="M15" s="119"/>
      <c r="N15" s="119"/>
      <c r="O15" s="119"/>
      <c r="P15" s="119"/>
      <c r="Q15" s="119"/>
      <c r="R15" s="119"/>
      <c r="S15" s="119"/>
    </row>
    <row r="16" spans="2:19" s="15" customFormat="1" ht="19.5">
      <c r="B16" s="120"/>
      <c r="C16" s="123" t="s">
        <v>73</v>
      </c>
      <c r="D16" s="567" t="s">
        <v>74</v>
      </c>
      <c r="E16" s="570"/>
      <c r="F16" s="68"/>
      <c r="G16" s="68"/>
      <c r="H16" s="68"/>
      <c r="I16" s="124"/>
      <c r="J16" s="122"/>
      <c r="K16" s="119"/>
      <c r="L16" s="119"/>
      <c r="M16" s="119"/>
      <c r="N16" s="119"/>
      <c r="O16" s="119"/>
      <c r="P16" s="119"/>
      <c r="Q16" s="119"/>
      <c r="R16" s="119"/>
      <c r="S16" s="119"/>
    </row>
    <row r="17" spans="2:19" s="15" customFormat="1" ht="19.5">
      <c r="B17" s="120"/>
      <c r="C17" s="123"/>
      <c r="D17" s="567">
        <v>11</v>
      </c>
      <c r="E17" s="571" t="s">
        <v>75</v>
      </c>
      <c r="F17" s="68"/>
      <c r="G17" s="68"/>
      <c r="H17" s="68"/>
      <c r="I17" s="124">
        <f>ROUND('LI-0312'!AC43,2)</f>
        <v>144916.32</v>
      </c>
      <c r="J17" s="122"/>
      <c r="K17" s="119"/>
      <c r="L17" s="119"/>
      <c r="M17" s="119"/>
      <c r="N17" s="119"/>
      <c r="O17" s="119"/>
      <c r="P17" s="119"/>
      <c r="Q17" s="119"/>
      <c r="R17" s="119"/>
      <c r="S17" s="119"/>
    </row>
    <row r="18" spans="2:19" ht="12.75" customHeight="1">
      <c r="B18" s="125"/>
      <c r="C18" s="126"/>
      <c r="D18" s="567"/>
      <c r="E18" s="572"/>
      <c r="F18" s="127"/>
      <c r="G18" s="127"/>
      <c r="H18" s="127"/>
      <c r="I18" s="128"/>
      <c r="J18" s="129"/>
      <c r="K18" s="14"/>
      <c r="L18" s="14"/>
      <c r="M18" s="14"/>
      <c r="N18" s="14"/>
      <c r="O18" s="14"/>
      <c r="P18" s="14"/>
      <c r="Q18" s="14"/>
      <c r="R18" s="14"/>
      <c r="S18" s="14"/>
    </row>
    <row r="19" spans="2:19" s="15" customFormat="1" ht="19.5">
      <c r="B19" s="120"/>
      <c r="C19" s="123" t="s">
        <v>78</v>
      </c>
      <c r="D19" s="574" t="s">
        <v>79</v>
      </c>
      <c r="E19" s="570"/>
      <c r="F19" s="68"/>
      <c r="G19" s="68"/>
      <c r="H19" s="68"/>
      <c r="I19" s="124"/>
      <c r="J19" s="122"/>
      <c r="K19" s="119"/>
      <c r="L19" s="119"/>
      <c r="M19" s="119"/>
      <c r="N19" s="119"/>
      <c r="O19" s="119"/>
      <c r="P19" s="119"/>
      <c r="Q19" s="119"/>
      <c r="R19" s="119"/>
      <c r="S19" s="119"/>
    </row>
    <row r="20" spans="2:19" s="15" customFormat="1" ht="19.5">
      <c r="B20" s="120"/>
      <c r="C20" s="123"/>
      <c r="D20" s="567">
        <v>21</v>
      </c>
      <c r="E20" s="571" t="s">
        <v>80</v>
      </c>
      <c r="F20" s="68"/>
      <c r="G20" s="68"/>
      <c r="H20" s="68"/>
      <c r="I20" s="124"/>
      <c r="J20" s="122"/>
      <c r="K20" s="119"/>
      <c r="L20" s="119"/>
      <c r="M20" s="119"/>
      <c r="N20" s="119"/>
      <c r="O20" s="119"/>
      <c r="P20" s="119"/>
      <c r="Q20" s="119"/>
      <c r="R20" s="119"/>
      <c r="S20" s="119"/>
    </row>
    <row r="21" spans="2:19" s="15" customFormat="1" ht="19.5">
      <c r="B21" s="120"/>
      <c r="C21" s="123"/>
      <c r="D21" s="567"/>
      <c r="E21" s="573">
        <v>211</v>
      </c>
      <c r="F21" s="13" t="s">
        <v>75</v>
      </c>
      <c r="G21" s="68"/>
      <c r="H21" s="68"/>
      <c r="I21" s="124">
        <f>ROUND('TR-0312'!AA43,2)</f>
        <v>272232.73</v>
      </c>
      <c r="J21" s="122"/>
      <c r="K21" s="119"/>
      <c r="L21" s="119"/>
      <c r="M21" s="119"/>
      <c r="N21" s="119"/>
      <c r="O21" s="119"/>
      <c r="P21" s="119"/>
      <c r="Q21" s="119"/>
      <c r="R21" s="119"/>
      <c r="S21" s="119"/>
    </row>
    <row r="22" spans="2:19" s="15" customFormat="1" ht="19.5">
      <c r="B22" s="120"/>
      <c r="C22" s="123"/>
      <c r="D22" s="567">
        <v>22</v>
      </c>
      <c r="E22" s="571" t="s">
        <v>81</v>
      </c>
      <c r="F22" s="68"/>
      <c r="G22" s="68"/>
      <c r="H22" s="68"/>
      <c r="I22" s="124"/>
      <c r="J22" s="122"/>
      <c r="K22" s="119"/>
      <c r="L22" s="119"/>
      <c r="M22" s="119"/>
      <c r="N22" s="119"/>
      <c r="O22" s="119"/>
      <c r="P22" s="119"/>
      <c r="Q22" s="119"/>
      <c r="R22" s="119"/>
      <c r="S22" s="119"/>
    </row>
    <row r="23" spans="2:19" s="15" customFormat="1" ht="19.5">
      <c r="B23" s="120"/>
      <c r="C23" s="123"/>
      <c r="D23" s="567"/>
      <c r="E23" s="573">
        <v>221</v>
      </c>
      <c r="F23" s="13" t="s">
        <v>75</v>
      </c>
      <c r="G23" s="68"/>
      <c r="H23" s="68"/>
      <c r="I23" s="124">
        <f>ROUND('SA-0312'!T45,2)</f>
        <v>39944.92</v>
      </c>
      <c r="J23" s="122"/>
      <c r="K23" s="119"/>
      <c r="L23" s="119"/>
      <c r="M23" s="119"/>
      <c r="N23" s="119"/>
      <c r="O23" s="119"/>
      <c r="P23" s="119"/>
      <c r="Q23" s="119"/>
      <c r="R23" s="119"/>
      <c r="S23" s="119"/>
    </row>
    <row r="24" spans="2:19" ht="12.75" customHeight="1">
      <c r="B24" s="125"/>
      <c r="C24" s="126"/>
      <c r="D24" s="567"/>
      <c r="E24" s="572"/>
      <c r="F24" s="127"/>
      <c r="G24" s="127"/>
      <c r="H24" s="127"/>
      <c r="I24" s="128"/>
      <c r="J24" s="129"/>
      <c r="K24" s="14"/>
      <c r="L24" s="14"/>
      <c r="M24" s="14"/>
      <c r="N24" s="14"/>
      <c r="O24" s="14"/>
      <c r="P24" s="14"/>
      <c r="Q24" s="14"/>
      <c r="R24" s="14"/>
      <c r="S24" s="14"/>
    </row>
    <row r="25" spans="2:19" s="15" customFormat="1" ht="19.5">
      <c r="B25" s="120"/>
      <c r="C25" s="123" t="s">
        <v>82</v>
      </c>
      <c r="D25" s="574" t="s">
        <v>83</v>
      </c>
      <c r="E25" s="570"/>
      <c r="F25" s="68"/>
      <c r="G25" s="68"/>
      <c r="H25" s="68"/>
      <c r="I25" s="124"/>
      <c r="J25" s="122"/>
      <c r="K25" s="119"/>
      <c r="L25" s="119"/>
      <c r="M25" s="119"/>
      <c r="N25" s="119"/>
      <c r="O25" s="119"/>
      <c r="P25" s="119"/>
      <c r="Q25" s="119"/>
      <c r="R25" s="119"/>
      <c r="S25" s="119"/>
    </row>
    <row r="26" spans="2:19" s="15" customFormat="1" ht="19.5">
      <c r="B26" s="120"/>
      <c r="C26" s="123"/>
      <c r="D26" s="567">
        <v>31</v>
      </c>
      <c r="E26" s="571" t="s">
        <v>75</v>
      </c>
      <c r="F26" s="68"/>
      <c r="G26" s="68"/>
      <c r="H26" s="68"/>
      <c r="I26" s="124">
        <f>'RE-0312'!U43</f>
        <v>25576.37</v>
      </c>
      <c r="J26" s="122"/>
      <c r="K26" s="119"/>
      <c r="L26" s="119"/>
      <c r="M26" s="119"/>
      <c r="N26" s="119"/>
      <c r="O26" s="119"/>
      <c r="P26" s="119"/>
      <c r="Q26" s="119"/>
      <c r="R26" s="119"/>
      <c r="S26" s="119"/>
    </row>
    <row r="27" spans="2:19" s="15" customFormat="1" ht="12.75" customHeight="1">
      <c r="B27" s="120"/>
      <c r="C27" s="123"/>
      <c r="D27" s="567"/>
      <c r="E27" s="571"/>
      <c r="F27" s="68"/>
      <c r="G27" s="68"/>
      <c r="H27" s="68"/>
      <c r="I27" s="124"/>
      <c r="J27" s="122"/>
      <c r="K27" s="119"/>
      <c r="L27" s="119"/>
      <c r="M27" s="119"/>
      <c r="N27" s="119"/>
      <c r="O27" s="119"/>
      <c r="P27" s="119"/>
      <c r="Q27" s="119"/>
      <c r="R27" s="119"/>
      <c r="S27" s="119"/>
    </row>
    <row r="28" spans="2:19" s="15" customFormat="1" ht="19.5">
      <c r="B28" s="120"/>
      <c r="C28" s="123" t="s">
        <v>84</v>
      </c>
      <c r="D28" s="574" t="s">
        <v>85</v>
      </c>
      <c r="E28" s="570"/>
      <c r="F28" s="68"/>
      <c r="G28" s="68"/>
      <c r="H28" s="68"/>
      <c r="I28" s="124"/>
      <c r="J28" s="122"/>
      <c r="K28" s="119"/>
      <c r="L28" s="119"/>
      <c r="M28" s="119"/>
      <c r="N28" s="119"/>
      <c r="O28" s="119"/>
      <c r="P28" s="119"/>
      <c r="Q28" s="119"/>
      <c r="R28" s="119"/>
      <c r="S28" s="119"/>
    </row>
    <row r="29" spans="2:19" s="15" customFormat="1" ht="19.5">
      <c r="B29" s="120"/>
      <c r="C29" s="123"/>
      <c r="D29" s="567">
        <v>41</v>
      </c>
      <c r="E29" s="571" t="s">
        <v>76</v>
      </c>
      <c r="F29" s="68"/>
      <c r="G29" s="68"/>
      <c r="H29" s="68"/>
      <c r="I29" s="124">
        <f>'SU (YACYLEC)'!K59</f>
        <v>2327.472078051537</v>
      </c>
      <c r="J29" s="122"/>
      <c r="K29" s="119"/>
      <c r="L29" s="119"/>
      <c r="M29" s="119"/>
      <c r="N29" s="119"/>
      <c r="O29" s="119"/>
      <c r="P29" s="119"/>
      <c r="Q29" s="119"/>
      <c r="R29" s="119"/>
      <c r="S29" s="119"/>
    </row>
    <row r="30" spans="2:19" s="15" customFormat="1" ht="19.5">
      <c r="B30" s="120"/>
      <c r="C30" s="123"/>
      <c r="D30" s="567">
        <v>42</v>
      </c>
      <c r="E30" s="571" t="s">
        <v>77</v>
      </c>
      <c r="F30" s="68"/>
      <c r="G30" s="68"/>
      <c r="H30" s="68"/>
      <c r="I30" s="124">
        <f>'SU (LITSA)'!K67</f>
        <v>2402.99649128</v>
      </c>
      <c r="J30" s="122"/>
      <c r="K30" s="119"/>
      <c r="L30" s="119"/>
      <c r="M30" s="119"/>
      <c r="N30" s="119"/>
      <c r="O30" s="119"/>
      <c r="P30" s="119"/>
      <c r="Q30" s="119"/>
      <c r="R30" s="119"/>
      <c r="S30" s="119"/>
    </row>
    <row r="31" spans="2:19" s="15" customFormat="1" ht="19.5">
      <c r="B31" s="120"/>
      <c r="C31" s="123"/>
      <c r="D31" s="567">
        <v>43</v>
      </c>
      <c r="E31" s="571" t="s">
        <v>86</v>
      </c>
      <c r="F31" s="68"/>
      <c r="G31" s="68"/>
      <c r="H31" s="68"/>
      <c r="I31" s="124">
        <f>'SU (TIBA)'!J76</f>
        <v>4005.85772</v>
      </c>
      <c r="J31" s="122"/>
      <c r="K31" s="119"/>
      <c r="L31" s="119"/>
      <c r="M31" s="119"/>
      <c r="N31" s="119"/>
      <c r="O31" s="119"/>
      <c r="P31" s="119"/>
      <c r="Q31" s="119"/>
      <c r="R31" s="119"/>
      <c r="S31" s="119"/>
    </row>
    <row r="32" spans="2:19" s="15" customFormat="1" ht="19.5">
      <c r="B32" s="120"/>
      <c r="C32" s="123"/>
      <c r="D32" s="567">
        <v>44</v>
      </c>
      <c r="E32" s="571" t="s">
        <v>209</v>
      </c>
      <c r="F32" s="68"/>
      <c r="G32" s="68"/>
      <c r="H32" s="68"/>
      <c r="I32" s="124">
        <f>'SU (ENECOR)'!J56</f>
        <v>388.08</v>
      </c>
      <c r="J32" s="122"/>
      <c r="K32" s="119"/>
      <c r="L32" s="119"/>
      <c r="M32" s="119"/>
      <c r="N32" s="119"/>
      <c r="O32" s="119"/>
      <c r="P32" s="119"/>
      <c r="Q32" s="119"/>
      <c r="R32" s="119"/>
      <c r="S32" s="119"/>
    </row>
    <row r="33" spans="2:19" s="15" customFormat="1" ht="20.25" thickBot="1">
      <c r="B33" s="120"/>
      <c r="C33" s="121"/>
      <c r="D33" s="567"/>
      <c r="E33" s="570"/>
      <c r="F33" s="68"/>
      <c r="G33" s="68"/>
      <c r="H33" s="68"/>
      <c r="I33" s="119"/>
      <c r="J33" s="122"/>
      <c r="K33" s="119"/>
      <c r="L33" s="119"/>
      <c r="M33" s="119"/>
      <c r="N33" s="119"/>
      <c r="O33" s="119"/>
      <c r="P33" s="119"/>
      <c r="Q33" s="119"/>
      <c r="R33" s="119"/>
      <c r="S33" s="119"/>
    </row>
    <row r="34" spans="2:19" s="15" customFormat="1" ht="20.25" thickBot="1" thickTop="1">
      <c r="B34" s="120"/>
      <c r="C34" s="123"/>
      <c r="D34" s="123"/>
      <c r="F34" s="130" t="s">
        <v>87</v>
      </c>
      <c r="G34" s="131">
        <f>SUM(I16:I32)</f>
        <v>491794.7462893315</v>
      </c>
      <c r="H34" s="267"/>
      <c r="J34" s="122"/>
      <c r="K34" s="119"/>
      <c r="L34" s="119"/>
      <c r="M34" s="119"/>
      <c r="N34" s="119"/>
      <c r="O34" s="119"/>
      <c r="P34" s="119"/>
      <c r="Q34" s="119"/>
      <c r="R34" s="119"/>
      <c r="S34" s="119"/>
    </row>
    <row r="35" spans="2:19" s="15" customFormat="1" ht="18" customHeight="1" thickBot="1" thickTop="1">
      <c r="B35" s="120"/>
      <c r="C35" s="123"/>
      <c r="D35" s="123"/>
      <c r="F35" s="130" t="s">
        <v>283</v>
      </c>
      <c r="G35" s="131">
        <v>505544.7801693315</v>
      </c>
      <c r="H35" s="267"/>
      <c r="J35" s="122"/>
      <c r="K35" s="119"/>
      <c r="L35" s="119"/>
      <c r="M35" s="119"/>
      <c r="N35" s="119"/>
      <c r="O35" s="119"/>
      <c r="P35" s="119"/>
      <c r="Q35" s="119"/>
      <c r="R35" s="119"/>
      <c r="S35" s="119"/>
    </row>
    <row r="36" spans="2:19" s="15" customFormat="1" ht="18" customHeight="1" thickBot="1" thickTop="1">
      <c r="B36" s="120"/>
      <c r="C36" s="123"/>
      <c r="D36" s="123"/>
      <c r="F36" s="130" t="s">
        <v>284</v>
      </c>
      <c r="G36" s="131">
        <f>G34-G35</f>
        <v>-13750.033880000003</v>
      </c>
      <c r="H36" s="267"/>
      <c r="J36" s="122"/>
      <c r="K36" s="119"/>
      <c r="L36" s="119"/>
      <c r="M36" s="119"/>
      <c r="N36" s="119"/>
      <c r="O36" s="119"/>
      <c r="P36" s="119"/>
      <c r="Q36" s="119"/>
      <c r="R36" s="119"/>
      <c r="S36" s="119"/>
    </row>
    <row r="37" spans="2:19" s="15" customFormat="1" ht="18" customHeight="1" thickTop="1">
      <c r="B37" s="120"/>
      <c r="C37" s="123"/>
      <c r="D37" s="123"/>
      <c r="F37" s="606"/>
      <c r="G37" s="267"/>
      <c r="H37" s="267"/>
      <c r="J37" s="122"/>
      <c r="K37" s="119"/>
      <c r="L37" s="119"/>
      <c r="M37" s="119"/>
      <c r="N37" s="119"/>
      <c r="O37" s="119"/>
      <c r="P37" s="119"/>
      <c r="Q37" s="119"/>
      <c r="R37" s="119"/>
      <c r="S37" s="119"/>
    </row>
    <row r="38" spans="2:19" s="15" customFormat="1" ht="18.75">
      <c r="B38" s="120"/>
      <c r="C38" s="768" t="s">
        <v>232</v>
      </c>
      <c r="D38" s="123"/>
      <c r="F38" s="606"/>
      <c r="G38" s="267"/>
      <c r="H38" s="267"/>
      <c r="J38" s="122"/>
      <c r="K38" s="119"/>
      <c r="L38" s="119"/>
      <c r="M38" s="119"/>
      <c r="N38" s="119"/>
      <c r="O38" s="119"/>
      <c r="P38" s="119"/>
      <c r="Q38" s="119"/>
      <c r="R38" s="119"/>
      <c r="S38" s="119"/>
    </row>
    <row r="39" spans="2:19" s="107" customFormat="1" ht="10.5" customHeight="1" thickBot="1">
      <c r="B39" s="132"/>
      <c r="C39" s="133"/>
      <c r="D39" s="133"/>
      <c r="E39" s="134"/>
      <c r="F39" s="134"/>
      <c r="G39" s="134"/>
      <c r="H39" s="134"/>
      <c r="I39" s="134"/>
      <c r="J39" s="135"/>
      <c r="K39" s="109"/>
      <c r="L39" s="109"/>
      <c r="M39" s="136"/>
      <c r="N39" s="137"/>
      <c r="O39" s="137"/>
      <c r="P39" s="138"/>
      <c r="Q39" s="139"/>
      <c r="R39" s="109"/>
      <c r="S39" s="109"/>
    </row>
    <row r="40" spans="4:19" ht="13.5" thickTop="1">
      <c r="D40" s="14"/>
      <c r="F40" s="14"/>
      <c r="G40" s="14"/>
      <c r="H40" s="14"/>
      <c r="I40" s="14"/>
      <c r="J40" s="14"/>
      <c r="K40" s="14"/>
      <c r="L40" s="14"/>
      <c r="M40" s="65"/>
      <c r="N40" s="140"/>
      <c r="O40" s="140"/>
      <c r="P40" s="14"/>
      <c r="Q40" s="2"/>
      <c r="R40" s="14"/>
      <c r="S40" s="14"/>
    </row>
    <row r="41" spans="4:19" ht="12.75">
      <c r="D41" s="14"/>
      <c r="F41" s="14"/>
      <c r="G41" s="931"/>
      <c r="H41" s="14"/>
      <c r="I41" s="14"/>
      <c r="J41" s="14"/>
      <c r="K41" s="14"/>
      <c r="L41" s="14"/>
      <c r="M41" s="14"/>
      <c r="N41" s="141"/>
      <c r="O41" s="141"/>
      <c r="P41" s="142"/>
      <c r="Q41" s="2"/>
      <c r="R41" s="14"/>
      <c r="S41" s="14"/>
    </row>
    <row r="42" spans="4:19" ht="12.75"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1"/>
      <c r="O42" s="141"/>
      <c r="P42" s="142"/>
      <c r="Q42" s="2"/>
      <c r="R42" s="14"/>
      <c r="S42" s="14"/>
    </row>
    <row r="43" spans="4:19" ht="12.75">
      <c r="D43" s="14"/>
      <c r="E43" s="14"/>
      <c r="L43" s="14"/>
      <c r="M43" s="14"/>
      <c r="N43" s="14"/>
      <c r="O43" s="14"/>
      <c r="P43" s="14"/>
      <c r="Q43" s="14"/>
      <c r="R43" s="14"/>
      <c r="S43" s="14"/>
    </row>
    <row r="44" spans="4:19" ht="12.75">
      <c r="D44" s="14"/>
      <c r="E44" s="14"/>
      <c r="P44" s="14"/>
      <c r="Q44" s="14"/>
      <c r="R44" s="14"/>
      <c r="S44" s="14"/>
    </row>
    <row r="45" spans="4:19" ht="12.75">
      <c r="D45" s="14"/>
      <c r="E45" s="14"/>
      <c r="P45" s="14"/>
      <c r="Q45" s="14"/>
      <c r="R45" s="14"/>
      <c r="S45" s="14"/>
    </row>
    <row r="46" spans="4:19" ht="12.75">
      <c r="D46" s="14"/>
      <c r="E46" s="14"/>
      <c r="P46" s="14"/>
      <c r="Q46" s="14"/>
      <c r="R46" s="14"/>
      <c r="S46" s="14"/>
    </row>
    <row r="47" spans="4:19" ht="12.75">
      <c r="D47" s="14"/>
      <c r="E47" s="14"/>
      <c r="P47" s="14"/>
      <c r="Q47" s="14"/>
      <c r="R47" s="14"/>
      <c r="S47" s="14"/>
    </row>
    <row r="48" spans="4:19" ht="12.75">
      <c r="D48" s="14"/>
      <c r="E48" s="14"/>
      <c r="P48" s="14"/>
      <c r="Q48" s="14"/>
      <c r="R48" s="14"/>
      <c r="S48" s="14"/>
    </row>
    <row r="49" spans="16:19" ht="12.75">
      <c r="P49" s="14"/>
      <c r="Q49" s="14"/>
      <c r="R49" s="14"/>
      <c r="S49" s="14"/>
    </row>
    <row r="50" spans="16:19" ht="12.75">
      <c r="P50" s="14"/>
      <c r="Q50" s="14"/>
      <c r="R50" s="14"/>
      <c r="S50" s="1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35"/>
  <dimension ref="A1:GL113"/>
  <sheetViews>
    <sheetView tabSelected="1" zoomScale="75" zoomScaleNormal="75" workbookViewId="0" topLeftCell="B1">
      <selection activeCell="P106" sqref="P106"/>
    </sheetView>
  </sheetViews>
  <sheetFormatPr defaultColWidth="11.421875" defaultRowHeight="12.75"/>
  <cols>
    <col min="1" max="1" width="15.7109375" style="16" customWidth="1"/>
    <col min="2" max="2" width="10.7109375" style="16" customWidth="1"/>
    <col min="3" max="3" width="10.421875" style="16" customWidth="1"/>
    <col min="4" max="4" width="44.00390625" style="16" customWidth="1"/>
    <col min="5" max="6" width="14.28125" style="16" customWidth="1"/>
    <col min="7" max="7" width="7.7109375" style="16" hidden="1" customWidth="1"/>
    <col min="8" max="12" width="8.7109375" style="16" customWidth="1"/>
    <col min="13" max="13" width="9.00390625" style="16" customWidth="1"/>
    <col min="14" max="20" width="8.7109375" style="16" customWidth="1"/>
    <col min="21" max="21" width="21.57421875" style="16" customWidth="1"/>
    <col min="22" max="16384" width="11.421875" style="16" customWidth="1"/>
  </cols>
  <sheetData>
    <row r="1" spans="21:22" ht="45" customHeight="1">
      <c r="U1" s="865"/>
      <c r="V1" s="866"/>
    </row>
    <row r="2" spans="2:22" s="93" customFormat="1" ht="26.25">
      <c r="B2" s="257" t="str">
        <f>'tot-0312'!B2</f>
        <v>ANEXO I -1 a la Resolución ENRE N°  403 /2008.-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867"/>
    </row>
    <row r="3" spans="1:22" s="100" customFormat="1" ht="11.25">
      <c r="A3" s="98" t="s">
        <v>71</v>
      </c>
      <c r="B3" s="177"/>
      <c r="U3" s="868"/>
      <c r="V3" s="868"/>
    </row>
    <row r="4" spans="1:22" s="100" customFormat="1" ht="11.25">
      <c r="A4" s="98" t="s">
        <v>72</v>
      </c>
      <c r="B4" s="177"/>
      <c r="U4" s="177"/>
      <c r="V4" s="868"/>
    </row>
    <row r="5" spans="2:178" s="869" customFormat="1" ht="23.25">
      <c r="B5" s="870" t="s">
        <v>273</v>
      </c>
      <c r="C5" s="870"/>
      <c r="D5" s="871"/>
      <c r="E5" s="870"/>
      <c r="F5" s="870"/>
      <c r="G5" s="870"/>
      <c r="H5" s="870"/>
      <c r="I5" s="870"/>
      <c r="J5" s="870"/>
      <c r="K5" s="870"/>
      <c r="L5" s="870"/>
      <c r="M5" s="870"/>
      <c r="N5" s="870"/>
      <c r="O5" s="870"/>
      <c r="P5" s="870"/>
      <c r="Q5" s="870"/>
      <c r="R5" s="870"/>
      <c r="S5" s="870"/>
      <c r="T5" s="870"/>
      <c r="U5" s="870"/>
      <c r="V5" s="872"/>
      <c r="W5" s="870"/>
      <c r="X5" s="870"/>
      <c r="Y5" s="870"/>
      <c r="Z5" s="870"/>
      <c r="AA5" s="870"/>
      <c r="AB5" s="870"/>
      <c r="AC5" s="870"/>
      <c r="AD5" s="870"/>
      <c r="AE5" s="870"/>
      <c r="AF5" s="870"/>
      <c r="AG5" s="870"/>
      <c r="AH5" s="870"/>
      <c r="AI5" s="870"/>
      <c r="AJ5" s="870"/>
      <c r="AK5" s="870"/>
      <c r="AL5" s="870"/>
      <c r="AM5" s="870"/>
      <c r="AN5" s="870"/>
      <c r="AO5" s="870"/>
      <c r="AP5" s="870"/>
      <c r="AQ5" s="870"/>
      <c r="AR5" s="870"/>
      <c r="AS5" s="870"/>
      <c r="AT5" s="870"/>
      <c r="AU5" s="870"/>
      <c r="AV5" s="870"/>
      <c r="AW5" s="870"/>
      <c r="AX5" s="870"/>
      <c r="AY5" s="870"/>
      <c r="AZ5" s="870"/>
      <c r="BA5" s="870"/>
      <c r="BB5" s="870"/>
      <c r="BC5" s="870"/>
      <c r="BD5" s="870"/>
      <c r="BE5" s="870"/>
      <c r="BF5" s="870"/>
      <c r="BG5" s="870"/>
      <c r="BH5" s="870"/>
      <c r="BI5" s="870"/>
      <c r="BJ5" s="870"/>
      <c r="BK5" s="870"/>
      <c r="BL5" s="870"/>
      <c r="BM5" s="870"/>
      <c r="BN5" s="870"/>
      <c r="BO5" s="870"/>
      <c r="BP5" s="870"/>
      <c r="BQ5" s="870"/>
      <c r="BR5" s="870"/>
      <c r="BS5" s="870"/>
      <c r="BT5" s="870"/>
      <c r="BU5" s="870"/>
      <c r="BV5" s="870"/>
      <c r="BW5" s="870"/>
      <c r="BX5" s="870"/>
      <c r="BY5" s="870"/>
      <c r="BZ5" s="870"/>
      <c r="CA5" s="870"/>
      <c r="CB5" s="870"/>
      <c r="CC5" s="870"/>
      <c r="CD5" s="870"/>
      <c r="CE5" s="870"/>
      <c r="CF5" s="870"/>
      <c r="CG5" s="870"/>
      <c r="CH5" s="870"/>
      <c r="CI5" s="870"/>
      <c r="CJ5" s="870"/>
      <c r="CK5" s="870"/>
      <c r="CL5" s="870"/>
      <c r="CM5" s="870"/>
      <c r="CN5" s="870"/>
      <c r="CO5" s="870"/>
      <c r="CP5" s="870"/>
      <c r="CQ5" s="870"/>
      <c r="CR5" s="870"/>
      <c r="CS5" s="870"/>
      <c r="CT5" s="870"/>
      <c r="CU5" s="870"/>
      <c r="CV5" s="870"/>
      <c r="CW5" s="870"/>
      <c r="CX5" s="870"/>
      <c r="CY5" s="870"/>
      <c r="CZ5" s="870"/>
      <c r="DA5" s="870"/>
      <c r="DB5" s="870"/>
      <c r="DC5" s="870"/>
      <c r="DD5" s="870"/>
      <c r="DE5" s="870"/>
      <c r="DF5" s="870"/>
      <c r="DG5" s="870"/>
      <c r="DH5" s="870"/>
      <c r="DI5" s="870"/>
      <c r="DJ5" s="870"/>
      <c r="DK5" s="870"/>
      <c r="DL5" s="870"/>
      <c r="DM5" s="870"/>
      <c r="DN5" s="870"/>
      <c r="DO5" s="870"/>
      <c r="DP5" s="870"/>
      <c r="DQ5" s="870"/>
      <c r="DR5" s="870"/>
      <c r="DS5" s="870"/>
      <c r="DT5" s="870"/>
      <c r="DU5" s="870"/>
      <c r="DV5" s="870"/>
      <c r="DW5" s="870"/>
      <c r="DX5" s="870"/>
      <c r="DY5" s="870"/>
      <c r="DZ5" s="870"/>
      <c r="EA5" s="870"/>
      <c r="EB5" s="870"/>
      <c r="EC5" s="870"/>
      <c r="ED5" s="870"/>
      <c r="EE5" s="870"/>
      <c r="EF5" s="870"/>
      <c r="EG5" s="870"/>
      <c r="EH5" s="870"/>
      <c r="EI5" s="870"/>
      <c r="EJ5" s="870"/>
      <c r="EK5" s="870"/>
      <c r="EL5" s="870"/>
      <c r="EM5" s="870"/>
      <c r="EN5" s="870"/>
      <c r="EO5" s="870"/>
      <c r="EP5" s="870"/>
      <c r="EQ5" s="870"/>
      <c r="ER5" s="870"/>
      <c r="ES5" s="870"/>
      <c r="ET5" s="870"/>
      <c r="EU5" s="870"/>
      <c r="EV5" s="870"/>
      <c r="EW5" s="870"/>
      <c r="EX5" s="870"/>
      <c r="EY5" s="870"/>
      <c r="EZ5" s="870"/>
      <c r="FA5" s="870"/>
      <c r="FB5" s="870"/>
      <c r="FC5" s="870"/>
      <c r="FD5" s="870"/>
      <c r="FE5" s="870"/>
      <c r="FF5" s="870"/>
      <c r="FG5" s="870"/>
      <c r="FH5" s="870"/>
      <c r="FI5" s="870"/>
      <c r="FJ5" s="870"/>
      <c r="FK5" s="870"/>
      <c r="FL5" s="870"/>
      <c r="FM5" s="870"/>
      <c r="FN5" s="870"/>
      <c r="FO5" s="870"/>
      <c r="FP5" s="870"/>
      <c r="FQ5" s="870"/>
      <c r="FR5" s="870"/>
      <c r="FS5" s="870"/>
      <c r="FT5" s="870"/>
      <c r="FU5" s="870"/>
      <c r="FV5" s="870"/>
    </row>
    <row r="6" spans="2:178" s="107" customFormat="1" ht="14.25" customHeight="1"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873"/>
      <c r="V6" s="87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  <c r="BO6" s="333"/>
      <c r="BP6" s="333"/>
      <c r="BQ6" s="333"/>
      <c r="BR6" s="333"/>
      <c r="BS6" s="333"/>
      <c r="BT6" s="333"/>
      <c r="BU6" s="333"/>
      <c r="BV6" s="333"/>
      <c r="BW6" s="333"/>
      <c r="BX6" s="333"/>
      <c r="BY6" s="333"/>
      <c r="BZ6" s="333"/>
      <c r="CA6" s="333"/>
      <c r="CB6" s="333"/>
      <c r="CC6" s="333"/>
      <c r="CD6" s="333"/>
      <c r="CE6" s="333"/>
      <c r="CF6" s="333"/>
      <c r="CG6" s="333"/>
      <c r="CH6" s="333"/>
      <c r="CI6" s="333"/>
      <c r="CJ6" s="333"/>
      <c r="CK6" s="333"/>
      <c r="CL6" s="333"/>
      <c r="CM6" s="333"/>
      <c r="CN6" s="333"/>
      <c r="CO6" s="333"/>
      <c r="CP6" s="333"/>
      <c r="CQ6" s="333"/>
      <c r="CR6" s="333"/>
      <c r="CS6" s="333"/>
      <c r="CT6" s="333"/>
      <c r="CU6" s="333"/>
      <c r="CV6" s="333"/>
      <c r="CW6" s="333"/>
      <c r="CX6" s="333"/>
      <c r="CY6" s="333"/>
      <c r="CZ6" s="333"/>
      <c r="DA6" s="333"/>
      <c r="DB6" s="333"/>
      <c r="DC6" s="333"/>
      <c r="DD6" s="333"/>
      <c r="DE6" s="333"/>
      <c r="DF6" s="333"/>
      <c r="DG6" s="333"/>
      <c r="DH6" s="333"/>
      <c r="DI6" s="333"/>
      <c r="DJ6" s="333"/>
      <c r="DK6" s="333"/>
      <c r="DL6" s="333"/>
      <c r="DM6" s="333"/>
      <c r="DN6" s="333"/>
      <c r="DO6" s="333"/>
      <c r="DP6" s="333"/>
      <c r="DQ6" s="333"/>
      <c r="DR6" s="333"/>
      <c r="DS6" s="333"/>
      <c r="DT6" s="333"/>
      <c r="DU6" s="333"/>
      <c r="DV6" s="333"/>
      <c r="DW6" s="333"/>
      <c r="DX6" s="333"/>
      <c r="DY6" s="333"/>
      <c r="DZ6" s="333"/>
      <c r="EA6" s="333"/>
      <c r="EB6" s="333"/>
      <c r="EC6" s="333"/>
      <c r="ED6" s="333"/>
      <c r="EE6" s="333"/>
      <c r="EF6" s="333"/>
      <c r="EG6" s="333"/>
      <c r="EH6" s="333"/>
      <c r="EI6" s="333"/>
      <c r="EJ6" s="333"/>
      <c r="EK6" s="333"/>
      <c r="EL6" s="333"/>
      <c r="EM6" s="333"/>
      <c r="EN6" s="333"/>
      <c r="EO6" s="333"/>
      <c r="EP6" s="333"/>
      <c r="EQ6" s="333"/>
      <c r="ER6" s="333"/>
      <c r="ES6" s="333"/>
      <c r="ET6" s="333"/>
      <c r="EU6" s="333"/>
      <c r="EV6" s="333"/>
      <c r="EW6" s="333"/>
      <c r="EX6" s="333"/>
      <c r="EY6" s="333"/>
      <c r="EZ6" s="333"/>
      <c r="FA6" s="333"/>
      <c r="FB6" s="333"/>
      <c r="FC6" s="333"/>
      <c r="FD6" s="333"/>
      <c r="FE6" s="333"/>
      <c r="FF6" s="333"/>
      <c r="FG6" s="333"/>
      <c r="FH6" s="333"/>
      <c r="FI6" s="333"/>
      <c r="FJ6" s="333"/>
      <c r="FK6" s="333"/>
      <c r="FL6" s="333"/>
      <c r="FM6" s="333"/>
      <c r="FN6" s="333"/>
      <c r="FO6" s="333"/>
      <c r="FP6" s="333"/>
      <c r="FQ6" s="333"/>
      <c r="FR6" s="333"/>
      <c r="FS6" s="333"/>
      <c r="FT6" s="333"/>
      <c r="FU6" s="333"/>
      <c r="FV6" s="333"/>
    </row>
    <row r="7" spans="2:178" s="874" customFormat="1" ht="23.25">
      <c r="B7" s="870" t="s">
        <v>1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5"/>
      <c r="W7" s="871"/>
      <c r="X7" s="871"/>
      <c r="Y7" s="871"/>
      <c r="Z7" s="871"/>
      <c r="AA7" s="871"/>
      <c r="AB7" s="871"/>
      <c r="AC7" s="871"/>
      <c r="AD7" s="871"/>
      <c r="AE7" s="871"/>
      <c r="AF7" s="871"/>
      <c r="AG7" s="871"/>
      <c r="AH7" s="871"/>
      <c r="AI7" s="871"/>
      <c r="AJ7" s="871"/>
      <c r="AK7" s="871"/>
      <c r="AL7" s="871"/>
      <c r="AM7" s="871"/>
      <c r="AN7" s="871"/>
      <c r="AO7" s="871"/>
      <c r="AP7" s="871"/>
      <c r="AQ7" s="871"/>
      <c r="AR7" s="871"/>
      <c r="AS7" s="871"/>
      <c r="AT7" s="871"/>
      <c r="AU7" s="871"/>
      <c r="AV7" s="871"/>
      <c r="AW7" s="871"/>
      <c r="AX7" s="871"/>
      <c r="AY7" s="871"/>
      <c r="AZ7" s="871"/>
      <c r="BA7" s="871"/>
      <c r="BB7" s="871"/>
      <c r="BC7" s="871"/>
      <c r="BD7" s="871"/>
      <c r="BE7" s="871"/>
      <c r="BF7" s="871"/>
      <c r="BG7" s="871"/>
      <c r="BH7" s="871"/>
      <c r="BI7" s="871"/>
      <c r="BJ7" s="871"/>
      <c r="BK7" s="871"/>
      <c r="BL7" s="871"/>
      <c r="BM7" s="871"/>
      <c r="BN7" s="871"/>
      <c r="BO7" s="871"/>
      <c r="BP7" s="871"/>
      <c r="BQ7" s="871"/>
      <c r="BR7" s="871"/>
      <c r="BS7" s="871"/>
      <c r="BT7" s="871"/>
      <c r="BU7" s="871"/>
      <c r="BV7" s="871"/>
      <c r="BW7" s="871"/>
      <c r="BX7" s="871"/>
      <c r="BY7" s="871"/>
      <c r="BZ7" s="871"/>
      <c r="CA7" s="871"/>
      <c r="CB7" s="871"/>
      <c r="CC7" s="871"/>
      <c r="CD7" s="871"/>
      <c r="CE7" s="871"/>
      <c r="CF7" s="871"/>
      <c r="CG7" s="871"/>
      <c r="CH7" s="871"/>
      <c r="CI7" s="871"/>
      <c r="CJ7" s="871"/>
      <c r="CK7" s="871"/>
      <c r="CL7" s="871"/>
      <c r="CM7" s="871"/>
      <c r="CN7" s="871"/>
      <c r="CO7" s="871"/>
      <c r="CP7" s="871"/>
      <c r="CQ7" s="871"/>
      <c r="CR7" s="871"/>
      <c r="CS7" s="871"/>
      <c r="CT7" s="871"/>
      <c r="CU7" s="871"/>
      <c r="CV7" s="871"/>
      <c r="CW7" s="871"/>
      <c r="CX7" s="871"/>
      <c r="CY7" s="871"/>
      <c r="CZ7" s="871"/>
      <c r="DA7" s="871"/>
      <c r="DB7" s="871"/>
      <c r="DC7" s="871"/>
      <c r="DD7" s="871"/>
      <c r="DE7" s="871"/>
      <c r="DF7" s="871"/>
      <c r="DG7" s="871"/>
      <c r="DH7" s="871"/>
      <c r="DI7" s="871"/>
      <c r="DJ7" s="871"/>
      <c r="DK7" s="871"/>
      <c r="DL7" s="871"/>
      <c r="DM7" s="871"/>
      <c r="DN7" s="871"/>
      <c r="DO7" s="871"/>
      <c r="DP7" s="871"/>
      <c r="DQ7" s="871"/>
      <c r="DR7" s="871"/>
      <c r="DS7" s="871"/>
      <c r="DT7" s="871"/>
      <c r="DU7" s="871"/>
      <c r="DV7" s="871"/>
      <c r="DW7" s="871"/>
      <c r="DX7" s="871"/>
      <c r="DY7" s="871"/>
      <c r="DZ7" s="871"/>
      <c r="EA7" s="871"/>
      <c r="EB7" s="871"/>
      <c r="EC7" s="871"/>
      <c r="ED7" s="871"/>
      <c r="EE7" s="871"/>
      <c r="EF7" s="871"/>
      <c r="EG7" s="871"/>
      <c r="EH7" s="871"/>
      <c r="EI7" s="871"/>
      <c r="EJ7" s="871"/>
      <c r="EK7" s="871"/>
      <c r="EL7" s="871"/>
      <c r="EM7" s="871"/>
      <c r="EN7" s="871"/>
      <c r="EO7" s="871"/>
      <c r="EP7" s="871"/>
      <c r="EQ7" s="871"/>
      <c r="ER7" s="871"/>
      <c r="ES7" s="871"/>
      <c r="ET7" s="871"/>
      <c r="EU7" s="871"/>
      <c r="EV7" s="871"/>
      <c r="EW7" s="871"/>
      <c r="EX7" s="871"/>
      <c r="EY7" s="871"/>
      <c r="EZ7" s="871"/>
      <c r="FA7" s="871"/>
      <c r="FB7" s="871"/>
      <c r="FC7" s="871"/>
      <c r="FD7" s="871"/>
      <c r="FE7" s="871"/>
      <c r="FF7" s="871"/>
      <c r="FG7" s="871"/>
      <c r="FH7" s="871"/>
      <c r="FI7" s="871"/>
      <c r="FJ7" s="871"/>
      <c r="FK7" s="871"/>
      <c r="FL7" s="871"/>
      <c r="FM7" s="871"/>
      <c r="FN7" s="871"/>
      <c r="FO7" s="871"/>
      <c r="FP7" s="871"/>
      <c r="FQ7" s="871"/>
      <c r="FR7" s="871"/>
      <c r="FS7" s="871"/>
      <c r="FT7" s="871"/>
      <c r="FU7" s="871"/>
      <c r="FV7" s="871"/>
    </row>
    <row r="8" spans="2:178" s="107" customFormat="1" ht="15.75"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873"/>
      <c r="V8" s="87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  <c r="BO8" s="333"/>
      <c r="BP8" s="333"/>
      <c r="BQ8" s="333"/>
      <c r="BR8" s="333"/>
      <c r="BS8" s="333"/>
      <c r="BT8" s="333"/>
      <c r="BU8" s="333"/>
      <c r="BV8" s="333"/>
      <c r="BW8" s="333"/>
      <c r="BX8" s="333"/>
      <c r="BY8" s="333"/>
      <c r="BZ8" s="333"/>
      <c r="CA8" s="333"/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/>
      <c r="CS8" s="333"/>
      <c r="CT8" s="333"/>
      <c r="CU8" s="333"/>
      <c r="CV8" s="333"/>
      <c r="CW8" s="333"/>
      <c r="CX8" s="333"/>
      <c r="CY8" s="333"/>
      <c r="CZ8" s="333"/>
      <c r="DA8" s="333"/>
      <c r="DB8" s="333"/>
      <c r="DC8" s="333"/>
      <c r="DD8" s="333"/>
      <c r="DE8" s="333"/>
      <c r="DF8" s="333"/>
      <c r="DG8" s="333"/>
      <c r="DH8" s="333"/>
      <c r="DI8" s="333"/>
      <c r="DJ8" s="333"/>
      <c r="DK8" s="333"/>
      <c r="DL8" s="333"/>
      <c r="DM8" s="333"/>
      <c r="DN8" s="333"/>
      <c r="DO8" s="333"/>
      <c r="DP8" s="333"/>
      <c r="DQ8" s="333"/>
      <c r="DR8" s="333"/>
      <c r="DS8" s="333"/>
      <c r="DT8" s="333"/>
      <c r="DU8" s="333"/>
      <c r="DV8" s="333"/>
      <c r="DW8" s="333"/>
      <c r="DX8" s="333"/>
      <c r="DY8" s="333"/>
      <c r="DZ8" s="333"/>
      <c r="EA8" s="333"/>
      <c r="EB8" s="333"/>
      <c r="EC8" s="333"/>
      <c r="ED8" s="333"/>
      <c r="EE8" s="333"/>
      <c r="EF8" s="333"/>
      <c r="EG8" s="333"/>
      <c r="EH8" s="333"/>
      <c r="EI8" s="333"/>
      <c r="EJ8" s="333"/>
      <c r="EK8" s="333"/>
      <c r="EL8" s="333"/>
      <c r="EM8" s="333"/>
      <c r="EN8" s="333"/>
      <c r="EO8" s="333"/>
      <c r="EP8" s="333"/>
      <c r="EQ8" s="333"/>
      <c r="ER8" s="333"/>
      <c r="ES8" s="333"/>
      <c r="ET8" s="333"/>
      <c r="EU8" s="333"/>
      <c r="EV8" s="333"/>
      <c r="EW8" s="333"/>
      <c r="EX8" s="333"/>
      <c r="EY8" s="333"/>
      <c r="EZ8" s="333"/>
      <c r="FA8" s="333"/>
      <c r="FB8" s="333"/>
      <c r="FC8" s="333"/>
      <c r="FD8" s="333"/>
      <c r="FE8" s="333"/>
      <c r="FF8" s="333"/>
      <c r="FG8" s="333"/>
      <c r="FH8" s="333"/>
      <c r="FI8" s="333"/>
      <c r="FJ8" s="333"/>
      <c r="FK8" s="333"/>
      <c r="FL8" s="333"/>
      <c r="FM8" s="333"/>
      <c r="FN8" s="333"/>
      <c r="FO8" s="333"/>
      <c r="FP8" s="333"/>
      <c r="FQ8" s="333"/>
      <c r="FR8" s="333"/>
      <c r="FS8" s="333"/>
      <c r="FT8" s="333"/>
      <c r="FU8" s="333"/>
      <c r="FV8" s="333"/>
    </row>
    <row r="9" spans="2:178" s="874" customFormat="1" ht="23.25">
      <c r="B9" s="870" t="s">
        <v>274</v>
      </c>
      <c r="C9" s="871"/>
      <c r="D9" s="871"/>
      <c r="E9" s="871"/>
      <c r="F9" s="871"/>
      <c r="G9" s="871"/>
      <c r="H9" s="871"/>
      <c r="I9" s="871"/>
      <c r="J9" s="871"/>
      <c r="K9" s="871"/>
      <c r="L9" s="871"/>
      <c r="M9" s="871"/>
      <c r="N9" s="871"/>
      <c r="O9" s="871"/>
      <c r="P9" s="871"/>
      <c r="Q9" s="871"/>
      <c r="R9" s="871"/>
      <c r="S9" s="871"/>
      <c r="T9" s="871"/>
      <c r="U9" s="871"/>
      <c r="V9" s="875"/>
      <c r="W9" s="871"/>
      <c r="X9" s="871"/>
      <c r="Y9" s="871"/>
      <c r="Z9" s="871"/>
      <c r="AA9" s="871"/>
      <c r="AB9" s="871"/>
      <c r="AC9" s="871"/>
      <c r="AD9" s="871"/>
      <c r="AE9" s="871"/>
      <c r="AF9" s="871"/>
      <c r="AG9" s="871"/>
      <c r="AH9" s="871"/>
      <c r="AI9" s="871"/>
      <c r="AJ9" s="871"/>
      <c r="AK9" s="871"/>
      <c r="AL9" s="871"/>
      <c r="AM9" s="871"/>
      <c r="AN9" s="871"/>
      <c r="AO9" s="871"/>
      <c r="AP9" s="871"/>
      <c r="AQ9" s="871"/>
      <c r="AR9" s="871"/>
      <c r="AS9" s="871"/>
      <c r="AT9" s="871"/>
      <c r="AU9" s="871"/>
      <c r="AV9" s="871"/>
      <c r="AW9" s="871"/>
      <c r="AX9" s="871"/>
      <c r="AY9" s="871"/>
      <c r="AZ9" s="871"/>
      <c r="BA9" s="871"/>
      <c r="BB9" s="871"/>
      <c r="BC9" s="871"/>
      <c r="BD9" s="871"/>
      <c r="BE9" s="871"/>
      <c r="BF9" s="871"/>
      <c r="BG9" s="871"/>
      <c r="BH9" s="871"/>
      <c r="BI9" s="871"/>
      <c r="BJ9" s="871"/>
      <c r="BK9" s="871"/>
      <c r="BL9" s="871"/>
      <c r="BM9" s="871"/>
      <c r="BN9" s="871"/>
      <c r="BO9" s="871"/>
      <c r="BP9" s="871"/>
      <c r="BQ9" s="871"/>
      <c r="BR9" s="871"/>
      <c r="BS9" s="871"/>
      <c r="BT9" s="871"/>
      <c r="BU9" s="871"/>
      <c r="BV9" s="871"/>
      <c r="BW9" s="871"/>
      <c r="BX9" s="871"/>
      <c r="BY9" s="871"/>
      <c r="BZ9" s="871"/>
      <c r="CA9" s="871"/>
      <c r="CB9" s="871"/>
      <c r="CC9" s="871"/>
      <c r="CD9" s="871"/>
      <c r="CE9" s="871"/>
      <c r="CF9" s="871"/>
      <c r="CG9" s="871"/>
      <c r="CH9" s="871"/>
      <c r="CI9" s="871"/>
      <c r="CJ9" s="871"/>
      <c r="CK9" s="871"/>
      <c r="CL9" s="871"/>
      <c r="CM9" s="871"/>
      <c r="CN9" s="871"/>
      <c r="CO9" s="871"/>
      <c r="CP9" s="871"/>
      <c r="CQ9" s="871"/>
      <c r="CR9" s="871"/>
      <c r="CS9" s="871"/>
      <c r="CT9" s="871"/>
      <c r="CU9" s="871"/>
      <c r="CV9" s="871"/>
      <c r="CW9" s="871"/>
      <c r="CX9" s="871"/>
      <c r="CY9" s="871"/>
      <c r="CZ9" s="871"/>
      <c r="DA9" s="871"/>
      <c r="DB9" s="871"/>
      <c r="DC9" s="871"/>
      <c r="DD9" s="871"/>
      <c r="DE9" s="871"/>
      <c r="DF9" s="871"/>
      <c r="DG9" s="871"/>
      <c r="DH9" s="871"/>
      <c r="DI9" s="871"/>
      <c r="DJ9" s="871"/>
      <c r="DK9" s="871"/>
      <c r="DL9" s="871"/>
      <c r="DM9" s="871"/>
      <c r="DN9" s="871"/>
      <c r="DO9" s="871"/>
      <c r="DP9" s="871"/>
      <c r="DQ9" s="871"/>
      <c r="DR9" s="871"/>
      <c r="DS9" s="871"/>
      <c r="DT9" s="871"/>
      <c r="DU9" s="871"/>
      <c r="DV9" s="871"/>
      <c r="DW9" s="871"/>
      <c r="DX9" s="871"/>
      <c r="DY9" s="871"/>
      <c r="DZ9" s="871"/>
      <c r="EA9" s="871"/>
      <c r="EB9" s="871"/>
      <c r="EC9" s="871"/>
      <c r="ED9" s="871"/>
      <c r="EE9" s="871"/>
      <c r="EF9" s="871"/>
      <c r="EG9" s="871"/>
      <c r="EH9" s="871"/>
      <c r="EI9" s="871"/>
      <c r="EJ9" s="871"/>
      <c r="EK9" s="871"/>
      <c r="EL9" s="871"/>
      <c r="EM9" s="871"/>
      <c r="EN9" s="871"/>
      <c r="EO9" s="871"/>
      <c r="EP9" s="871"/>
      <c r="EQ9" s="871"/>
      <c r="ER9" s="871"/>
      <c r="ES9" s="871"/>
      <c r="ET9" s="871"/>
      <c r="EU9" s="871"/>
      <c r="EV9" s="871"/>
      <c r="EW9" s="871"/>
      <c r="EX9" s="871"/>
      <c r="EY9" s="871"/>
      <c r="EZ9" s="871"/>
      <c r="FA9" s="871"/>
      <c r="FB9" s="871"/>
      <c r="FC9" s="871"/>
      <c r="FD9" s="871"/>
      <c r="FE9" s="871"/>
      <c r="FF9" s="871"/>
      <c r="FG9" s="871"/>
      <c r="FH9" s="871"/>
      <c r="FI9" s="871"/>
      <c r="FJ9" s="871"/>
      <c r="FK9" s="871"/>
      <c r="FL9" s="871"/>
      <c r="FM9" s="871"/>
      <c r="FN9" s="871"/>
      <c r="FO9" s="871"/>
      <c r="FP9" s="871"/>
      <c r="FQ9" s="871"/>
      <c r="FR9" s="871"/>
      <c r="FS9" s="871"/>
      <c r="FT9" s="871"/>
      <c r="FU9" s="871"/>
      <c r="FV9" s="871"/>
    </row>
    <row r="10" spans="2:178" s="107" customFormat="1" ht="16.5" thickBot="1"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  <c r="U10" s="873"/>
      <c r="V10" s="873"/>
      <c r="W10" s="333"/>
      <c r="X10" s="333"/>
      <c r="Y10" s="333"/>
      <c r="Z10" s="333"/>
      <c r="AA10" s="333"/>
      <c r="AB10" s="333"/>
      <c r="AC10" s="333"/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  <c r="BO10" s="333"/>
      <c r="BP10" s="333"/>
      <c r="BQ10" s="333"/>
      <c r="BR10" s="333"/>
      <c r="BS10" s="333"/>
      <c r="BT10" s="333"/>
      <c r="BU10" s="333"/>
      <c r="BV10" s="333"/>
      <c r="BW10" s="333"/>
      <c r="BX10" s="333"/>
      <c r="BY10" s="333"/>
      <c r="BZ10" s="333"/>
      <c r="CA10" s="333"/>
      <c r="CB10" s="333"/>
      <c r="CC10" s="333"/>
      <c r="CD10" s="333"/>
      <c r="CE10" s="333"/>
      <c r="CF10" s="333"/>
      <c r="CG10" s="333"/>
      <c r="CH10" s="333"/>
      <c r="CI10" s="333"/>
      <c r="CJ10" s="333"/>
      <c r="CK10" s="333"/>
      <c r="CL10" s="333"/>
      <c r="CM10" s="333"/>
      <c r="CN10" s="333"/>
      <c r="CO10" s="333"/>
      <c r="CP10" s="333"/>
      <c r="CQ10" s="333"/>
      <c r="CR10" s="333"/>
      <c r="CS10" s="333"/>
      <c r="CT10" s="333"/>
      <c r="CU10" s="333"/>
      <c r="CV10" s="333"/>
      <c r="CW10" s="333"/>
      <c r="CX10" s="333"/>
      <c r="CY10" s="333"/>
      <c r="CZ10" s="333"/>
      <c r="DA10" s="333"/>
      <c r="DB10" s="333"/>
      <c r="DC10" s="333"/>
      <c r="DD10" s="333"/>
      <c r="DE10" s="333"/>
      <c r="DF10" s="333"/>
      <c r="DG10" s="333"/>
      <c r="DH10" s="333"/>
      <c r="DI10" s="333"/>
      <c r="DJ10" s="333"/>
      <c r="DK10" s="333"/>
      <c r="DL10" s="333"/>
      <c r="DM10" s="333"/>
      <c r="DN10" s="333"/>
      <c r="DO10" s="333"/>
      <c r="DP10" s="333"/>
      <c r="DQ10" s="333"/>
      <c r="DR10" s="333"/>
      <c r="DS10" s="333"/>
      <c r="DT10" s="333"/>
      <c r="DU10" s="333"/>
      <c r="DV10" s="333"/>
      <c r="DW10" s="333"/>
      <c r="DX10" s="333"/>
      <c r="DY10" s="333"/>
      <c r="DZ10" s="333"/>
      <c r="EA10" s="333"/>
      <c r="EB10" s="333"/>
      <c r="EC10" s="333"/>
      <c r="ED10" s="333"/>
      <c r="EE10" s="333"/>
      <c r="EF10" s="333"/>
      <c r="EG10" s="333"/>
      <c r="EH10" s="333"/>
      <c r="EI10" s="333"/>
      <c r="EJ10" s="333"/>
      <c r="EK10" s="333"/>
      <c r="EL10" s="333"/>
      <c r="EM10" s="333"/>
      <c r="EN10" s="333"/>
      <c r="EO10" s="333"/>
      <c r="EP10" s="333"/>
      <c r="EQ10" s="333"/>
      <c r="ER10" s="333"/>
      <c r="ES10" s="333"/>
      <c r="ET10" s="333"/>
      <c r="EU10" s="333"/>
      <c r="EV10" s="333"/>
      <c r="EW10" s="333"/>
      <c r="EX10" s="333"/>
      <c r="EY10" s="333"/>
      <c r="EZ10" s="333"/>
      <c r="FA10" s="333"/>
      <c r="FB10" s="333"/>
      <c r="FC10" s="333"/>
      <c r="FD10" s="333"/>
      <c r="FE10" s="333"/>
      <c r="FF10" s="333"/>
      <c r="FG10" s="333"/>
      <c r="FH10" s="333"/>
      <c r="FI10" s="333"/>
      <c r="FJ10" s="333"/>
      <c r="FK10" s="333"/>
      <c r="FL10" s="333"/>
      <c r="FM10" s="333"/>
      <c r="FN10" s="333"/>
      <c r="FO10" s="333"/>
      <c r="FP10" s="333"/>
      <c r="FQ10" s="333"/>
      <c r="FR10" s="333"/>
      <c r="FS10" s="333"/>
      <c r="FT10" s="333"/>
      <c r="FU10" s="333"/>
      <c r="FV10" s="333"/>
    </row>
    <row r="11" spans="2:178" s="107" customFormat="1" ht="16.5" thickTop="1">
      <c r="B11" s="876"/>
      <c r="C11" s="877"/>
      <c r="D11" s="877"/>
      <c r="E11" s="877"/>
      <c r="F11" s="877"/>
      <c r="G11" s="877"/>
      <c r="H11" s="877"/>
      <c r="I11" s="877"/>
      <c r="J11" s="877"/>
      <c r="K11" s="877"/>
      <c r="L11" s="877"/>
      <c r="M11" s="877"/>
      <c r="N11" s="877"/>
      <c r="O11" s="877"/>
      <c r="P11" s="877"/>
      <c r="Q11" s="877"/>
      <c r="R11" s="877"/>
      <c r="S11" s="877"/>
      <c r="T11" s="877"/>
      <c r="U11" s="878"/>
      <c r="V11" s="333"/>
      <c r="W11" s="333"/>
      <c r="X11" s="333"/>
      <c r="Y11" s="333"/>
      <c r="Z11" s="333"/>
      <c r="AA11" s="333"/>
      <c r="AB11" s="333"/>
      <c r="AC11" s="333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R11" s="333"/>
      <c r="AS11" s="333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3"/>
      <c r="BU11" s="333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3"/>
      <c r="CH11" s="333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3"/>
      <c r="CU11" s="333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333"/>
      <c r="DG11" s="333"/>
      <c r="DH11" s="333"/>
      <c r="DI11" s="333"/>
      <c r="DJ11" s="333"/>
      <c r="DK11" s="333"/>
      <c r="DL11" s="333"/>
      <c r="DM11" s="333"/>
      <c r="DN11" s="333"/>
      <c r="DO11" s="333"/>
      <c r="DP11" s="333"/>
      <c r="DQ11" s="333"/>
      <c r="DR11" s="333"/>
      <c r="DS11" s="333"/>
      <c r="DT11" s="333"/>
      <c r="DU11" s="333"/>
      <c r="DV11" s="333"/>
      <c r="DW11" s="333"/>
      <c r="DX11" s="333"/>
      <c r="DY11" s="333"/>
      <c r="DZ11" s="333"/>
      <c r="EA11" s="333"/>
      <c r="EB11" s="333"/>
      <c r="EC11" s="333"/>
      <c r="ED11" s="333"/>
      <c r="EE11" s="333"/>
      <c r="EF11" s="333"/>
      <c r="EG11" s="333"/>
      <c r="EH11" s="333"/>
      <c r="EI11" s="333"/>
      <c r="EJ11" s="333"/>
      <c r="EK11" s="333"/>
      <c r="EL11" s="333"/>
      <c r="EM11" s="333"/>
      <c r="EN11" s="333"/>
      <c r="EO11" s="333"/>
      <c r="EP11" s="333"/>
      <c r="EQ11" s="333"/>
      <c r="ER11" s="333"/>
      <c r="ES11" s="333"/>
      <c r="ET11" s="333"/>
      <c r="EU11" s="333"/>
      <c r="EV11" s="333"/>
      <c r="EW11" s="333"/>
      <c r="EX11" s="333"/>
      <c r="EY11" s="333"/>
      <c r="EZ11" s="333"/>
      <c r="FA11" s="333"/>
      <c r="FB11" s="333"/>
      <c r="FC11" s="333"/>
      <c r="FD11" s="333"/>
      <c r="FE11" s="333"/>
      <c r="FF11" s="333"/>
      <c r="FG11" s="333"/>
      <c r="FH11" s="333"/>
      <c r="FI11" s="333"/>
      <c r="FJ11" s="333"/>
      <c r="FK11" s="333"/>
      <c r="FL11" s="333"/>
      <c r="FM11" s="333"/>
      <c r="FN11" s="333"/>
      <c r="FO11" s="333"/>
      <c r="FP11" s="333"/>
      <c r="FQ11" s="333"/>
      <c r="FR11" s="333"/>
      <c r="FS11" s="333"/>
      <c r="FT11" s="333"/>
      <c r="FU11" s="333"/>
      <c r="FV11" s="333"/>
    </row>
    <row r="12" spans="2:178" s="107" customFormat="1" ht="19.5">
      <c r="B12" s="113" t="s">
        <v>281</v>
      </c>
      <c r="C12" s="864"/>
      <c r="D12" s="864"/>
      <c r="E12" s="864"/>
      <c r="F12" s="864"/>
      <c r="G12" s="864"/>
      <c r="H12" s="864"/>
      <c r="I12" s="864"/>
      <c r="J12" s="864"/>
      <c r="K12" s="864"/>
      <c r="L12" s="864"/>
      <c r="M12" s="864"/>
      <c r="N12" s="864"/>
      <c r="O12" s="864"/>
      <c r="P12" s="864"/>
      <c r="Q12" s="864"/>
      <c r="R12" s="864"/>
      <c r="S12" s="864"/>
      <c r="T12" s="864"/>
      <c r="U12" s="879"/>
      <c r="V12" s="87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  <c r="BO12" s="333"/>
      <c r="BP12" s="333"/>
      <c r="BQ12" s="333"/>
      <c r="BR12" s="333"/>
      <c r="BS12" s="333"/>
      <c r="BT12" s="333"/>
      <c r="BU12" s="333"/>
      <c r="BV12" s="333"/>
      <c r="BW12" s="333"/>
      <c r="BX12" s="333"/>
      <c r="BY12" s="333"/>
      <c r="BZ12" s="333"/>
      <c r="CA12" s="333"/>
      <c r="CB12" s="333"/>
      <c r="CC12" s="333"/>
      <c r="CD12" s="333"/>
      <c r="CE12" s="333"/>
      <c r="CF12" s="333"/>
      <c r="CG12" s="333"/>
      <c r="CH12" s="333"/>
      <c r="CI12" s="333"/>
      <c r="CJ12" s="333"/>
      <c r="CK12" s="333"/>
      <c r="CL12" s="333"/>
      <c r="CM12" s="333"/>
      <c r="CN12" s="333"/>
      <c r="CO12" s="333"/>
      <c r="CP12" s="333"/>
      <c r="CQ12" s="333"/>
      <c r="CR12" s="333"/>
      <c r="CS12" s="333"/>
      <c r="CT12" s="333"/>
      <c r="CU12" s="333"/>
      <c r="CV12" s="333"/>
      <c r="CW12" s="333"/>
      <c r="CX12" s="333"/>
      <c r="CY12" s="333"/>
      <c r="CZ12" s="333"/>
      <c r="DA12" s="333"/>
      <c r="DB12" s="333"/>
      <c r="DC12" s="333"/>
      <c r="DD12" s="333"/>
      <c r="DE12" s="333"/>
      <c r="DF12" s="333"/>
      <c r="DG12" s="333"/>
      <c r="DH12" s="333"/>
      <c r="DI12" s="333"/>
      <c r="DJ12" s="333"/>
      <c r="DK12" s="333"/>
      <c r="DL12" s="333"/>
      <c r="DM12" s="333"/>
      <c r="DN12" s="333"/>
      <c r="DO12" s="333"/>
      <c r="DP12" s="333"/>
      <c r="DQ12" s="333"/>
      <c r="DR12" s="333"/>
      <c r="DS12" s="333"/>
      <c r="DT12" s="333"/>
      <c r="DU12" s="333"/>
      <c r="DV12" s="333"/>
      <c r="DW12" s="333"/>
      <c r="DX12" s="333"/>
      <c r="DY12" s="333"/>
      <c r="DZ12" s="333"/>
      <c r="EA12" s="333"/>
      <c r="EB12" s="333"/>
      <c r="EC12" s="333"/>
      <c r="ED12" s="333"/>
      <c r="EE12" s="333"/>
      <c r="EF12" s="333"/>
      <c r="EG12" s="333"/>
      <c r="EH12" s="333"/>
      <c r="EI12" s="333"/>
      <c r="EJ12" s="333"/>
      <c r="EK12" s="333"/>
      <c r="EL12" s="333"/>
      <c r="EM12" s="333"/>
      <c r="EN12" s="333"/>
      <c r="EO12" s="333"/>
      <c r="EP12" s="333"/>
      <c r="EQ12" s="333"/>
      <c r="ER12" s="333"/>
      <c r="ES12" s="333"/>
      <c r="ET12" s="333"/>
      <c r="EU12" s="333"/>
      <c r="EV12" s="333"/>
      <c r="EW12" s="333"/>
      <c r="EX12" s="333"/>
      <c r="EY12" s="333"/>
      <c r="EZ12" s="333"/>
      <c r="FA12" s="333"/>
      <c r="FB12" s="333"/>
      <c r="FC12" s="333"/>
      <c r="FD12" s="333"/>
      <c r="FE12" s="333"/>
      <c r="FF12" s="333"/>
      <c r="FG12" s="333"/>
      <c r="FH12" s="333"/>
      <c r="FI12" s="333"/>
      <c r="FJ12" s="333"/>
      <c r="FK12" s="333"/>
      <c r="FL12" s="333"/>
      <c r="FM12" s="333"/>
      <c r="FN12" s="333"/>
      <c r="FO12" s="333"/>
      <c r="FP12" s="333"/>
      <c r="FQ12" s="333"/>
      <c r="FR12" s="333"/>
      <c r="FS12" s="333"/>
      <c r="FT12" s="333"/>
      <c r="FU12" s="333"/>
      <c r="FV12" s="333"/>
    </row>
    <row r="13" spans="2:21" s="107" customFormat="1" ht="16.5" thickBot="1">
      <c r="B13" s="315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880"/>
    </row>
    <row r="14" spans="2:21" s="881" customFormat="1" ht="33.75" customHeight="1" thickBot="1" thickTop="1">
      <c r="B14" s="882"/>
      <c r="C14" s="165"/>
      <c r="D14" s="165" t="s">
        <v>74</v>
      </c>
      <c r="E14" s="175" t="s">
        <v>94</v>
      </c>
      <c r="F14" s="175" t="s">
        <v>95</v>
      </c>
      <c r="G14" s="883" t="s">
        <v>275</v>
      </c>
      <c r="H14" s="883">
        <f>IF('[1]BASE'!DL15=0,"",'[1]BASE'!DL15)</f>
        <v>37591</v>
      </c>
      <c r="I14" s="883">
        <f>IF('[1]BASE'!DM15=0,"",'[1]BASE'!DM15)</f>
        <v>37622</v>
      </c>
      <c r="J14" s="883">
        <f>IF('[1]BASE'!DN15=0,"",'[1]BASE'!DN15)</f>
        <v>37653</v>
      </c>
      <c r="K14" s="883">
        <f>IF('[1]BASE'!DO15=0,"",'[1]BASE'!DO15)</f>
        <v>37681</v>
      </c>
      <c r="L14" s="883">
        <f>IF('[1]BASE'!DP15=0,"",'[1]BASE'!DP15)</f>
        <v>37712</v>
      </c>
      <c r="M14" s="883">
        <f>IF('[1]BASE'!DQ15=0,"",'[1]BASE'!DQ15)</f>
        <v>37742</v>
      </c>
      <c r="N14" s="883">
        <f>IF('[1]BASE'!DR15=0,"",'[1]BASE'!DR15)</f>
        <v>37773</v>
      </c>
      <c r="O14" s="883">
        <f>IF('[1]BASE'!DS15=0,"",'[1]BASE'!DS15)</f>
        <v>37803</v>
      </c>
      <c r="P14" s="883">
        <f>IF('[1]BASE'!DT15=0,"",'[1]BASE'!DT15)</f>
        <v>37834</v>
      </c>
      <c r="Q14" s="883">
        <f>IF('[1]BASE'!DU15=0,"",'[1]BASE'!DU15)</f>
        <v>37865</v>
      </c>
      <c r="R14" s="883">
        <f>IF('[1]BASE'!DV15=0,"",'[1]BASE'!DV15)</f>
        <v>37895</v>
      </c>
      <c r="S14" s="883">
        <f>IF('[1]BASE'!DW15=0,"",'[1]BASE'!DW15)</f>
        <v>37926</v>
      </c>
      <c r="T14" s="883">
        <f>IF('[1]BASE'!DX15=0,"",'[1]BASE'!DX15)</f>
        <v>37956</v>
      </c>
      <c r="U14" s="884"/>
    </row>
    <row r="15" spans="2:21" s="885" customFormat="1" ht="19.5" customHeight="1" thickTop="1">
      <c r="B15" s="886"/>
      <c r="C15" s="887"/>
      <c r="D15" s="888"/>
      <c r="E15" s="888"/>
      <c r="F15" s="888"/>
      <c r="G15" s="888"/>
      <c r="H15" s="888"/>
      <c r="I15" s="888"/>
      <c r="J15" s="888"/>
      <c r="K15" s="888"/>
      <c r="L15" s="888"/>
      <c r="M15" s="888"/>
      <c r="N15" s="888"/>
      <c r="O15" s="888"/>
      <c r="P15" s="888"/>
      <c r="Q15" s="888"/>
      <c r="R15" s="888"/>
      <c r="S15" s="888"/>
      <c r="T15" s="889"/>
      <c r="U15" s="890"/>
    </row>
    <row r="16" spans="2:21" s="885" customFormat="1" ht="19.5" customHeight="1">
      <c r="B16" s="886"/>
      <c r="C16" s="891">
        <f>IF('[1]BASE'!C17=0,"",'[1]BASE'!C17)</f>
        <v>1</v>
      </c>
      <c r="D16" s="891" t="str">
        <f>IF('[1]BASE'!D17=0,"",'[1]BASE'!D17)</f>
        <v>ABASTO - OLAVARRIA 1</v>
      </c>
      <c r="E16" s="891">
        <f>IF('[1]BASE'!E17=0,"",'[1]BASE'!E17)</f>
        <v>500</v>
      </c>
      <c r="F16" s="891">
        <f>IF('[1]BASE'!F17=0,"",'[1]BASE'!F17)</f>
        <v>291</v>
      </c>
      <c r="G16" s="892" t="str">
        <f>IF('[1]BASE'!G17=0,"",'[1]BASE'!G17)</f>
        <v>B</v>
      </c>
      <c r="H16" s="891">
        <f>IF('[1]BASE'!DL17=0,"",'[1]BASE'!DL17)</f>
      </c>
      <c r="I16" s="891">
        <f>IF('[1]BASE'!DM17=0,"",'[1]BASE'!DM17)</f>
      </c>
      <c r="J16" s="891">
        <f>IF('[1]BASE'!DN17=0,"",'[1]BASE'!DN17)</f>
      </c>
      <c r="K16" s="891">
        <f>IF('[1]BASE'!DO17=0,"",'[1]BASE'!DO17)</f>
      </c>
      <c r="L16" s="891">
        <f>IF('[1]BASE'!DP17=0,"",'[1]BASE'!DP17)</f>
      </c>
      <c r="M16" s="891">
        <f>IF('[1]BASE'!DQ17=0,"",'[1]BASE'!DQ17)</f>
      </c>
      <c r="N16" s="891">
        <f>IF('[1]BASE'!DR17=0,"",'[1]BASE'!DR17)</f>
      </c>
      <c r="O16" s="891">
        <f>IF('[1]BASE'!DS17=0,"",'[1]BASE'!DS17)</f>
        <v>1</v>
      </c>
      <c r="P16" s="891">
        <f>IF('[1]BASE'!DT17=0,"",'[1]BASE'!DT17)</f>
      </c>
      <c r="Q16" s="891">
        <f>IF('[1]BASE'!DU17=0,"",'[1]BASE'!DU17)</f>
      </c>
      <c r="R16" s="891">
        <f>IF('[1]BASE'!DV17=0,"",'[1]BASE'!DV17)</f>
      </c>
      <c r="S16" s="891">
        <f>IF('[1]BASE'!DW17=0,"",'[1]BASE'!DW17)</f>
      </c>
      <c r="T16" s="893"/>
      <c r="U16" s="890"/>
    </row>
    <row r="17" spans="2:21" s="885" customFormat="1" ht="19.5" customHeight="1">
      <c r="B17" s="886"/>
      <c r="C17" s="894">
        <f>IF('[1]BASE'!C18=0,"",'[1]BASE'!C18)</f>
        <v>2</v>
      </c>
      <c r="D17" s="894" t="str">
        <f>IF('[1]BASE'!D18=0,"",'[1]BASE'!D18)</f>
        <v>ABASTO - OLAVARRIA 2</v>
      </c>
      <c r="E17" s="894">
        <f>IF('[1]BASE'!E18=0,"",'[1]BASE'!E18)</f>
        <v>500</v>
      </c>
      <c r="F17" s="894">
        <f>IF('[1]BASE'!F18=0,"",'[1]BASE'!F18)</f>
        <v>301.9</v>
      </c>
      <c r="G17" s="895">
        <f>IF('[1]BASE'!G18=0,"",'[1]BASE'!G18)</f>
      </c>
      <c r="H17" s="894">
        <f>IF('[1]BASE'!DL18=0,"",'[1]BASE'!DL18)</f>
        <v>1</v>
      </c>
      <c r="I17" s="894">
        <f>IF('[1]BASE'!DM18=0,"",'[1]BASE'!DM18)</f>
      </c>
      <c r="J17" s="894">
        <f>IF('[1]BASE'!DN18=0,"",'[1]BASE'!DN18)</f>
      </c>
      <c r="K17" s="894">
        <f>IF('[1]BASE'!DO18=0,"",'[1]BASE'!DO18)</f>
        <v>1</v>
      </c>
      <c r="L17" s="894">
        <f>IF('[1]BASE'!DP18=0,"",'[1]BASE'!DP18)</f>
      </c>
      <c r="M17" s="894">
        <f>IF('[1]BASE'!DQ18=0,"",'[1]BASE'!DQ18)</f>
      </c>
      <c r="N17" s="894">
        <f>IF('[1]BASE'!DR18=0,"",'[1]BASE'!DR18)</f>
      </c>
      <c r="O17" s="894">
        <f>IF('[1]BASE'!DS18=0,"",'[1]BASE'!DS18)</f>
      </c>
      <c r="P17" s="894">
        <f>IF('[1]BASE'!DT18=0,"",'[1]BASE'!DT18)</f>
      </c>
      <c r="Q17" s="894">
        <f>IF('[1]BASE'!DU18=0,"",'[1]BASE'!DU18)</f>
      </c>
      <c r="R17" s="894">
        <f>IF('[1]BASE'!DV18=0,"",'[1]BASE'!DV18)</f>
      </c>
      <c r="S17" s="894">
        <f>IF('[1]BASE'!DW18=0,"",'[1]BASE'!DW18)</f>
      </c>
      <c r="T17" s="893"/>
      <c r="U17" s="890"/>
    </row>
    <row r="18" spans="2:21" s="885" customFormat="1" ht="19.5" customHeight="1">
      <c r="B18" s="886"/>
      <c r="C18" s="896">
        <f>IF('[1]BASE'!C19=0,"",'[1]BASE'!C19)</f>
        <v>3</v>
      </c>
      <c r="D18" s="896" t="str">
        <f>IF('[1]BASE'!D19=0,"",'[1]BASE'!D19)</f>
        <v>AGUA DEL CAJON - CHOCON OESTE</v>
      </c>
      <c r="E18" s="896">
        <f>IF('[1]BASE'!E19=0,"",'[1]BASE'!E19)</f>
        <v>500</v>
      </c>
      <c r="F18" s="896">
        <f>IF('[1]BASE'!F19=0,"",'[1]BASE'!F19)</f>
        <v>52</v>
      </c>
      <c r="G18" s="897">
        <f>IF('[1]BASE'!G19=0,"",'[1]BASE'!G19)</f>
      </c>
      <c r="H18" s="896">
        <f>IF('[1]BASE'!DL19=0,"",'[1]BASE'!DL19)</f>
      </c>
      <c r="I18" s="896">
        <f>IF('[1]BASE'!DM19=0,"",'[1]BASE'!DM19)</f>
      </c>
      <c r="J18" s="896">
        <f>IF('[1]BASE'!DN19=0,"",'[1]BASE'!DN19)</f>
      </c>
      <c r="K18" s="896">
        <f>IF('[1]BASE'!DO19=0,"",'[1]BASE'!DO19)</f>
      </c>
      <c r="L18" s="896">
        <f>IF('[1]BASE'!DP19=0,"",'[1]BASE'!DP19)</f>
      </c>
      <c r="M18" s="896">
        <f>IF('[1]BASE'!DQ19=0,"",'[1]BASE'!DQ19)</f>
      </c>
      <c r="N18" s="896">
        <f>IF('[1]BASE'!DR19=0,"",'[1]BASE'!DR19)</f>
      </c>
      <c r="O18" s="896">
        <f>IF('[1]BASE'!DS19=0,"",'[1]BASE'!DS19)</f>
      </c>
      <c r="P18" s="896">
        <f>IF('[1]BASE'!DT19=0,"",'[1]BASE'!DT19)</f>
      </c>
      <c r="Q18" s="896">
        <f>IF('[1]BASE'!DU19=0,"",'[1]BASE'!DU19)</f>
      </c>
      <c r="R18" s="896">
        <f>IF('[1]BASE'!DV19=0,"",'[1]BASE'!DV19)</f>
      </c>
      <c r="S18" s="896">
        <f>IF('[1]BASE'!DW19=0,"",'[1]BASE'!DW19)</f>
      </c>
      <c r="T18" s="893"/>
      <c r="U18" s="890"/>
    </row>
    <row r="19" spans="2:21" s="885" customFormat="1" ht="19.5" customHeight="1">
      <c r="B19" s="886"/>
      <c r="C19" s="894">
        <f>IF('[1]BASE'!C20=0,"",'[1]BASE'!C20)</f>
        <v>4</v>
      </c>
      <c r="D19" s="894" t="str">
        <f>IF('[1]BASE'!D20=0,"",'[1]BASE'!D20)</f>
        <v>ALICURA - E.T. P.del A. 1 (5LG1)</v>
      </c>
      <c r="E19" s="894">
        <f>IF('[1]BASE'!E20=0,"",'[1]BASE'!E20)</f>
        <v>500</v>
      </c>
      <c r="F19" s="894">
        <f>IF('[1]BASE'!F20=0,"",'[1]BASE'!F20)</f>
        <v>76</v>
      </c>
      <c r="G19" s="895" t="str">
        <f>IF('[1]BASE'!G20=0,"",'[1]BASE'!G20)</f>
        <v>C</v>
      </c>
      <c r="H19" s="894">
        <f>IF('[1]BASE'!DL20=0,"",'[1]BASE'!DL20)</f>
      </c>
      <c r="I19" s="894">
        <f>IF('[1]BASE'!DM20=0,"",'[1]BASE'!DM20)</f>
        <v>1</v>
      </c>
      <c r="J19" s="894">
        <f>IF('[1]BASE'!DN20=0,"",'[1]BASE'!DN20)</f>
      </c>
      <c r="K19" s="894">
        <f>IF('[1]BASE'!DO20=0,"",'[1]BASE'!DO20)</f>
        <v>1</v>
      </c>
      <c r="L19" s="894">
        <f>IF('[1]BASE'!DP20=0,"",'[1]BASE'!DP20)</f>
      </c>
      <c r="M19" s="894">
        <f>IF('[1]BASE'!DQ20=0,"",'[1]BASE'!DQ20)</f>
      </c>
      <c r="N19" s="894">
        <f>IF('[1]BASE'!DR20=0,"",'[1]BASE'!DR20)</f>
      </c>
      <c r="O19" s="894">
        <f>IF('[1]BASE'!DS20=0,"",'[1]BASE'!DS20)</f>
      </c>
      <c r="P19" s="894">
        <f>IF('[1]BASE'!DT20=0,"",'[1]BASE'!DT20)</f>
      </c>
      <c r="Q19" s="894">
        <f>IF('[1]BASE'!DU20=0,"",'[1]BASE'!DU20)</f>
      </c>
      <c r="R19" s="894">
        <f>IF('[1]BASE'!DV20=0,"",'[1]BASE'!DV20)</f>
      </c>
      <c r="S19" s="894">
        <f>IF('[1]BASE'!DW20=0,"",'[1]BASE'!DW20)</f>
      </c>
      <c r="T19" s="893"/>
      <c r="U19" s="890"/>
    </row>
    <row r="20" spans="2:21" s="885" customFormat="1" ht="19.5" customHeight="1">
      <c r="B20" s="886"/>
      <c r="C20" s="896">
        <f>IF('[1]BASE'!C21=0,"",'[1]BASE'!C21)</f>
        <v>5</v>
      </c>
      <c r="D20" s="896" t="str">
        <f>IF('[1]BASE'!D21=0,"",'[1]BASE'!D21)</f>
        <v>ALICURA - E.T. P.del A. 2 (5LG2)</v>
      </c>
      <c r="E20" s="896">
        <f>IF('[1]BASE'!E21=0,"",'[1]BASE'!E21)</f>
        <v>500</v>
      </c>
      <c r="F20" s="896">
        <f>IF('[1]BASE'!F21=0,"",'[1]BASE'!F21)</f>
        <v>76</v>
      </c>
      <c r="G20" s="897" t="str">
        <f>IF('[1]BASE'!G21=0,"",'[1]BASE'!G21)</f>
        <v>C</v>
      </c>
      <c r="H20" s="896">
        <f>IF('[1]BASE'!DL21=0,"",'[1]BASE'!DL21)</f>
      </c>
      <c r="I20" s="896">
        <f>IF('[1]BASE'!DM21=0,"",'[1]BASE'!DM21)</f>
      </c>
      <c r="J20" s="896">
        <f>IF('[1]BASE'!DN21=0,"",'[1]BASE'!DN21)</f>
      </c>
      <c r="K20" s="896">
        <f>IF('[1]BASE'!DO21=0,"",'[1]BASE'!DO21)</f>
      </c>
      <c r="L20" s="896">
        <f>IF('[1]BASE'!DP21=0,"",'[1]BASE'!DP21)</f>
      </c>
      <c r="M20" s="896">
        <f>IF('[1]BASE'!DQ21=0,"",'[1]BASE'!DQ21)</f>
      </c>
      <c r="N20" s="896">
        <f>IF('[1]BASE'!DR21=0,"",'[1]BASE'!DR21)</f>
        <v>1</v>
      </c>
      <c r="O20" s="896">
        <f>IF('[1]BASE'!DS21=0,"",'[1]BASE'!DS21)</f>
      </c>
      <c r="P20" s="896">
        <f>IF('[1]BASE'!DT21=0,"",'[1]BASE'!DT21)</f>
        <v>1</v>
      </c>
      <c r="Q20" s="896">
        <f>IF('[1]BASE'!DU21=0,"",'[1]BASE'!DU21)</f>
      </c>
      <c r="R20" s="896">
        <f>IF('[1]BASE'!DV21=0,"",'[1]BASE'!DV21)</f>
      </c>
      <c r="S20" s="896">
        <f>IF('[1]BASE'!DW21=0,"",'[1]BASE'!DW21)</f>
      </c>
      <c r="T20" s="893"/>
      <c r="U20" s="890"/>
    </row>
    <row r="21" spans="2:21" s="885" customFormat="1" ht="19.5" customHeight="1">
      <c r="B21" s="886"/>
      <c r="C21" s="894">
        <f>IF('[1]BASE'!C22=0,"",'[1]BASE'!C22)</f>
        <v>6</v>
      </c>
      <c r="D21" s="894" t="str">
        <f>IF('[1]BASE'!D22=0,"",'[1]BASE'!D22)</f>
        <v>ALMAFUERTE - EMBALSE </v>
      </c>
      <c r="E21" s="894">
        <f>IF('[1]BASE'!E22=0,"",'[1]BASE'!E22)</f>
        <v>500</v>
      </c>
      <c r="F21" s="894">
        <f>IF('[1]BASE'!F22=0,"",'[1]BASE'!F22)</f>
        <v>12</v>
      </c>
      <c r="G21" s="895" t="str">
        <f>IF('[1]BASE'!G22=0,"",'[1]BASE'!G22)</f>
        <v>A</v>
      </c>
      <c r="H21" s="894">
        <f>IF('[1]BASE'!DL22=0,"",'[1]BASE'!DL22)</f>
      </c>
      <c r="I21" s="894">
        <f>IF('[1]BASE'!DM22=0,"",'[1]BASE'!DM22)</f>
      </c>
      <c r="J21" s="894">
        <f>IF('[1]BASE'!DN22=0,"",'[1]BASE'!DN22)</f>
      </c>
      <c r="K21" s="894">
        <f>IF('[1]BASE'!DO22=0,"",'[1]BASE'!DO22)</f>
      </c>
      <c r="L21" s="894">
        <f>IF('[1]BASE'!DP22=0,"",'[1]BASE'!DP22)</f>
      </c>
      <c r="M21" s="894">
        <f>IF('[1]BASE'!DQ22=0,"",'[1]BASE'!DQ22)</f>
      </c>
      <c r="N21" s="894">
        <f>IF('[1]BASE'!DR22=0,"",'[1]BASE'!DR22)</f>
      </c>
      <c r="O21" s="894">
        <f>IF('[1]BASE'!DS22=0,"",'[1]BASE'!DS22)</f>
      </c>
      <c r="P21" s="894">
        <f>IF('[1]BASE'!DT22=0,"",'[1]BASE'!DT22)</f>
      </c>
      <c r="Q21" s="894">
        <f>IF('[1]BASE'!DU22=0,"",'[1]BASE'!DU22)</f>
      </c>
      <c r="R21" s="894">
        <f>IF('[1]BASE'!DV22=0,"",'[1]BASE'!DV22)</f>
      </c>
      <c r="S21" s="894">
        <f>IF('[1]BASE'!DW22=0,"",'[1]BASE'!DW22)</f>
      </c>
      <c r="T21" s="893"/>
      <c r="U21" s="890"/>
    </row>
    <row r="22" spans="2:21" s="885" customFormat="1" ht="19.5" customHeight="1">
      <c r="B22" s="886"/>
      <c r="C22" s="896">
        <f>IF('[1]BASE'!C23=0,"",'[1]BASE'!C23)</f>
        <v>7</v>
      </c>
      <c r="D22" s="896" t="str">
        <f>IF('[1]BASE'!D23=0,"",'[1]BASE'!D23)</f>
        <v> ALMAFUERTE - ROSARIO OESTE</v>
      </c>
      <c r="E22" s="896">
        <f>IF('[1]BASE'!E23=0,"",'[1]BASE'!E23)</f>
        <v>500</v>
      </c>
      <c r="F22" s="896">
        <f>IF('[1]BASE'!F23=0,"",'[1]BASE'!F23)</f>
        <v>345</v>
      </c>
      <c r="G22" s="897" t="str">
        <f>IF('[1]BASE'!G23=0,"",'[1]BASE'!G23)</f>
        <v>B</v>
      </c>
      <c r="H22" s="896">
        <f>IF('[1]BASE'!DL23=0,"",'[1]BASE'!DL23)</f>
      </c>
      <c r="I22" s="896">
        <f>IF('[1]BASE'!DM23=0,"",'[1]BASE'!DM23)</f>
      </c>
      <c r="J22" s="896">
        <f>IF('[1]BASE'!DN23=0,"",'[1]BASE'!DN23)</f>
      </c>
      <c r="K22" s="896">
        <f>IF('[1]BASE'!DO23=0,"",'[1]BASE'!DO23)</f>
      </c>
      <c r="L22" s="896">
        <f>IF('[1]BASE'!DP23=0,"",'[1]BASE'!DP23)</f>
      </c>
      <c r="M22" s="896">
        <f>IF('[1]BASE'!DQ23=0,"",'[1]BASE'!DQ23)</f>
      </c>
      <c r="N22" s="896">
        <f>IF('[1]BASE'!DR23=0,"",'[1]BASE'!DR23)</f>
      </c>
      <c r="O22" s="896">
        <f>IF('[1]BASE'!DS23=0,"",'[1]BASE'!DS23)</f>
      </c>
      <c r="P22" s="896">
        <f>IF('[1]BASE'!DT23=0,"",'[1]BASE'!DT23)</f>
      </c>
      <c r="Q22" s="896">
        <f>IF('[1]BASE'!DU23=0,"",'[1]BASE'!DU23)</f>
      </c>
      <c r="R22" s="896">
        <f>IF('[1]BASE'!DV23=0,"",'[1]BASE'!DV23)</f>
      </c>
      <c r="S22" s="896">
        <f>IF('[1]BASE'!DW23=0,"",'[1]BASE'!DW23)</f>
      </c>
      <c r="T22" s="893"/>
      <c r="U22" s="890"/>
    </row>
    <row r="23" spans="2:21" s="885" customFormat="1" ht="19.5" customHeight="1">
      <c r="B23" s="886"/>
      <c r="C23" s="894">
        <f>IF('[1]BASE'!C24=0,"",'[1]BASE'!C24)</f>
        <v>8</v>
      </c>
      <c r="D23" s="894" t="str">
        <f>IF('[1]BASE'!D24=0,"",'[1]BASE'!D24)</f>
        <v>BAHIA BLANCA - CHOELE CHOEL 1</v>
      </c>
      <c r="E23" s="894">
        <f>IF('[1]BASE'!E24=0,"",'[1]BASE'!E24)</f>
        <v>500</v>
      </c>
      <c r="F23" s="894">
        <f>IF('[1]BASE'!F24=0,"",'[1]BASE'!F24)</f>
        <v>346</v>
      </c>
      <c r="G23" s="895" t="str">
        <f>IF('[1]BASE'!G24=0,"",'[1]BASE'!G24)</f>
        <v>B</v>
      </c>
      <c r="H23" s="894">
        <f>IF('[1]BASE'!DL24=0,"",'[1]BASE'!DL24)</f>
      </c>
      <c r="I23" s="894">
        <f>IF('[1]BASE'!DM24=0,"",'[1]BASE'!DM24)</f>
      </c>
      <c r="J23" s="894">
        <f>IF('[1]BASE'!DN24=0,"",'[1]BASE'!DN24)</f>
      </c>
      <c r="K23" s="894">
        <f>IF('[1]BASE'!DO24=0,"",'[1]BASE'!DO24)</f>
        <v>1</v>
      </c>
      <c r="L23" s="894">
        <f>IF('[1]BASE'!DP24=0,"",'[1]BASE'!DP24)</f>
      </c>
      <c r="M23" s="894">
        <f>IF('[1]BASE'!DQ24=0,"",'[1]BASE'!DQ24)</f>
      </c>
      <c r="N23" s="894">
        <f>IF('[1]BASE'!DR24=0,"",'[1]BASE'!DR24)</f>
      </c>
      <c r="O23" s="894">
        <f>IF('[1]BASE'!DS24=0,"",'[1]BASE'!DS24)</f>
      </c>
      <c r="P23" s="894">
        <f>IF('[1]BASE'!DT24=0,"",'[1]BASE'!DT24)</f>
      </c>
      <c r="Q23" s="894">
        <f>IF('[1]BASE'!DU24=0,"",'[1]BASE'!DU24)</f>
      </c>
      <c r="R23" s="894">
        <f>IF('[1]BASE'!DV24=0,"",'[1]BASE'!DV24)</f>
      </c>
      <c r="S23" s="894">
        <f>IF('[1]BASE'!DW24=0,"",'[1]BASE'!DW24)</f>
      </c>
      <c r="T23" s="893"/>
      <c r="U23" s="890"/>
    </row>
    <row r="24" spans="2:21" s="885" customFormat="1" ht="19.5" customHeight="1">
      <c r="B24" s="886"/>
      <c r="C24" s="896">
        <f>IF('[1]BASE'!C25=0,"",'[1]BASE'!C25)</f>
        <v>9</v>
      </c>
      <c r="D24" s="896" t="str">
        <f>IF('[1]BASE'!D25=0,"",'[1]BASE'!D25)</f>
        <v>BAHIA BLANCA - CHOELE CHOEL 2</v>
      </c>
      <c r="E24" s="896">
        <f>IF('[1]BASE'!E25=0,"",'[1]BASE'!E25)</f>
        <v>500</v>
      </c>
      <c r="F24" s="896">
        <f>IF('[1]BASE'!F25=0,"",'[1]BASE'!F25)</f>
        <v>348.4</v>
      </c>
      <c r="G24" s="897">
        <f>IF('[1]BASE'!G25=0,"",'[1]BASE'!G25)</f>
      </c>
      <c r="H24" s="896">
        <f>IF('[1]BASE'!DL25=0,"",'[1]BASE'!DL25)</f>
      </c>
      <c r="I24" s="896">
        <f>IF('[1]BASE'!DM25=0,"",'[1]BASE'!DM25)</f>
        <v>2</v>
      </c>
      <c r="J24" s="896">
        <f>IF('[1]BASE'!DN25=0,"",'[1]BASE'!DN25)</f>
      </c>
      <c r="K24" s="896">
        <f>IF('[1]BASE'!DO25=0,"",'[1]BASE'!DO25)</f>
        <v>2</v>
      </c>
      <c r="L24" s="896">
        <f>IF('[1]BASE'!DP25=0,"",'[1]BASE'!DP25)</f>
      </c>
      <c r="M24" s="896">
        <f>IF('[1]BASE'!DQ25=0,"",'[1]BASE'!DQ25)</f>
      </c>
      <c r="N24" s="896">
        <f>IF('[1]BASE'!DR25=0,"",'[1]BASE'!DR25)</f>
        <v>1</v>
      </c>
      <c r="O24" s="896">
        <f>IF('[1]BASE'!DS25=0,"",'[1]BASE'!DS25)</f>
      </c>
      <c r="P24" s="896">
        <f>IF('[1]BASE'!DT25=0,"",'[1]BASE'!DT25)</f>
      </c>
      <c r="Q24" s="896">
        <f>IF('[1]BASE'!DU25=0,"",'[1]BASE'!DU25)</f>
      </c>
      <c r="R24" s="896">
        <f>IF('[1]BASE'!DV25=0,"",'[1]BASE'!DV25)</f>
      </c>
      <c r="S24" s="896">
        <f>IF('[1]BASE'!DW25=0,"",'[1]BASE'!DW25)</f>
      </c>
      <c r="T24" s="893"/>
      <c r="U24" s="890"/>
    </row>
    <row r="25" spans="2:21" s="885" customFormat="1" ht="19.5" customHeight="1">
      <c r="B25" s="886"/>
      <c r="C25" s="894">
        <f>IF('[1]BASE'!C26=0,"",'[1]BASE'!C26)</f>
        <v>10</v>
      </c>
      <c r="D25" s="894" t="str">
        <f>IF('[1]BASE'!D26=0,"",'[1]BASE'!D26)</f>
        <v>CERR. de la CTA - P.BAND. (A3)</v>
      </c>
      <c r="E25" s="894">
        <f>IF('[1]BASE'!E26=0,"",'[1]BASE'!E26)</f>
        <v>500</v>
      </c>
      <c r="F25" s="894">
        <f>IF('[1]BASE'!F26=0,"",'[1]BASE'!F26)</f>
        <v>27</v>
      </c>
      <c r="G25" s="895" t="str">
        <f>IF('[1]BASE'!G26=0,"",'[1]BASE'!G26)</f>
        <v>C</v>
      </c>
      <c r="H25" s="894">
        <f>IF('[1]BASE'!DL26=0,"",'[1]BASE'!DL26)</f>
      </c>
      <c r="I25" s="894">
        <f>IF('[1]BASE'!DM26=0,"",'[1]BASE'!DM26)</f>
      </c>
      <c r="J25" s="894">
        <f>IF('[1]BASE'!DN26=0,"",'[1]BASE'!DN26)</f>
      </c>
      <c r="K25" s="894">
        <f>IF('[1]BASE'!DO26=0,"",'[1]BASE'!DO26)</f>
      </c>
      <c r="L25" s="894">
        <f>IF('[1]BASE'!DP26=0,"",'[1]BASE'!DP26)</f>
      </c>
      <c r="M25" s="894">
        <f>IF('[1]BASE'!DQ26=0,"",'[1]BASE'!DQ26)</f>
      </c>
      <c r="N25" s="894">
        <f>IF('[1]BASE'!DR26=0,"",'[1]BASE'!DR26)</f>
      </c>
      <c r="O25" s="894">
        <f>IF('[1]BASE'!DS26=0,"",'[1]BASE'!DS26)</f>
      </c>
      <c r="P25" s="894">
        <f>IF('[1]BASE'!DT26=0,"",'[1]BASE'!DT26)</f>
      </c>
      <c r="Q25" s="894">
        <f>IF('[1]BASE'!DU26=0,"",'[1]BASE'!DU26)</f>
      </c>
      <c r="R25" s="894">
        <f>IF('[1]BASE'!DV26=0,"",'[1]BASE'!DV26)</f>
      </c>
      <c r="S25" s="894">
        <f>IF('[1]BASE'!DW26=0,"",'[1]BASE'!DW26)</f>
      </c>
      <c r="T25" s="893"/>
      <c r="U25" s="890"/>
    </row>
    <row r="26" spans="2:21" s="885" customFormat="1" ht="19.5" customHeight="1">
      <c r="B26" s="886"/>
      <c r="C26" s="896">
        <f>IF('[1]BASE'!C27=0,"",'[1]BASE'!C27)</f>
        <v>11</v>
      </c>
      <c r="D26" s="896" t="str">
        <f>IF('[1]BASE'!D27=0,"",'[1]BASE'!D27)</f>
        <v>COLONIA ELIA - CAMPANA</v>
      </c>
      <c r="E26" s="896">
        <f>IF('[1]BASE'!E27=0,"",'[1]BASE'!E27)</f>
        <v>500</v>
      </c>
      <c r="F26" s="896">
        <f>IF('[1]BASE'!F27=0,"",'[1]BASE'!F27)</f>
        <v>194</v>
      </c>
      <c r="G26" s="897" t="str">
        <f>IF('[1]BASE'!G27=0,"",'[1]BASE'!G27)</f>
        <v>C</v>
      </c>
      <c r="H26" s="896">
        <f>IF('[1]BASE'!DL27=0,"",'[1]BASE'!DL27)</f>
      </c>
      <c r="I26" s="896">
        <f>IF('[1]BASE'!DM27=0,"",'[1]BASE'!DM27)</f>
      </c>
      <c r="J26" s="896">
        <f>IF('[1]BASE'!DN27=0,"",'[1]BASE'!DN27)</f>
      </c>
      <c r="K26" s="896">
        <f>IF('[1]BASE'!DO27=0,"",'[1]BASE'!DO27)</f>
      </c>
      <c r="L26" s="896">
        <f>IF('[1]BASE'!DP27=0,"",'[1]BASE'!DP27)</f>
      </c>
      <c r="M26" s="896">
        <f>IF('[1]BASE'!DQ27=0,"",'[1]BASE'!DQ27)</f>
      </c>
      <c r="N26" s="896">
        <f>IF('[1]BASE'!DR27=0,"",'[1]BASE'!DR27)</f>
      </c>
      <c r="O26" s="896">
        <f>IF('[1]BASE'!DS27=0,"",'[1]BASE'!DS27)</f>
      </c>
      <c r="P26" s="896">
        <f>IF('[1]BASE'!DT27=0,"",'[1]BASE'!DT27)</f>
      </c>
      <c r="Q26" s="896">
        <f>IF('[1]BASE'!DU27=0,"",'[1]BASE'!DU27)</f>
      </c>
      <c r="R26" s="896">
        <f>IF('[1]BASE'!DV27=0,"",'[1]BASE'!DV27)</f>
      </c>
      <c r="S26" s="896">
        <f>IF('[1]BASE'!DW27=0,"",'[1]BASE'!DW27)</f>
      </c>
      <c r="T26" s="893"/>
      <c r="U26" s="890"/>
    </row>
    <row r="27" spans="2:21" s="885" customFormat="1" ht="19.5" customHeight="1">
      <c r="B27" s="886"/>
      <c r="C27" s="894">
        <f>IF('[1]BASE'!C28=0,"",'[1]BASE'!C28)</f>
        <v>12</v>
      </c>
      <c r="D27" s="894" t="str">
        <f>IF('[1]BASE'!D28=0,"",'[1]BASE'!D28)</f>
        <v>CHO. W. - CHOELE CHOEL (5WH1)</v>
      </c>
      <c r="E27" s="894">
        <f>IF('[1]BASE'!E28=0,"",'[1]BASE'!E28)</f>
        <v>500</v>
      </c>
      <c r="F27" s="894">
        <f>IF('[1]BASE'!F28=0,"",'[1]BASE'!F28)</f>
        <v>269</v>
      </c>
      <c r="G27" s="895" t="str">
        <f>IF('[1]BASE'!G28=0,"",'[1]BASE'!G28)</f>
        <v>B</v>
      </c>
      <c r="H27" s="894">
        <f>IF('[1]BASE'!DL28=0,"",'[1]BASE'!DL28)</f>
      </c>
      <c r="I27" s="894">
        <f>IF('[1]BASE'!DM28=0,"",'[1]BASE'!DM28)</f>
      </c>
      <c r="J27" s="894">
        <f>IF('[1]BASE'!DN28=0,"",'[1]BASE'!DN28)</f>
      </c>
      <c r="K27" s="894">
        <f>IF('[1]BASE'!DO28=0,"",'[1]BASE'!DO28)</f>
      </c>
      <c r="L27" s="894">
        <f>IF('[1]BASE'!DP28=0,"",'[1]BASE'!DP28)</f>
      </c>
      <c r="M27" s="894">
        <f>IF('[1]BASE'!DQ28=0,"",'[1]BASE'!DQ28)</f>
      </c>
      <c r="N27" s="894">
        <f>IF('[1]BASE'!DR28=0,"",'[1]BASE'!DR28)</f>
      </c>
      <c r="O27" s="894">
        <f>IF('[1]BASE'!DS28=0,"",'[1]BASE'!DS28)</f>
      </c>
      <c r="P27" s="894">
        <f>IF('[1]BASE'!DT28=0,"",'[1]BASE'!DT28)</f>
      </c>
      <c r="Q27" s="894">
        <f>IF('[1]BASE'!DU28=0,"",'[1]BASE'!DU28)</f>
      </c>
      <c r="R27" s="894">
        <f>IF('[1]BASE'!DV28=0,"",'[1]BASE'!DV28)</f>
      </c>
      <c r="S27" s="894">
        <f>IF('[1]BASE'!DW28=0,"",'[1]BASE'!DW28)</f>
      </c>
      <c r="T27" s="893"/>
      <c r="U27" s="890"/>
    </row>
    <row r="28" spans="2:21" s="885" customFormat="1" ht="19.5" customHeight="1">
      <c r="B28" s="886"/>
      <c r="C28" s="896">
        <f>IF('[1]BASE'!C29=0,"",'[1]BASE'!C29)</f>
        <v>13</v>
      </c>
      <c r="D28" s="896" t="str">
        <f>IF('[1]BASE'!D29=0,"",'[1]BASE'!D29)</f>
        <v>CHO.W. - CHO. 1 (5WC1)</v>
      </c>
      <c r="E28" s="896">
        <f>IF('[1]BASE'!E29=0,"",'[1]BASE'!E29)</f>
        <v>500</v>
      </c>
      <c r="F28" s="896">
        <f>IF('[1]BASE'!F29=0,"",'[1]BASE'!F29)</f>
        <v>4.5</v>
      </c>
      <c r="G28" s="897" t="str">
        <f>IF('[1]BASE'!G29=0,"",'[1]BASE'!G29)</f>
        <v>C</v>
      </c>
      <c r="H28" s="896">
        <f>IF('[1]BASE'!DL29=0,"",'[1]BASE'!DL29)</f>
      </c>
      <c r="I28" s="896">
        <f>IF('[1]BASE'!DM29=0,"",'[1]BASE'!DM29)</f>
      </c>
      <c r="J28" s="896">
        <f>IF('[1]BASE'!DN29=0,"",'[1]BASE'!DN29)</f>
      </c>
      <c r="K28" s="896">
        <f>IF('[1]BASE'!DO29=0,"",'[1]BASE'!DO29)</f>
      </c>
      <c r="L28" s="896">
        <f>IF('[1]BASE'!DP29=0,"",'[1]BASE'!DP29)</f>
      </c>
      <c r="M28" s="896">
        <f>IF('[1]BASE'!DQ29=0,"",'[1]BASE'!DQ29)</f>
      </c>
      <c r="N28" s="896">
        <f>IF('[1]BASE'!DR29=0,"",'[1]BASE'!DR29)</f>
      </c>
      <c r="O28" s="896">
        <f>IF('[1]BASE'!DS29=0,"",'[1]BASE'!DS29)</f>
      </c>
      <c r="P28" s="896">
        <f>IF('[1]BASE'!DT29=0,"",'[1]BASE'!DT29)</f>
      </c>
      <c r="Q28" s="896">
        <f>IF('[1]BASE'!DU29=0,"",'[1]BASE'!DU29)</f>
      </c>
      <c r="R28" s="896">
        <f>IF('[1]BASE'!DV29=0,"",'[1]BASE'!DV29)</f>
      </c>
      <c r="S28" s="896">
        <f>IF('[1]BASE'!DW29=0,"",'[1]BASE'!DW29)</f>
      </c>
      <c r="T28" s="893"/>
      <c r="U28" s="890"/>
    </row>
    <row r="29" spans="2:21" s="885" customFormat="1" ht="19.5" customHeight="1">
      <c r="B29" s="886"/>
      <c r="C29" s="894">
        <f>IF('[1]BASE'!C30=0,"",'[1]BASE'!C30)</f>
        <v>14</v>
      </c>
      <c r="D29" s="894" t="str">
        <f>IF('[1]BASE'!D30=0,"",'[1]BASE'!D30)</f>
        <v>CHO.W. - CHO. 2 (5WC2)</v>
      </c>
      <c r="E29" s="894">
        <f>IF('[1]BASE'!E30=0,"",'[1]BASE'!E30)</f>
        <v>500</v>
      </c>
      <c r="F29" s="894">
        <f>IF('[1]BASE'!F30=0,"",'[1]BASE'!F30)</f>
        <v>4.5</v>
      </c>
      <c r="G29" s="895" t="str">
        <f>IF('[1]BASE'!G30=0,"",'[1]BASE'!G30)</f>
        <v>C</v>
      </c>
      <c r="H29" s="894">
        <f>IF('[1]BASE'!DL30=0,"",'[1]BASE'!DL30)</f>
      </c>
      <c r="I29" s="894">
        <f>IF('[1]BASE'!DM30=0,"",'[1]BASE'!DM30)</f>
      </c>
      <c r="J29" s="894">
        <f>IF('[1]BASE'!DN30=0,"",'[1]BASE'!DN30)</f>
      </c>
      <c r="K29" s="894">
        <f>IF('[1]BASE'!DO30=0,"",'[1]BASE'!DO30)</f>
      </c>
      <c r="L29" s="894">
        <f>IF('[1]BASE'!DP30=0,"",'[1]BASE'!DP30)</f>
      </c>
      <c r="M29" s="894">
        <f>IF('[1]BASE'!DQ30=0,"",'[1]BASE'!DQ30)</f>
      </c>
      <c r="N29" s="894">
        <f>IF('[1]BASE'!DR30=0,"",'[1]BASE'!DR30)</f>
      </c>
      <c r="O29" s="894">
        <f>IF('[1]BASE'!DS30=0,"",'[1]BASE'!DS30)</f>
      </c>
      <c r="P29" s="894">
        <f>IF('[1]BASE'!DT30=0,"",'[1]BASE'!DT30)</f>
      </c>
      <c r="Q29" s="894">
        <f>IF('[1]BASE'!DU30=0,"",'[1]BASE'!DU30)</f>
      </c>
      <c r="R29" s="894">
        <f>IF('[1]BASE'!DV30=0,"",'[1]BASE'!DV30)</f>
      </c>
      <c r="S29" s="894">
        <f>IF('[1]BASE'!DW30=0,"",'[1]BASE'!DW30)</f>
      </c>
      <c r="T29" s="893"/>
      <c r="U29" s="890"/>
    </row>
    <row r="30" spans="2:21" s="885" customFormat="1" ht="19.5" customHeight="1">
      <c r="B30" s="886"/>
      <c r="C30" s="896">
        <f>IF('[1]BASE'!C31=0,"",'[1]BASE'!C31)</f>
        <v>15</v>
      </c>
      <c r="D30" s="896" t="str">
        <f>IF('[1]BASE'!D31=0,"",'[1]BASE'!D31)</f>
        <v>CHOCON - C.H. CHOCON 1</v>
      </c>
      <c r="E30" s="896">
        <f>IF('[1]BASE'!E31=0,"",'[1]BASE'!E31)</f>
        <v>500</v>
      </c>
      <c r="F30" s="896">
        <f>IF('[1]BASE'!F31=0,"",'[1]BASE'!F31)</f>
        <v>3</v>
      </c>
      <c r="G30" s="897" t="str">
        <f>IF('[1]BASE'!G31=0,"",'[1]BASE'!G31)</f>
        <v>C</v>
      </c>
      <c r="H30" s="896">
        <f>IF('[1]BASE'!DL31=0,"",'[1]BASE'!DL31)</f>
      </c>
      <c r="I30" s="896">
        <f>IF('[1]BASE'!DM31=0,"",'[1]BASE'!DM31)</f>
      </c>
      <c r="J30" s="896">
        <f>IF('[1]BASE'!DN31=0,"",'[1]BASE'!DN31)</f>
      </c>
      <c r="K30" s="896">
        <f>IF('[1]BASE'!DO31=0,"",'[1]BASE'!DO31)</f>
      </c>
      <c r="L30" s="896">
        <f>IF('[1]BASE'!DP31=0,"",'[1]BASE'!DP31)</f>
      </c>
      <c r="M30" s="896">
        <f>IF('[1]BASE'!DQ31=0,"",'[1]BASE'!DQ31)</f>
      </c>
      <c r="N30" s="896">
        <f>IF('[1]BASE'!DR31=0,"",'[1]BASE'!DR31)</f>
      </c>
      <c r="O30" s="896">
        <f>IF('[1]BASE'!DS31=0,"",'[1]BASE'!DS31)</f>
      </c>
      <c r="P30" s="896">
        <f>IF('[1]BASE'!DT31=0,"",'[1]BASE'!DT31)</f>
      </c>
      <c r="Q30" s="896">
        <f>IF('[1]BASE'!DU31=0,"",'[1]BASE'!DU31)</f>
      </c>
      <c r="R30" s="896">
        <f>IF('[1]BASE'!DV31=0,"",'[1]BASE'!DV31)</f>
      </c>
      <c r="S30" s="896">
        <f>IF('[1]BASE'!DW31=0,"",'[1]BASE'!DW31)</f>
      </c>
      <c r="T30" s="893"/>
      <c r="U30" s="890"/>
    </row>
    <row r="31" spans="2:21" s="885" customFormat="1" ht="19.5" customHeight="1">
      <c r="B31" s="886"/>
      <c r="C31" s="894">
        <f>IF('[1]BASE'!C32=0,"",'[1]BASE'!C32)</f>
        <v>16</v>
      </c>
      <c r="D31" s="894" t="str">
        <f>IF('[1]BASE'!D32=0,"",'[1]BASE'!D32)</f>
        <v>CHOCON - C.H. CHOCON 2</v>
      </c>
      <c r="E31" s="894">
        <f>IF('[1]BASE'!E32=0,"",'[1]BASE'!E32)</f>
        <v>500</v>
      </c>
      <c r="F31" s="894">
        <f>IF('[1]BASE'!F32=0,"",'[1]BASE'!F32)</f>
        <v>3</v>
      </c>
      <c r="G31" s="895" t="str">
        <f>IF('[1]BASE'!G32=0,"",'[1]BASE'!G32)</f>
        <v>C</v>
      </c>
      <c r="H31" s="894">
        <f>IF('[1]BASE'!DL32=0,"",'[1]BASE'!DL32)</f>
      </c>
      <c r="I31" s="894">
        <f>IF('[1]BASE'!DM32=0,"",'[1]BASE'!DM32)</f>
      </c>
      <c r="J31" s="894">
        <f>IF('[1]BASE'!DN32=0,"",'[1]BASE'!DN32)</f>
      </c>
      <c r="K31" s="894">
        <f>IF('[1]BASE'!DO32=0,"",'[1]BASE'!DO32)</f>
      </c>
      <c r="L31" s="894">
        <f>IF('[1]BASE'!DP32=0,"",'[1]BASE'!DP32)</f>
      </c>
      <c r="M31" s="894">
        <f>IF('[1]BASE'!DQ32=0,"",'[1]BASE'!DQ32)</f>
      </c>
      <c r="N31" s="894">
        <f>IF('[1]BASE'!DR32=0,"",'[1]BASE'!DR32)</f>
      </c>
      <c r="O31" s="894">
        <f>IF('[1]BASE'!DS32=0,"",'[1]BASE'!DS32)</f>
        <v>1</v>
      </c>
      <c r="P31" s="894">
        <f>IF('[1]BASE'!DT32=0,"",'[1]BASE'!DT32)</f>
      </c>
      <c r="Q31" s="894">
        <f>IF('[1]BASE'!DU32=0,"",'[1]BASE'!DU32)</f>
      </c>
      <c r="R31" s="894">
        <f>IF('[1]BASE'!DV32=0,"",'[1]BASE'!DV32)</f>
      </c>
      <c r="S31" s="894">
        <f>IF('[1]BASE'!DW32=0,"",'[1]BASE'!DW32)</f>
      </c>
      <c r="T31" s="893"/>
      <c r="U31" s="890"/>
    </row>
    <row r="32" spans="2:21" s="885" customFormat="1" ht="19.5" customHeight="1">
      <c r="B32" s="886"/>
      <c r="C32" s="896">
        <f>IF('[1]BASE'!C33=0,"",'[1]BASE'!C33)</f>
        <v>17</v>
      </c>
      <c r="D32" s="896" t="str">
        <f>IF('[1]BASE'!D33=0,"",'[1]BASE'!D33)</f>
        <v>CHOCON - C.H. CHOCON 3</v>
      </c>
      <c r="E32" s="896">
        <f>IF('[1]BASE'!E33=0,"",'[1]BASE'!E33)</f>
        <v>500</v>
      </c>
      <c r="F32" s="896">
        <f>IF('[1]BASE'!F33=0,"",'[1]BASE'!F33)</f>
        <v>3</v>
      </c>
      <c r="G32" s="897" t="str">
        <f>IF('[1]BASE'!G33=0,"",'[1]BASE'!G33)</f>
        <v>C</v>
      </c>
      <c r="H32" s="896">
        <f>IF('[1]BASE'!DL33=0,"",'[1]BASE'!DL33)</f>
      </c>
      <c r="I32" s="896">
        <f>IF('[1]BASE'!DM33=0,"",'[1]BASE'!DM33)</f>
      </c>
      <c r="J32" s="896">
        <f>IF('[1]BASE'!DN33=0,"",'[1]BASE'!DN33)</f>
      </c>
      <c r="K32" s="896">
        <f>IF('[1]BASE'!DO33=0,"",'[1]BASE'!DO33)</f>
      </c>
      <c r="L32" s="896">
        <f>IF('[1]BASE'!DP33=0,"",'[1]BASE'!DP33)</f>
      </c>
      <c r="M32" s="896">
        <f>IF('[1]BASE'!DQ33=0,"",'[1]BASE'!DQ33)</f>
      </c>
      <c r="N32" s="896">
        <f>IF('[1]BASE'!DR33=0,"",'[1]BASE'!DR33)</f>
      </c>
      <c r="O32" s="896">
        <f>IF('[1]BASE'!DS33=0,"",'[1]BASE'!DS33)</f>
      </c>
      <c r="P32" s="896">
        <f>IF('[1]BASE'!DT33=0,"",'[1]BASE'!DT33)</f>
      </c>
      <c r="Q32" s="896">
        <f>IF('[1]BASE'!DU33=0,"",'[1]BASE'!DU33)</f>
      </c>
      <c r="R32" s="896">
        <f>IF('[1]BASE'!DV33=0,"",'[1]BASE'!DV33)</f>
      </c>
      <c r="S32" s="896">
        <f>IF('[1]BASE'!DW33=0,"",'[1]BASE'!DW33)</f>
      </c>
      <c r="T32" s="893"/>
      <c r="U32" s="890"/>
    </row>
    <row r="33" spans="2:21" s="885" customFormat="1" ht="19.5" customHeight="1">
      <c r="B33" s="886"/>
      <c r="C33" s="894">
        <f>IF('[1]BASE'!C34=0,"",'[1]BASE'!C34)</f>
        <v>18</v>
      </c>
      <c r="D33" s="894" t="str">
        <f>IF('[1]BASE'!D34=0,"",'[1]BASE'!D34)</f>
        <v>CHOCON - PUELCHES 1</v>
      </c>
      <c r="E33" s="894">
        <f>IF('[1]BASE'!E34=0,"",'[1]BASE'!E34)</f>
        <v>500</v>
      </c>
      <c r="F33" s="894">
        <f>IF('[1]BASE'!F34=0,"",'[1]BASE'!F34)</f>
        <v>304</v>
      </c>
      <c r="G33" s="895" t="str">
        <f>IF('[1]BASE'!G34=0,"",'[1]BASE'!G34)</f>
        <v>A</v>
      </c>
      <c r="H33" s="894">
        <f>IF('[1]BASE'!DL34=0,"",'[1]BASE'!DL34)</f>
      </c>
      <c r="I33" s="894">
        <f>IF('[1]BASE'!DM34=0,"",'[1]BASE'!DM34)</f>
      </c>
      <c r="J33" s="894">
        <f>IF('[1]BASE'!DN34=0,"",'[1]BASE'!DN34)</f>
      </c>
      <c r="K33" s="894">
        <f>IF('[1]BASE'!DO34=0,"",'[1]BASE'!DO34)</f>
      </c>
      <c r="L33" s="894">
        <f>IF('[1]BASE'!DP34=0,"",'[1]BASE'!DP34)</f>
      </c>
      <c r="M33" s="894">
        <f>IF('[1]BASE'!DQ34=0,"",'[1]BASE'!DQ34)</f>
      </c>
      <c r="N33" s="894">
        <f>IF('[1]BASE'!DR34=0,"",'[1]BASE'!DR34)</f>
      </c>
      <c r="O33" s="894">
        <f>IF('[1]BASE'!DS34=0,"",'[1]BASE'!DS34)</f>
        <v>1</v>
      </c>
      <c r="P33" s="894">
        <f>IF('[1]BASE'!DT34=0,"",'[1]BASE'!DT34)</f>
      </c>
      <c r="Q33" s="894">
        <f>IF('[1]BASE'!DU34=0,"",'[1]BASE'!DU34)</f>
      </c>
      <c r="R33" s="894">
        <f>IF('[1]BASE'!DV34=0,"",'[1]BASE'!DV34)</f>
      </c>
      <c r="S33" s="894">
        <f>IF('[1]BASE'!DW34=0,"",'[1]BASE'!DW34)</f>
      </c>
      <c r="T33" s="893"/>
      <c r="U33" s="890"/>
    </row>
    <row r="34" spans="2:21" s="885" customFormat="1" ht="19.5" customHeight="1">
      <c r="B34" s="886"/>
      <c r="C34" s="896">
        <f>IF('[1]BASE'!C35=0,"",'[1]BASE'!C35)</f>
        <v>19</v>
      </c>
      <c r="D34" s="896" t="str">
        <f>IF('[1]BASE'!D35=0,"",'[1]BASE'!D35)</f>
        <v>CHOCON - PUELCHES 2</v>
      </c>
      <c r="E34" s="896">
        <f>IF('[1]BASE'!E35=0,"",'[1]BASE'!E35)</f>
        <v>500</v>
      </c>
      <c r="F34" s="896">
        <f>IF('[1]BASE'!F35=0,"",'[1]BASE'!F35)</f>
        <v>304</v>
      </c>
      <c r="G34" s="897" t="str">
        <f>IF('[1]BASE'!G35=0,"",'[1]BASE'!G35)</f>
        <v>A</v>
      </c>
      <c r="H34" s="896">
        <f>IF('[1]BASE'!DL35=0,"",'[1]BASE'!DL35)</f>
      </c>
      <c r="I34" s="896">
        <f>IF('[1]BASE'!DM35=0,"",'[1]BASE'!DM35)</f>
      </c>
      <c r="J34" s="896">
        <f>IF('[1]BASE'!DN35=0,"",'[1]BASE'!DN35)</f>
      </c>
      <c r="K34" s="896">
        <f>IF('[1]BASE'!DO35=0,"",'[1]BASE'!DO35)</f>
      </c>
      <c r="L34" s="896">
        <f>IF('[1]BASE'!DP35=0,"",'[1]BASE'!DP35)</f>
      </c>
      <c r="M34" s="896">
        <f>IF('[1]BASE'!DQ35=0,"",'[1]BASE'!DQ35)</f>
      </c>
      <c r="N34" s="896">
        <f>IF('[1]BASE'!DR35=0,"",'[1]BASE'!DR35)</f>
      </c>
      <c r="O34" s="896">
        <f>IF('[1]BASE'!DS35=0,"",'[1]BASE'!DS35)</f>
      </c>
      <c r="P34" s="896">
        <f>IF('[1]BASE'!DT35=0,"",'[1]BASE'!DT35)</f>
      </c>
      <c r="Q34" s="896">
        <f>IF('[1]BASE'!DU35=0,"",'[1]BASE'!DU35)</f>
      </c>
      <c r="R34" s="896">
        <f>IF('[1]BASE'!DV35=0,"",'[1]BASE'!DV35)</f>
        <v>1</v>
      </c>
      <c r="S34" s="896">
        <f>IF('[1]BASE'!DW35=0,"",'[1]BASE'!DW35)</f>
      </c>
      <c r="T34" s="893"/>
      <c r="U34" s="890"/>
    </row>
    <row r="35" spans="2:21" s="885" customFormat="1" ht="19.5" customHeight="1">
      <c r="B35" s="886"/>
      <c r="C35" s="894">
        <f>IF('[1]BASE'!C36=0,"",'[1]BASE'!C36)</f>
        <v>20</v>
      </c>
      <c r="D35" s="894" t="str">
        <f>IF('[1]BASE'!D36=0,"",'[1]BASE'!D36)</f>
        <v>E.T.P.del AGUILA - CENTRAL P.del A. 1</v>
      </c>
      <c r="E35" s="894">
        <f>IF('[1]BASE'!E36=0,"",'[1]BASE'!E36)</f>
        <v>500</v>
      </c>
      <c r="F35" s="894">
        <f>IF('[1]BASE'!F36=0,"",'[1]BASE'!F36)</f>
        <v>5.6</v>
      </c>
      <c r="G35" s="895" t="str">
        <f>IF('[1]BASE'!G36=0,"",'[1]BASE'!G36)</f>
        <v>C</v>
      </c>
      <c r="H35" s="894">
        <f>IF('[1]BASE'!DL36=0,"",'[1]BASE'!DL36)</f>
      </c>
      <c r="I35" s="894">
        <f>IF('[1]BASE'!DM36=0,"",'[1]BASE'!DM36)</f>
      </c>
      <c r="J35" s="894">
        <f>IF('[1]BASE'!DN36=0,"",'[1]BASE'!DN36)</f>
      </c>
      <c r="K35" s="894">
        <f>IF('[1]BASE'!DO36=0,"",'[1]BASE'!DO36)</f>
      </c>
      <c r="L35" s="894">
        <f>IF('[1]BASE'!DP36=0,"",'[1]BASE'!DP36)</f>
      </c>
      <c r="M35" s="894">
        <f>IF('[1]BASE'!DQ36=0,"",'[1]BASE'!DQ36)</f>
        <v>1</v>
      </c>
      <c r="N35" s="894">
        <f>IF('[1]BASE'!DR36=0,"",'[1]BASE'!DR36)</f>
      </c>
      <c r="O35" s="894">
        <f>IF('[1]BASE'!DS36=0,"",'[1]BASE'!DS36)</f>
      </c>
      <c r="P35" s="894">
        <f>IF('[1]BASE'!DT36=0,"",'[1]BASE'!DT36)</f>
      </c>
      <c r="Q35" s="894">
        <f>IF('[1]BASE'!DU36=0,"",'[1]BASE'!DU36)</f>
      </c>
      <c r="R35" s="894">
        <f>IF('[1]BASE'!DV36=0,"",'[1]BASE'!DV36)</f>
      </c>
      <c r="S35" s="894">
        <f>IF('[1]BASE'!DW36=0,"",'[1]BASE'!DW36)</f>
      </c>
      <c r="T35" s="893"/>
      <c r="U35" s="890"/>
    </row>
    <row r="36" spans="2:21" s="885" customFormat="1" ht="19.5" customHeight="1">
      <c r="B36" s="886"/>
      <c r="C36" s="896">
        <f>IF('[1]BASE'!C37=0,"",'[1]BASE'!C37)</f>
        <v>21</v>
      </c>
      <c r="D36" s="896" t="str">
        <f>IF('[1]BASE'!D37=0,"",'[1]BASE'!D37)</f>
        <v>E.T.P.del AGUILA - CENTRAL P.del A. 2</v>
      </c>
      <c r="E36" s="896">
        <f>IF('[1]BASE'!E37=0,"",'[1]BASE'!E37)</f>
        <v>500</v>
      </c>
      <c r="F36" s="896">
        <f>IF('[1]BASE'!F37=0,"",'[1]BASE'!F37)</f>
        <v>5.6</v>
      </c>
      <c r="G36" s="897" t="str">
        <f>IF('[1]BASE'!G37=0,"",'[1]BASE'!G37)</f>
        <v>C</v>
      </c>
      <c r="H36" s="896">
        <f>IF('[1]BASE'!DL37=0,"",'[1]BASE'!DL37)</f>
      </c>
      <c r="I36" s="896">
        <f>IF('[1]BASE'!DM37=0,"",'[1]BASE'!DM37)</f>
      </c>
      <c r="J36" s="896">
        <f>IF('[1]BASE'!DN37=0,"",'[1]BASE'!DN37)</f>
      </c>
      <c r="K36" s="896">
        <f>IF('[1]BASE'!DO37=0,"",'[1]BASE'!DO37)</f>
      </c>
      <c r="L36" s="896">
        <f>IF('[1]BASE'!DP37=0,"",'[1]BASE'!DP37)</f>
      </c>
      <c r="M36" s="896">
        <f>IF('[1]BASE'!DQ37=0,"",'[1]BASE'!DQ37)</f>
      </c>
      <c r="N36" s="896">
        <f>IF('[1]BASE'!DR37=0,"",'[1]BASE'!DR37)</f>
      </c>
      <c r="O36" s="896">
        <f>IF('[1]BASE'!DS37=0,"",'[1]BASE'!DS37)</f>
      </c>
      <c r="P36" s="896">
        <f>IF('[1]BASE'!DT37=0,"",'[1]BASE'!DT37)</f>
      </c>
      <c r="Q36" s="896">
        <f>IF('[1]BASE'!DU37=0,"",'[1]BASE'!DU37)</f>
      </c>
      <c r="R36" s="896">
        <f>IF('[1]BASE'!DV37=0,"",'[1]BASE'!DV37)</f>
      </c>
      <c r="S36" s="896">
        <f>IF('[1]BASE'!DW37=0,"",'[1]BASE'!DW37)</f>
      </c>
      <c r="T36" s="893"/>
      <c r="U36" s="890"/>
    </row>
    <row r="37" spans="2:21" s="885" customFormat="1" ht="19.5" customHeight="1">
      <c r="B37" s="886"/>
      <c r="C37" s="894">
        <f>IF('[1]BASE'!C38=0,"",'[1]BASE'!C38)</f>
        <v>22</v>
      </c>
      <c r="D37" s="894" t="str">
        <f>IF('[1]BASE'!D38=0,"",'[1]BASE'!D38)</f>
        <v>EL BRACHO - RECREO(5)</v>
      </c>
      <c r="E37" s="894">
        <f>IF('[1]BASE'!E38=0,"",'[1]BASE'!E38)</f>
        <v>500</v>
      </c>
      <c r="F37" s="894">
        <f>IF('[1]BASE'!F38=0,"",'[1]BASE'!F38)</f>
        <v>255</v>
      </c>
      <c r="G37" s="895" t="str">
        <f>IF('[1]BASE'!G38=0,"",'[1]BASE'!G38)</f>
        <v>C</v>
      </c>
      <c r="H37" s="894">
        <f>IF('[1]BASE'!DL38=0,"",'[1]BASE'!DL38)</f>
      </c>
      <c r="I37" s="894">
        <f>IF('[1]BASE'!DM38=0,"",'[1]BASE'!DM38)</f>
      </c>
      <c r="J37" s="894">
        <f>IF('[1]BASE'!DN38=0,"",'[1]BASE'!DN38)</f>
      </c>
      <c r="K37" s="894">
        <f>IF('[1]BASE'!DO38=0,"",'[1]BASE'!DO38)</f>
      </c>
      <c r="L37" s="894">
        <f>IF('[1]BASE'!DP38=0,"",'[1]BASE'!DP38)</f>
      </c>
      <c r="M37" s="894">
        <f>IF('[1]BASE'!DQ38=0,"",'[1]BASE'!DQ38)</f>
      </c>
      <c r="N37" s="894">
        <f>IF('[1]BASE'!DR38=0,"",'[1]BASE'!DR38)</f>
      </c>
      <c r="O37" s="894">
        <f>IF('[1]BASE'!DS38=0,"",'[1]BASE'!DS38)</f>
      </c>
      <c r="P37" s="894">
        <f>IF('[1]BASE'!DT38=0,"",'[1]BASE'!DT38)</f>
      </c>
      <c r="Q37" s="894">
        <f>IF('[1]BASE'!DU38=0,"",'[1]BASE'!DU38)</f>
      </c>
      <c r="R37" s="894">
        <f>IF('[1]BASE'!DV38=0,"",'[1]BASE'!DV38)</f>
      </c>
      <c r="S37" s="894">
        <f>IF('[1]BASE'!DW38=0,"",'[1]BASE'!DW38)</f>
      </c>
      <c r="T37" s="893"/>
      <c r="U37" s="890"/>
    </row>
    <row r="38" spans="2:21" s="885" customFormat="1" ht="19.5" customHeight="1">
      <c r="B38" s="886"/>
      <c r="C38" s="896">
        <f>IF('[1]BASE'!C39=0,"",'[1]BASE'!C39)</f>
        <v>23</v>
      </c>
      <c r="D38" s="896" t="str">
        <f>IF('[1]BASE'!D39=0,"",'[1]BASE'!D39)</f>
        <v>EZEIZA - ABASTO 1</v>
      </c>
      <c r="E38" s="896">
        <f>IF('[1]BASE'!E39=0,"",'[1]BASE'!E39)</f>
        <v>500</v>
      </c>
      <c r="F38" s="896">
        <f>IF('[1]BASE'!F39=0,"",'[1]BASE'!F39)</f>
        <v>58</v>
      </c>
      <c r="G38" s="897" t="str">
        <f>IF('[1]BASE'!G39=0,"",'[1]BASE'!G39)</f>
        <v>C</v>
      </c>
      <c r="H38" s="896">
        <f>IF('[1]BASE'!DL39=0,"",'[1]BASE'!DL39)</f>
      </c>
      <c r="I38" s="896">
        <f>IF('[1]BASE'!DM39=0,"",'[1]BASE'!DM39)</f>
      </c>
      <c r="J38" s="896">
        <f>IF('[1]BASE'!DN39=0,"",'[1]BASE'!DN39)</f>
      </c>
      <c r="K38" s="896">
        <f>IF('[1]BASE'!DO39=0,"",'[1]BASE'!DO39)</f>
      </c>
      <c r="L38" s="896">
        <f>IF('[1]BASE'!DP39=0,"",'[1]BASE'!DP39)</f>
      </c>
      <c r="M38" s="896">
        <f>IF('[1]BASE'!DQ39=0,"",'[1]BASE'!DQ39)</f>
      </c>
      <c r="N38" s="896">
        <f>IF('[1]BASE'!DR39=0,"",'[1]BASE'!DR39)</f>
      </c>
      <c r="O38" s="896">
        <f>IF('[1]BASE'!DS39=0,"",'[1]BASE'!DS39)</f>
      </c>
      <c r="P38" s="896">
        <f>IF('[1]BASE'!DT39=0,"",'[1]BASE'!DT39)</f>
      </c>
      <c r="Q38" s="896">
        <f>IF('[1]BASE'!DU39=0,"",'[1]BASE'!DU39)</f>
      </c>
      <c r="R38" s="896">
        <f>IF('[1]BASE'!DV39=0,"",'[1]BASE'!DV39)</f>
      </c>
      <c r="S38" s="896">
        <f>IF('[1]BASE'!DW39=0,"",'[1]BASE'!DW39)</f>
      </c>
      <c r="T38" s="893"/>
      <c r="U38" s="890"/>
    </row>
    <row r="39" spans="2:21" s="885" customFormat="1" ht="19.5" customHeight="1">
      <c r="B39" s="886"/>
      <c r="C39" s="894">
        <f>IF('[1]BASE'!C40=0,"",'[1]BASE'!C40)</f>
        <v>24</v>
      </c>
      <c r="D39" s="894" t="str">
        <f>IF('[1]BASE'!D40=0,"",'[1]BASE'!D40)</f>
        <v>EZEIZA - ABASTO 2</v>
      </c>
      <c r="E39" s="894">
        <f>IF('[1]BASE'!E40=0,"",'[1]BASE'!E40)</f>
        <v>500</v>
      </c>
      <c r="F39" s="894">
        <f>IF('[1]BASE'!F40=0,"",'[1]BASE'!F40)</f>
        <v>58</v>
      </c>
      <c r="G39" s="895" t="str">
        <f>IF('[1]BASE'!G40=0,"",'[1]BASE'!G40)</f>
        <v>C</v>
      </c>
      <c r="H39" s="894">
        <f>IF('[1]BASE'!DL40=0,"",'[1]BASE'!DL40)</f>
      </c>
      <c r="I39" s="894">
        <f>IF('[1]BASE'!DM40=0,"",'[1]BASE'!DM40)</f>
      </c>
      <c r="J39" s="894">
        <f>IF('[1]BASE'!DN40=0,"",'[1]BASE'!DN40)</f>
      </c>
      <c r="K39" s="894">
        <f>IF('[1]BASE'!DO40=0,"",'[1]BASE'!DO40)</f>
      </c>
      <c r="L39" s="894">
        <f>IF('[1]BASE'!DP40=0,"",'[1]BASE'!DP40)</f>
      </c>
      <c r="M39" s="894">
        <f>IF('[1]BASE'!DQ40=0,"",'[1]BASE'!DQ40)</f>
      </c>
      <c r="N39" s="894">
        <f>IF('[1]BASE'!DR40=0,"",'[1]BASE'!DR40)</f>
      </c>
      <c r="O39" s="894">
        <f>IF('[1]BASE'!DS40=0,"",'[1]BASE'!DS40)</f>
      </c>
      <c r="P39" s="894">
        <f>IF('[1]BASE'!DT40=0,"",'[1]BASE'!DT40)</f>
      </c>
      <c r="Q39" s="894">
        <f>IF('[1]BASE'!DU40=0,"",'[1]BASE'!DU40)</f>
      </c>
      <c r="R39" s="894">
        <f>IF('[1]BASE'!DV40=0,"",'[1]BASE'!DV40)</f>
      </c>
      <c r="S39" s="894">
        <f>IF('[1]BASE'!DW40=0,"",'[1]BASE'!DW40)</f>
      </c>
      <c r="T39" s="893"/>
      <c r="U39" s="890"/>
    </row>
    <row r="40" spans="2:21" s="885" customFormat="1" ht="19.5" customHeight="1">
      <c r="B40" s="886"/>
      <c r="C40" s="896">
        <f>IF('[1]BASE'!C41=0,"",'[1]BASE'!C41)</f>
        <v>25</v>
      </c>
      <c r="D40" s="896" t="str">
        <f>IF('[1]BASE'!D41=0,"",'[1]BASE'!D41)</f>
        <v>EZEIZA - RODRIGUEZ 1</v>
      </c>
      <c r="E40" s="896">
        <f>IF('[1]BASE'!E41=0,"",'[1]BASE'!E41)</f>
        <v>500</v>
      </c>
      <c r="F40" s="896">
        <f>IF('[1]BASE'!F41=0,"",'[1]BASE'!F41)</f>
        <v>53</v>
      </c>
      <c r="G40" s="897" t="str">
        <f>IF('[1]BASE'!G41=0,"",'[1]BASE'!G41)</f>
        <v>C</v>
      </c>
      <c r="H40" s="896">
        <f>IF('[1]BASE'!DL41=0,"",'[1]BASE'!DL41)</f>
      </c>
      <c r="I40" s="896">
        <f>IF('[1]BASE'!DM41=0,"",'[1]BASE'!DM41)</f>
      </c>
      <c r="J40" s="896">
        <f>IF('[1]BASE'!DN41=0,"",'[1]BASE'!DN41)</f>
      </c>
      <c r="K40" s="896">
        <f>IF('[1]BASE'!DO41=0,"",'[1]BASE'!DO41)</f>
      </c>
      <c r="L40" s="896">
        <f>IF('[1]BASE'!DP41=0,"",'[1]BASE'!DP41)</f>
      </c>
      <c r="M40" s="896">
        <f>IF('[1]BASE'!DQ41=0,"",'[1]BASE'!DQ41)</f>
      </c>
      <c r="N40" s="896">
        <f>IF('[1]BASE'!DR41=0,"",'[1]BASE'!DR41)</f>
      </c>
      <c r="O40" s="896">
        <f>IF('[1]BASE'!DS41=0,"",'[1]BASE'!DS41)</f>
      </c>
      <c r="P40" s="896">
        <f>IF('[1]BASE'!DT41=0,"",'[1]BASE'!DT41)</f>
      </c>
      <c r="Q40" s="896">
        <f>IF('[1]BASE'!DU41=0,"",'[1]BASE'!DU41)</f>
      </c>
      <c r="R40" s="896">
        <f>IF('[1]BASE'!DV41=0,"",'[1]BASE'!DV41)</f>
        <v>1</v>
      </c>
      <c r="S40" s="896">
        <f>IF('[1]BASE'!DW41=0,"",'[1]BASE'!DW41)</f>
      </c>
      <c r="T40" s="893"/>
      <c r="U40" s="890"/>
    </row>
    <row r="41" spans="2:21" s="885" customFormat="1" ht="19.5" customHeight="1">
      <c r="B41" s="886"/>
      <c r="C41" s="894">
        <f>IF('[1]BASE'!C42=0,"",'[1]BASE'!C42)</f>
        <v>26</v>
      </c>
      <c r="D41" s="894" t="str">
        <f>IF('[1]BASE'!D42=0,"",'[1]BASE'!D42)</f>
        <v>EZEIZA - RODRIGUEZ 2</v>
      </c>
      <c r="E41" s="894">
        <f>IF('[1]BASE'!E42=0,"",'[1]BASE'!E42)</f>
        <v>500</v>
      </c>
      <c r="F41" s="894">
        <f>IF('[1]BASE'!F42=0,"",'[1]BASE'!F42)</f>
        <v>53</v>
      </c>
      <c r="G41" s="895" t="str">
        <f>IF('[1]BASE'!G42=0,"",'[1]BASE'!G42)</f>
        <v>C</v>
      </c>
      <c r="H41" s="894">
        <f>IF('[1]BASE'!DL42=0,"",'[1]BASE'!DL42)</f>
      </c>
      <c r="I41" s="894">
        <f>IF('[1]BASE'!DM42=0,"",'[1]BASE'!DM42)</f>
      </c>
      <c r="J41" s="894">
        <f>IF('[1]BASE'!DN42=0,"",'[1]BASE'!DN42)</f>
      </c>
      <c r="K41" s="894">
        <f>IF('[1]BASE'!DO42=0,"",'[1]BASE'!DO42)</f>
      </c>
      <c r="L41" s="894">
        <f>IF('[1]BASE'!DP42=0,"",'[1]BASE'!DP42)</f>
      </c>
      <c r="M41" s="894">
        <f>IF('[1]BASE'!DQ42=0,"",'[1]BASE'!DQ42)</f>
      </c>
      <c r="N41" s="894">
        <f>IF('[1]BASE'!DR42=0,"",'[1]BASE'!DR42)</f>
      </c>
      <c r="O41" s="894">
        <f>IF('[1]BASE'!DS42=0,"",'[1]BASE'!DS42)</f>
      </c>
      <c r="P41" s="894">
        <f>IF('[1]BASE'!DT42=0,"",'[1]BASE'!DT42)</f>
      </c>
      <c r="Q41" s="894">
        <f>IF('[1]BASE'!DU42=0,"",'[1]BASE'!DU42)</f>
      </c>
      <c r="R41" s="894">
        <f>IF('[1]BASE'!DV42=0,"",'[1]BASE'!DV42)</f>
      </c>
      <c r="S41" s="894">
        <f>IF('[1]BASE'!DW42=0,"",'[1]BASE'!DW42)</f>
      </c>
      <c r="T41" s="893"/>
      <c r="U41" s="890"/>
    </row>
    <row r="42" spans="2:21" s="885" customFormat="1" ht="19.5" customHeight="1">
      <c r="B42" s="886"/>
      <c r="C42" s="896">
        <f>IF('[1]BASE'!C43=0,"",'[1]BASE'!C43)</f>
        <v>27</v>
      </c>
      <c r="D42" s="896" t="str">
        <f>IF('[1]BASE'!D43=0,"",'[1]BASE'!D43)</f>
        <v>EZEIZA- HENDERSON 1</v>
      </c>
      <c r="E42" s="896">
        <f>IF('[1]BASE'!E43=0,"",'[1]BASE'!E43)</f>
        <v>500</v>
      </c>
      <c r="F42" s="896">
        <f>IF('[1]BASE'!F43=0,"",'[1]BASE'!F43)</f>
        <v>313</v>
      </c>
      <c r="G42" s="897" t="str">
        <f>IF('[1]BASE'!G43=0,"",'[1]BASE'!G43)</f>
        <v>A</v>
      </c>
      <c r="H42" s="896">
        <f>IF('[1]BASE'!DL43=0,"",'[1]BASE'!DL43)</f>
      </c>
      <c r="I42" s="896">
        <f>IF('[1]BASE'!DM43=0,"",'[1]BASE'!DM43)</f>
      </c>
      <c r="J42" s="896">
        <f>IF('[1]BASE'!DN43=0,"",'[1]BASE'!DN43)</f>
      </c>
      <c r="K42" s="896">
        <f>IF('[1]BASE'!DO43=0,"",'[1]BASE'!DO43)</f>
      </c>
      <c r="L42" s="896">
        <f>IF('[1]BASE'!DP43=0,"",'[1]BASE'!DP43)</f>
      </c>
      <c r="M42" s="896">
        <f>IF('[1]BASE'!DQ43=0,"",'[1]BASE'!DQ43)</f>
      </c>
      <c r="N42" s="896">
        <f>IF('[1]BASE'!DR43=0,"",'[1]BASE'!DR43)</f>
      </c>
      <c r="O42" s="896">
        <f>IF('[1]BASE'!DS43=0,"",'[1]BASE'!DS43)</f>
      </c>
      <c r="P42" s="896">
        <f>IF('[1]BASE'!DT43=0,"",'[1]BASE'!DT43)</f>
      </c>
      <c r="Q42" s="896">
        <f>IF('[1]BASE'!DU43=0,"",'[1]BASE'!DU43)</f>
      </c>
      <c r="R42" s="896">
        <f>IF('[1]BASE'!DV43=0,"",'[1]BASE'!DV43)</f>
      </c>
      <c r="S42" s="896">
        <f>IF('[1]BASE'!DW43=0,"",'[1]BASE'!DW43)</f>
      </c>
      <c r="T42" s="893"/>
      <c r="U42" s="890"/>
    </row>
    <row r="43" spans="2:21" s="885" customFormat="1" ht="19.5" customHeight="1">
      <c r="B43" s="886"/>
      <c r="C43" s="894">
        <f>IF('[1]BASE'!C44=0,"",'[1]BASE'!C44)</f>
        <v>28</v>
      </c>
      <c r="D43" s="894" t="str">
        <f>IF('[1]BASE'!D44=0,"",'[1]BASE'!D44)</f>
        <v>EZEIZA - HENDERSON 2</v>
      </c>
      <c r="E43" s="894">
        <f>IF('[1]BASE'!E44=0,"",'[1]BASE'!E44)</f>
        <v>500</v>
      </c>
      <c r="F43" s="894">
        <f>IF('[1]BASE'!F44=0,"",'[1]BASE'!F44)</f>
        <v>313</v>
      </c>
      <c r="G43" s="895" t="str">
        <f>IF('[1]BASE'!G44=0,"",'[1]BASE'!G44)</f>
        <v>A</v>
      </c>
      <c r="H43" s="894">
        <f>IF('[1]BASE'!DL44=0,"",'[1]BASE'!DL44)</f>
      </c>
      <c r="I43" s="894">
        <f>IF('[1]BASE'!DM44=0,"",'[1]BASE'!DM44)</f>
      </c>
      <c r="J43" s="894">
        <f>IF('[1]BASE'!DN44=0,"",'[1]BASE'!DN44)</f>
      </c>
      <c r="K43" s="894">
        <f>IF('[1]BASE'!DO44=0,"",'[1]BASE'!DO44)</f>
      </c>
      <c r="L43" s="894">
        <f>IF('[1]BASE'!DP44=0,"",'[1]BASE'!DP44)</f>
      </c>
      <c r="M43" s="894">
        <f>IF('[1]BASE'!DQ44=0,"",'[1]BASE'!DQ44)</f>
      </c>
      <c r="N43" s="894">
        <f>IF('[1]BASE'!DR44=0,"",'[1]BASE'!DR44)</f>
      </c>
      <c r="O43" s="894">
        <f>IF('[1]BASE'!DS44=0,"",'[1]BASE'!DS44)</f>
      </c>
      <c r="P43" s="894">
        <f>IF('[1]BASE'!DT44=0,"",'[1]BASE'!DT44)</f>
      </c>
      <c r="Q43" s="894">
        <f>IF('[1]BASE'!DU44=0,"",'[1]BASE'!DU44)</f>
      </c>
      <c r="R43" s="894">
        <f>IF('[1]BASE'!DV44=0,"",'[1]BASE'!DV44)</f>
      </c>
      <c r="S43" s="894">
        <f>IF('[1]BASE'!DW44=0,"",'[1]BASE'!DW44)</f>
      </c>
      <c r="T43" s="893"/>
      <c r="U43" s="890"/>
    </row>
    <row r="44" spans="2:21" s="885" customFormat="1" ht="19.5" customHeight="1">
      <c r="B44" s="886"/>
      <c r="C44" s="896">
        <f>IF('[1]BASE'!C45=0,"",'[1]BASE'!C45)</f>
        <v>29</v>
      </c>
      <c r="D44" s="896" t="str">
        <f>IF('[1]BASE'!D45=0,"",'[1]BASE'!D45)</f>
        <v>GRAL. RODRIGUEZ - CAMPANA </v>
      </c>
      <c r="E44" s="896">
        <f>IF('[1]BASE'!E45=0,"",'[1]BASE'!E45)</f>
        <v>500</v>
      </c>
      <c r="F44" s="896">
        <f>IF('[1]BASE'!F45=0,"",'[1]BASE'!F45)</f>
        <v>42</v>
      </c>
      <c r="G44" s="897" t="str">
        <f>IF('[1]BASE'!G45=0,"",'[1]BASE'!G45)</f>
        <v>B</v>
      </c>
      <c r="H44" s="896">
        <f>IF('[1]BASE'!DL45=0,"",'[1]BASE'!DL45)</f>
      </c>
      <c r="I44" s="896">
        <f>IF('[1]BASE'!DM45=0,"",'[1]BASE'!DM45)</f>
      </c>
      <c r="J44" s="896">
        <f>IF('[1]BASE'!DN45=0,"",'[1]BASE'!DN45)</f>
      </c>
      <c r="K44" s="896">
        <f>IF('[1]BASE'!DO45=0,"",'[1]BASE'!DO45)</f>
      </c>
      <c r="L44" s="896">
        <f>IF('[1]BASE'!DP45=0,"",'[1]BASE'!DP45)</f>
      </c>
      <c r="M44" s="896">
        <f>IF('[1]BASE'!DQ45=0,"",'[1]BASE'!DQ45)</f>
      </c>
      <c r="N44" s="896">
        <f>IF('[1]BASE'!DR45=0,"",'[1]BASE'!DR45)</f>
      </c>
      <c r="O44" s="896">
        <f>IF('[1]BASE'!DS45=0,"",'[1]BASE'!DS45)</f>
      </c>
      <c r="P44" s="896">
        <f>IF('[1]BASE'!DT45=0,"",'[1]BASE'!DT45)</f>
      </c>
      <c r="Q44" s="896">
        <f>IF('[1]BASE'!DU45=0,"",'[1]BASE'!DU45)</f>
      </c>
      <c r="R44" s="896">
        <f>IF('[1]BASE'!DV45=0,"",'[1]BASE'!DV45)</f>
      </c>
      <c r="S44" s="896">
        <f>IF('[1]BASE'!DW45=0,"",'[1]BASE'!DW45)</f>
      </c>
      <c r="T44" s="893"/>
      <c r="U44" s="890"/>
    </row>
    <row r="45" spans="2:21" s="885" customFormat="1" ht="19.5" customHeight="1">
      <c r="B45" s="886"/>
      <c r="C45" s="894">
        <f>IF('[1]BASE'!C46=0,"",'[1]BASE'!C46)</f>
        <v>30</v>
      </c>
      <c r="D45" s="894" t="str">
        <f>IF('[1]BASE'!D46=0,"",'[1]BASE'!D46)</f>
        <v>GRAL. RODRIGUEZ- ROSARIO OESTE </v>
      </c>
      <c r="E45" s="894">
        <f>IF('[1]BASE'!E46=0,"",'[1]BASE'!E46)</f>
        <v>500</v>
      </c>
      <c r="F45" s="894">
        <f>IF('[1]BASE'!F46=0,"",'[1]BASE'!F46)</f>
        <v>258</v>
      </c>
      <c r="G45" s="895" t="str">
        <f>IF('[1]BASE'!G46=0,"",'[1]BASE'!G46)</f>
        <v>C</v>
      </c>
      <c r="H45" s="894" t="str">
        <f>IF('[1]BASE'!DL46=0,"",'[1]BASE'!DL46)</f>
        <v>XXXX</v>
      </c>
      <c r="I45" s="894" t="str">
        <f>IF('[1]BASE'!DM46=0,"",'[1]BASE'!DM46)</f>
        <v>XXXX</v>
      </c>
      <c r="J45" s="894" t="str">
        <f>IF('[1]BASE'!DN46=0,"",'[1]BASE'!DN46)</f>
        <v>XXXX</v>
      </c>
      <c r="K45" s="894" t="str">
        <f>IF('[1]BASE'!DO46=0,"",'[1]BASE'!DO46)</f>
        <v>XXXX</v>
      </c>
      <c r="L45" s="894" t="str">
        <f>IF('[1]BASE'!DP46=0,"",'[1]BASE'!DP46)</f>
        <v>XXXX</v>
      </c>
      <c r="M45" s="894" t="str">
        <f>IF('[1]BASE'!DQ46=0,"",'[1]BASE'!DQ46)</f>
        <v>XXXX</v>
      </c>
      <c r="N45" s="894" t="str">
        <f>IF('[1]BASE'!DR46=0,"",'[1]BASE'!DR46)</f>
        <v>XXXX</v>
      </c>
      <c r="O45" s="894" t="str">
        <f>IF('[1]BASE'!DS46=0,"",'[1]BASE'!DS46)</f>
        <v>XXXX</v>
      </c>
      <c r="P45" s="894" t="str">
        <f>IF('[1]BASE'!DT46=0,"",'[1]BASE'!DT46)</f>
        <v>XXXX</v>
      </c>
      <c r="Q45" s="894" t="str">
        <f>IF('[1]BASE'!DU46=0,"",'[1]BASE'!DU46)</f>
        <v>XXXX</v>
      </c>
      <c r="R45" s="894" t="str">
        <f>IF('[1]BASE'!DV46=0,"",'[1]BASE'!DV46)</f>
        <v>XXXX</v>
      </c>
      <c r="S45" s="894" t="str">
        <f>IF('[1]BASE'!DW46=0,"",'[1]BASE'!DW46)</f>
        <v>XXXX</v>
      </c>
      <c r="T45" s="893"/>
      <c r="U45" s="890"/>
    </row>
    <row r="46" spans="2:21" s="885" customFormat="1" ht="19.5" customHeight="1">
      <c r="B46" s="886"/>
      <c r="C46" s="896">
        <f>IF('[1]BASE'!C47=0,"",'[1]BASE'!C47)</f>
        <v>31</v>
      </c>
      <c r="D46" s="896" t="str">
        <f>IF('[1]BASE'!D47=0,"",'[1]BASE'!D47)</f>
        <v>MALVINAS ARG. - ALMAFUERTE </v>
      </c>
      <c r="E46" s="896">
        <f>IF('[1]BASE'!E47=0,"",'[1]BASE'!E47)</f>
        <v>500</v>
      </c>
      <c r="F46" s="896">
        <f>IF('[1]BASE'!F47=0,"",'[1]BASE'!F47)</f>
        <v>105</v>
      </c>
      <c r="G46" s="897" t="str">
        <f>IF('[1]BASE'!G47=0,"",'[1]BASE'!G47)</f>
        <v>B</v>
      </c>
      <c r="H46" s="896">
        <f>IF('[1]BASE'!DL47=0,"",'[1]BASE'!DL47)</f>
      </c>
      <c r="I46" s="896">
        <f>IF('[1]BASE'!DM47=0,"",'[1]BASE'!DM47)</f>
      </c>
      <c r="J46" s="896">
        <f>IF('[1]BASE'!DN47=0,"",'[1]BASE'!DN47)</f>
      </c>
      <c r="K46" s="896">
        <f>IF('[1]BASE'!DO47=0,"",'[1]BASE'!DO47)</f>
      </c>
      <c r="L46" s="896">
        <f>IF('[1]BASE'!DP47=0,"",'[1]BASE'!DP47)</f>
      </c>
      <c r="M46" s="896">
        <f>IF('[1]BASE'!DQ47=0,"",'[1]BASE'!DQ47)</f>
      </c>
      <c r="N46" s="896">
        <f>IF('[1]BASE'!DR47=0,"",'[1]BASE'!DR47)</f>
      </c>
      <c r="O46" s="896">
        <f>IF('[1]BASE'!DS47=0,"",'[1]BASE'!DS47)</f>
      </c>
      <c r="P46" s="896">
        <f>IF('[1]BASE'!DT47=0,"",'[1]BASE'!DT47)</f>
      </c>
      <c r="Q46" s="896">
        <f>IF('[1]BASE'!DU47=0,"",'[1]BASE'!DU47)</f>
        <v>1</v>
      </c>
      <c r="R46" s="896">
        <f>IF('[1]BASE'!DV47=0,"",'[1]BASE'!DV47)</f>
      </c>
      <c r="S46" s="896">
        <f>IF('[1]BASE'!DW47=0,"",'[1]BASE'!DW47)</f>
      </c>
      <c r="T46" s="893"/>
      <c r="U46" s="890"/>
    </row>
    <row r="47" spans="2:21" s="885" customFormat="1" ht="19.5" customHeight="1">
      <c r="B47" s="886"/>
      <c r="C47" s="894">
        <f>IF('[1]BASE'!C48=0,"",'[1]BASE'!C48)</f>
        <v>32</v>
      </c>
      <c r="D47" s="894" t="str">
        <f>IF('[1]BASE'!D48=0,"",'[1]BASE'!D48)</f>
        <v>OLAVARRIA - BAHIA BLANCA 1</v>
      </c>
      <c r="E47" s="894">
        <f>IF('[1]BASE'!E48=0,"",'[1]BASE'!E48)</f>
        <v>500</v>
      </c>
      <c r="F47" s="894">
        <f>IF('[1]BASE'!F48=0,"",'[1]BASE'!F48)</f>
        <v>255</v>
      </c>
      <c r="G47" s="895" t="str">
        <f>IF('[1]BASE'!G48=0,"",'[1]BASE'!G48)</f>
        <v>B</v>
      </c>
      <c r="H47" s="894">
        <f>IF('[1]BASE'!DL48=0,"",'[1]BASE'!DL48)</f>
        <v>3</v>
      </c>
      <c r="I47" s="894">
        <f>IF('[1]BASE'!DM48=0,"",'[1]BASE'!DM48)</f>
      </c>
      <c r="J47" s="894">
        <f>IF('[1]BASE'!DN48=0,"",'[1]BASE'!DN48)</f>
      </c>
      <c r="K47" s="894">
        <f>IF('[1]BASE'!DO48=0,"",'[1]BASE'!DO48)</f>
        <v>2</v>
      </c>
      <c r="L47" s="894">
        <f>IF('[1]BASE'!DP48=0,"",'[1]BASE'!DP48)</f>
        <v>2</v>
      </c>
      <c r="M47" s="894">
        <f>IF('[1]BASE'!DQ48=0,"",'[1]BASE'!DQ48)</f>
      </c>
      <c r="N47" s="894">
        <f>IF('[1]BASE'!DR48=0,"",'[1]BASE'!DR48)</f>
      </c>
      <c r="O47" s="894">
        <f>IF('[1]BASE'!DS48=0,"",'[1]BASE'!DS48)</f>
      </c>
      <c r="P47" s="894">
        <f>IF('[1]BASE'!DT48=0,"",'[1]BASE'!DT48)</f>
        <v>1</v>
      </c>
      <c r="Q47" s="894">
        <f>IF('[1]BASE'!DU48=0,"",'[1]BASE'!DU48)</f>
      </c>
      <c r="R47" s="894">
        <f>IF('[1]BASE'!DV48=0,"",'[1]BASE'!DV48)</f>
      </c>
      <c r="S47" s="894">
        <f>IF('[1]BASE'!DW48=0,"",'[1]BASE'!DW48)</f>
      </c>
      <c r="T47" s="893"/>
      <c r="U47" s="890"/>
    </row>
    <row r="48" spans="2:21" s="885" customFormat="1" ht="19.5" customHeight="1">
      <c r="B48" s="886"/>
      <c r="C48" s="896">
        <f>IF('[1]BASE'!C49=0,"",'[1]BASE'!C49)</f>
        <v>33</v>
      </c>
      <c r="D48" s="896" t="str">
        <f>IF('[1]BASE'!D49=0,"",'[1]BASE'!D49)</f>
        <v>OLAVARRIA - BAHIA BLANCA 2</v>
      </c>
      <c r="E48" s="896">
        <f>IF('[1]BASE'!E49=0,"",'[1]BASE'!E49)</f>
        <v>500</v>
      </c>
      <c r="F48" s="896">
        <f>IF('[1]BASE'!F49=0,"",'[1]BASE'!F49)</f>
        <v>254.8</v>
      </c>
      <c r="G48" s="897">
        <f>IF('[1]BASE'!G49=0,"",'[1]BASE'!G49)</f>
      </c>
      <c r="H48" s="896">
        <f>IF('[1]BASE'!DL49=0,"",'[1]BASE'!DL49)</f>
      </c>
      <c r="I48" s="896">
        <f>IF('[1]BASE'!DM49=0,"",'[1]BASE'!DM49)</f>
      </c>
      <c r="J48" s="896">
        <f>IF('[1]BASE'!DN49=0,"",'[1]BASE'!DN49)</f>
      </c>
      <c r="K48" s="896">
        <f>IF('[1]BASE'!DO49=0,"",'[1]BASE'!DO49)</f>
        <v>2</v>
      </c>
      <c r="L48" s="896">
        <f>IF('[1]BASE'!DP49=0,"",'[1]BASE'!DP49)</f>
      </c>
      <c r="M48" s="896">
        <f>IF('[1]BASE'!DQ49=0,"",'[1]BASE'!DQ49)</f>
      </c>
      <c r="N48" s="896">
        <f>IF('[1]BASE'!DR49=0,"",'[1]BASE'!DR49)</f>
      </c>
      <c r="O48" s="896">
        <f>IF('[1]BASE'!DS49=0,"",'[1]BASE'!DS49)</f>
        <v>1</v>
      </c>
      <c r="P48" s="896">
        <f>IF('[1]BASE'!DT49=0,"",'[1]BASE'!DT49)</f>
      </c>
      <c r="Q48" s="896">
        <f>IF('[1]BASE'!DU49=0,"",'[1]BASE'!DU49)</f>
      </c>
      <c r="R48" s="896">
        <f>IF('[1]BASE'!DV49=0,"",'[1]BASE'!DV49)</f>
      </c>
      <c r="S48" s="896">
        <f>IF('[1]BASE'!DW49=0,"",'[1]BASE'!DW49)</f>
      </c>
      <c r="T48" s="893"/>
      <c r="U48" s="890"/>
    </row>
    <row r="49" spans="2:21" s="885" customFormat="1" ht="19.5" customHeight="1">
      <c r="B49" s="886"/>
      <c r="C49" s="894">
        <f>IF('[1]BASE'!C50=0,"",'[1]BASE'!C50)</f>
        <v>34</v>
      </c>
      <c r="D49" s="894" t="str">
        <f>IF('[1]BASE'!D50=0,"",'[1]BASE'!D50)</f>
        <v>P.del AGUILA  - CHOELE CHOEL</v>
      </c>
      <c r="E49" s="894">
        <f>IF('[1]BASE'!E50=0,"",'[1]BASE'!E50)</f>
        <v>500</v>
      </c>
      <c r="F49" s="894">
        <f>IF('[1]BASE'!F50=0,"",'[1]BASE'!F50)</f>
        <v>386.7</v>
      </c>
      <c r="G49" s="895">
        <f>IF('[1]BASE'!G50=0,"",'[1]BASE'!G50)</f>
      </c>
      <c r="H49" s="894">
        <f>IF('[1]BASE'!DL50=0,"",'[1]BASE'!DL50)</f>
      </c>
      <c r="I49" s="894">
        <f>IF('[1]BASE'!DM50=0,"",'[1]BASE'!DM50)</f>
      </c>
      <c r="J49" s="894">
        <f>IF('[1]BASE'!DN50=0,"",'[1]BASE'!DN50)</f>
      </c>
      <c r="K49" s="894">
        <f>IF('[1]BASE'!DO50=0,"",'[1]BASE'!DO50)</f>
      </c>
      <c r="L49" s="894">
        <f>IF('[1]BASE'!DP50=0,"",'[1]BASE'!DP50)</f>
      </c>
      <c r="M49" s="894">
        <f>IF('[1]BASE'!DQ50=0,"",'[1]BASE'!DQ50)</f>
      </c>
      <c r="N49" s="894">
        <f>IF('[1]BASE'!DR50=0,"",'[1]BASE'!DR50)</f>
      </c>
      <c r="O49" s="894">
        <f>IF('[1]BASE'!DS50=0,"",'[1]BASE'!DS50)</f>
      </c>
      <c r="P49" s="894">
        <f>IF('[1]BASE'!DT50=0,"",'[1]BASE'!DT50)</f>
      </c>
      <c r="Q49" s="894">
        <f>IF('[1]BASE'!DU50=0,"",'[1]BASE'!DU50)</f>
      </c>
      <c r="R49" s="894">
        <f>IF('[1]BASE'!DV50=0,"",'[1]BASE'!DV50)</f>
      </c>
      <c r="S49" s="894">
        <f>IF('[1]BASE'!DW50=0,"",'[1]BASE'!DW50)</f>
      </c>
      <c r="T49" s="893"/>
      <c r="U49" s="890"/>
    </row>
    <row r="50" spans="2:21" s="885" customFormat="1" ht="19.5" customHeight="1">
      <c r="B50" s="886"/>
      <c r="C50" s="896">
        <f>IF('[1]BASE'!C51=0,"",'[1]BASE'!C51)</f>
        <v>35</v>
      </c>
      <c r="D50" s="896" t="str">
        <f>IF('[1]BASE'!D51=0,"",'[1]BASE'!D51)</f>
        <v>P.del AGUILA  - CHO. W. 1 (5GW1)</v>
      </c>
      <c r="E50" s="896">
        <f>IF('[1]BASE'!E51=0,"",'[1]BASE'!E51)</f>
        <v>500</v>
      </c>
      <c r="F50" s="896">
        <f>IF('[1]BASE'!F51=0,"",'[1]BASE'!F51)</f>
        <v>165</v>
      </c>
      <c r="G50" s="897" t="str">
        <f>IF('[1]BASE'!G51=0,"",'[1]BASE'!G51)</f>
        <v>A</v>
      </c>
      <c r="H50" s="896">
        <f>IF('[1]BASE'!DL51=0,"",'[1]BASE'!DL51)</f>
      </c>
      <c r="I50" s="896">
        <f>IF('[1]BASE'!DM51=0,"",'[1]BASE'!DM51)</f>
      </c>
      <c r="J50" s="896">
        <f>IF('[1]BASE'!DN51=0,"",'[1]BASE'!DN51)</f>
      </c>
      <c r="K50" s="896">
        <f>IF('[1]BASE'!DO51=0,"",'[1]BASE'!DO51)</f>
      </c>
      <c r="L50" s="896">
        <f>IF('[1]BASE'!DP51=0,"",'[1]BASE'!DP51)</f>
      </c>
      <c r="M50" s="896">
        <f>IF('[1]BASE'!DQ51=0,"",'[1]BASE'!DQ51)</f>
      </c>
      <c r="N50" s="896">
        <f>IF('[1]BASE'!DR51=0,"",'[1]BASE'!DR51)</f>
      </c>
      <c r="O50" s="896">
        <f>IF('[1]BASE'!DS51=0,"",'[1]BASE'!DS51)</f>
      </c>
      <c r="P50" s="896">
        <f>IF('[1]BASE'!DT51=0,"",'[1]BASE'!DT51)</f>
      </c>
      <c r="Q50" s="896">
        <f>IF('[1]BASE'!DU51=0,"",'[1]BASE'!DU51)</f>
      </c>
      <c r="R50" s="896">
        <f>IF('[1]BASE'!DV51=0,"",'[1]BASE'!DV51)</f>
      </c>
      <c r="S50" s="896">
        <f>IF('[1]BASE'!DW51=0,"",'[1]BASE'!DW51)</f>
      </c>
      <c r="T50" s="893"/>
      <c r="U50" s="890"/>
    </row>
    <row r="51" spans="2:21" s="885" customFormat="1" ht="19.5" customHeight="1">
      <c r="B51" s="886"/>
      <c r="C51" s="894">
        <f>IF('[1]BASE'!C52=0,"",'[1]BASE'!C52)</f>
        <v>36</v>
      </c>
      <c r="D51" s="894" t="str">
        <f>IF('[1]BASE'!D52=0,"",'[1]BASE'!D52)</f>
        <v>P.del AGUILA  - CHO. W. 2 (5GW2)</v>
      </c>
      <c r="E51" s="894">
        <f>IF('[1]BASE'!E52=0,"",'[1]BASE'!E52)</f>
        <v>500</v>
      </c>
      <c r="F51" s="894">
        <f>IF('[1]BASE'!F52=0,"",'[1]BASE'!F52)</f>
        <v>170</v>
      </c>
      <c r="G51" s="895" t="str">
        <f>IF('[1]BASE'!G52=0,"",'[1]BASE'!G52)</f>
        <v>A</v>
      </c>
      <c r="H51" s="894">
        <f>IF('[1]BASE'!DL52=0,"",'[1]BASE'!DL52)</f>
      </c>
      <c r="I51" s="894">
        <f>IF('[1]BASE'!DM52=0,"",'[1]BASE'!DM52)</f>
      </c>
      <c r="J51" s="894">
        <f>IF('[1]BASE'!DN52=0,"",'[1]BASE'!DN52)</f>
      </c>
      <c r="K51" s="894">
        <f>IF('[1]BASE'!DO52=0,"",'[1]BASE'!DO52)</f>
      </c>
      <c r="L51" s="894">
        <f>IF('[1]BASE'!DP52=0,"",'[1]BASE'!DP52)</f>
      </c>
      <c r="M51" s="894">
        <f>IF('[1]BASE'!DQ52=0,"",'[1]BASE'!DQ52)</f>
      </c>
      <c r="N51" s="894">
        <f>IF('[1]BASE'!DR52=0,"",'[1]BASE'!DR52)</f>
      </c>
      <c r="O51" s="894">
        <f>IF('[1]BASE'!DS52=0,"",'[1]BASE'!DS52)</f>
      </c>
      <c r="P51" s="894">
        <f>IF('[1]BASE'!DT52=0,"",'[1]BASE'!DT52)</f>
      </c>
      <c r="Q51" s="894">
        <f>IF('[1]BASE'!DU52=0,"",'[1]BASE'!DU52)</f>
      </c>
      <c r="R51" s="894">
        <f>IF('[1]BASE'!DV52=0,"",'[1]BASE'!DV52)</f>
      </c>
      <c r="S51" s="894">
        <f>IF('[1]BASE'!DW52=0,"",'[1]BASE'!DW52)</f>
      </c>
      <c r="T51" s="893"/>
      <c r="U51" s="890"/>
    </row>
    <row r="52" spans="2:21" s="885" customFormat="1" ht="19.5" customHeight="1">
      <c r="B52" s="886"/>
      <c r="C52" s="896">
        <f>IF('[1]BASE'!C53=0,"",'[1]BASE'!C53)</f>
        <v>37</v>
      </c>
      <c r="D52" s="896" t="str">
        <f>IF('[1]BASE'!D53=0,"",'[1]BASE'!D53)</f>
        <v>PUELCHES - HENDERSON 1 (B1)</v>
      </c>
      <c r="E52" s="896">
        <f>IF('[1]BASE'!E53=0,"",'[1]BASE'!E53)</f>
        <v>500</v>
      </c>
      <c r="F52" s="896">
        <f>IF('[1]BASE'!F53=0,"",'[1]BASE'!F53)</f>
        <v>421</v>
      </c>
      <c r="G52" s="897" t="str">
        <f>IF('[1]BASE'!G53=0,"",'[1]BASE'!G53)</f>
        <v>A</v>
      </c>
      <c r="H52" s="896">
        <f>IF('[1]BASE'!DL53=0,"",'[1]BASE'!DL53)</f>
      </c>
      <c r="I52" s="896">
        <f>IF('[1]BASE'!DM53=0,"",'[1]BASE'!DM53)</f>
      </c>
      <c r="J52" s="896">
        <f>IF('[1]BASE'!DN53=0,"",'[1]BASE'!DN53)</f>
      </c>
      <c r="K52" s="896">
        <f>IF('[1]BASE'!DO53=0,"",'[1]BASE'!DO53)</f>
      </c>
      <c r="L52" s="896">
        <f>IF('[1]BASE'!DP53=0,"",'[1]BASE'!DP53)</f>
      </c>
      <c r="M52" s="896">
        <f>IF('[1]BASE'!DQ53=0,"",'[1]BASE'!DQ53)</f>
      </c>
      <c r="N52" s="896">
        <f>IF('[1]BASE'!DR53=0,"",'[1]BASE'!DR53)</f>
      </c>
      <c r="O52" s="896">
        <f>IF('[1]BASE'!DS53=0,"",'[1]BASE'!DS53)</f>
      </c>
      <c r="P52" s="896">
        <f>IF('[1]BASE'!DT53=0,"",'[1]BASE'!DT53)</f>
      </c>
      <c r="Q52" s="896">
        <f>IF('[1]BASE'!DU53=0,"",'[1]BASE'!DU53)</f>
        <v>1</v>
      </c>
      <c r="R52" s="896">
        <f>IF('[1]BASE'!DV53=0,"",'[1]BASE'!DV53)</f>
      </c>
      <c r="S52" s="896">
        <f>IF('[1]BASE'!DW53=0,"",'[1]BASE'!DW53)</f>
      </c>
      <c r="T52" s="893"/>
      <c r="U52" s="890"/>
    </row>
    <row r="53" spans="2:21" s="885" customFormat="1" ht="19.5" customHeight="1">
      <c r="B53" s="886"/>
      <c r="C53" s="894">
        <f>IF('[1]BASE'!C54=0,"",'[1]BASE'!C54)</f>
        <v>38</v>
      </c>
      <c r="D53" s="894" t="str">
        <f>IF('[1]BASE'!D54=0,"",'[1]BASE'!D54)</f>
        <v>PUELCHES - HENDERSON 2 (B2)</v>
      </c>
      <c r="E53" s="894">
        <f>IF('[1]BASE'!E54=0,"",'[1]BASE'!E54)</f>
        <v>500</v>
      </c>
      <c r="F53" s="894">
        <f>IF('[1]BASE'!F54=0,"",'[1]BASE'!F54)</f>
        <v>421</v>
      </c>
      <c r="G53" s="895" t="str">
        <f>IF('[1]BASE'!G54=0,"",'[1]BASE'!G54)</f>
        <v>A</v>
      </c>
      <c r="H53" s="894" t="str">
        <f>IF('[1]BASE'!DL54=0,"",'[1]BASE'!DL54)</f>
        <v>XXXX</v>
      </c>
      <c r="I53" s="894" t="str">
        <f>IF('[1]BASE'!DM54=0,"",'[1]BASE'!DM54)</f>
        <v>XXXX</v>
      </c>
      <c r="J53" s="894" t="str">
        <f>IF('[1]BASE'!DN54=0,"",'[1]BASE'!DN54)</f>
        <v>XXXX</v>
      </c>
      <c r="K53" s="894" t="str">
        <f>IF('[1]BASE'!DO54=0,"",'[1]BASE'!DO54)</f>
        <v>XXXX</v>
      </c>
      <c r="L53" s="894" t="str">
        <f>IF('[1]BASE'!DP54=0,"",'[1]BASE'!DP54)</f>
        <v>XXXX</v>
      </c>
      <c r="M53" s="894" t="str">
        <f>IF('[1]BASE'!DQ54=0,"",'[1]BASE'!DQ54)</f>
        <v>XXXX</v>
      </c>
      <c r="N53" s="894" t="str">
        <f>IF('[1]BASE'!DR54=0,"",'[1]BASE'!DR54)</f>
        <v>XXXX</v>
      </c>
      <c r="O53" s="894" t="str">
        <f>IF('[1]BASE'!DS54=0,"",'[1]BASE'!DS54)</f>
        <v>XXXX</v>
      </c>
      <c r="P53" s="894" t="str">
        <f>IF('[1]BASE'!DT54=0,"",'[1]BASE'!DT54)</f>
        <v>XXXX</v>
      </c>
      <c r="Q53" s="894" t="str">
        <f>IF('[1]BASE'!DU54=0,"",'[1]BASE'!DU54)</f>
        <v>XXXX</v>
      </c>
      <c r="R53" s="894" t="str">
        <f>IF('[1]BASE'!DV54=0,"",'[1]BASE'!DV54)</f>
        <v>XXXX</v>
      </c>
      <c r="S53" s="894" t="str">
        <f>IF('[1]BASE'!DW54=0,"",'[1]BASE'!DW54)</f>
        <v>XXXX</v>
      </c>
      <c r="T53" s="893"/>
      <c r="U53" s="890"/>
    </row>
    <row r="54" spans="2:21" s="885" customFormat="1" ht="19.5" customHeight="1">
      <c r="B54" s="886"/>
      <c r="C54" s="896">
        <f>IF('[1]BASE'!C55=0,"",'[1]BASE'!C55)</f>
        <v>39</v>
      </c>
      <c r="D54" s="896" t="str">
        <f>IF('[1]BASE'!D55=0,"",'[1]BASE'!D55)</f>
        <v>RECREO - MALVINAS ARG. </v>
      </c>
      <c r="E54" s="896">
        <f>IF('[1]BASE'!E55=0,"",'[1]BASE'!E55)</f>
        <v>500</v>
      </c>
      <c r="F54" s="896">
        <f>IF('[1]BASE'!F55=0,"",'[1]BASE'!F55)</f>
        <v>259</v>
      </c>
      <c r="G54" s="897" t="str">
        <f>IF('[1]BASE'!G55=0,"",'[1]BASE'!G55)</f>
        <v>C</v>
      </c>
      <c r="H54" s="896">
        <f>IF('[1]BASE'!DL55=0,"",'[1]BASE'!DL55)</f>
      </c>
      <c r="I54" s="896">
        <f>IF('[1]BASE'!DM55=0,"",'[1]BASE'!DM55)</f>
      </c>
      <c r="J54" s="896">
        <f>IF('[1]BASE'!DN55=0,"",'[1]BASE'!DN55)</f>
      </c>
      <c r="K54" s="896">
        <f>IF('[1]BASE'!DO55=0,"",'[1]BASE'!DO55)</f>
      </c>
      <c r="L54" s="896">
        <f>IF('[1]BASE'!DP55=0,"",'[1]BASE'!DP55)</f>
      </c>
      <c r="M54" s="896">
        <f>IF('[1]BASE'!DQ55=0,"",'[1]BASE'!DQ55)</f>
      </c>
      <c r="N54" s="896">
        <f>IF('[1]BASE'!DR55=0,"",'[1]BASE'!DR55)</f>
      </c>
      <c r="O54" s="896">
        <f>IF('[1]BASE'!DS55=0,"",'[1]BASE'!DS55)</f>
      </c>
      <c r="P54" s="896">
        <f>IF('[1]BASE'!DT55=0,"",'[1]BASE'!DT55)</f>
      </c>
      <c r="Q54" s="896">
        <f>IF('[1]BASE'!DU55=0,"",'[1]BASE'!DU55)</f>
      </c>
      <c r="R54" s="896">
        <f>IF('[1]BASE'!DV55=0,"",'[1]BASE'!DV55)</f>
      </c>
      <c r="S54" s="896">
        <f>IF('[1]BASE'!DW55=0,"",'[1]BASE'!DW55)</f>
      </c>
      <c r="T54" s="893"/>
      <c r="U54" s="890"/>
    </row>
    <row r="55" spans="2:21" s="885" customFormat="1" ht="19.5" customHeight="1">
      <c r="B55" s="886"/>
      <c r="C55" s="894">
        <f>IF('[1]BASE'!C56=0,"",'[1]BASE'!C56)</f>
        <v>40</v>
      </c>
      <c r="D55" s="894" t="str">
        <f>IF('[1]BASE'!D56=0,"",'[1]BASE'!D56)</f>
        <v>RIO GRANDE - EMBALSE</v>
      </c>
      <c r="E55" s="894">
        <f>IF('[1]BASE'!E56=0,"",'[1]BASE'!E56)</f>
        <v>500</v>
      </c>
      <c r="F55" s="894">
        <f>IF('[1]BASE'!F56=0,"",'[1]BASE'!F56)</f>
        <v>30</v>
      </c>
      <c r="G55" s="895" t="str">
        <f>IF('[1]BASE'!G56=0,"",'[1]BASE'!G56)</f>
        <v>B</v>
      </c>
      <c r="H55" s="894">
        <f>IF('[1]BASE'!DL56=0,"",'[1]BASE'!DL56)</f>
      </c>
      <c r="I55" s="894">
        <f>IF('[1]BASE'!DM56=0,"",'[1]BASE'!DM56)</f>
      </c>
      <c r="J55" s="894">
        <f>IF('[1]BASE'!DN56=0,"",'[1]BASE'!DN56)</f>
      </c>
      <c r="K55" s="894">
        <f>IF('[1]BASE'!DO56=0,"",'[1]BASE'!DO56)</f>
      </c>
      <c r="L55" s="894">
        <f>IF('[1]BASE'!DP56=0,"",'[1]BASE'!DP56)</f>
      </c>
      <c r="M55" s="894">
        <f>IF('[1]BASE'!DQ56=0,"",'[1]BASE'!DQ56)</f>
      </c>
      <c r="N55" s="894">
        <f>IF('[1]BASE'!DR56=0,"",'[1]BASE'!DR56)</f>
      </c>
      <c r="O55" s="894">
        <f>IF('[1]BASE'!DS56=0,"",'[1]BASE'!DS56)</f>
      </c>
      <c r="P55" s="894">
        <f>IF('[1]BASE'!DT56=0,"",'[1]BASE'!DT56)</f>
      </c>
      <c r="Q55" s="894">
        <f>IF('[1]BASE'!DU56=0,"",'[1]BASE'!DU56)</f>
      </c>
      <c r="R55" s="894">
        <f>IF('[1]BASE'!DV56=0,"",'[1]BASE'!DV56)</f>
      </c>
      <c r="S55" s="894">
        <f>IF('[1]BASE'!DW56=0,"",'[1]BASE'!DW56)</f>
      </c>
      <c r="T55" s="893"/>
      <c r="U55" s="890"/>
    </row>
    <row r="56" spans="2:21" s="885" customFormat="1" ht="19.5" customHeight="1">
      <c r="B56" s="886"/>
      <c r="C56" s="896">
        <f>IF('[1]BASE'!C57=0,"",'[1]BASE'!C57)</f>
        <v>41</v>
      </c>
      <c r="D56" s="896" t="str">
        <f>IF('[1]BASE'!D57=0,"",'[1]BASE'!D57)</f>
        <v>RIO GRANDE - GRAN MENDOZA</v>
      </c>
      <c r="E56" s="896">
        <f>IF('[1]BASE'!E57=0,"",'[1]BASE'!E57)</f>
        <v>500</v>
      </c>
      <c r="F56" s="896">
        <f>IF('[1]BASE'!F57=0,"",'[1]BASE'!F57)</f>
        <v>407</v>
      </c>
      <c r="G56" s="897" t="str">
        <f>IF('[1]BASE'!G57=0,"",'[1]BASE'!G57)</f>
        <v>B</v>
      </c>
      <c r="H56" s="896" t="str">
        <f>IF('[1]BASE'!DL57=0,"",'[1]BASE'!DL57)</f>
        <v>XXXX</v>
      </c>
      <c r="I56" s="896" t="str">
        <f>IF('[1]BASE'!DM57=0,"",'[1]BASE'!DM57)</f>
        <v>XXXX</v>
      </c>
      <c r="J56" s="896" t="str">
        <f>IF('[1]BASE'!DN57=0,"",'[1]BASE'!DN57)</f>
        <v>XXXX</v>
      </c>
      <c r="K56" s="896" t="str">
        <f>IF('[1]BASE'!DO57=0,"",'[1]BASE'!DO57)</f>
        <v>XXXX</v>
      </c>
      <c r="L56" s="896" t="str">
        <f>IF('[1]BASE'!DP57=0,"",'[1]BASE'!DP57)</f>
        <v>XXXX</v>
      </c>
      <c r="M56" s="896" t="str">
        <f>IF('[1]BASE'!DQ57=0,"",'[1]BASE'!DQ57)</f>
        <v>XXXX</v>
      </c>
      <c r="N56" s="896" t="str">
        <f>IF('[1]BASE'!DR57=0,"",'[1]BASE'!DR57)</f>
        <v>XXXX</v>
      </c>
      <c r="O56" s="896" t="str">
        <f>IF('[1]BASE'!DS57=0,"",'[1]BASE'!DS57)</f>
        <v>XXXX</v>
      </c>
      <c r="P56" s="896" t="str">
        <f>IF('[1]BASE'!DT57=0,"",'[1]BASE'!DT57)</f>
        <v>XXXX</v>
      </c>
      <c r="Q56" s="896" t="str">
        <f>IF('[1]BASE'!DU57=0,"",'[1]BASE'!DU57)</f>
        <v>XXXX</v>
      </c>
      <c r="R56" s="896" t="str">
        <f>IF('[1]BASE'!DV57=0,"",'[1]BASE'!DV57)</f>
        <v>XXXX</v>
      </c>
      <c r="S56" s="896" t="str">
        <f>IF('[1]BASE'!DW57=0,"",'[1]BASE'!DW57)</f>
        <v>XXXX</v>
      </c>
      <c r="T56" s="893"/>
      <c r="U56" s="890"/>
    </row>
    <row r="57" spans="2:21" s="885" customFormat="1" ht="19.5" customHeight="1">
      <c r="B57" s="886"/>
      <c r="C57" s="894">
        <f>IF('[1]BASE'!C58=0,"",'[1]BASE'!C58)</f>
        <v>42</v>
      </c>
      <c r="D57" s="894" t="str">
        <f>IF('[1]BASE'!D58=0,"",'[1]BASE'!D58)</f>
        <v>RIO GRANDE - LUJAN</v>
      </c>
      <c r="E57" s="894">
        <f>IF('[1]BASE'!E58=0,"",'[1]BASE'!E58)</f>
        <v>500</v>
      </c>
      <c r="F57" s="894">
        <f>IF('[1]BASE'!F58=0,"",'[1]BASE'!F58)</f>
        <v>150</v>
      </c>
      <c r="G57" s="895" t="str">
        <f>IF('[1]BASE'!G58=0,"",'[1]BASE'!G58)</f>
        <v>A</v>
      </c>
      <c r="H57" s="894">
        <f>IF('[1]BASE'!DL58=0,"",'[1]BASE'!DL58)</f>
      </c>
      <c r="I57" s="894">
        <f>IF('[1]BASE'!DM58=0,"",'[1]BASE'!DM58)</f>
      </c>
      <c r="J57" s="894">
        <f>IF('[1]BASE'!DN58=0,"",'[1]BASE'!DN58)</f>
      </c>
      <c r="K57" s="894">
        <f>IF('[1]BASE'!DO58=0,"",'[1]BASE'!DO58)</f>
      </c>
      <c r="L57" s="894">
        <f>IF('[1]BASE'!DP58=0,"",'[1]BASE'!DP58)</f>
      </c>
      <c r="M57" s="894">
        <f>IF('[1]BASE'!DQ58=0,"",'[1]BASE'!DQ58)</f>
      </c>
      <c r="N57" s="894">
        <f>IF('[1]BASE'!DR58=0,"",'[1]BASE'!DR58)</f>
      </c>
      <c r="O57" s="894">
        <f>IF('[1]BASE'!DS58=0,"",'[1]BASE'!DS58)</f>
      </c>
      <c r="P57" s="894">
        <f>IF('[1]BASE'!DT58=0,"",'[1]BASE'!DT58)</f>
      </c>
      <c r="Q57" s="894">
        <f>IF('[1]BASE'!DU58=0,"",'[1]BASE'!DU58)</f>
      </c>
      <c r="R57" s="894">
        <f>IF('[1]BASE'!DV58=0,"",'[1]BASE'!DV58)</f>
      </c>
      <c r="S57" s="894">
        <f>IF('[1]BASE'!DW58=0,"",'[1]BASE'!DW58)</f>
      </c>
      <c r="T57" s="893"/>
      <c r="U57" s="890"/>
    </row>
    <row r="58" spans="2:21" s="885" customFormat="1" ht="19.5" customHeight="1">
      <c r="B58" s="886"/>
      <c r="C58" s="896">
        <f>IF('[1]BASE'!C59=0,"",'[1]BASE'!C59)</f>
        <v>43</v>
      </c>
      <c r="D58" s="896" t="str">
        <f>IF('[1]BASE'!D59=0,"",'[1]BASE'!D59)</f>
        <v>LUJAN - GRAN MENDOZA</v>
      </c>
      <c r="E58" s="896">
        <f>IF('[1]BASE'!E59=0,"",'[1]BASE'!E59)</f>
        <v>500</v>
      </c>
      <c r="F58" s="896">
        <f>IF('[1]BASE'!F59=0,"",'[1]BASE'!F59)</f>
        <v>257</v>
      </c>
      <c r="G58" s="897" t="str">
        <f>IF('[1]BASE'!G59=0,"",'[1]BASE'!G59)</f>
        <v>B</v>
      </c>
      <c r="H58" s="896">
        <f>IF('[1]BASE'!DL59=0,"",'[1]BASE'!DL59)</f>
      </c>
      <c r="I58" s="896">
        <f>IF('[1]BASE'!DM59=0,"",'[1]BASE'!DM59)</f>
      </c>
      <c r="J58" s="896">
        <f>IF('[1]BASE'!DN59=0,"",'[1]BASE'!DN59)</f>
      </c>
      <c r="K58" s="896">
        <f>IF('[1]BASE'!DO59=0,"",'[1]BASE'!DO59)</f>
      </c>
      <c r="L58" s="896">
        <f>IF('[1]BASE'!DP59=0,"",'[1]BASE'!DP59)</f>
      </c>
      <c r="M58" s="896">
        <f>IF('[1]BASE'!DQ59=0,"",'[1]BASE'!DQ59)</f>
      </c>
      <c r="N58" s="896">
        <f>IF('[1]BASE'!DR59=0,"",'[1]BASE'!DR59)</f>
      </c>
      <c r="O58" s="896">
        <f>IF('[1]BASE'!DS59=0,"",'[1]BASE'!DS59)</f>
      </c>
      <c r="P58" s="896">
        <f>IF('[1]BASE'!DT59=0,"",'[1]BASE'!DT59)</f>
      </c>
      <c r="Q58" s="896">
        <f>IF('[1]BASE'!DU59=0,"",'[1]BASE'!DU59)</f>
      </c>
      <c r="R58" s="896">
        <f>IF('[1]BASE'!DV59=0,"",'[1]BASE'!DV59)</f>
      </c>
      <c r="S58" s="896">
        <f>IF('[1]BASE'!DW59=0,"",'[1]BASE'!DW59)</f>
      </c>
      <c r="T58" s="893"/>
      <c r="U58" s="890"/>
    </row>
    <row r="59" spans="2:21" s="885" customFormat="1" ht="19.5" customHeight="1">
      <c r="B59" s="886"/>
      <c r="C59" s="894">
        <f>IF('[1]BASE'!C60=0,"",'[1]BASE'!C60)</f>
        <v>44</v>
      </c>
      <c r="D59" s="894" t="str">
        <f>IF('[1]BASE'!D60=0,"",'[1]BASE'!D60)</f>
        <v>ROMANG - RESISTENCIA</v>
      </c>
      <c r="E59" s="894">
        <f>IF('[1]BASE'!E60=0,"",'[1]BASE'!E60)</f>
        <v>500</v>
      </c>
      <c r="F59" s="894">
        <f>IF('[1]BASE'!F60=0,"",'[1]BASE'!F60)</f>
        <v>256</v>
      </c>
      <c r="G59" s="895" t="str">
        <f>IF('[1]BASE'!G60=0,"",'[1]BASE'!G60)</f>
        <v>A</v>
      </c>
      <c r="H59" s="894">
        <f>IF('[1]BASE'!DL60=0,"",'[1]BASE'!DL60)</f>
      </c>
      <c r="I59" s="894">
        <f>IF('[1]BASE'!DM60=0,"",'[1]BASE'!DM60)</f>
      </c>
      <c r="J59" s="894">
        <f>IF('[1]BASE'!DN60=0,"",'[1]BASE'!DN60)</f>
        <v>1</v>
      </c>
      <c r="K59" s="894">
        <f>IF('[1]BASE'!DO60=0,"",'[1]BASE'!DO60)</f>
        <v>1</v>
      </c>
      <c r="L59" s="894">
        <f>IF('[1]BASE'!DP60=0,"",'[1]BASE'!DP60)</f>
      </c>
      <c r="M59" s="894">
        <f>IF('[1]BASE'!DQ60=0,"",'[1]BASE'!DQ60)</f>
      </c>
      <c r="N59" s="894">
        <f>IF('[1]BASE'!DR60=0,"",'[1]BASE'!DR60)</f>
      </c>
      <c r="O59" s="894">
        <f>IF('[1]BASE'!DS60=0,"",'[1]BASE'!DS60)</f>
      </c>
      <c r="P59" s="894">
        <f>IF('[1]BASE'!DT60=0,"",'[1]BASE'!DT60)</f>
      </c>
      <c r="Q59" s="894">
        <f>IF('[1]BASE'!DU60=0,"",'[1]BASE'!DU60)</f>
      </c>
      <c r="R59" s="894">
        <f>IF('[1]BASE'!DV60=0,"",'[1]BASE'!DV60)</f>
      </c>
      <c r="S59" s="894">
        <f>IF('[1]BASE'!DW60=0,"",'[1]BASE'!DW60)</f>
        <v>1</v>
      </c>
      <c r="T59" s="893"/>
      <c r="U59" s="890"/>
    </row>
    <row r="60" spans="2:21" s="885" customFormat="1" ht="19.5" customHeight="1">
      <c r="B60" s="886"/>
      <c r="C60" s="896">
        <f>IF('[1]BASE'!C61=0,"",'[1]BASE'!C61)</f>
        <v>45</v>
      </c>
      <c r="D60" s="896" t="str">
        <f>IF('[1]BASE'!D61=0,"",'[1]BASE'!D61)</f>
        <v>ROSARIO OESTE -SANTO TOME</v>
      </c>
      <c r="E60" s="896">
        <f>IF('[1]BASE'!E61=0,"",'[1]BASE'!E61)</f>
        <v>500</v>
      </c>
      <c r="F60" s="896">
        <f>IF('[1]BASE'!F61=0,"",'[1]BASE'!F61)</f>
        <v>159</v>
      </c>
      <c r="G60" s="897" t="str">
        <f>IF('[1]BASE'!G61=0,"",'[1]BASE'!G61)</f>
        <v>C</v>
      </c>
      <c r="H60" s="896">
        <f>IF('[1]BASE'!DL61=0,"",'[1]BASE'!DL61)</f>
      </c>
      <c r="I60" s="896">
        <f>IF('[1]BASE'!DM61=0,"",'[1]BASE'!DM61)</f>
      </c>
      <c r="J60" s="896">
        <f>IF('[1]BASE'!DN61=0,"",'[1]BASE'!DN61)</f>
        <v>1</v>
      </c>
      <c r="K60" s="896">
        <f>IF('[1]BASE'!DO61=0,"",'[1]BASE'!DO61)</f>
      </c>
      <c r="L60" s="896">
        <f>IF('[1]BASE'!DP61=0,"",'[1]BASE'!DP61)</f>
      </c>
      <c r="M60" s="896">
        <f>IF('[1]BASE'!DQ61=0,"",'[1]BASE'!DQ61)</f>
      </c>
      <c r="N60" s="896">
        <f>IF('[1]BASE'!DR61=0,"",'[1]BASE'!DR61)</f>
      </c>
      <c r="O60" s="896">
        <f>IF('[1]BASE'!DS61=0,"",'[1]BASE'!DS61)</f>
      </c>
      <c r="P60" s="896">
        <f>IF('[1]BASE'!DT61=0,"",'[1]BASE'!DT61)</f>
      </c>
      <c r="Q60" s="896">
        <f>IF('[1]BASE'!DU61=0,"",'[1]BASE'!DU61)</f>
      </c>
      <c r="R60" s="896">
        <f>IF('[1]BASE'!DV61=0,"",'[1]BASE'!DV61)</f>
      </c>
      <c r="S60" s="896">
        <f>IF('[1]BASE'!DW61=0,"",'[1]BASE'!DW61)</f>
      </c>
      <c r="T60" s="893"/>
      <c r="U60" s="890"/>
    </row>
    <row r="61" spans="2:21" s="885" customFormat="1" ht="19.5" customHeight="1">
      <c r="B61" s="886"/>
      <c r="C61" s="894">
        <f>IF('[1]BASE'!C62=0,"",'[1]BASE'!C62)</f>
        <v>46</v>
      </c>
      <c r="D61" s="894" t="str">
        <f>IF('[1]BASE'!D62=0,"",'[1]BASE'!D62)</f>
        <v>SALTO GRANDE - SANTO TOME </v>
      </c>
      <c r="E61" s="894">
        <f>IF('[1]BASE'!E62=0,"",'[1]BASE'!E62)</f>
        <v>500</v>
      </c>
      <c r="F61" s="894">
        <f>IF('[1]BASE'!F62=0,"",'[1]BASE'!F62)</f>
        <v>289</v>
      </c>
      <c r="G61" s="895" t="str">
        <f>IF('[1]BASE'!G62=0,"",'[1]BASE'!G62)</f>
        <v>C</v>
      </c>
      <c r="H61" s="894">
        <f>IF('[1]BASE'!DL62=0,"",'[1]BASE'!DL62)</f>
        <v>1</v>
      </c>
      <c r="I61" s="894">
        <f>IF('[1]BASE'!DM62=0,"",'[1]BASE'!DM62)</f>
        <v>1</v>
      </c>
      <c r="J61" s="894">
        <f>IF('[1]BASE'!DN62=0,"",'[1]BASE'!DN62)</f>
      </c>
      <c r="K61" s="894">
        <f>IF('[1]BASE'!DO62=0,"",'[1]BASE'!DO62)</f>
      </c>
      <c r="L61" s="894">
        <f>IF('[1]BASE'!DP62=0,"",'[1]BASE'!DP62)</f>
      </c>
      <c r="M61" s="894">
        <f>IF('[1]BASE'!DQ62=0,"",'[1]BASE'!DQ62)</f>
      </c>
      <c r="N61" s="894">
        <f>IF('[1]BASE'!DR62=0,"",'[1]BASE'!DR62)</f>
      </c>
      <c r="O61" s="894">
        <f>IF('[1]BASE'!DS62=0,"",'[1]BASE'!DS62)</f>
      </c>
      <c r="P61" s="894">
        <f>IF('[1]BASE'!DT62=0,"",'[1]BASE'!DT62)</f>
      </c>
      <c r="Q61" s="894">
        <f>IF('[1]BASE'!DU62=0,"",'[1]BASE'!DU62)</f>
      </c>
      <c r="R61" s="894">
        <f>IF('[1]BASE'!DV62=0,"",'[1]BASE'!DV62)</f>
      </c>
      <c r="S61" s="894">
        <f>IF('[1]BASE'!DW62=0,"",'[1]BASE'!DW62)</f>
        <v>1</v>
      </c>
      <c r="T61" s="893"/>
      <c r="U61" s="890"/>
    </row>
    <row r="62" spans="2:21" s="885" customFormat="1" ht="19.5" customHeight="1">
      <c r="B62" s="886"/>
      <c r="C62" s="896">
        <f>IF('[1]BASE'!C63=0,"",'[1]BASE'!C63)</f>
        <v>47</v>
      </c>
      <c r="D62" s="896" t="str">
        <f>IF('[1]BASE'!D63=0,"",'[1]BASE'!D63)</f>
        <v>SANTO TOME - ROMANG </v>
      </c>
      <c r="E62" s="896">
        <f>IF('[1]BASE'!E63=0,"",'[1]BASE'!E63)</f>
        <v>500</v>
      </c>
      <c r="F62" s="896">
        <f>IF('[1]BASE'!F63=0,"",'[1]BASE'!F63)</f>
        <v>270</v>
      </c>
      <c r="G62" s="897" t="str">
        <f>IF('[1]BASE'!G63=0,"",'[1]BASE'!G63)</f>
        <v>A</v>
      </c>
      <c r="H62" s="896">
        <f>IF('[1]BASE'!DL63=0,"",'[1]BASE'!DL63)</f>
      </c>
      <c r="I62" s="896">
        <f>IF('[1]BASE'!DM63=0,"",'[1]BASE'!DM63)</f>
      </c>
      <c r="J62" s="896">
        <f>IF('[1]BASE'!DN63=0,"",'[1]BASE'!DN63)</f>
      </c>
      <c r="K62" s="896">
        <f>IF('[1]BASE'!DO63=0,"",'[1]BASE'!DO63)</f>
      </c>
      <c r="L62" s="896">
        <f>IF('[1]BASE'!DP63=0,"",'[1]BASE'!DP63)</f>
      </c>
      <c r="M62" s="896">
        <f>IF('[1]BASE'!DQ63=0,"",'[1]BASE'!DQ63)</f>
      </c>
      <c r="N62" s="896">
        <f>IF('[1]BASE'!DR63=0,"",'[1]BASE'!DR63)</f>
      </c>
      <c r="O62" s="896">
        <f>IF('[1]BASE'!DS63=0,"",'[1]BASE'!DS63)</f>
      </c>
      <c r="P62" s="896">
        <f>IF('[1]BASE'!DT63=0,"",'[1]BASE'!DT63)</f>
        <v>1</v>
      </c>
      <c r="Q62" s="896">
        <f>IF('[1]BASE'!DU63=0,"",'[1]BASE'!DU63)</f>
      </c>
      <c r="R62" s="896">
        <f>IF('[1]BASE'!DV63=0,"",'[1]BASE'!DV63)</f>
      </c>
      <c r="S62" s="896">
        <f>IF('[1]BASE'!DW63=0,"",'[1]BASE'!DW63)</f>
      </c>
      <c r="T62" s="893"/>
      <c r="U62" s="890"/>
    </row>
    <row r="63" spans="2:21" s="885" customFormat="1" ht="19.5" customHeight="1">
      <c r="B63" s="886"/>
      <c r="C63" s="894">
        <f>IF('[1]BASE'!C64=0,"",'[1]BASE'!C64)</f>
      </c>
      <c r="D63" s="894">
        <f>IF('[1]BASE'!D64=0,"",'[1]BASE'!D64)</f>
      </c>
      <c r="E63" s="894">
        <f>IF('[1]BASE'!E64=0,"",'[1]BASE'!E64)</f>
      </c>
      <c r="F63" s="894">
        <f>IF('[1]BASE'!F64=0,"",'[1]BASE'!F64)</f>
      </c>
      <c r="G63" s="895">
        <f>IF('[1]BASE'!G64=0,"",'[1]BASE'!G64)</f>
      </c>
      <c r="H63" s="894">
        <f>IF('[1]BASE'!DL64=0,"",'[1]BASE'!DL64)</f>
      </c>
      <c r="I63" s="894">
        <f>IF('[1]BASE'!DM64=0,"",'[1]BASE'!DM64)</f>
      </c>
      <c r="J63" s="894">
        <f>IF('[1]BASE'!DN64=0,"",'[1]BASE'!DN64)</f>
      </c>
      <c r="K63" s="894">
        <f>IF('[1]BASE'!DO64=0,"",'[1]BASE'!DO64)</f>
      </c>
      <c r="L63" s="894">
        <f>IF('[1]BASE'!DP64=0,"",'[1]BASE'!DP64)</f>
      </c>
      <c r="M63" s="894">
        <f>IF('[1]BASE'!DQ64=0,"",'[1]BASE'!DQ64)</f>
      </c>
      <c r="N63" s="894">
        <f>IF('[1]BASE'!DR64=0,"",'[1]BASE'!DR64)</f>
      </c>
      <c r="O63" s="894">
        <f>IF('[1]BASE'!DS64=0,"",'[1]BASE'!DS64)</f>
      </c>
      <c r="P63" s="894">
        <f>IF('[1]BASE'!DT64=0,"",'[1]BASE'!DT64)</f>
      </c>
      <c r="Q63" s="894">
        <f>IF('[1]BASE'!DU64=0,"",'[1]BASE'!DU64)</f>
      </c>
      <c r="R63" s="894">
        <f>IF('[1]BASE'!DV64=0,"",'[1]BASE'!DV64)</f>
      </c>
      <c r="S63" s="894">
        <f>IF('[1]BASE'!DW64=0,"",'[1]BASE'!DW64)</f>
      </c>
      <c r="T63" s="893"/>
      <c r="U63" s="890"/>
    </row>
    <row r="64" spans="2:21" s="885" customFormat="1" ht="19.5" customHeight="1">
      <c r="B64" s="886"/>
      <c r="C64" s="896">
        <f>IF('[1]BASE'!C65=0,"",'[1]BASE'!C65)</f>
        <v>48</v>
      </c>
      <c r="D64" s="896" t="str">
        <f>IF('[1]BASE'!D65=0,"",'[1]BASE'!D65)</f>
        <v>GRAL. RODRIGUEZ - VILLA  LIA 1</v>
      </c>
      <c r="E64" s="896">
        <f>IF('[1]BASE'!E65=0,"",'[1]BASE'!E65)</f>
        <v>220</v>
      </c>
      <c r="F64" s="896">
        <f>IF('[1]BASE'!F65=0,"",'[1]BASE'!F65)</f>
        <v>61</v>
      </c>
      <c r="G64" s="897" t="str">
        <f>IF('[1]BASE'!G65=0,"",'[1]BASE'!G65)</f>
        <v>C</v>
      </c>
      <c r="H64" s="896">
        <f>IF('[1]BASE'!DL65=0,"",'[1]BASE'!DL65)</f>
      </c>
      <c r="I64" s="896">
        <f>IF('[1]BASE'!DM65=0,"",'[1]BASE'!DM65)</f>
      </c>
      <c r="J64" s="896">
        <f>IF('[1]BASE'!DN65=0,"",'[1]BASE'!DN65)</f>
      </c>
      <c r="K64" s="896">
        <f>IF('[1]BASE'!DO65=0,"",'[1]BASE'!DO65)</f>
      </c>
      <c r="L64" s="896">
        <f>IF('[1]BASE'!DP65=0,"",'[1]BASE'!DP65)</f>
      </c>
      <c r="M64" s="896">
        <f>IF('[1]BASE'!DQ65=0,"",'[1]BASE'!DQ65)</f>
      </c>
      <c r="N64" s="896">
        <f>IF('[1]BASE'!DR65=0,"",'[1]BASE'!DR65)</f>
      </c>
      <c r="O64" s="896">
        <f>IF('[1]BASE'!DS65=0,"",'[1]BASE'!DS65)</f>
        <v>1</v>
      </c>
      <c r="P64" s="896">
        <f>IF('[1]BASE'!DT65=0,"",'[1]BASE'!DT65)</f>
      </c>
      <c r="Q64" s="896">
        <f>IF('[1]BASE'!DU65=0,"",'[1]BASE'!DU65)</f>
      </c>
      <c r="R64" s="896">
        <f>IF('[1]BASE'!DV65=0,"",'[1]BASE'!DV65)</f>
      </c>
      <c r="S64" s="896">
        <f>IF('[1]BASE'!DW65=0,"",'[1]BASE'!DW65)</f>
      </c>
      <c r="T64" s="893"/>
      <c r="U64" s="890"/>
    </row>
    <row r="65" spans="2:21" s="885" customFormat="1" ht="19.5" customHeight="1">
      <c r="B65" s="886"/>
      <c r="C65" s="894">
        <f>IF('[1]BASE'!C66=0,"",'[1]BASE'!C66)</f>
        <v>49</v>
      </c>
      <c r="D65" s="894" t="str">
        <f>IF('[1]BASE'!D66=0,"",'[1]BASE'!D66)</f>
        <v>GRAL. RODRIGUEZ - VILLA  LIA 2</v>
      </c>
      <c r="E65" s="894">
        <f>IF('[1]BASE'!E66=0,"",'[1]BASE'!E66)</f>
        <v>220</v>
      </c>
      <c r="F65" s="894">
        <f>IF('[1]BASE'!F66=0,"",'[1]BASE'!F66)</f>
        <v>61</v>
      </c>
      <c r="G65" s="895" t="str">
        <f>IF('[1]BASE'!G66=0,"",'[1]BASE'!G66)</f>
        <v>C</v>
      </c>
      <c r="H65" s="894">
        <f>IF('[1]BASE'!DL66=0,"",'[1]BASE'!DL66)</f>
        <v>1</v>
      </c>
      <c r="I65" s="894">
        <f>IF('[1]BASE'!DM66=0,"",'[1]BASE'!DM66)</f>
      </c>
      <c r="J65" s="894">
        <f>IF('[1]BASE'!DN66=0,"",'[1]BASE'!DN66)</f>
      </c>
      <c r="K65" s="894">
        <f>IF('[1]BASE'!DO66=0,"",'[1]BASE'!DO66)</f>
      </c>
      <c r="L65" s="894">
        <f>IF('[1]BASE'!DP66=0,"",'[1]BASE'!DP66)</f>
      </c>
      <c r="M65" s="894">
        <f>IF('[1]BASE'!DQ66=0,"",'[1]BASE'!DQ66)</f>
      </c>
      <c r="N65" s="894">
        <f>IF('[1]BASE'!DR66=0,"",'[1]BASE'!DR66)</f>
      </c>
      <c r="O65" s="894">
        <f>IF('[1]BASE'!DS66=0,"",'[1]BASE'!DS66)</f>
      </c>
      <c r="P65" s="894">
        <f>IF('[1]BASE'!DT66=0,"",'[1]BASE'!DT66)</f>
      </c>
      <c r="Q65" s="894">
        <f>IF('[1]BASE'!DU66=0,"",'[1]BASE'!DU66)</f>
      </c>
      <c r="R65" s="894">
        <f>IF('[1]BASE'!DV66=0,"",'[1]BASE'!DV66)</f>
      </c>
      <c r="S65" s="894">
        <f>IF('[1]BASE'!DW66=0,"",'[1]BASE'!DW66)</f>
      </c>
      <c r="T65" s="893"/>
      <c r="U65" s="890"/>
    </row>
    <row r="66" spans="2:21" s="885" customFormat="1" ht="19.5" customHeight="1">
      <c r="B66" s="886"/>
      <c r="C66" s="896">
        <f>IF('[1]BASE'!C67=0,"",'[1]BASE'!C67)</f>
        <v>50</v>
      </c>
      <c r="D66" s="896" t="str">
        <f>IF('[1]BASE'!D67=0,"",'[1]BASE'!D67)</f>
        <v>RAMALLO - SAN NICOLAS (2)</v>
      </c>
      <c r="E66" s="896">
        <f>IF('[1]BASE'!E67=0,"",'[1]BASE'!E67)</f>
        <v>220</v>
      </c>
      <c r="F66" s="896">
        <f>IF('[1]BASE'!F67=0,"",'[1]BASE'!F67)</f>
        <v>6</v>
      </c>
      <c r="G66" s="897" t="str">
        <f>IF('[1]BASE'!G67=0,"",'[1]BASE'!G67)</f>
        <v>C</v>
      </c>
      <c r="H66" s="896">
        <f>IF('[1]BASE'!DL67=0,"",'[1]BASE'!DL67)</f>
      </c>
      <c r="I66" s="896">
        <f>IF('[1]BASE'!DM67=0,"",'[1]BASE'!DM67)</f>
      </c>
      <c r="J66" s="896">
        <f>IF('[1]BASE'!DN67=0,"",'[1]BASE'!DN67)</f>
      </c>
      <c r="K66" s="896">
        <f>IF('[1]BASE'!DO67=0,"",'[1]BASE'!DO67)</f>
      </c>
      <c r="L66" s="896">
        <f>IF('[1]BASE'!DP67=0,"",'[1]BASE'!DP67)</f>
      </c>
      <c r="M66" s="896">
        <f>IF('[1]BASE'!DQ67=0,"",'[1]BASE'!DQ67)</f>
      </c>
      <c r="N66" s="896">
        <f>IF('[1]BASE'!DR67=0,"",'[1]BASE'!DR67)</f>
      </c>
      <c r="O66" s="896">
        <f>IF('[1]BASE'!DS67=0,"",'[1]BASE'!DS67)</f>
      </c>
      <c r="P66" s="896">
        <f>IF('[1]BASE'!DT67=0,"",'[1]BASE'!DT67)</f>
      </c>
      <c r="Q66" s="896">
        <f>IF('[1]BASE'!DU67=0,"",'[1]BASE'!DU67)</f>
      </c>
      <c r="R66" s="896">
        <f>IF('[1]BASE'!DV67=0,"",'[1]BASE'!DV67)</f>
      </c>
      <c r="S66" s="896">
        <f>IF('[1]BASE'!DW67=0,"",'[1]BASE'!DW67)</f>
      </c>
      <c r="T66" s="893"/>
      <c r="U66" s="890"/>
    </row>
    <row r="67" spans="2:21" s="885" customFormat="1" ht="19.5" customHeight="1">
      <c r="B67" s="886"/>
      <c r="C67" s="894">
        <f>IF('[1]BASE'!C68=0,"",'[1]BASE'!C68)</f>
        <v>51</v>
      </c>
      <c r="D67" s="894" t="str">
        <f>IF('[1]BASE'!D68=0,"",'[1]BASE'!D68)</f>
        <v>RAMALLO - SAN NICOLAS (1)</v>
      </c>
      <c r="E67" s="894">
        <f>IF('[1]BASE'!E68=0,"",'[1]BASE'!E68)</f>
        <v>220</v>
      </c>
      <c r="F67" s="894">
        <f>IF('[1]BASE'!F68=0,"",'[1]BASE'!F68)</f>
        <v>6</v>
      </c>
      <c r="G67" s="895" t="str">
        <f>IF('[1]BASE'!G68=0,"",'[1]BASE'!G68)</f>
        <v>C</v>
      </c>
      <c r="H67" s="894">
        <f>IF('[1]BASE'!DL68=0,"",'[1]BASE'!DL68)</f>
      </c>
      <c r="I67" s="894">
        <f>IF('[1]BASE'!DM68=0,"",'[1]BASE'!DM68)</f>
      </c>
      <c r="J67" s="894">
        <f>IF('[1]BASE'!DN68=0,"",'[1]BASE'!DN68)</f>
      </c>
      <c r="K67" s="894">
        <f>IF('[1]BASE'!DO68=0,"",'[1]BASE'!DO68)</f>
      </c>
      <c r="L67" s="894">
        <f>IF('[1]BASE'!DP68=0,"",'[1]BASE'!DP68)</f>
      </c>
      <c r="M67" s="894">
        <f>IF('[1]BASE'!DQ68=0,"",'[1]BASE'!DQ68)</f>
      </c>
      <c r="N67" s="894">
        <f>IF('[1]BASE'!DR68=0,"",'[1]BASE'!DR68)</f>
      </c>
      <c r="O67" s="894">
        <f>IF('[1]BASE'!DS68=0,"",'[1]BASE'!DS68)</f>
      </c>
      <c r="P67" s="894">
        <f>IF('[1]BASE'!DT68=0,"",'[1]BASE'!DT68)</f>
      </c>
      <c r="Q67" s="894">
        <f>IF('[1]BASE'!DU68=0,"",'[1]BASE'!DU68)</f>
      </c>
      <c r="R67" s="894">
        <f>IF('[1]BASE'!DV68=0,"",'[1]BASE'!DV68)</f>
      </c>
      <c r="S67" s="894">
        <f>IF('[1]BASE'!DW68=0,"",'[1]BASE'!DW68)</f>
        <v>1</v>
      </c>
      <c r="T67" s="893"/>
      <c r="U67" s="890"/>
    </row>
    <row r="68" spans="2:21" s="885" customFormat="1" ht="19.5" customHeight="1">
      <c r="B68" s="886"/>
      <c r="C68" s="896">
        <f>IF('[1]BASE'!C69=0,"",'[1]BASE'!C69)</f>
        <v>52</v>
      </c>
      <c r="D68" s="896" t="str">
        <f>IF('[1]BASE'!D69=0,"",'[1]BASE'!D69)</f>
        <v>RAMALLO - VILLA LIA  1</v>
      </c>
      <c r="E68" s="896">
        <f>IF('[1]BASE'!E69=0,"",'[1]BASE'!E69)</f>
        <v>220</v>
      </c>
      <c r="F68" s="897">
        <f>IF('[1]BASE'!F69=0,"",'[1]BASE'!F69)</f>
        <v>114</v>
      </c>
      <c r="G68" s="897" t="str">
        <f>IF('[1]BASE'!G69=0,"",'[1]BASE'!G69)</f>
        <v>C</v>
      </c>
      <c r="H68" s="897">
        <f>IF('[1]BASE'!DL69=0,"",'[1]BASE'!DL69)</f>
        <v>1</v>
      </c>
      <c r="I68" s="897">
        <f>IF('[1]BASE'!DM69=0,"",'[1]BASE'!DM69)</f>
      </c>
      <c r="J68" s="897">
        <f>IF('[1]BASE'!DN69=0,"",'[1]BASE'!DN69)</f>
      </c>
      <c r="K68" s="897">
        <f>IF('[1]BASE'!DO69=0,"",'[1]BASE'!DO69)</f>
      </c>
      <c r="L68" s="897">
        <f>IF('[1]BASE'!DP69=0,"",'[1]BASE'!DP69)</f>
        <v>1</v>
      </c>
      <c r="M68" s="897">
        <f>IF('[1]BASE'!DQ69=0,"",'[1]BASE'!DQ69)</f>
        <v>1</v>
      </c>
      <c r="N68" s="897">
        <f>IF('[1]BASE'!DR69=0,"",'[1]BASE'!DR69)</f>
      </c>
      <c r="O68" s="897">
        <f>IF('[1]BASE'!DS69=0,"",'[1]BASE'!DS69)</f>
      </c>
      <c r="P68" s="897">
        <f>IF('[1]BASE'!DT69=0,"",'[1]BASE'!DT69)</f>
      </c>
      <c r="Q68" s="897">
        <f>IF('[1]BASE'!DU69=0,"",'[1]BASE'!DU69)</f>
      </c>
      <c r="R68" s="897">
        <f>IF('[1]BASE'!DV69=0,"",'[1]BASE'!DV69)</f>
      </c>
      <c r="S68" s="897">
        <f>IF('[1]BASE'!DW69=0,"",'[1]BASE'!DW69)</f>
      </c>
      <c r="T68" s="893"/>
      <c r="U68" s="890"/>
    </row>
    <row r="69" spans="2:21" s="885" customFormat="1" ht="19.5" customHeight="1">
      <c r="B69" s="886"/>
      <c r="C69" s="894">
        <f>IF('[1]BASE'!C70=0,"",'[1]BASE'!C70)</f>
        <v>53</v>
      </c>
      <c r="D69" s="894" t="str">
        <f>IF('[1]BASE'!D70=0,"",'[1]BASE'!D70)</f>
        <v>RAMALLO - VILLA LIA  2</v>
      </c>
      <c r="E69" s="894">
        <f>IF('[1]BASE'!E70=0,"",'[1]BASE'!E70)</f>
        <v>220</v>
      </c>
      <c r="F69" s="895">
        <f>IF('[1]BASE'!F70=0,"",'[1]BASE'!F70)</f>
        <v>114</v>
      </c>
      <c r="G69" s="895" t="str">
        <f>IF('[1]BASE'!G70=0,"",'[1]BASE'!G70)</f>
        <v>C</v>
      </c>
      <c r="H69" s="895">
        <f>IF('[1]BASE'!DL70=0,"",'[1]BASE'!DL70)</f>
      </c>
      <c r="I69" s="895">
        <f>IF('[1]BASE'!DM70=0,"",'[1]BASE'!DM70)</f>
      </c>
      <c r="J69" s="895">
        <f>IF('[1]BASE'!DN70=0,"",'[1]BASE'!DN70)</f>
      </c>
      <c r="K69" s="895">
        <f>IF('[1]BASE'!DO70=0,"",'[1]BASE'!DO70)</f>
      </c>
      <c r="L69" s="895">
        <f>IF('[1]BASE'!DP70=0,"",'[1]BASE'!DP70)</f>
      </c>
      <c r="M69" s="895">
        <f>IF('[1]BASE'!DQ70=0,"",'[1]BASE'!DQ70)</f>
      </c>
      <c r="N69" s="895">
        <f>IF('[1]BASE'!DR70=0,"",'[1]BASE'!DR70)</f>
      </c>
      <c r="O69" s="895">
        <f>IF('[1]BASE'!DS70=0,"",'[1]BASE'!DS70)</f>
      </c>
      <c r="P69" s="895">
        <f>IF('[1]BASE'!DT70=0,"",'[1]BASE'!DT70)</f>
      </c>
      <c r="Q69" s="895">
        <f>IF('[1]BASE'!DU70=0,"",'[1]BASE'!DU70)</f>
      </c>
      <c r="R69" s="895">
        <f>IF('[1]BASE'!DV70=0,"",'[1]BASE'!DV70)</f>
      </c>
      <c r="S69" s="895">
        <f>IF('[1]BASE'!DW70=0,"",'[1]BASE'!DW70)</f>
      </c>
      <c r="T69" s="893"/>
      <c r="U69" s="890"/>
    </row>
    <row r="70" spans="2:21" s="885" customFormat="1" ht="19.5" customHeight="1">
      <c r="B70" s="886"/>
      <c r="C70" s="896">
        <f>IF('[1]BASE'!C71=0,"",'[1]BASE'!C71)</f>
        <v>54</v>
      </c>
      <c r="D70" s="896" t="str">
        <f>IF('[1]BASE'!D71=0,"",'[1]BASE'!D71)</f>
        <v>ROSARIO OESTE - RAMALLO  1</v>
      </c>
      <c r="E70" s="896">
        <f>IF('[1]BASE'!E71=0,"",'[1]BASE'!E71)</f>
        <v>220</v>
      </c>
      <c r="F70" s="897">
        <f>IF('[1]BASE'!F71=0,"",'[1]BASE'!F71)</f>
        <v>77</v>
      </c>
      <c r="G70" s="897" t="str">
        <f>IF('[1]BASE'!G71=0,"",'[1]BASE'!G71)</f>
        <v>C</v>
      </c>
      <c r="H70" s="897">
        <f>IF('[1]BASE'!DL71=0,"",'[1]BASE'!DL71)</f>
        <v>1</v>
      </c>
      <c r="I70" s="897">
        <f>IF('[1]BASE'!DM71=0,"",'[1]BASE'!DM71)</f>
      </c>
      <c r="J70" s="897">
        <f>IF('[1]BASE'!DN71=0,"",'[1]BASE'!DN71)</f>
      </c>
      <c r="K70" s="897">
        <f>IF('[1]BASE'!DO71=0,"",'[1]BASE'!DO71)</f>
      </c>
      <c r="L70" s="897">
        <f>IF('[1]BASE'!DP71=0,"",'[1]BASE'!DP71)</f>
      </c>
      <c r="M70" s="897">
        <f>IF('[1]BASE'!DQ71=0,"",'[1]BASE'!DQ71)</f>
      </c>
      <c r="N70" s="897">
        <f>IF('[1]BASE'!DR71=0,"",'[1]BASE'!DR71)</f>
      </c>
      <c r="O70" s="897">
        <f>IF('[1]BASE'!DS71=0,"",'[1]BASE'!DS71)</f>
      </c>
      <c r="P70" s="897">
        <f>IF('[1]BASE'!DT71=0,"",'[1]BASE'!DT71)</f>
        <v>1</v>
      </c>
      <c r="Q70" s="897">
        <f>IF('[1]BASE'!DU71=0,"",'[1]BASE'!DU71)</f>
      </c>
      <c r="R70" s="897">
        <f>IF('[1]BASE'!DV71=0,"",'[1]BASE'!DV71)</f>
      </c>
      <c r="S70" s="897">
        <f>IF('[1]BASE'!DW71=0,"",'[1]BASE'!DW71)</f>
      </c>
      <c r="T70" s="893"/>
      <c r="U70" s="890"/>
    </row>
    <row r="71" spans="2:21" s="885" customFormat="1" ht="19.5" customHeight="1">
      <c r="B71" s="886"/>
      <c r="C71" s="894">
        <f>IF('[1]BASE'!C72=0,"",'[1]BASE'!C72)</f>
        <v>55</v>
      </c>
      <c r="D71" s="894" t="str">
        <f>IF('[1]BASE'!D72=0,"",'[1]BASE'!D72)</f>
        <v>ROSARIO OESTE - RAMALLO  2</v>
      </c>
      <c r="E71" s="894">
        <f>IF('[1]BASE'!E72=0,"",'[1]BASE'!E72)</f>
        <v>220</v>
      </c>
      <c r="F71" s="895">
        <f>IF('[1]BASE'!F72=0,"",'[1]BASE'!F72)</f>
        <v>77</v>
      </c>
      <c r="G71" s="895" t="str">
        <f>IF('[1]BASE'!G72=0,"",'[1]BASE'!G72)</f>
        <v>C</v>
      </c>
      <c r="H71" s="895">
        <f>IF('[1]BASE'!DL72=0,"",'[1]BASE'!DL72)</f>
      </c>
      <c r="I71" s="895">
        <f>IF('[1]BASE'!DM72=0,"",'[1]BASE'!DM72)</f>
      </c>
      <c r="J71" s="895">
        <f>IF('[1]BASE'!DN72=0,"",'[1]BASE'!DN72)</f>
      </c>
      <c r="K71" s="895">
        <f>IF('[1]BASE'!DO72=0,"",'[1]BASE'!DO72)</f>
      </c>
      <c r="L71" s="895">
        <f>IF('[1]BASE'!DP72=0,"",'[1]BASE'!DP72)</f>
      </c>
      <c r="M71" s="895">
        <f>IF('[1]BASE'!DQ72=0,"",'[1]BASE'!DQ72)</f>
      </c>
      <c r="N71" s="895">
        <f>IF('[1]BASE'!DR72=0,"",'[1]BASE'!DR72)</f>
      </c>
      <c r="O71" s="895">
        <f>IF('[1]BASE'!DS72=0,"",'[1]BASE'!DS72)</f>
      </c>
      <c r="P71" s="895">
        <f>IF('[1]BASE'!DT72=0,"",'[1]BASE'!DT72)</f>
      </c>
      <c r="Q71" s="895">
        <f>IF('[1]BASE'!DU72=0,"",'[1]BASE'!DU72)</f>
      </c>
      <c r="R71" s="895">
        <f>IF('[1]BASE'!DV72=0,"",'[1]BASE'!DV72)</f>
      </c>
      <c r="S71" s="895">
        <f>IF('[1]BASE'!DW72=0,"",'[1]BASE'!DW72)</f>
        <v>1</v>
      </c>
      <c r="T71" s="893"/>
      <c r="U71" s="890"/>
    </row>
    <row r="72" spans="2:21" s="885" customFormat="1" ht="19.5" customHeight="1">
      <c r="B72" s="886"/>
      <c r="C72" s="896">
        <f>IF('[1]BASE'!C73=0,"",'[1]BASE'!C73)</f>
        <v>56</v>
      </c>
      <c r="D72" s="896" t="str">
        <f>IF('[1]BASE'!D73=0,"",'[1]BASE'!D73)</f>
        <v>VILLA LIA - ATUCHA 1</v>
      </c>
      <c r="E72" s="896">
        <f>IF('[1]BASE'!E73=0,"",'[1]BASE'!E73)</f>
        <v>220</v>
      </c>
      <c r="F72" s="896">
        <f>IF('[1]BASE'!F73=0,"",'[1]BASE'!F73)</f>
        <v>26</v>
      </c>
      <c r="G72" s="897" t="str">
        <f>IF('[1]BASE'!G73=0,"",'[1]BASE'!G73)</f>
        <v>C</v>
      </c>
      <c r="H72" s="896">
        <f>IF('[1]BASE'!DL73=0,"",'[1]BASE'!DL73)</f>
      </c>
      <c r="I72" s="896">
        <f>IF('[1]BASE'!DM73=0,"",'[1]BASE'!DM73)</f>
      </c>
      <c r="J72" s="896">
        <f>IF('[1]BASE'!DN73=0,"",'[1]BASE'!DN73)</f>
      </c>
      <c r="K72" s="896">
        <f>IF('[1]BASE'!DO73=0,"",'[1]BASE'!DO73)</f>
      </c>
      <c r="L72" s="896">
        <f>IF('[1]BASE'!DP73=0,"",'[1]BASE'!DP73)</f>
      </c>
      <c r="M72" s="896">
        <f>IF('[1]BASE'!DQ73=0,"",'[1]BASE'!DQ73)</f>
      </c>
      <c r="N72" s="896">
        <f>IF('[1]BASE'!DR73=0,"",'[1]BASE'!DR73)</f>
      </c>
      <c r="O72" s="896">
        <f>IF('[1]BASE'!DS73=0,"",'[1]BASE'!DS73)</f>
      </c>
      <c r="P72" s="896">
        <f>IF('[1]BASE'!DT73=0,"",'[1]BASE'!DT73)</f>
      </c>
      <c r="Q72" s="896">
        <f>IF('[1]BASE'!DU73=0,"",'[1]BASE'!DU73)</f>
      </c>
      <c r="R72" s="896">
        <f>IF('[1]BASE'!DV73=0,"",'[1]BASE'!DV73)</f>
      </c>
      <c r="S72" s="896">
        <f>IF('[1]BASE'!DW73=0,"",'[1]BASE'!DW73)</f>
      </c>
      <c r="T72" s="893"/>
      <c r="U72" s="890"/>
    </row>
    <row r="73" spans="2:21" s="885" customFormat="1" ht="19.5" customHeight="1">
      <c r="B73" s="886"/>
      <c r="C73" s="894">
        <f>IF('[1]BASE'!C74=0,"",'[1]BASE'!C74)</f>
        <v>57</v>
      </c>
      <c r="D73" s="894" t="str">
        <f>IF('[1]BASE'!D74=0,"",'[1]BASE'!D74)</f>
        <v>VILLA LIA - ATUCHA 2</v>
      </c>
      <c r="E73" s="894">
        <f>IF('[1]BASE'!E74=0,"",'[1]BASE'!E74)</f>
        <v>220</v>
      </c>
      <c r="F73" s="894">
        <f>IF('[1]BASE'!F74=0,"",'[1]BASE'!F74)</f>
        <v>26</v>
      </c>
      <c r="G73" s="895" t="str">
        <f>IF('[1]BASE'!G74=0,"",'[1]BASE'!G74)</f>
        <v>C</v>
      </c>
      <c r="H73" s="894">
        <f>IF('[1]BASE'!DL74=0,"",'[1]BASE'!DL74)</f>
      </c>
      <c r="I73" s="894">
        <f>IF('[1]BASE'!DM74=0,"",'[1]BASE'!DM74)</f>
      </c>
      <c r="J73" s="894">
        <f>IF('[1]BASE'!DN74=0,"",'[1]BASE'!DN74)</f>
      </c>
      <c r="K73" s="894">
        <f>IF('[1]BASE'!DO74=0,"",'[1]BASE'!DO74)</f>
      </c>
      <c r="L73" s="894">
        <f>IF('[1]BASE'!DP74=0,"",'[1]BASE'!DP74)</f>
      </c>
      <c r="M73" s="894">
        <f>IF('[1]BASE'!DQ74=0,"",'[1]BASE'!DQ74)</f>
      </c>
      <c r="N73" s="894">
        <f>IF('[1]BASE'!DR74=0,"",'[1]BASE'!DR74)</f>
      </c>
      <c r="O73" s="894">
        <f>IF('[1]BASE'!DS74=0,"",'[1]BASE'!DS74)</f>
      </c>
      <c r="P73" s="894">
        <f>IF('[1]BASE'!DT74=0,"",'[1]BASE'!DT74)</f>
      </c>
      <c r="Q73" s="894">
        <f>IF('[1]BASE'!DU74=0,"",'[1]BASE'!DU74)</f>
      </c>
      <c r="R73" s="894">
        <f>IF('[1]BASE'!DV74=0,"",'[1]BASE'!DV74)</f>
      </c>
      <c r="S73" s="894">
        <f>IF('[1]BASE'!DW74=0,"",'[1]BASE'!DW74)</f>
      </c>
      <c r="T73" s="893"/>
      <c r="U73" s="890"/>
    </row>
    <row r="74" spans="2:21" s="885" customFormat="1" ht="19.5" customHeight="1">
      <c r="B74" s="886"/>
      <c r="C74" s="896">
        <f>IF('[1]BASE'!C75=0,"",'[1]BASE'!C75)</f>
      </c>
      <c r="D74" s="896">
        <f>IF('[1]BASE'!D75=0,"",'[1]BASE'!D75)</f>
      </c>
      <c r="E74" s="896">
        <f>IF('[1]BASE'!E75=0,"",'[1]BASE'!E75)</f>
      </c>
      <c r="F74" s="896">
        <f>IF('[1]BASE'!F75=0,"",'[1]BASE'!F75)</f>
      </c>
      <c r="G74" s="897">
        <f>IF('[1]BASE'!G75=0,"",'[1]BASE'!G75)</f>
      </c>
      <c r="H74" s="896">
        <f>IF('[1]BASE'!DL75=0,"",'[1]BASE'!DL75)</f>
      </c>
      <c r="I74" s="896">
        <f>IF('[1]BASE'!DM75=0,"",'[1]BASE'!DM75)</f>
      </c>
      <c r="J74" s="896">
        <f>IF('[1]BASE'!DN75=0,"",'[1]BASE'!DN75)</f>
      </c>
      <c r="K74" s="896">
        <f>IF('[1]BASE'!DO75=0,"",'[1]BASE'!DO75)</f>
      </c>
      <c r="L74" s="896">
        <f>IF('[1]BASE'!DP75=0,"",'[1]BASE'!DP75)</f>
      </c>
      <c r="M74" s="896">
        <f>IF('[1]BASE'!DQ75=0,"",'[1]BASE'!DQ75)</f>
      </c>
      <c r="N74" s="896">
        <f>IF('[1]BASE'!DR75=0,"",'[1]BASE'!DR75)</f>
      </c>
      <c r="O74" s="896">
        <f>IF('[1]BASE'!DS75=0,"",'[1]BASE'!DS75)</f>
      </c>
      <c r="P74" s="896">
        <f>IF('[1]BASE'!DT75=0,"",'[1]BASE'!DT75)</f>
      </c>
      <c r="Q74" s="896">
        <f>IF('[1]BASE'!DU75=0,"",'[1]BASE'!DU75)</f>
      </c>
      <c r="R74" s="896">
        <f>IF('[1]BASE'!DV75=0,"",'[1]BASE'!DV75)</f>
      </c>
      <c r="S74" s="896">
        <f>IF('[1]BASE'!DW75=0,"",'[1]BASE'!DW75)</f>
      </c>
      <c r="T74" s="893"/>
      <c r="U74" s="890"/>
    </row>
    <row r="75" spans="2:21" s="885" customFormat="1" ht="19.5" customHeight="1">
      <c r="B75" s="886"/>
      <c r="C75" s="894">
        <f>IF('[1]BASE'!C76=0,"",'[1]BASE'!C76)</f>
        <v>58</v>
      </c>
      <c r="D75" s="894" t="str">
        <f>IF('[1]BASE'!D76=0,"",'[1]BASE'!D76)</f>
        <v>GRAL RODRIGUEZ - RAMALLO</v>
      </c>
      <c r="E75" s="894">
        <f>IF('[1]BASE'!E76=0,"",'[1]BASE'!E76)</f>
        <v>500</v>
      </c>
      <c r="F75" s="895">
        <f>IF('[1]BASE'!F76=0,"",'[1]BASE'!F76)</f>
        <v>183.9</v>
      </c>
      <c r="G75" s="895" t="str">
        <f>IF('[1]BASE'!G76=0,"",'[1]BASE'!G76)</f>
        <v>C</v>
      </c>
      <c r="H75" s="895">
        <f>IF('[1]BASE'!DL76=0,"",'[1]BASE'!DL76)</f>
        <v>1</v>
      </c>
      <c r="I75" s="895">
        <f>IF('[1]BASE'!DM76=0,"",'[1]BASE'!DM76)</f>
      </c>
      <c r="J75" s="895">
        <f>IF('[1]BASE'!DN76=0,"",'[1]BASE'!DN76)</f>
      </c>
      <c r="K75" s="895">
        <f>IF('[1]BASE'!DO76=0,"",'[1]BASE'!DO76)</f>
      </c>
      <c r="L75" s="895">
        <f>IF('[1]BASE'!DP76=0,"",'[1]BASE'!DP76)</f>
      </c>
      <c r="M75" s="895">
        <f>IF('[1]BASE'!DQ76=0,"",'[1]BASE'!DQ76)</f>
      </c>
      <c r="N75" s="895">
        <f>IF('[1]BASE'!DR76=0,"",'[1]BASE'!DR76)</f>
      </c>
      <c r="O75" s="895">
        <f>IF('[1]BASE'!DS76=0,"",'[1]BASE'!DS76)</f>
      </c>
      <c r="P75" s="895">
        <f>IF('[1]BASE'!DT76=0,"",'[1]BASE'!DT76)</f>
      </c>
      <c r="Q75" s="895">
        <f>IF('[1]BASE'!DU76=0,"",'[1]BASE'!DU76)</f>
      </c>
      <c r="R75" s="895">
        <f>IF('[1]BASE'!DV76=0,"",'[1]BASE'!DV76)</f>
      </c>
      <c r="S75" s="895">
        <f>IF('[1]BASE'!DW76=0,"",'[1]BASE'!DW76)</f>
      </c>
      <c r="T75" s="893"/>
      <c r="U75" s="890"/>
    </row>
    <row r="76" spans="2:21" s="885" customFormat="1" ht="19.5" customHeight="1">
      <c r="B76" s="886"/>
      <c r="C76" s="896">
        <f>IF('[1]BASE'!C77=0,"",'[1]BASE'!C77)</f>
        <v>59</v>
      </c>
      <c r="D76" s="896" t="str">
        <f>IF('[1]BASE'!D77=0,"",'[1]BASE'!D77)</f>
        <v>RAMALLO - ROSARIO OESTE</v>
      </c>
      <c r="E76" s="896">
        <f>IF('[1]BASE'!E77=0,"",'[1]BASE'!E77)</f>
        <v>500</v>
      </c>
      <c r="F76" s="897">
        <f>IF('[1]BASE'!F77=0,"",'[1]BASE'!F77)</f>
        <v>77</v>
      </c>
      <c r="G76" s="897" t="str">
        <f>IF('[1]BASE'!G77=0,"",'[1]BASE'!G77)</f>
        <v>C</v>
      </c>
      <c r="H76" s="897">
        <f>IF('[1]BASE'!DL77=0,"",'[1]BASE'!DL77)</f>
      </c>
      <c r="I76" s="897">
        <f>IF('[1]BASE'!DM77=0,"",'[1]BASE'!DM77)</f>
      </c>
      <c r="J76" s="897">
        <f>IF('[1]BASE'!DN77=0,"",'[1]BASE'!DN77)</f>
        <v>1</v>
      </c>
      <c r="K76" s="897">
        <f>IF('[1]BASE'!DO77=0,"",'[1]BASE'!DO77)</f>
      </c>
      <c r="L76" s="897">
        <f>IF('[1]BASE'!DP77=0,"",'[1]BASE'!DP77)</f>
      </c>
      <c r="M76" s="897">
        <f>IF('[1]BASE'!DQ77=0,"",'[1]BASE'!DQ77)</f>
      </c>
      <c r="N76" s="897">
        <f>IF('[1]BASE'!DR77=0,"",'[1]BASE'!DR77)</f>
      </c>
      <c r="O76" s="897">
        <f>IF('[1]BASE'!DS77=0,"",'[1]BASE'!DS77)</f>
      </c>
      <c r="P76" s="897">
        <f>IF('[1]BASE'!DT77=0,"",'[1]BASE'!DT77)</f>
      </c>
      <c r="Q76" s="897">
        <f>IF('[1]BASE'!DU77=0,"",'[1]BASE'!DU77)</f>
      </c>
      <c r="R76" s="897">
        <f>IF('[1]BASE'!DV77=0,"",'[1]BASE'!DV77)</f>
      </c>
      <c r="S76" s="897">
        <f>IF('[1]BASE'!DW77=0,"",'[1]BASE'!DW77)</f>
        <v>1</v>
      </c>
      <c r="T76" s="893"/>
      <c r="U76" s="890"/>
    </row>
    <row r="77" spans="2:21" s="885" customFormat="1" ht="19.5" customHeight="1">
      <c r="B77" s="886"/>
      <c r="C77" s="894">
        <f>IF('[1]BASE'!C78=0,"",'[1]BASE'!C78)</f>
        <v>60</v>
      </c>
      <c r="D77" s="894" t="str">
        <f>IF('[1]BASE'!D78=0,"",'[1]BASE'!D78)</f>
        <v>MACACHIN - HENDERSON</v>
      </c>
      <c r="E77" s="894">
        <f>IF('[1]BASE'!E78=0,"",'[1]BASE'!E78)</f>
        <v>500</v>
      </c>
      <c r="F77" s="895">
        <f>IF('[1]BASE'!F78=0,"",'[1]BASE'!F78)</f>
        <v>194</v>
      </c>
      <c r="G77" s="895" t="str">
        <f>IF('[1]BASE'!G78=0,"",'[1]BASE'!G78)</f>
        <v>A</v>
      </c>
      <c r="H77" s="895">
        <f>IF('[1]BASE'!DL78=0,"",'[1]BASE'!DL78)</f>
      </c>
      <c r="I77" s="895">
        <f>IF('[1]BASE'!DM78=0,"",'[1]BASE'!DM78)</f>
      </c>
      <c r="J77" s="895">
        <f>IF('[1]BASE'!DN78=0,"",'[1]BASE'!DN78)</f>
      </c>
      <c r="K77" s="895">
        <f>IF('[1]BASE'!DO78=0,"",'[1]BASE'!DO78)</f>
      </c>
      <c r="L77" s="895">
        <f>IF('[1]BASE'!DP78=0,"",'[1]BASE'!DP78)</f>
      </c>
      <c r="M77" s="895">
        <f>IF('[1]BASE'!DQ78=0,"",'[1]BASE'!DQ78)</f>
      </c>
      <c r="N77" s="895">
        <f>IF('[1]BASE'!DR78=0,"",'[1]BASE'!DR78)</f>
        <v>1</v>
      </c>
      <c r="O77" s="895">
        <f>IF('[1]BASE'!DS78=0,"",'[1]BASE'!DS78)</f>
      </c>
      <c r="P77" s="895">
        <f>IF('[1]BASE'!DT78=0,"",'[1]BASE'!DT78)</f>
      </c>
      <c r="Q77" s="895">
        <f>IF('[1]BASE'!DU78=0,"",'[1]BASE'!DU78)</f>
        <v>1</v>
      </c>
      <c r="R77" s="895">
        <f>IF('[1]BASE'!DV78=0,"",'[1]BASE'!DV78)</f>
      </c>
      <c r="S77" s="895">
        <f>IF('[1]BASE'!DW78=0,"",'[1]BASE'!DW78)</f>
      </c>
      <c r="T77" s="893"/>
      <c r="U77" s="890"/>
    </row>
    <row r="78" spans="2:21" s="885" customFormat="1" ht="19.5" customHeight="1">
      <c r="B78" s="886"/>
      <c r="C78" s="896">
        <f>IF('[1]BASE'!C79=0,"",'[1]BASE'!C79)</f>
        <v>61</v>
      </c>
      <c r="D78" s="896" t="str">
        <f>IF('[1]BASE'!D79=0,"",'[1]BASE'!D79)</f>
        <v>PUELCHES - MACACHIN</v>
      </c>
      <c r="E78" s="896">
        <f>IF('[1]BASE'!E79=0,"",'[1]BASE'!E79)</f>
        <v>500</v>
      </c>
      <c r="F78" s="896">
        <f>IF('[1]BASE'!F79=0,"",'[1]BASE'!F79)</f>
        <v>227</v>
      </c>
      <c r="G78" s="897" t="str">
        <f>IF('[1]BASE'!G79=0,"",'[1]BASE'!G79)</f>
        <v>A</v>
      </c>
      <c r="H78" s="896">
        <f>IF('[1]BASE'!DL79=0,"",'[1]BASE'!DL79)</f>
      </c>
      <c r="I78" s="896">
        <f>IF('[1]BASE'!DM79=0,"",'[1]BASE'!DM79)</f>
      </c>
      <c r="J78" s="896">
        <f>IF('[1]BASE'!DN79=0,"",'[1]BASE'!DN79)</f>
      </c>
      <c r="K78" s="896">
        <f>IF('[1]BASE'!DO79=0,"",'[1]BASE'!DO79)</f>
      </c>
      <c r="L78" s="896">
        <f>IF('[1]BASE'!DP79=0,"",'[1]BASE'!DP79)</f>
      </c>
      <c r="M78" s="896">
        <f>IF('[1]BASE'!DQ79=0,"",'[1]BASE'!DQ79)</f>
      </c>
      <c r="N78" s="896">
        <f>IF('[1]BASE'!DR79=0,"",'[1]BASE'!DR79)</f>
      </c>
      <c r="O78" s="896">
        <f>IF('[1]BASE'!DS79=0,"",'[1]BASE'!DS79)</f>
      </c>
      <c r="P78" s="896">
        <f>IF('[1]BASE'!DT79=0,"",'[1]BASE'!DT79)</f>
      </c>
      <c r="Q78" s="896">
        <f>IF('[1]BASE'!DU79=0,"",'[1]BASE'!DU79)</f>
        <v>2</v>
      </c>
      <c r="R78" s="896">
        <f>IF('[1]BASE'!DV79=0,"",'[1]BASE'!DV79)</f>
      </c>
      <c r="S78" s="896">
        <f>IF('[1]BASE'!DW79=0,"",'[1]BASE'!DW79)</f>
      </c>
      <c r="T78" s="893"/>
      <c r="U78" s="890"/>
    </row>
    <row r="79" spans="2:21" s="885" customFormat="1" ht="19.5" customHeight="1">
      <c r="B79" s="886"/>
      <c r="C79" s="894">
        <f>IF('[1]BASE'!C80=0,"",'[1]BASE'!C80)</f>
      </c>
      <c r="D79" s="894">
        <f>IF('[1]BASE'!D80=0,"",'[1]BASE'!D80)</f>
      </c>
      <c r="E79" s="894">
        <f>IF('[1]BASE'!E80=0,"",'[1]BASE'!E80)</f>
      </c>
      <c r="F79" s="895">
        <f>IF('[1]BASE'!F80=0,"",'[1]BASE'!F80)</f>
      </c>
      <c r="G79" s="895">
        <f>IF('[1]BASE'!G80=0,"",'[1]BASE'!G80)</f>
      </c>
      <c r="H79" s="895">
        <f>IF('[1]BASE'!DL80=0,"",'[1]BASE'!DL80)</f>
      </c>
      <c r="I79" s="895">
        <f>IF('[1]BASE'!DM80=0,"",'[1]BASE'!DM80)</f>
      </c>
      <c r="J79" s="895">
        <f>IF('[1]BASE'!DN80=0,"",'[1]BASE'!DN80)</f>
      </c>
      <c r="K79" s="895">
        <f>IF('[1]BASE'!DO80=0,"",'[1]BASE'!DO80)</f>
      </c>
      <c r="L79" s="895">
        <f>IF('[1]BASE'!DP80=0,"",'[1]BASE'!DP80)</f>
      </c>
      <c r="M79" s="895">
        <f>IF('[1]BASE'!DQ80=0,"",'[1]BASE'!DQ80)</f>
      </c>
      <c r="N79" s="895">
        <f>IF('[1]BASE'!DR80=0,"",'[1]BASE'!DR80)</f>
      </c>
      <c r="O79" s="895">
        <f>IF('[1]BASE'!DS80=0,"",'[1]BASE'!DS80)</f>
      </c>
      <c r="P79" s="895">
        <f>IF('[1]BASE'!DT80=0,"",'[1]BASE'!DT80)</f>
      </c>
      <c r="Q79" s="895">
        <f>IF('[1]BASE'!DU80=0,"",'[1]BASE'!DU80)</f>
      </c>
      <c r="R79" s="895">
        <f>IF('[1]BASE'!DV80=0,"",'[1]BASE'!DV80)</f>
      </c>
      <c r="S79" s="895">
        <f>IF('[1]BASE'!DW80=0,"",'[1]BASE'!DW80)</f>
      </c>
      <c r="T79" s="893"/>
      <c r="U79" s="890"/>
    </row>
    <row r="80" spans="2:21" s="885" customFormat="1" ht="19.5" customHeight="1">
      <c r="B80" s="886"/>
      <c r="C80" s="896">
        <f>IF('[1]BASE'!C81=0,"",'[1]BASE'!C81)</f>
      </c>
      <c r="D80" s="896">
        <f>IF('[1]BASE'!D81=0,"",'[1]BASE'!D81)</f>
      </c>
      <c r="E80" s="896">
        <f>IF('[1]BASE'!E81=0,"",'[1]BASE'!E81)</f>
      </c>
      <c r="F80" s="897">
        <f>IF('[1]BASE'!F81=0,"",'[1]BASE'!F81)</f>
      </c>
      <c r="G80" s="897">
        <f>IF('[1]BASE'!G81=0,"",'[1]BASE'!G81)</f>
      </c>
      <c r="H80" s="897">
        <f>IF('[1]BASE'!DL81=0,"",'[1]BASE'!DL81)</f>
      </c>
      <c r="I80" s="897">
        <f>IF('[1]BASE'!DM81=0,"",'[1]BASE'!DM81)</f>
      </c>
      <c r="J80" s="897">
        <f>IF('[1]BASE'!DN81=0,"",'[1]BASE'!DN81)</f>
      </c>
      <c r="K80" s="897">
        <f>IF('[1]BASE'!DO81=0,"",'[1]BASE'!DO81)</f>
      </c>
      <c r="L80" s="897">
        <f>IF('[1]BASE'!DP81=0,"",'[1]BASE'!DP81)</f>
      </c>
      <c r="M80" s="897">
        <f>IF('[1]BASE'!DQ81=0,"",'[1]BASE'!DQ81)</f>
      </c>
      <c r="N80" s="897">
        <f>IF('[1]BASE'!DR81=0,"",'[1]BASE'!DR81)</f>
      </c>
      <c r="O80" s="897">
        <f>IF('[1]BASE'!DS81=0,"",'[1]BASE'!DS81)</f>
      </c>
      <c r="P80" s="897">
        <f>IF('[1]BASE'!DT81=0,"",'[1]BASE'!DT81)</f>
      </c>
      <c r="Q80" s="897">
        <f>IF('[1]BASE'!DU81=0,"",'[1]BASE'!DU81)</f>
      </c>
      <c r="R80" s="897">
        <f>IF('[1]BASE'!DV81=0,"",'[1]BASE'!DV81)</f>
      </c>
      <c r="S80" s="897">
        <f>IF('[1]BASE'!DW81=0,"",'[1]BASE'!DW81)</f>
      </c>
      <c r="T80" s="893"/>
      <c r="U80" s="890"/>
    </row>
    <row r="81" spans="2:21" s="885" customFormat="1" ht="19.5" customHeight="1">
      <c r="B81" s="886"/>
      <c r="C81" s="894">
        <f>IF('[1]BASE'!C82=0,"",'[1]BASE'!C82)</f>
        <v>62</v>
      </c>
      <c r="D81" s="894" t="str">
        <f>IF('[1]BASE'!D82=0,"",'[1]BASE'!D82)</f>
        <v>YACYRETÁ - RINCON I</v>
      </c>
      <c r="E81" s="894">
        <f>IF('[1]BASE'!E82=0,"",'[1]BASE'!E82)</f>
        <v>500</v>
      </c>
      <c r="F81" s="895">
        <f>IF('[1]BASE'!F82=0,"",'[1]BASE'!F82)</f>
        <v>3.6</v>
      </c>
      <c r="G81" s="895" t="str">
        <f>IF('[1]BASE'!G82=0,"",'[1]BASE'!G82)</f>
        <v>B</v>
      </c>
      <c r="H81" s="895">
        <f>IF('[1]BASE'!DL82=0,"",'[1]BASE'!DL82)</f>
      </c>
      <c r="I81" s="895">
        <f>IF('[1]BASE'!DM82=0,"",'[1]BASE'!DM82)</f>
      </c>
      <c r="J81" s="895">
        <f>IF('[1]BASE'!DN82=0,"",'[1]BASE'!DN82)</f>
      </c>
      <c r="K81" s="895">
        <f>IF('[1]BASE'!DO82=0,"",'[1]BASE'!DO82)</f>
      </c>
      <c r="L81" s="895">
        <f>IF('[1]BASE'!DP82=0,"",'[1]BASE'!DP82)</f>
      </c>
      <c r="M81" s="895">
        <f>IF('[1]BASE'!DQ82=0,"",'[1]BASE'!DQ82)</f>
      </c>
      <c r="N81" s="895">
        <f>IF('[1]BASE'!DR82=0,"",'[1]BASE'!DR82)</f>
      </c>
      <c r="O81" s="895">
        <f>IF('[1]BASE'!DS82=0,"",'[1]BASE'!DS82)</f>
      </c>
      <c r="P81" s="895">
        <f>IF('[1]BASE'!DT82=0,"",'[1]BASE'!DT82)</f>
      </c>
      <c r="Q81" s="895">
        <f>IF('[1]BASE'!DU82=0,"",'[1]BASE'!DU82)</f>
      </c>
      <c r="R81" s="895">
        <f>IF('[1]BASE'!DV82=0,"",'[1]BASE'!DV82)</f>
      </c>
      <c r="S81" s="895">
        <f>IF('[1]BASE'!DW82=0,"",'[1]BASE'!DW82)</f>
      </c>
      <c r="T81" s="893"/>
      <c r="U81" s="890"/>
    </row>
    <row r="82" spans="2:21" s="885" customFormat="1" ht="19.5" customHeight="1">
      <c r="B82" s="886"/>
      <c r="C82" s="896">
        <f>IF('[1]BASE'!C83=0,"",'[1]BASE'!C83)</f>
        <v>63</v>
      </c>
      <c r="D82" s="896" t="str">
        <f>IF('[1]BASE'!D83=0,"",'[1]BASE'!D83)</f>
        <v>YACYRETÁ - RINCON II</v>
      </c>
      <c r="E82" s="896">
        <f>IF('[1]BASE'!E83=0,"",'[1]BASE'!E83)</f>
        <v>500</v>
      </c>
      <c r="F82" s="896">
        <f>IF('[1]BASE'!F83=0,"",'[1]BASE'!F83)</f>
        <v>3.6</v>
      </c>
      <c r="G82" s="897" t="str">
        <f>IF('[1]BASE'!G83=0,"",'[1]BASE'!G83)</f>
        <v>B</v>
      </c>
      <c r="H82" s="896">
        <f>IF('[1]BASE'!DL83=0,"",'[1]BASE'!DL83)</f>
      </c>
      <c r="I82" s="896">
        <f>IF('[1]BASE'!DM83=0,"",'[1]BASE'!DM83)</f>
      </c>
      <c r="J82" s="896">
        <f>IF('[1]BASE'!DN83=0,"",'[1]BASE'!DN83)</f>
      </c>
      <c r="K82" s="896">
        <f>IF('[1]BASE'!DO83=0,"",'[1]BASE'!DO83)</f>
      </c>
      <c r="L82" s="896">
        <f>IF('[1]BASE'!DP83=0,"",'[1]BASE'!DP83)</f>
      </c>
      <c r="M82" s="896">
        <f>IF('[1]BASE'!DQ83=0,"",'[1]BASE'!DQ83)</f>
      </c>
      <c r="N82" s="896">
        <f>IF('[1]BASE'!DR83=0,"",'[1]BASE'!DR83)</f>
      </c>
      <c r="O82" s="896">
        <f>IF('[1]BASE'!DS83=0,"",'[1]BASE'!DS83)</f>
      </c>
      <c r="P82" s="896">
        <f>IF('[1]BASE'!DT83=0,"",'[1]BASE'!DT83)</f>
      </c>
      <c r="Q82" s="896">
        <f>IF('[1]BASE'!DU83=0,"",'[1]BASE'!DU83)</f>
      </c>
      <c r="R82" s="896">
        <f>IF('[1]BASE'!DV83=0,"",'[1]BASE'!DV83)</f>
      </c>
      <c r="S82" s="896">
        <f>IF('[1]BASE'!DW83=0,"",'[1]BASE'!DW83)</f>
      </c>
      <c r="T82" s="893"/>
      <c r="U82" s="890"/>
    </row>
    <row r="83" spans="2:21" s="885" customFormat="1" ht="19.5" customHeight="1">
      <c r="B83" s="886"/>
      <c r="C83" s="894">
        <f>IF('[1]BASE'!C84=0,"",'[1]BASE'!C84)</f>
        <v>64</v>
      </c>
      <c r="D83" s="894" t="str">
        <f>IF('[1]BASE'!D84=0,"",'[1]BASE'!D84)</f>
        <v>YACYRETÁ - RINCON III</v>
      </c>
      <c r="E83" s="894">
        <f>IF('[1]BASE'!E84=0,"",'[1]BASE'!E84)</f>
        <v>500</v>
      </c>
      <c r="F83" s="895">
        <f>IF('[1]BASE'!F84=0,"",'[1]BASE'!F84)</f>
        <v>3.6</v>
      </c>
      <c r="G83" s="895" t="str">
        <f>IF('[1]BASE'!G84=0,"",'[1]BASE'!G84)</f>
        <v>B</v>
      </c>
      <c r="H83" s="895">
        <f>IF('[1]BASE'!DL84=0,"",'[1]BASE'!DL84)</f>
      </c>
      <c r="I83" s="895">
        <f>IF('[1]BASE'!DM84=0,"",'[1]BASE'!DM84)</f>
      </c>
      <c r="J83" s="895">
        <f>IF('[1]BASE'!DN84=0,"",'[1]BASE'!DN84)</f>
      </c>
      <c r="K83" s="895">
        <f>IF('[1]BASE'!DO84=0,"",'[1]BASE'!DO84)</f>
      </c>
      <c r="L83" s="895">
        <f>IF('[1]BASE'!DP84=0,"",'[1]BASE'!DP84)</f>
      </c>
      <c r="M83" s="895">
        <f>IF('[1]BASE'!DQ84=0,"",'[1]BASE'!DQ84)</f>
      </c>
      <c r="N83" s="895">
        <f>IF('[1]BASE'!DR84=0,"",'[1]BASE'!DR84)</f>
      </c>
      <c r="O83" s="895">
        <f>IF('[1]BASE'!DS84=0,"",'[1]BASE'!DS84)</f>
      </c>
      <c r="P83" s="895">
        <f>IF('[1]BASE'!DT84=0,"",'[1]BASE'!DT84)</f>
      </c>
      <c r="Q83" s="895">
        <f>IF('[1]BASE'!DU84=0,"",'[1]BASE'!DU84)</f>
      </c>
      <c r="R83" s="895">
        <f>IF('[1]BASE'!DV84=0,"",'[1]BASE'!DV84)</f>
      </c>
      <c r="S83" s="895">
        <f>IF('[1]BASE'!DW84=0,"",'[1]BASE'!DW84)</f>
      </c>
      <c r="T83" s="893"/>
      <c r="U83" s="890"/>
    </row>
    <row r="84" spans="2:21" s="885" customFormat="1" ht="19.5" customHeight="1">
      <c r="B84" s="886"/>
      <c r="C84" s="896">
        <f>IF('[1]BASE'!C85=0,"",'[1]BASE'!C85)</f>
        <v>65</v>
      </c>
      <c r="D84" s="896" t="str">
        <f>IF('[1]BASE'!D85=0,"",'[1]BASE'!D85)</f>
        <v>RINCON - PASO DE LA PATRIA</v>
      </c>
      <c r="E84" s="896">
        <f>IF('[1]BASE'!E85=0,"",'[1]BASE'!E85)</f>
        <v>500</v>
      </c>
      <c r="F84" s="897">
        <f>IF('[1]BASE'!F85=0,"",'[1]BASE'!F85)</f>
        <v>227</v>
      </c>
      <c r="G84" s="897" t="str">
        <f>IF('[1]BASE'!G85=0,"",'[1]BASE'!G85)</f>
        <v>A</v>
      </c>
      <c r="H84" s="897">
        <f>IF('[1]BASE'!DL85=0,"",'[1]BASE'!DL85)</f>
      </c>
      <c r="I84" s="897">
        <f>IF('[1]BASE'!DM85=0,"",'[1]BASE'!DM85)</f>
      </c>
      <c r="J84" s="897">
        <f>IF('[1]BASE'!DN85=0,"",'[1]BASE'!DN85)</f>
      </c>
      <c r="K84" s="897">
        <f>IF('[1]BASE'!DO85=0,"",'[1]BASE'!DO85)</f>
      </c>
      <c r="L84" s="897">
        <f>IF('[1]BASE'!DP85=0,"",'[1]BASE'!DP85)</f>
      </c>
      <c r="M84" s="897">
        <f>IF('[1]BASE'!DQ85=0,"",'[1]BASE'!DQ85)</f>
      </c>
      <c r="N84" s="897">
        <f>IF('[1]BASE'!DR85=0,"",'[1]BASE'!DR85)</f>
      </c>
      <c r="O84" s="897">
        <f>IF('[1]BASE'!DS85=0,"",'[1]BASE'!DS85)</f>
      </c>
      <c r="P84" s="897">
        <f>IF('[1]BASE'!DT85=0,"",'[1]BASE'!DT85)</f>
      </c>
      <c r="Q84" s="897">
        <f>IF('[1]BASE'!DU85=0,"",'[1]BASE'!DU85)</f>
      </c>
      <c r="R84" s="897">
        <f>IF('[1]BASE'!DV85=0,"",'[1]BASE'!DV85)</f>
      </c>
      <c r="S84" s="897">
        <f>IF('[1]BASE'!DW85=0,"",'[1]BASE'!DW85)</f>
      </c>
      <c r="T84" s="893"/>
      <c r="U84" s="890"/>
    </row>
    <row r="85" spans="2:21" s="885" customFormat="1" ht="19.5" customHeight="1">
      <c r="B85" s="886"/>
      <c r="C85" s="894">
        <f>IF('[1]BASE'!C86=0,"",'[1]BASE'!C86)</f>
        <v>66</v>
      </c>
      <c r="D85" s="894" t="str">
        <f>IF('[1]BASE'!D86=0,"",'[1]BASE'!D86)</f>
        <v>PASO DE LA PATRIA - RESISTENCIA</v>
      </c>
      <c r="E85" s="894">
        <f>IF('[1]BASE'!E86=0,"",'[1]BASE'!E86)</f>
        <v>500</v>
      </c>
      <c r="F85" s="895">
        <f>IF('[1]BASE'!F86=0,"",'[1]BASE'!F86)</f>
        <v>40</v>
      </c>
      <c r="G85" s="895" t="str">
        <f>IF('[1]BASE'!G86=0,"",'[1]BASE'!G86)</f>
        <v>C</v>
      </c>
      <c r="H85" s="895">
        <f>IF('[1]BASE'!DL86=0,"",'[1]BASE'!DL86)</f>
      </c>
      <c r="I85" s="895">
        <f>IF('[1]BASE'!DM86=0,"",'[1]BASE'!DM86)</f>
      </c>
      <c r="J85" s="895">
        <f>IF('[1]BASE'!DN86=0,"",'[1]BASE'!DN86)</f>
      </c>
      <c r="K85" s="895">
        <f>IF('[1]BASE'!DO86=0,"",'[1]BASE'!DO86)</f>
      </c>
      <c r="L85" s="895">
        <f>IF('[1]BASE'!DP86=0,"",'[1]BASE'!DP86)</f>
      </c>
      <c r="M85" s="895">
        <f>IF('[1]BASE'!DQ86=0,"",'[1]BASE'!DQ86)</f>
      </c>
      <c r="N85" s="895">
        <f>IF('[1]BASE'!DR86=0,"",'[1]BASE'!DR86)</f>
      </c>
      <c r="O85" s="895">
        <f>IF('[1]BASE'!DS86=0,"",'[1]BASE'!DS86)</f>
      </c>
      <c r="P85" s="895">
        <f>IF('[1]BASE'!DT86=0,"",'[1]BASE'!DT86)</f>
      </c>
      <c r="Q85" s="895">
        <f>IF('[1]BASE'!DU86=0,"",'[1]BASE'!DU86)</f>
      </c>
      <c r="R85" s="895">
        <f>IF('[1]BASE'!DV86=0,"",'[1]BASE'!DV86)</f>
      </c>
      <c r="S85" s="895">
        <f>IF('[1]BASE'!DW86=0,"",'[1]BASE'!DW86)</f>
        <v>1</v>
      </c>
      <c r="T85" s="893"/>
      <c r="U85" s="890"/>
    </row>
    <row r="86" spans="2:21" s="885" customFormat="1" ht="19.5" customHeight="1">
      <c r="B86" s="886"/>
      <c r="C86" s="896">
        <f>IF('[1]BASE'!C87=0,"",'[1]BASE'!C87)</f>
        <v>67</v>
      </c>
      <c r="D86" s="896" t="str">
        <f>IF('[1]BASE'!D87=0,"",'[1]BASE'!D87)</f>
        <v>RINCON - RESISTENCIA</v>
      </c>
      <c r="E86" s="896">
        <f>IF('[1]BASE'!E87=0,"",'[1]BASE'!E87)</f>
        <v>500</v>
      </c>
      <c r="F86" s="896">
        <f>IF('[1]BASE'!F87=0,"",'[1]BASE'!F87)</f>
        <v>267</v>
      </c>
      <c r="G86" s="897" t="str">
        <f>IF('[1]BASE'!G87=0,"",'[1]BASE'!G87)</f>
        <v>B</v>
      </c>
      <c r="H86" s="896" t="str">
        <f>IF('[1]BASE'!DL87=0,"",'[1]BASE'!DL87)</f>
        <v>XXXX</v>
      </c>
      <c r="I86" s="896" t="str">
        <f>IF('[1]BASE'!DM87=0,"",'[1]BASE'!DM87)</f>
        <v>XXXX</v>
      </c>
      <c r="J86" s="896" t="str">
        <f>IF('[1]BASE'!DN87=0,"",'[1]BASE'!DN87)</f>
        <v>XXXX</v>
      </c>
      <c r="K86" s="896" t="str">
        <f>IF('[1]BASE'!DO87=0,"",'[1]BASE'!DO87)</f>
        <v>XXXX</v>
      </c>
      <c r="L86" s="896" t="str">
        <f>IF('[1]BASE'!DP87=0,"",'[1]BASE'!DP87)</f>
        <v>XXXX</v>
      </c>
      <c r="M86" s="896" t="str">
        <f>IF('[1]BASE'!DQ87=0,"",'[1]BASE'!DQ87)</f>
        <v>XXXX</v>
      </c>
      <c r="N86" s="896" t="str">
        <f>IF('[1]BASE'!DR87=0,"",'[1]BASE'!DR87)</f>
        <v>XXXX</v>
      </c>
      <c r="O86" s="896" t="str">
        <f>IF('[1]BASE'!DS87=0,"",'[1]BASE'!DS87)</f>
        <v>XXXX</v>
      </c>
      <c r="P86" s="896" t="str">
        <f>IF('[1]BASE'!DT87=0,"",'[1]BASE'!DT87)</f>
        <v>XXXX</v>
      </c>
      <c r="Q86" s="896" t="str">
        <f>IF('[1]BASE'!DU87=0,"",'[1]BASE'!DU87)</f>
        <v>XXXX</v>
      </c>
      <c r="R86" s="896" t="str">
        <f>IF('[1]BASE'!DV87=0,"",'[1]BASE'!DV87)</f>
        <v>XXXX</v>
      </c>
      <c r="S86" s="896" t="str">
        <f>IF('[1]BASE'!DW87=0,"",'[1]BASE'!DW87)</f>
        <v>XXXX</v>
      </c>
      <c r="T86" s="893"/>
      <c r="U86" s="890"/>
    </row>
    <row r="87" spans="2:21" s="885" customFormat="1" ht="19.5" customHeight="1">
      <c r="B87" s="886"/>
      <c r="C87" s="894">
        <f>IF('[1]BASE'!C88=0,"",'[1]BASE'!C88)</f>
      </c>
      <c r="D87" s="894">
        <f>IF('[1]BASE'!D88=0,"",'[1]BASE'!D88)</f>
      </c>
      <c r="E87" s="894">
        <f>IF('[1]BASE'!E88=0,"",'[1]BASE'!E88)</f>
      </c>
      <c r="F87" s="895">
        <f>IF('[1]BASE'!F88=0,"",'[1]BASE'!F88)</f>
      </c>
      <c r="G87" s="895">
        <f>IF('[1]BASE'!G88=0,"",'[1]BASE'!G88)</f>
      </c>
      <c r="H87" s="895">
        <f>IF('[1]BASE'!DL88=0,"",'[1]BASE'!DL88)</f>
      </c>
      <c r="I87" s="895">
        <f>IF('[1]BASE'!DM88=0,"",'[1]BASE'!DM88)</f>
      </c>
      <c r="J87" s="895">
        <f>IF('[1]BASE'!DN88=0,"",'[1]BASE'!DN88)</f>
      </c>
      <c r="K87" s="895">
        <f>IF('[1]BASE'!DO88=0,"",'[1]BASE'!DO88)</f>
      </c>
      <c r="L87" s="895">
        <f>IF('[1]BASE'!DP88=0,"",'[1]BASE'!DP88)</f>
      </c>
      <c r="M87" s="895">
        <f>IF('[1]BASE'!DQ88=0,"",'[1]BASE'!DQ88)</f>
      </c>
      <c r="N87" s="895">
        <f>IF('[1]BASE'!DR88=0,"",'[1]BASE'!DR88)</f>
      </c>
      <c r="O87" s="895">
        <f>IF('[1]BASE'!DS88=0,"",'[1]BASE'!DS88)</f>
      </c>
      <c r="P87" s="895">
        <f>IF('[1]BASE'!DT88=0,"",'[1]BASE'!DT88)</f>
      </c>
      <c r="Q87" s="895">
        <f>IF('[1]BASE'!DU88=0,"",'[1]BASE'!DU88)</f>
      </c>
      <c r="R87" s="895">
        <f>IF('[1]BASE'!DV88=0,"",'[1]BASE'!DV88)</f>
      </c>
      <c r="S87" s="895">
        <f>IF('[1]BASE'!DW88=0,"",'[1]BASE'!DW88)</f>
      </c>
      <c r="T87" s="893"/>
      <c r="U87" s="890"/>
    </row>
    <row r="88" spans="2:21" s="885" customFormat="1" ht="19.5" customHeight="1">
      <c r="B88" s="886"/>
      <c r="C88" s="896">
        <f>IF('[1]BASE'!C89=0,"",'[1]BASE'!C89)</f>
        <v>68</v>
      </c>
      <c r="D88" s="896" t="str">
        <f>IF('[1]BASE'!D89=0,"",'[1]BASE'!D89)</f>
        <v>RINCON - SALTO GRANDE</v>
      </c>
      <c r="E88" s="896">
        <f>IF('[1]BASE'!E89=0,"",'[1]BASE'!E89)</f>
        <v>500</v>
      </c>
      <c r="F88" s="897">
        <f>IF('[1]BASE'!F89=0,"",'[1]BASE'!F89)</f>
        <v>506</v>
      </c>
      <c r="G88" s="897" t="str">
        <f>IF('[1]BASE'!G89=0,"",'[1]BASE'!G89)</f>
        <v>A</v>
      </c>
      <c r="H88" s="897">
        <f>IF('[1]BASE'!DL89=0,"",'[1]BASE'!DL89)</f>
      </c>
      <c r="I88" s="897">
        <f>IF('[1]BASE'!DM89=0,"",'[1]BASE'!DM89)</f>
      </c>
      <c r="J88" s="897">
        <f>IF('[1]BASE'!DN89=0,"",'[1]BASE'!DN89)</f>
      </c>
      <c r="K88" s="897">
        <f>IF('[1]BASE'!DO89=0,"",'[1]BASE'!DO89)</f>
      </c>
      <c r="L88" s="897">
        <f>IF('[1]BASE'!DP89=0,"",'[1]BASE'!DP89)</f>
      </c>
      <c r="M88" s="897">
        <f>IF('[1]BASE'!DQ89=0,"",'[1]BASE'!DQ89)</f>
      </c>
      <c r="N88" s="897">
        <f>IF('[1]BASE'!DR89=0,"",'[1]BASE'!DR89)</f>
      </c>
      <c r="O88" s="897">
        <f>IF('[1]BASE'!DS89=0,"",'[1]BASE'!DS89)</f>
      </c>
      <c r="P88" s="897">
        <f>IF('[1]BASE'!DT89=0,"",'[1]BASE'!DT89)</f>
      </c>
      <c r="Q88" s="897">
        <f>IF('[1]BASE'!DU89=0,"",'[1]BASE'!DU89)</f>
      </c>
      <c r="R88" s="897">
        <f>IF('[1]BASE'!DV89=0,"",'[1]BASE'!DV89)</f>
        <v>1</v>
      </c>
      <c r="S88" s="897">
        <f>IF('[1]BASE'!DW89=0,"",'[1]BASE'!DW89)</f>
      </c>
      <c r="T88" s="893"/>
      <c r="U88" s="890"/>
    </row>
    <row r="89" spans="2:21" s="885" customFormat="1" ht="19.5" customHeight="1">
      <c r="B89" s="886"/>
      <c r="C89" s="894">
        <f>IF('[1]BASE'!C90=0,"",'[1]BASE'!C90)</f>
        <v>69</v>
      </c>
      <c r="D89" s="894" t="str">
        <f>IF('[1]BASE'!D90=0,"",'[1]BASE'!D90)</f>
        <v>RINCON - SAN ISIDRO</v>
      </c>
      <c r="E89" s="894">
        <f>IF('[1]BASE'!E90=0,"",'[1]BASE'!E90)</f>
        <v>500</v>
      </c>
      <c r="F89" s="895">
        <f>IF('[1]BASE'!F90=0,"",'[1]BASE'!F90)</f>
        <v>85</v>
      </c>
      <c r="G89" s="895" t="str">
        <f>IF('[1]BASE'!G90=0,"",'[1]BASE'!G90)</f>
        <v>C</v>
      </c>
      <c r="H89" s="895">
        <f>IF('[1]BASE'!DL90=0,"",'[1]BASE'!DL90)</f>
      </c>
      <c r="I89" s="895">
        <f>IF('[1]BASE'!DM90=0,"",'[1]BASE'!DM90)</f>
      </c>
      <c r="J89" s="895">
        <f>IF('[1]BASE'!DN90=0,"",'[1]BASE'!DN90)</f>
      </c>
      <c r="K89" s="895">
        <f>IF('[1]BASE'!DO90=0,"",'[1]BASE'!DO90)</f>
      </c>
      <c r="L89" s="895">
        <f>IF('[1]BASE'!DP90=0,"",'[1]BASE'!DP90)</f>
      </c>
      <c r="M89" s="895">
        <f>IF('[1]BASE'!DQ90=0,"",'[1]BASE'!DQ90)</f>
      </c>
      <c r="N89" s="895">
        <f>IF('[1]BASE'!DR90=0,"",'[1]BASE'!DR90)</f>
      </c>
      <c r="O89" s="895">
        <f>IF('[1]BASE'!DS90=0,"",'[1]BASE'!DS90)</f>
      </c>
      <c r="P89" s="895">
        <f>IF('[1]BASE'!DT90=0,"",'[1]BASE'!DT90)</f>
      </c>
      <c r="Q89" s="895">
        <f>IF('[1]BASE'!DU90=0,"",'[1]BASE'!DU90)</f>
      </c>
      <c r="R89" s="895">
        <f>IF('[1]BASE'!DV90=0,"",'[1]BASE'!DV90)</f>
      </c>
      <c r="S89" s="895">
        <f>IF('[1]BASE'!DW90=0,"",'[1]BASE'!DW90)</f>
      </c>
      <c r="T89" s="893"/>
      <c r="U89" s="890"/>
    </row>
    <row r="90" spans="2:21" s="885" customFormat="1" ht="19.5" customHeight="1">
      <c r="B90" s="886"/>
      <c r="C90" s="896">
        <f>IF('[1]BASE'!C91=0,"",'[1]BASE'!C91)</f>
      </c>
      <c r="D90" s="896">
        <f>IF('[1]BASE'!D91=0,"",'[1]BASE'!D91)</f>
      </c>
      <c r="E90" s="896">
        <f>IF('[1]BASE'!E91=0,"",'[1]BASE'!E91)</f>
      </c>
      <c r="F90" s="896">
        <f>IF('[1]BASE'!F91=0,"",'[1]BASE'!F91)</f>
      </c>
      <c r="G90" s="897">
        <f>IF('[1]BASE'!G91=0,"",'[1]BASE'!G91)</f>
      </c>
      <c r="H90" s="896">
        <f>IF('[1]BASE'!DL91=0,"",'[1]BASE'!DL91)</f>
      </c>
      <c r="I90" s="896">
        <f>IF('[1]BASE'!DM91=0,"",'[1]BASE'!DM91)</f>
      </c>
      <c r="J90" s="896">
        <f>IF('[1]BASE'!DN91=0,"",'[1]BASE'!DN91)</f>
      </c>
      <c r="K90" s="896">
        <f>IF('[1]BASE'!DO91=0,"",'[1]BASE'!DO91)</f>
      </c>
      <c r="L90" s="896">
        <f>IF('[1]BASE'!DP91=0,"",'[1]BASE'!DP91)</f>
      </c>
      <c r="M90" s="896">
        <f>IF('[1]BASE'!DQ91=0,"",'[1]BASE'!DQ91)</f>
      </c>
      <c r="N90" s="896">
        <f>IF('[1]BASE'!DR91=0,"",'[1]BASE'!DR91)</f>
      </c>
      <c r="O90" s="896">
        <f>IF('[1]BASE'!DS91=0,"",'[1]BASE'!DS91)</f>
      </c>
      <c r="P90" s="896">
        <f>IF('[1]BASE'!DT91=0,"",'[1]BASE'!DT91)</f>
      </c>
      <c r="Q90" s="896">
        <f>IF('[1]BASE'!DU91=0,"",'[1]BASE'!DU91)</f>
      </c>
      <c r="R90" s="896">
        <f>IF('[1]BASE'!DV91=0,"",'[1]BASE'!DV91)</f>
      </c>
      <c r="S90" s="896">
        <f>IF('[1]BASE'!DW91=0,"",'[1]BASE'!DW91)</f>
      </c>
      <c r="T90" s="893"/>
      <c r="U90" s="890"/>
    </row>
    <row r="91" spans="2:21" s="885" customFormat="1" ht="19.5" customHeight="1" thickBot="1">
      <c r="B91" s="886"/>
      <c r="C91" s="898"/>
      <c r="D91" s="898"/>
      <c r="E91" s="898"/>
      <c r="F91" s="898"/>
      <c r="G91" s="899"/>
      <c r="H91" s="898"/>
      <c r="I91" s="898"/>
      <c r="J91" s="898"/>
      <c r="K91" s="898"/>
      <c r="L91" s="898"/>
      <c r="M91" s="898"/>
      <c r="N91" s="898"/>
      <c r="O91" s="898"/>
      <c r="P91" s="898"/>
      <c r="Q91" s="898"/>
      <c r="R91" s="898"/>
      <c r="S91" s="898"/>
      <c r="T91" s="893"/>
      <c r="U91" s="890"/>
    </row>
    <row r="92" spans="2:21" s="885" customFormat="1" ht="19.5" customHeight="1" thickBot="1" thickTop="1">
      <c r="B92" s="886"/>
      <c r="C92" s="900"/>
      <c r="D92" s="901"/>
      <c r="E92" s="902" t="s">
        <v>276</v>
      </c>
      <c r="F92" s="903">
        <f>SUM(F15:F91)-F45-F56-F77-F78-F86</f>
        <v>9666.7</v>
      </c>
      <c r="G92" s="904"/>
      <c r="H92" s="905"/>
      <c r="I92" s="905"/>
      <c r="J92" s="905"/>
      <c r="K92" s="905"/>
      <c r="L92" s="905"/>
      <c r="M92" s="905"/>
      <c r="N92" s="905"/>
      <c r="O92" s="905"/>
      <c r="P92" s="905"/>
      <c r="Q92" s="905"/>
      <c r="R92" s="905"/>
      <c r="S92" s="906"/>
      <c r="T92" s="893"/>
      <c r="U92" s="890"/>
    </row>
    <row r="93" spans="2:21" s="885" customFormat="1" ht="19.5" customHeight="1" thickBot="1" thickTop="1">
      <c r="B93" s="886"/>
      <c r="C93" s="907"/>
      <c r="D93" s="908"/>
      <c r="E93" s="909"/>
      <c r="F93" s="910" t="s">
        <v>277</v>
      </c>
      <c r="H93" s="911">
        <f aca="true" t="shared" si="0" ref="H93:S93">SUM(H16:H91)</f>
        <v>9</v>
      </c>
      <c r="I93" s="911">
        <f t="shared" si="0"/>
        <v>4</v>
      </c>
      <c r="J93" s="911">
        <f t="shared" si="0"/>
        <v>3</v>
      </c>
      <c r="K93" s="911">
        <f t="shared" si="0"/>
        <v>10</v>
      </c>
      <c r="L93" s="911">
        <f t="shared" si="0"/>
        <v>3</v>
      </c>
      <c r="M93" s="911">
        <f t="shared" si="0"/>
        <v>2</v>
      </c>
      <c r="N93" s="911">
        <f t="shared" si="0"/>
        <v>3</v>
      </c>
      <c r="O93" s="911">
        <f t="shared" si="0"/>
        <v>5</v>
      </c>
      <c r="P93" s="911">
        <f t="shared" si="0"/>
        <v>4</v>
      </c>
      <c r="Q93" s="911">
        <f t="shared" si="0"/>
        <v>5</v>
      </c>
      <c r="R93" s="911">
        <f t="shared" si="0"/>
        <v>3</v>
      </c>
      <c r="S93" s="911">
        <f t="shared" si="0"/>
        <v>6</v>
      </c>
      <c r="T93" s="912"/>
      <c r="U93" s="890"/>
    </row>
    <row r="94" spans="2:21" s="885" customFormat="1" ht="19.5" customHeight="1" thickBot="1" thickTop="1">
      <c r="B94" s="886"/>
      <c r="E94" s="909"/>
      <c r="F94" s="910" t="s">
        <v>278</v>
      </c>
      <c r="H94" s="913">
        <f>'[1]BASE'!DL100</f>
        <v>0.68</v>
      </c>
      <c r="I94" s="913">
        <f>'[1]BASE'!DM100</f>
        <v>0.71</v>
      </c>
      <c r="J94" s="913">
        <f>'[1]BASE'!DN100</f>
        <v>0.69</v>
      </c>
      <c r="K94" s="913">
        <f>'[1]BASE'!DO100</f>
        <v>0.72</v>
      </c>
      <c r="L94" s="913">
        <f>'[1]BASE'!DP100</f>
        <v>0.78</v>
      </c>
      <c r="M94" s="913">
        <f>'[1]BASE'!DQ100</f>
        <v>0.78</v>
      </c>
      <c r="N94" s="913">
        <f>'[1]BASE'!DR100</f>
        <v>0.77</v>
      </c>
      <c r="O94" s="913">
        <f>'[1]BASE'!DS100</f>
        <v>0.79</v>
      </c>
      <c r="P94" s="913">
        <f>'[1]BASE'!DT100</f>
        <v>0.8</v>
      </c>
      <c r="Q94" s="913">
        <f>'[1]BASE'!DU100</f>
        <v>0.8</v>
      </c>
      <c r="R94" s="913">
        <f>'[1]BASE'!DV100</f>
        <v>0.82</v>
      </c>
      <c r="S94" s="913">
        <f>'[1]BASE'!DW100</f>
        <v>0.79</v>
      </c>
      <c r="T94" s="913">
        <f>ROUND(SUM(H93:S93)/($F$92)*100,2)</f>
        <v>0.59</v>
      </c>
      <c r="U94" s="890"/>
    </row>
    <row r="95" spans="2:21" s="914" customFormat="1" ht="15.75" customHeight="1" thickBot="1" thickTop="1">
      <c r="B95" s="915"/>
      <c r="C95"/>
      <c r="D95" s="916"/>
      <c r="E95" s="917"/>
      <c r="F95" s="918"/>
      <c r="G95"/>
      <c r="H95" s="919"/>
      <c r="I95" s="919"/>
      <c r="J95" s="919"/>
      <c r="K95" s="919"/>
      <c r="L95" s="919"/>
      <c r="M95" s="919"/>
      <c r="N95" s="919"/>
      <c r="O95" s="919"/>
      <c r="P95" s="919"/>
      <c r="Q95" s="919"/>
      <c r="R95" s="919"/>
      <c r="S95" s="919"/>
      <c r="T95" s="919"/>
      <c r="U95" s="920"/>
    </row>
    <row r="96" spans="2:21" ht="15.75" customHeight="1" thickBot="1">
      <c r="B96" s="125"/>
      <c r="C96" s="932"/>
      <c r="D96" s="65"/>
      <c r="E96" s="14"/>
      <c r="F96" s="14"/>
      <c r="G96" s="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29"/>
    </row>
    <row r="97" spans="2:21" ht="21.75" thickBot="1" thickTop="1">
      <c r="B97" s="125"/>
      <c r="C97" s="2"/>
      <c r="D97" s="14"/>
      <c r="E97" s="14"/>
      <c r="F97" s="921"/>
      <c r="G97" s="921"/>
      <c r="H97" s="922"/>
      <c r="I97" s="923" t="s">
        <v>279</v>
      </c>
      <c r="J97" s="924">
        <f>+T94</f>
        <v>0.59</v>
      </c>
      <c r="K97" s="925" t="s">
        <v>280</v>
      </c>
      <c r="L97" s="922"/>
      <c r="M97" s="926"/>
      <c r="N97"/>
      <c r="O97" s="14"/>
      <c r="P97" s="14"/>
      <c r="Q97" s="14"/>
      <c r="R97" s="14"/>
      <c r="S97" s="14"/>
      <c r="T97" s="14"/>
      <c r="U97" s="129"/>
    </row>
    <row r="98" spans="2:21" s="107" customFormat="1" ht="17.25" thickBot="1" thickTop="1">
      <c r="B98" s="132"/>
      <c r="C98" s="927"/>
      <c r="D98" s="134"/>
      <c r="E98" s="134"/>
      <c r="F98" s="927"/>
      <c r="G98" s="927"/>
      <c r="H98" s="134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5"/>
    </row>
    <row r="99" spans="3:7" ht="13.5" thickTop="1">
      <c r="C99" s="928"/>
      <c r="F99" s="928"/>
      <c r="G99" s="928"/>
    </row>
    <row r="100" spans="3:194" ht="12.75">
      <c r="C100" s="928"/>
      <c r="D100" s="2"/>
      <c r="E100" s="2"/>
      <c r="F100" s="2"/>
      <c r="G100" s="2"/>
      <c r="H100" s="929"/>
      <c r="I100" s="929"/>
      <c r="J100" s="929"/>
      <c r="K100" s="929"/>
      <c r="L100" s="929"/>
      <c r="M100" s="929"/>
      <c r="N100" s="929"/>
      <c r="O100" s="929"/>
      <c r="P100" s="929"/>
      <c r="Q100" s="929"/>
      <c r="R100" s="929"/>
      <c r="S100" s="929"/>
      <c r="T100" s="929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</row>
    <row r="101" spans="3:194" ht="12.75">
      <c r="C101" s="928"/>
      <c r="D101" s="2"/>
      <c r="E101" s="2"/>
      <c r="F101" s="2"/>
      <c r="G101" s="2"/>
      <c r="H101" s="929"/>
      <c r="I101" s="929"/>
      <c r="J101" s="929"/>
      <c r="K101" s="929"/>
      <c r="L101" s="929"/>
      <c r="M101" s="929"/>
      <c r="N101" s="929"/>
      <c r="O101" s="929"/>
      <c r="P101" s="929"/>
      <c r="Q101" s="929"/>
      <c r="R101" s="929"/>
      <c r="S101" s="929"/>
      <c r="T101" s="929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</row>
    <row r="102" spans="3:194" ht="12.75">
      <c r="C102" s="928"/>
      <c r="D102" s="2"/>
      <c r="E102" s="2"/>
      <c r="F102" s="2"/>
      <c r="G102" s="2"/>
      <c r="H102" s="930"/>
      <c r="I102" s="930"/>
      <c r="J102" s="930"/>
      <c r="K102" s="930"/>
      <c r="L102" s="930"/>
      <c r="M102" s="930"/>
      <c r="N102" s="930"/>
      <c r="O102" s="930"/>
      <c r="P102" s="930"/>
      <c r="Q102" s="930"/>
      <c r="R102" s="930"/>
      <c r="S102" s="930"/>
      <c r="T102" s="930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</row>
    <row r="103" spans="3:194" ht="12.75">
      <c r="C103" s="928"/>
      <c r="D103" s="2"/>
      <c r="E103" s="2"/>
      <c r="F103" s="2"/>
      <c r="G103" s="2"/>
      <c r="H103" s="929"/>
      <c r="I103" s="929"/>
      <c r="J103" s="929"/>
      <c r="K103" s="929"/>
      <c r="L103" s="929"/>
      <c r="M103" s="929"/>
      <c r="N103" s="929"/>
      <c r="O103" s="929"/>
      <c r="P103" s="929"/>
      <c r="Q103" s="929"/>
      <c r="R103" s="929"/>
      <c r="S103" s="929"/>
      <c r="T103" s="929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</row>
    <row r="104" spans="3:194" ht="12.75">
      <c r="C104" s="928"/>
      <c r="D104" s="2"/>
      <c r="E104" s="2"/>
      <c r="F104" s="2"/>
      <c r="G104" s="2"/>
      <c r="H104" s="929"/>
      <c r="I104" s="929"/>
      <c r="J104" s="929"/>
      <c r="K104" s="929"/>
      <c r="L104" s="929"/>
      <c r="M104" s="929"/>
      <c r="N104" s="929"/>
      <c r="O104" s="929"/>
      <c r="P104" s="929"/>
      <c r="Q104" s="929"/>
      <c r="R104" s="929"/>
      <c r="S104" s="929"/>
      <c r="T104" s="92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</row>
    <row r="105" spans="3:194" ht="12.75">
      <c r="C105" s="928"/>
      <c r="D105" s="2"/>
      <c r="E105" s="2"/>
      <c r="F105" s="2"/>
      <c r="G105" s="2"/>
      <c r="H105" s="929"/>
      <c r="I105" s="929"/>
      <c r="J105" s="929"/>
      <c r="K105" s="929"/>
      <c r="L105" s="929"/>
      <c r="M105" s="929"/>
      <c r="N105" s="929"/>
      <c r="O105" s="929"/>
      <c r="P105" s="929"/>
      <c r="Q105" s="929"/>
      <c r="R105" s="929"/>
      <c r="S105" s="929"/>
      <c r="T105" s="929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</row>
    <row r="106" spans="3:194" ht="12.75">
      <c r="C106" s="928"/>
      <c r="D106" s="2"/>
      <c r="E106" s="2"/>
      <c r="F106" s="2"/>
      <c r="G106" s="2"/>
      <c r="H106" s="929"/>
      <c r="I106" s="929"/>
      <c r="J106" s="929"/>
      <c r="K106" s="929"/>
      <c r="L106" s="929"/>
      <c r="M106" s="929"/>
      <c r="N106" s="929"/>
      <c r="O106" s="929"/>
      <c r="P106" s="929"/>
      <c r="Q106" s="929"/>
      <c r="R106" s="929"/>
      <c r="S106" s="929"/>
      <c r="T106" s="929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</row>
    <row r="107" spans="3:194" ht="12.75">
      <c r="C107" s="928"/>
      <c r="D107" s="2"/>
      <c r="E107" s="2"/>
      <c r="F107" s="2"/>
      <c r="G107" s="2"/>
      <c r="H107" s="929"/>
      <c r="I107" s="929"/>
      <c r="J107" s="929"/>
      <c r="K107" s="929"/>
      <c r="L107" s="929"/>
      <c r="M107" s="929"/>
      <c r="N107" s="929"/>
      <c r="O107" s="929"/>
      <c r="P107" s="929"/>
      <c r="Q107" s="929"/>
      <c r="R107" s="929"/>
      <c r="S107" s="929"/>
      <c r="T107" s="929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</row>
    <row r="108" spans="3:194" ht="12.75">
      <c r="C108" s="92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</row>
    <row r="109" spans="3:194" ht="12.75">
      <c r="C109" s="928"/>
      <c r="D109" s="14"/>
      <c r="E109" s="14"/>
      <c r="F109" s="2"/>
      <c r="G109" s="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</row>
    <row r="110" spans="3:7" ht="12.75">
      <c r="C110" s="928"/>
      <c r="F110" s="928"/>
      <c r="G110" s="928"/>
    </row>
    <row r="111" spans="3:7" ht="12.75">
      <c r="C111" s="928"/>
      <c r="F111" s="928"/>
      <c r="G111" s="928"/>
    </row>
    <row r="112" spans="3:7" ht="12.75">
      <c r="C112" s="928"/>
      <c r="F112" s="928"/>
      <c r="G112" s="928"/>
    </row>
    <row r="113" spans="6:7" ht="12.75">
      <c r="F113" s="928"/>
      <c r="G113" s="928"/>
    </row>
  </sheetData>
  <printOptions verticalCentered="1"/>
  <pageMargins left="0.6692913385826772" right="0.1968503937007874" top="0.1968503937007874" bottom="0.15" header="0.31496062992125984" footer="0.2"/>
  <pageSetup fitToWidth="3" horizontalDpi="300" verticalDpi="3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D46"/>
  <sheetViews>
    <sheetView zoomScale="75" zoomScaleNormal="75" workbookViewId="0" topLeftCell="A1">
      <selection activeCell="D44" sqref="D4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9.28125" style="0" hidden="1" customWidth="1"/>
    <col min="9" max="9" width="10.8515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8" width="15.28125" style="0" hidden="1" customWidth="1"/>
    <col min="19" max="19" width="15.57421875" style="0" hidden="1" customWidth="1"/>
    <col min="20" max="20" width="14.140625" style="0" hidden="1" customWidth="1"/>
    <col min="21" max="21" width="13.57421875" style="0" hidden="1" customWidth="1"/>
    <col min="22" max="22" width="13.00390625" style="0" hidden="1" customWidth="1"/>
    <col min="23" max="23" width="13.57421875" style="0" hidden="1" customWidth="1"/>
    <col min="24" max="24" width="13.140625" style="0" hidden="1" customWidth="1"/>
    <col min="25" max="27" width="14.140625" style="0" hidden="1" customWidth="1"/>
    <col min="28" max="28" width="9.7109375" style="0" customWidth="1"/>
    <col min="29" max="30" width="15.7109375" style="0" customWidth="1"/>
    <col min="31" max="31" width="30.421875" style="0" customWidth="1"/>
    <col min="32" max="32" width="3.140625" style="0" customWidth="1"/>
    <col min="33" max="33" width="3.57421875" style="0" customWidth="1"/>
    <col min="34" max="34" width="24.28125" style="0" customWidth="1"/>
    <col min="35" max="35" width="4.7109375" style="0" customWidth="1"/>
    <col min="36" max="36" width="7.57421875" style="0" customWidth="1"/>
    <col min="37" max="38" width="4.140625" style="0" customWidth="1"/>
    <col min="39" max="39" width="7.140625" style="0" customWidth="1"/>
    <col min="40" max="40" width="5.28125" style="0" customWidth="1"/>
    <col min="41" max="41" width="5.421875" style="0" customWidth="1"/>
    <col min="42" max="42" width="4.7109375" style="0" customWidth="1"/>
    <col min="43" max="43" width="5.28125" style="0" customWidth="1"/>
    <col min="44" max="45" width="13.28125" style="0" customWidth="1"/>
    <col min="46" max="46" width="6.57421875" style="0" customWidth="1"/>
    <col min="47" max="47" width="6.421875" style="0" customWidth="1"/>
    <col min="52" max="52" width="12.7109375" style="0" customWidth="1"/>
    <col min="56" max="56" width="21.00390625" style="0" customWidth="1"/>
  </cols>
  <sheetData>
    <row r="1" spans="1:30" s="93" customFormat="1" ht="26.25">
      <c r="A1" s="143"/>
      <c r="AD1" s="754"/>
    </row>
    <row r="2" spans="1:30" s="93" customFormat="1" ht="26.25">
      <c r="A2" s="143"/>
      <c r="B2" s="94" t="str">
        <f>+'tot-0312'!B2</f>
        <v>ANEXO I -1 a la Resolución ENRE N°  403 /2008.-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="16" customFormat="1" ht="12.75">
      <c r="A3" s="64"/>
    </row>
    <row r="4" spans="1:2" s="100" customFormat="1" ht="11.25">
      <c r="A4" s="98" t="s">
        <v>71</v>
      </c>
      <c r="B4" s="177"/>
    </row>
    <row r="5" spans="1:2" s="100" customFormat="1" ht="11.25">
      <c r="A5" s="98" t="s">
        <v>72</v>
      </c>
      <c r="B5" s="177"/>
    </row>
    <row r="6" s="16" customFormat="1" ht="13.5" thickBot="1"/>
    <row r="7" spans="2:30" s="16" customFormat="1" ht="13.5" thickTop="1">
      <c r="B7" s="144"/>
      <c r="C7" s="145"/>
      <c r="D7" s="145"/>
      <c r="E7" s="146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7"/>
    </row>
    <row r="8" spans="2:30" s="10" customFormat="1" ht="20.25">
      <c r="B8" s="158"/>
      <c r="C8" s="11"/>
      <c r="D8" s="7" t="s">
        <v>88</v>
      </c>
      <c r="E8" s="11"/>
      <c r="F8" s="11"/>
      <c r="G8" s="11"/>
      <c r="H8" s="11"/>
      <c r="N8" s="11"/>
      <c r="O8" s="11"/>
      <c r="P8" s="159"/>
      <c r="Q8" s="159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60"/>
    </row>
    <row r="9" spans="2:30" s="16" customFormat="1" ht="12.75">
      <c r="B9" s="12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8"/>
    </row>
    <row r="10" spans="2:30" s="10" customFormat="1" ht="20.25">
      <c r="B10" s="158"/>
      <c r="C10" s="11"/>
      <c r="D10" s="159" t="s">
        <v>89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60"/>
    </row>
    <row r="11" spans="2:30" s="16" customFormat="1" ht="12.75">
      <c r="B11" s="12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8"/>
    </row>
    <row r="12" spans="2:30" s="10" customFormat="1" ht="20.25">
      <c r="B12" s="158"/>
      <c r="C12" s="11"/>
      <c r="D12" s="159" t="s">
        <v>90</v>
      </c>
      <c r="E12" s="11"/>
      <c r="F12" s="11"/>
      <c r="G12" s="11"/>
      <c r="I12" s="11"/>
      <c r="J12" s="11"/>
      <c r="K12" s="11"/>
      <c r="L12" s="11"/>
      <c r="M12" s="11"/>
      <c r="N12" s="11"/>
      <c r="O12" s="11"/>
      <c r="P12" s="159"/>
      <c r="Q12" s="159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60"/>
    </row>
    <row r="13" spans="2:30" s="16" customFormat="1" ht="12.75">
      <c r="B13" s="125"/>
      <c r="C13" s="14"/>
      <c r="D13" s="14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8"/>
    </row>
    <row r="14" spans="2:30" s="15" customFormat="1" ht="19.5">
      <c r="B14" s="113" t="str">
        <f>+'tot-0312'!B14</f>
        <v>Desde el 01 al 31 de diciembre de 2003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62"/>
      <c r="O14" s="162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63"/>
    </row>
    <row r="15" spans="2:30" s="16" customFormat="1" ht="16.5" customHeight="1" thickBot="1">
      <c r="B15" s="125"/>
      <c r="C15" s="14"/>
      <c r="D15" s="14"/>
      <c r="E15" s="2"/>
      <c r="F15" s="2"/>
      <c r="G15" s="14"/>
      <c r="H15" s="14"/>
      <c r="I15" s="14"/>
      <c r="J15" s="157"/>
      <c r="K15" s="14"/>
      <c r="L15" s="14"/>
      <c r="M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8"/>
    </row>
    <row r="16" spans="2:30" s="16" customFormat="1" ht="16.5" customHeight="1" thickBot="1" thickTop="1">
      <c r="B16" s="125"/>
      <c r="C16" s="14"/>
      <c r="D16" s="164" t="s">
        <v>91</v>
      </c>
      <c r="E16" s="627">
        <v>56.353</v>
      </c>
      <c r="F16" s="269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8"/>
    </row>
    <row r="17" spans="2:30" s="16" customFormat="1" ht="16.5" customHeight="1" thickBot="1" thickTop="1">
      <c r="B17" s="125"/>
      <c r="C17" s="14"/>
      <c r="D17" s="164" t="s">
        <v>92</v>
      </c>
      <c r="E17" s="627">
        <v>46.961</v>
      </c>
      <c r="F17" s="269"/>
      <c r="G17" s="14"/>
      <c r="H17" s="14"/>
      <c r="I17" s="14"/>
      <c r="J17" s="757"/>
      <c r="K17" s="758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50"/>
      <c r="W17" s="150"/>
      <c r="X17" s="150"/>
      <c r="Y17" s="150"/>
      <c r="Z17" s="150"/>
      <c r="AA17" s="150"/>
      <c r="AB17" s="150"/>
      <c r="AD17" s="148"/>
    </row>
    <row r="18" spans="2:30" s="16" customFormat="1" ht="16.5" customHeight="1" thickBot="1" thickTop="1">
      <c r="B18" s="125"/>
      <c r="C18" s="14"/>
      <c r="D18" s="14"/>
      <c r="E18" s="1"/>
      <c r="F18" s="14"/>
      <c r="G18" s="14"/>
      <c r="H18" s="14"/>
      <c r="I18" s="14"/>
      <c r="J18" s="14"/>
      <c r="K18" s="14"/>
      <c r="L18" s="14"/>
      <c r="M18" s="14"/>
      <c r="N18" s="151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8"/>
    </row>
    <row r="19" spans="2:30" s="16" customFormat="1" ht="33.75" customHeight="1" thickBot="1" thickTop="1">
      <c r="B19" s="125"/>
      <c r="C19" s="165" t="s">
        <v>93</v>
      </c>
      <c r="D19" s="167" t="s">
        <v>74</v>
      </c>
      <c r="E19" s="431" t="s">
        <v>94</v>
      </c>
      <c r="F19" s="173" t="s">
        <v>95</v>
      </c>
      <c r="G19" s="166" t="s">
        <v>96</v>
      </c>
      <c r="H19" s="432" t="s">
        <v>97</v>
      </c>
      <c r="I19" s="429" t="s">
        <v>98</v>
      </c>
      <c r="J19" s="167" t="s">
        <v>99</v>
      </c>
      <c r="K19" s="168" t="s">
        <v>100</v>
      </c>
      <c r="L19" s="172" t="s">
        <v>101</v>
      </c>
      <c r="M19" s="173" t="s">
        <v>102</v>
      </c>
      <c r="N19" s="172" t="s">
        <v>103</v>
      </c>
      <c r="O19" s="173" t="s">
        <v>104</v>
      </c>
      <c r="P19" s="168" t="s">
        <v>105</v>
      </c>
      <c r="Q19" s="167" t="s">
        <v>106</v>
      </c>
      <c r="R19" s="394" t="s">
        <v>107</v>
      </c>
      <c r="S19" s="397" t="s">
        <v>108</v>
      </c>
      <c r="T19" s="346" t="s">
        <v>109</v>
      </c>
      <c r="U19" s="347"/>
      <c r="V19" s="348"/>
      <c r="W19" s="401" t="s">
        <v>110</v>
      </c>
      <c r="X19" s="402"/>
      <c r="Y19" s="403"/>
      <c r="Z19" s="417" t="s">
        <v>111</v>
      </c>
      <c r="AA19" s="418" t="s">
        <v>112</v>
      </c>
      <c r="AB19" s="175" t="s">
        <v>113</v>
      </c>
      <c r="AC19" s="175" t="s">
        <v>114</v>
      </c>
      <c r="AD19" s="152"/>
    </row>
    <row r="20" spans="2:30" s="16" customFormat="1" ht="16.5" customHeight="1" hidden="1" thickTop="1">
      <c r="B20" s="125"/>
      <c r="C20" s="414"/>
      <c r="D20" s="437"/>
      <c r="E20" s="437"/>
      <c r="F20" s="414"/>
      <c r="G20" s="414"/>
      <c r="H20" s="435"/>
      <c r="I20" s="436"/>
      <c r="J20" s="414"/>
      <c r="K20" s="414"/>
      <c r="L20" s="414"/>
      <c r="M20" s="414"/>
      <c r="N20" s="414"/>
      <c r="O20" s="414"/>
      <c r="P20" s="414"/>
      <c r="Q20" s="414"/>
      <c r="R20" s="395"/>
      <c r="S20" s="398"/>
      <c r="T20" s="406"/>
      <c r="U20" s="407"/>
      <c r="V20" s="408"/>
      <c r="W20" s="409"/>
      <c r="X20" s="410"/>
      <c r="Y20" s="411"/>
      <c r="Z20" s="415"/>
      <c r="AA20" s="419"/>
      <c r="AB20" s="414"/>
      <c r="AC20" s="565"/>
      <c r="AD20" s="148"/>
    </row>
    <row r="21" spans="2:30" s="16" customFormat="1" ht="16.5" customHeight="1" thickTop="1">
      <c r="B21" s="125"/>
      <c r="C21" s="17"/>
      <c r="D21" s="17"/>
      <c r="E21" s="20"/>
      <c r="F21" s="17"/>
      <c r="G21" s="17"/>
      <c r="H21" s="427"/>
      <c r="I21" s="430"/>
      <c r="J21" s="19"/>
      <c r="K21" s="14"/>
      <c r="L21" s="17"/>
      <c r="M21" s="17"/>
      <c r="N21" s="18"/>
      <c r="O21" s="17"/>
      <c r="P21" s="17"/>
      <c r="Q21" s="17"/>
      <c r="R21" s="393"/>
      <c r="S21" s="396"/>
      <c r="T21" s="413"/>
      <c r="U21" s="399"/>
      <c r="V21" s="400"/>
      <c r="W21" s="412"/>
      <c r="X21" s="404"/>
      <c r="Y21" s="405"/>
      <c r="Z21" s="416"/>
      <c r="AA21" s="420"/>
      <c r="AB21" s="17"/>
      <c r="AC21" s="176"/>
      <c r="AD21" s="148"/>
    </row>
    <row r="22" spans="2:30" s="16" customFormat="1" ht="16.5" customHeight="1">
      <c r="B22" s="125"/>
      <c r="C22" s="769">
        <v>1</v>
      </c>
      <c r="D22" s="770" t="s">
        <v>8</v>
      </c>
      <c r="E22" s="771">
        <v>500</v>
      </c>
      <c r="F22" s="772">
        <v>58</v>
      </c>
      <c r="G22" s="771" t="s">
        <v>2</v>
      </c>
      <c r="H22" s="434">
        <f aca="true" t="shared" si="0" ref="H22:H41">IF(G22="A",200,IF(G22="B",60,20))</f>
        <v>20</v>
      </c>
      <c r="I22" s="624">
        <f aca="true" t="shared" si="1" ref="I22:I41">IF(E22=500,IF(F22&lt;100,100*$E$16/100,F22*$E$16/100),IF(F22&lt;100,100*$E$17/100,F22*$E$17/100))</f>
        <v>56.353</v>
      </c>
      <c r="J22" s="781">
        <v>37957.34861111111</v>
      </c>
      <c r="K22" s="782">
        <v>37957.62777777778</v>
      </c>
      <c r="L22" s="26">
        <f aca="true" t="shared" si="2" ref="L22:L41">IF(D22="","",(K22-J22)*24)</f>
        <v>6.7000000000116415</v>
      </c>
      <c r="M22" s="27">
        <f aca="true" t="shared" si="3" ref="M22:M41">IF(D22="","",ROUND((K22-J22)*24*60,0))</f>
        <v>402</v>
      </c>
      <c r="N22" s="789" t="s">
        <v>238</v>
      </c>
      <c r="O22" s="790" t="str">
        <f aca="true" t="shared" si="4" ref="O22:O41">IF(D22="","","--")</f>
        <v>--</v>
      </c>
      <c r="P22" s="791" t="str">
        <f aca="true" t="shared" si="5" ref="P22:P41">IF(D22="","","NO")</f>
        <v>NO</v>
      </c>
      <c r="Q22" s="791" t="str">
        <f aca="true" t="shared" si="6" ref="Q22:Q41">IF(D22="","",IF(OR(N22="P",N22="RP"),"--","NO"))</f>
        <v>--</v>
      </c>
      <c r="R22" s="792">
        <f aca="true" t="shared" si="7" ref="R22:R41">IF(N22="P",I22*H22*ROUND(M22/60,2)*0.01,"--")</f>
        <v>75.51302</v>
      </c>
      <c r="S22" s="793" t="str">
        <f aca="true" t="shared" si="8" ref="S22:S41">IF(N22="RP",I22*H22*ROUND(M22/60,2)*0.01*O22/100,"--")</f>
        <v>--</v>
      </c>
      <c r="T22" s="794" t="str">
        <f aca="true" t="shared" si="9" ref="T22:T41">IF(AND(N22="F",Q22="NO"),I22*H22*IF(P22="SI",1.2,1),"--")</f>
        <v>--</v>
      </c>
      <c r="U22" s="795" t="str">
        <f aca="true" t="shared" si="10" ref="U22:U41">IF(AND(N22="F",M22&gt;=10),I22*H22*IF(P22="SI",1.2,1)*IF(M22&lt;=300,ROUND(M22/60,2),5),"--")</f>
        <v>--</v>
      </c>
      <c r="V22" s="796" t="str">
        <f aca="true" t="shared" si="11" ref="V22:V41">IF(AND(N22="F",M22&gt;300),(ROUND(M22/60,2)-5)*I22*H22*0.1*IF(P22="SI",1.2,1),"--")</f>
        <v>--</v>
      </c>
      <c r="W22" s="797" t="str">
        <f aca="true" t="shared" si="12" ref="W22:W41">IF(AND(N22="R",Q22="NO"),I22*H22*O22/100*IF(P22="SI",1.2,1),"--")</f>
        <v>--</v>
      </c>
      <c r="X22" s="798" t="str">
        <f aca="true" t="shared" si="13" ref="X22:X41">IF(AND(N22="R",M22&gt;=10),I22*H22*O22/100*IF(P22="SI",1.2,1)*IF(M22&lt;=300,ROUND(M22/60,2),5),"--")</f>
        <v>--</v>
      </c>
      <c r="Y22" s="799" t="str">
        <f aca="true" t="shared" si="14" ref="Y22:Y41">IF(AND(N22="R",M22&gt;300),(ROUND(M22/60,2)-5)*I22*H22*0.1*O22/100*IF(P22="SI",1.2,1),"--")</f>
        <v>--</v>
      </c>
      <c r="Z22" s="800" t="str">
        <f aca="true" t="shared" si="15" ref="Z22:Z41">IF(N22="RF",ROUND(M22/60,2)*I22*H22*0.1*IF(P22="SI",1.2,1),"--")</f>
        <v>--</v>
      </c>
      <c r="AA22" s="801" t="str">
        <f aca="true" t="shared" si="16" ref="AA22:AA41">IF(N22="RR",ROUND(M22/60,2)*I22*H22*0.1*O22/100*IF(P22="SI",1.2,1),"--")</f>
        <v>--</v>
      </c>
      <c r="AB22" s="802" t="str">
        <f aca="true" t="shared" si="17" ref="AB22:AB41">IF(D22="","","SI")</f>
        <v>SI</v>
      </c>
      <c r="AC22" s="30">
        <f aca="true" t="shared" si="18" ref="AC22:AC41">IF(D22="","",SUM(R22:AA22)*IF(AB22="SI",1,2))</f>
        <v>75.51302</v>
      </c>
      <c r="AD22" s="534"/>
    </row>
    <row r="23" spans="2:30" s="16" customFormat="1" ht="16.5" customHeight="1">
      <c r="B23" s="125"/>
      <c r="C23" s="769">
        <v>2</v>
      </c>
      <c r="D23" s="770" t="s">
        <v>8</v>
      </c>
      <c r="E23" s="771">
        <v>500</v>
      </c>
      <c r="F23" s="772">
        <v>58</v>
      </c>
      <c r="G23" s="771" t="s">
        <v>2</v>
      </c>
      <c r="H23" s="434">
        <f t="shared" si="0"/>
        <v>20</v>
      </c>
      <c r="I23" s="624">
        <f t="shared" si="1"/>
        <v>56.353</v>
      </c>
      <c r="J23" s="781">
        <v>37958.37222222222</v>
      </c>
      <c r="K23" s="782">
        <v>37958.6375</v>
      </c>
      <c r="L23" s="26">
        <f t="shared" si="2"/>
        <v>6.366666666639503</v>
      </c>
      <c r="M23" s="27">
        <f t="shared" si="3"/>
        <v>382</v>
      </c>
      <c r="N23" s="789" t="s">
        <v>238</v>
      </c>
      <c r="O23" s="790" t="str">
        <f t="shared" si="4"/>
        <v>--</v>
      </c>
      <c r="P23" s="791" t="str">
        <f t="shared" si="5"/>
        <v>NO</v>
      </c>
      <c r="Q23" s="791" t="str">
        <f t="shared" si="6"/>
        <v>--</v>
      </c>
      <c r="R23" s="792">
        <f t="shared" si="7"/>
        <v>71.793722</v>
      </c>
      <c r="S23" s="793" t="str">
        <f t="shared" si="8"/>
        <v>--</v>
      </c>
      <c r="T23" s="794" t="str">
        <f t="shared" si="9"/>
        <v>--</v>
      </c>
      <c r="U23" s="795" t="str">
        <f t="shared" si="10"/>
        <v>--</v>
      </c>
      <c r="V23" s="796" t="str">
        <f t="shared" si="11"/>
        <v>--</v>
      </c>
      <c r="W23" s="797" t="str">
        <f t="shared" si="12"/>
        <v>--</v>
      </c>
      <c r="X23" s="798" t="str">
        <f t="shared" si="13"/>
        <v>--</v>
      </c>
      <c r="Y23" s="799" t="str">
        <f t="shared" si="14"/>
        <v>--</v>
      </c>
      <c r="Z23" s="800" t="str">
        <f t="shared" si="15"/>
        <v>--</v>
      </c>
      <c r="AA23" s="801" t="str">
        <f t="shared" si="16"/>
        <v>--</v>
      </c>
      <c r="AB23" s="802" t="str">
        <f t="shared" si="17"/>
        <v>SI</v>
      </c>
      <c r="AC23" s="30">
        <f t="shared" si="18"/>
        <v>71.793722</v>
      </c>
      <c r="AD23" s="534"/>
    </row>
    <row r="24" spans="2:30" s="16" customFormat="1" ht="16.5" customHeight="1">
      <c r="B24" s="125"/>
      <c r="C24" s="769">
        <v>3</v>
      </c>
      <c r="D24" s="773" t="s">
        <v>224</v>
      </c>
      <c r="E24" s="774">
        <v>500</v>
      </c>
      <c r="F24" s="775">
        <v>255</v>
      </c>
      <c r="G24" s="774" t="s">
        <v>5</v>
      </c>
      <c r="H24" s="434">
        <f t="shared" si="0"/>
        <v>60</v>
      </c>
      <c r="I24" s="624">
        <f t="shared" si="1"/>
        <v>143.70015</v>
      </c>
      <c r="J24" s="783">
        <v>37959.660416666666</v>
      </c>
      <c r="K24" s="784">
        <v>37959.66388888889</v>
      </c>
      <c r="L24" s="26">
        <f t="shared" si="2"/>
        <v>0.0833333334303461</v>
      </c>
      <c r="M24" s="27">
        <f t="shared" si="3"/>
        <v>5</v>
      </c>
      <c r="N24" s="789" t="s">
        <v>231</v>
      </c>
      <c r="O24" s="790" t="str">
        <f t="shared" si="4"/>
        <v>--</v>
      </c>
      <c r="P24" s="791" t="str">
        <f t="shared" si="5"/>
        <v>NO</v>
      </c>
      <c r="Q24" s="791" t="str">
        <f t="shared" si="6"/>
        <v>NO</v>
      </c>
      <c r="R24" s="792" t="str">
        <f t="shared" si="7"/>
        <v>--</v>
      </c>
      <c r="S24" s="793" t="str">
        <f t="shared" si="8"/>
        <v>--</v>
      </c>
      <c r="T24" s="794">
        <f t="shared" si="9"/>
        <v>8622.009</v>
      </c>
      <c r="U24" s="795" t="str">
        <f t="shared" si="10"/>
        <v>--</v>
      </c>
      <c r="V24" s="796" t="str">
        <f t="shared" si="11"/>
        <v>--</v>
      </c>
      <c r="W24" s="797" t="str">
        <f t="shared" si="12"/>
        <v>--</v>
      </c>
      <c r="X24" s="798" t="str">
        <f t="shared" si="13"/>
        <v>--</v>
      </c>
      <c r="Y24" s="799" t="str">
        <f t="shared" si="14"/>
        <v>--</v>
      </c>
      <c r="Z24" s="800" t="str">
        <f t="shared" si="15"/>
        <v>--</v>
      </c>
      <c r="AA24" s="801" t="str">
        <f t="shared" si="16"/>
        <v>--</v>
      </c>
      <c r="AB24" s="802" t="str">
        <f t="shared" si="17"/>
        <v>SI</v>
      </c>
      <c r="AC24" s="30">
        <f t="shared" si="18"/>
        <v>8622.009</v>
      </c>
      <c r="AD24" s="534"/>
    </row>
    <row r="25" spans="2:30" s="16" customFormat="1" ht="16.5" customHeight="1">
      <c r="B25" s="125"/>
      <c r="C25" s="769">
        <v>4</v>
      </c>
      <c r="D25" s="773" t="s">
        <v>224</v>
      </c>
      <c r="E25" s="774">
        <v>500</v>
      </c>
      <c r="F25" s="775">
        <v>255</v>
      </c>
      <c r="G25" s="774" t="s">
        <v>5</v>
      </c>
      <c r="H25" s="434">
        <f t="shared" si="0"/>
        <v>60</v>
      </c>
      <c r="I25" s="624">
        <f t="shared" si="1"/>
        <v>143.70015</v>
      </c>
      <c r="J25" s="783">
        <v>37959.69375</v>
      </c>
      <c r="K25" s="784">
        <v>37961.50833333333</v>
      </c>
      <c r="L25" s="26">
        <f t="shared" si="2"/>
        <v>43.54999999998836</v>
      </c>
      <c r="M25" s="27">
        <f t="shared" si="3"/>
        <v>2613</v>
      </c>
      <c r="N25" s="789" t="s">
        <v>231</v>
      </c>
      <c r="O25" s="790" t="str">
        <f t="shared" si="4"/>
        <v>--</v>
      </c>
      <c r="P25" s="791" t="str">
        <f t="shared" si="5"/>
        <v>NO</v>
      </c>
      <c r="Q25" s="791" t="str">
        <f t="shared" si="6"/>
        <v>NO</v>
      </c>
      <c r="R25" s="792" t="str">
        <f t="shared" si="7"/>
        <v>--</v>
      </c>
      <c r="S25" s="793" t="str">
        <f t="shared" si="8"/>
        <v>--</v>
      </c>
      <c r="T25" s="794">
        <f t="shared" si="9"/>
        <v>8622.009</v>
      </c>
      <c r="U25" s="795">
        <f t="shared" si="10"/>
        <v>43110.045</v>
      </c>
      <c r="V25" s="796">
        <f t="shared" si="11"/>
        <v>33237.844695</v>
      </c>
      <c r="W25" s="797" t="str">
        <f t="shared" si="12"/>
        <v>--</v>
      </c>
      <c r="X25" s="798" t="str">
        <f t="shared" si="13"/>
        <v>--</v>
      </c>
      <c r="Y25" s="799" t="str">
        <f t="shared" si="14"/>
        <v>--</v>
      </c>
      <c r="Z25" s="800" t="str">
        <f t="shared" si="15"/>
        <v>--</v>
      </c>
      <c r="AA25" s="801" t="str">
        <f t="shared" si="16"/>
        <v>--</v>
      </c>
      <c r="AB25" s="802" t="str">
        <f t="shared" si="17"/>
        <v>SI</v>
      </c>
      <c r="AC25" s="30">
        <f t="shared" si="18"/>
        <v>84969.898695</v>
      </c>
      <c r="AD25" s="534"/>
    </row>
    <row r="26" spans="2:30" s="16" customFormat="1" ht="16.5" customHeight="1">
      <c r="B26" s="125"/>
      <c r="C26" s="769">
        <v>5</v>
      </c>
      <c r="D26" s="770" t="s">
        <v>4</v>
      </c>
      <c r="E26" s="771">
        <v>500</v>
      </c>
      <c r="F26" s="772">
        <v>345</v>
      </c>
      <c r="G26" s="771" t="s">
        <v>5</v>
      </c>
      <c r="H26" s="434">
        <f t="shared" si="0"/>
        <v>60</v>
      </c>
      <c r="I26" s="624">
        <f t="shared" si="1"/>
        <v>194.41785</v>
      </c>
      <c r="J26" s="781">
        <v>37965.88402777778</v>
      </c>
      <c r="K26" s="782">
        <v>37965.92291666667</v>
      </c>
      <c r="L26" s="26">
        <f t="shared" si="2"/>
        <v>0.933333333407063</v>
      </c>
      <c r="M26" s="27">
        <f t="shared" si="3"/>
        <v>56</v>
      </c>
      <c r="N26" s="789" t="s">
        <v>231</v>
      </c>
      <c r="O26" s="790" t="str">
        <f t="shared" si="4"/>
        <v>--</v>
      </c>
      <c r="P26" s="791" t="str">
        <f t="shared" si="5"/>
        <v>NO</v>
      </c>
      <c r="Q26" s="791" t="str">
        <f t="shared" si="6"/>
        <v>NO</v>
      </c>
      <c r="R26" s="792" t="str">
        <f t="shared" si="7"/>
        <v>--</v>
      </c>
      <c r="S26" s="793" t="str">
        <f t="shared" si="8"/>
        <v>--</v>
      </c>
      <c r="T26" s="794">
        <f t="shared" si="9"/>
        <v>11665.071</v>
      </c>
      <c r="U26" s="795">
        <f t="shared" si="10"/>
        <v>10848.51603</v>
      </c>
      <c r="V26" s="796" t="str">
        <f t="shared" si="11"/>
        <v>--</v>
      </c>
      <c r="W26" s="797" t="str">
        <f t="shared" si="12"/>
        <v>--</v>
      </c>
      <c r="X26" s="798" t="str">
        <f t="shared" si="13"/>
        <v>--</v>
      </c>
      <c r="Y26" s="799" t="str">
        <f t="shared" si="14"/>
        <v>--</v>
      </c>
      <c r="Z26" s="800" t="str">
        <f t="shared" si="15"/>
        <v>--</v>
      </c>
      <c r="AA26" s="801" t="str">
        <f t="shared" si="16"/>
        <v>--</v>
      </c>
      <c r="AB26" s="802" t="str">
        <f t="shared" si="17"/>
        <v>SI</v>
      </c>
      <c r="AC26" s="30">
        <f t="shared" si="18"/>
        <v>22513.587030000002</v>
      </c>
      <c r="AD26" s="534"/>
    </row>
    <row r="27" spans="2:30" s="16" customFormat="1" ht="16.5" customHeight="1">
      <c r="B27" s="125"/>
      <c r="C27" s="769">
        <v>6</v>
      </c>
      <c r="D27" s="770" t="s">
        <v>229</v>
      </c>
      <c r="E27" s="771">
        <v>500</v>
      </c>
      <c r="F27" s="772">
        <v>76.98</v>
      </c>
      <c r="G27" s="771" t="s">
        <v>2</v>
      </c>
      <c r="H27" s="434">
        <f t="shared" si="0"/>
        <v>20</v>
      </c>
      <c r="I27" s="624">
        <f t="shared" si="1"/>
        <v>56.353</v>
      </c>
      <c r="J27" s="781">
        <v>37965.99375</v>
      </c>
      <c r="K27" s="782">
        <v>37965.99791666667</v>
      </c>
      <c r="L27" s="26">
        <f t="shared" si="2"/>
        <v>0.09999999997671694</v>
      </c>
      <c r="M27" s="27">
        <f t="shared" si="3"/>
        <v>6</v>
      </c>
      <c r="N27" s="789" t="s">
        <v>231</v>
      </c>
      <c r="O27" s="790" t="str">
        <f t="shared" si="4"/>
        <v>--</v>
      </c>
      <c r="P27" s="791" t="str">
        <f t="shared" si="5"/>
        <v>NO</v>
      </c>
      <c r="Q27" s="791" t="str">
        <f t="shared" si="6"/>
        <v>NO</v>
      </c>
      <c r="R27" s="792" t="str">
        <f t="shared" si="7"/>
        <v>--</v>
      </c>
      <c r="S27" s="793" t="str">
        <f t="shared" si="8"/>
        <v>--</v>
      </c>
      <c r="T27" s="794">
        <f t="shared" si="9"/>
        <v>1127.06</v>
      </c>
      <c r="U27" s="795" t="str">
        <f t="shared" si="10"/>
        <v>--</v>
      </c>
      <c r="V27" s="796" t="str">
        <f t="shared" si="11"/>
        <v>--</v>
      </c>
      <c r="W27" s="797" t="str">
        <f t="shared" si="12"/>
        <v>--</v>
      </c>
      <c r="X27" s="798" t="str">
        <f t="shared" si="13"/>
        <v>--</v>
      </c>
      <c r="Y27" s="799" t="str">
        <f t="shared" si="14"/>
        <v>--</v>
      </c>
      <c r="Z27" s="800" t="str">
        <f t="shared" si="15"/>
        <v>--</v>
      </c>
      <c r="AA27" s="801" t="str">
        <f t="shared" si="16"/>
        <v>--</v>
      </c>
      <c r="AB27" s="802" t="str">
        <f t="shared" si="17"/>
        <v>SI</v>
      </c>
      <c r="AC27" s="30">
        <f t="shared" si="18"/>
        <v>1127.06</v>
      </c>
      <c r="AD27" s="534"/>
    </row>
    <row r="28" spans="2:30" s="16" customFormat="1" ht="16.5" customHeight="1">
      <c r="B28" s="125"/>
      <c r="C28" s="769">
        <v>7</v>
      </c>
      <c r="D28" s="769" t="s">
        <v>8</v>
      </c>
      <c r="E28" s="776">
        <v>500</v>
      </c>
      <c r="F28" s="777">
        <v>58</v>
      </c>
      <c r="G28" s="776" t="s">
        <v>2</v>
      </c>
      <c r="H28" s="434">
        <f t="shared" si="0"/>
        <v>20</v>
      </c>
      <c r="I28" s="624">
        <f t="shared" si="1"/>
        <v>56.353</v>
      </c>
      <c r="J28" s="785">
        <v>37966.356944444444</v>
      </c>
      <c r="K28" s="786">
        <v>37966.62013888889</v>
      </c>
      <c r="L28" s="26">
        <f t="shared" si="2"/>
        <v>6.316666666651145</v>
      </c>
      <c r="M28" s="27">
        <f t="shared" si="3"/>
        <v>379</v>
      </c>
      <c r="N28" s="789" t="s">
        <v>238</v>
      </c>
      <c r="O28" s="790" t="str">
        <f t="shared" si="4"/>
        <v>--</v>
      </c>
      <c r="P28" s="791" t="str">
        <f t="shared" si="5"/>
        <v>NO</v>
      </c>
      <c r="Q28" s="791" t="str">
        <f t="shared" si="6"/>
        <v>--</v>
      </c>
      <c r="R28" s="792">
        <f t="shared" si="7"/>
        <v>71.230192</v>
      </c>
      <c r="S28" s="793" t="str">
        <f t="shared" si="8"/>
        <v>--</v>
      </c>
      <c r="T28" s="794" t="str">
        <f t="shared" si="9"/>
        <v>--</v>
      </c>
      <c r="U28" s="795" t="str">
        <f t="shared" si="10"/>
        <v>--</v>
      </c>
      <c r="V28" s="796" t="str">
        <f t="shared" si="11"/>
        <v>--</v>
      </c>
      <c r="W28" s="797" t="str">
        <f t="shared" si="12"/>
        <v>--</v>
      </c>
      <c r="X28" s="798" t="str">
        <f t="shared" si="13"/>
        <v>--</v>
      </c>
      <c r="Y28" s="799" t="str">
        <f t="shared" si="14"/>
        <v>--</v>
      </c>
      <c r="Z28" s="800" t="str">
        <f t="shared" si="15"/>
        <v>--</v>
      </c>
      <c r="AA28" s="801" t="str">
        <f t="shared" si="16"/>
        <v>--</v>
      </c>
      <c r="AB28" s="802" t="str">
        <f t="shared" si="17"/>
        <v>SI</v>
      </c>
      <c r="AC28" s="30">
        <f t="shared" si="18"/>
        <v>71.230192</v>
      </c>
      <c r="AD28" s="534"/>
    </row>
    <row r="29" spans="2:30" s="16" customFormat="1" ht="16.5" customHeight="1">
      <c r="B29" s="125"/>
      <c r="C29" s="769">
        <v>8</v>
      </c>
      <c r="D29" s="769" t="s">
        <v>12</v>
      </c>
      <c r="E29" s="776">
        <v>500</v>
      </c>
      <c r="F29" s="777">
        <v>270</v>
      </c>
      <c r="G29" s="776" t="s">
        <v>2</v>
      </c>
      <c r="H29" s="434">
        <f t="shared" si="0"/>
        <v>20</v>
      </c>
      <c r="I29" s="624">
        <f t="shared" si="1"/>
        <v>152.15310000000002</v>
      </c>
      <c r="J29" s="785">
        <v>37967.16736111111</v>
      </c>
      <c r="K29" s="786">
        <v>37967.18472222222</v>
      </c>
      <c r="L29" s="26">
        <f t="shared" si="2"/>
        <v>0.41666666662786156</v>
      </c>
      <c r="M29" s="27">
        <f t="shared" si="3"/>
        <v>25</v>
      </c>
      <c r="N29" s="789" t="s">
        <v>231</v>
      </c>
      <c r="O29" s="790" t="str">
        <f t="shared" si="4"/>
        <v>--</v>
      </c>
      <c r="P29" s="791" t="str">
        <f t="shared" si="5"/>
        <v>NO</v>
      </c>
      <c r="Q29" s="791" t="str">
        <f t="shared" si="6"/>
        <v>NO</v>
      </c>
      <c r="R29" s="792" t="str">
        <f t="shared" si="7"/>
        <v>--</v>
      </c>
      <c r="S29" s="793" t="str">
        <f t="shared" si="8"/>
        <v>--</v>
      </c>
      <c r="T29" s="794">
        <f t="shared" si="9"/>
        <v>3043.0620000000004</v>
      </c>
      <c r="U29" s="795">
        <f t="shared" si="10"/>
        <v>1278.0860400000001</v>
      </c>
      <c r="V29" s="796" t="str">
        <f t="shared" si="11"/>
        <v>--</v>
      </c>
      <c r="W29" s="797" t="str">
        <f t="shared" si="12"/>
        <v>--</v>
      </c>
      <c r="X29" s="798" t="str">
        <f t="shared" si="13"/>
        <v>--</v>
      </c>
      <c r="Y29" s="799" t="str">
        <f t="shared" si="14"/>
        <v>--</v>
      </c>
      <c r="Z29" s="800" t="str">
        <f t="shared" si="15"/>
        <v>--</v>
      </c>
      <c r="AA29" s="801" t="str">
        <f t="shared" si="16"/>
        <v>--</v>
      </c>
      <c r="AB29" s="802" t="str">
        <f t="shared" si="17"/>
        <v>SI</v>
      </c>
      <c r="AC29" s="30">
        <f t="shared" si="18"/>
        <v>4321.14804</v>
      </c>
      <c r="AD29" s="534"/>
    </row>
    <row r="30" spans="2:30" s="16" customFormat="1" ht="16.5" customHeight="1">
      <c r="B30" s="125"/>
      <c r="C30" s="769">
        <v>9</v>
      </c>
      <c r="D30" s="769" t="s">
        <v>6</v>
      </c>
      <c r="E30" s="776">
        <v>500</v>
      </c>
      <c r="F30" s="777">
        <v>3</v>
      </c>
      <c r="G30" s="776" t="s">
        <v>2</v>
      </c>
      <c r="H30" s="434">
        <f t="shared" si="0"/>
        <v>20</v>
      </c>
      <c r="I30" s="624">
        <f t="shared" si="1"/>
        <v>56.353</v>
      </c>
      <c r="J30" s="785">
        <v>37968.20972222222</v>
      </c>
      <c r="K30" s="786">
        <v>37968.32361111111</v>
      </c>
      <c r="L30" s="26">
        <f t="shared" si="2"/>
        <v>2.733333333337214</v>
      </c>
      <c r="M30" s="27">
        <f t="shared" si="3"/>
        <v>164</v>
      </c>
      <c r="N30" s="789" t="s">
        <v>238</v>
      </c>
      <c r="O30" s="790" t="str">
        <f t="shared" si="4"/>
        <v>--</v>
      </c>
      <c r="P30" s="791" t="str">
        <f t="shared" si="5"/>
        <v>NO</v>
      </c>
      <c r="Q30" s="791" t="str">
        <f t="shared" si="6"/>
        <v>--</v>
      </c>
      <c r="R30" s="792">
        <f t="shared" si="7"/>
        <v>30.768738</v>
      </c>
      <c r="S30" s="793" t="str">
        <f t="shared" si="8"/>
        <v>--</v>
      </c>
      <c r="T30" s="794" t="str">
        <f t="shared" si="9"/>
        <v>--</v>
      </c>
      <c r="U30" s="795" t="str">
        <f t="shared" si="10"/>
        <v>--</v>
      </c>
      <c r="V30" s="796" t="str">
        <f t="shared" si="11"/>
        <v>--</v>
      </c>
      <c r="W30" s="797" t="str">
        <f t="shared" si="12"/>
        <v>--</v>
      </c>
      <c r="X30" s="798" t="str">
        <f t="shared" si="13"/>
        <v>--</v>
      </c>
      <c r="Y30" s="799" t="str">
        <f t="shared" si="14"/>
        <v>--</v>
      </c>
      <c r="Z30" s="800" t="str">
        <f t="shared" si="15"/>
        <v>--</v>
      </c>
      <c r="AA30" s="801" t="str">
        <f t="shared" si="16"/>
        <v>--</v>
      </c>
      <c r="AB30" s="802" t="str">
        <f t="shared" si="17"/>
        <v>SI</v>
      </c>
      <c r="AC30" s="30">
        <f t="shared" si="18"/>
        <v>30.768738</v>
      </c>
      <c r="AD30" s="534"/>
    </row>
    <row r="31" spans="2:30" s="16" customFormat="1" ht="16.5" customHeight="1">
      <c r="B31" s="125"/>
      <c r="C31" s="769">
        <v>10</v>
      </c>
      <c r="D31" s="769" t="s">
        <v>6</v>
      </c>
      <c r="E31" s="776">
        <v>500</v>
      </c>
      <c r="F31" s="777">
        <v>3</v>
      </c>
      <c r="G31" s="776" t="s">
        <v>2</v>
      </c>
      <c r="H31" s="434">
        <f t="shared" si="0"/>
        <v>20</v>
      </c>
      <c r="I31" s="624">
        <f t="shared" si="1"/>
        <v>56.353</v>
      </c>
      <c r="J31" s="785">
        <v>37968.50208333333</v>
      </c>
      <c r="K31" s="786">
        <v>37968.60902777778</v>
      </c>
      <c r="L31" s="26">
        <f t="shared" si="2"/>
        <v>2.5666666666511446</v>
      </c>
      <c r="M31" s="27">
        <f t="shared" si="3"/>
        <v>154</v>
      </c>
      <c r="N31" s="789" t="s">
        <v>238</v>
      </c>
      <c r="O31" s="790" t="str">
        <f t="shared" si="4"/>
        <v>--</v>
      </c>
      <c r="P31" s="791" t="str">
        <f t="shared" si="5"/>
        <v>NO</v>
      </c>
      <c r="Q31" s="791" t="str">
        <f t="shared" si="6"/>
        <v>--</v>
      </c>
      <c r="R31" s="792">
        <f t="shared" si="7"/>
        <v>28.965442</v>
      </c>
      <c r="S31" s="793" t="str">
        <f t="shared" si="8"/>
        <v>--</v>
      </c>
      <c r="T31" s="794" t="str">
        <f t="shared" si="9"/>
        <v>--</v>
      </c>
      <c r="U31" s="795" t="str">
        <f t="shared" si="10"/>
        <v>--</v>
      </c>
      <c r="V31" s="796" t="str">
        <f t="shared" si="11"/>
        <v>--</v>
      </c>
      <c r="W31" s="797" t="str">
        <f t="shared" si="12"/>
        <v>--</v>
      </c>
      <c r="X31" s="798" t="str">
        <f t="shared" si="13"/>
        <v>--</v>
      </c>
      <c r="Y31" s="799" t="str">
        <f t="shared" si="14"/>
        <v>--</v>
      </c>
      <c r="Z31" s="800" t="str">
        <f t="shared" si="15"/>
        <v>--</v>
      </c>
      <c r="AA31" s="801" t="str">
        <f t="shared" si="16"/>
        <v>--</v>
      </c>
      <c r="AB31" s="802" t="str">
        <f t="shared" si="17"/>
        <v>SI</v>
      </c>
      <c r="AC31" s="30">
        <f t="shared" si="18"/>
        <v>28.965442</v>
      </c>
      <c r="AD31" s="534"/>
    </row>
    <row r="32" spans="2:30" s="16" customFormat="1" ht="16.5" customHeight="1">
      <c r="B32" s="125"/>
      <c r="C32" s="769">
        <v>11</v>
      </c>
      <c r="D32" s="769" t="s">
        <v>205</v>
      </c>
      <c r="E32" s="776">
        <v>500</v>
      </c>
      <c r="F32" s="777">
        <v>149</v>
      </c>
      <c r="G32" s="776" t="s">
        <v>2</v>
      </c>
      <c r="H32" s="434">
        <f t="shared" si="0"/>
        <v>20</v>
      </c>
      <c r="I32" s="624">
        <f t="shared" si="1"/>
        <v>83.96597</v>
      </c>
      <c r="J32" s="785">
        <v>37969.43819444445</v>
      </c>
      <c r="K32" s="786">
        <v>37969.74930555555</v>
      </c>
      <c r="L32" s="26">
        <f t="shared" si="2"/>
        <v>7.466666666558012</v>
      </c>
      <c r="M32" s="27">
        <f t="shared" si="3"/>
        <v>448</v>
      </c>
      <c r="N32" s="789" t="s">
        <v>238</v>
      </c>
      <c r="O32" s="790" t="str">
        <f t="shared" si="4"/>
        <v>--</v>
      </c>
      <c r="P32" s="791" t="str">
        <f t="shared" si="5"/>
        <v>NO</v>
      </c>
      <c r="Q32" s="791" t="str">
        <f t="shared" si="6"/>
        <v>--</v>
      </c>
      <c r="R32" s="792">
        <f t="shared" si="7"/>
        <v>125.44515917999999</v>
      </c>
      <c r="S32" s="793" t="str">
        <f t="shared" si="8"/>
        <v>--</v>
      </c>
      <c r="T32" s="794" t="str">
        <f t="shared" si="9"/>
        <v>--</v>
      </c>
      <c r="U32" s="795" t="str">
        <f t="shared" si="10"/>
        <v>--</v>
      </c>
      <c r="V32" s="796" t="str">
        <f t="shared" si="11"/>
        <v>--</v>
      </c>
      <c r="W32" s="797" t="str">
        <f t="shared" si="12"/>
        <v>--</v>
      </c>
      <c r="X32" s="798" t="str">
        <f t="shared" si="13"/>
        <v>--</v>
      </c>
      <c r="Y32" s="799" t="str">
        <f t="shared" si="14"/>
        <v>--</v>
      </c>
      <c r="Z32" s="800" t="str">
        <f t="shared" si="15"/>
        <v>--</v>
      </c>
      <c r="AA32" s="801" t="str">
        <f t="shared" si="16"/>
        <v>--</v>
      </c>
      <c r="AB32" s="802" t="str">
        <f t="shared" si="17"/>
        <v>SI</v>
      </c>
      <c r="AC32" s="30">
        <f t="shared" si="18"/>
        <v>125.44515917999999</v>
      </c>
      <c r="AD32" s="534"/>
    </row>
    <row r="33" spans="2:30" s="16" customFormat="1" ht="16.5" customHeight="1">
      <c r="B33" s="125"/>
      <c r="C33" s="769">
        <v>12</v>
      </c>
      <c r="D33" s="769" t="s">
        <v>9</v>
      </c>
      <c r="E33" s="776">
        <v>220</v>
      </c>
      <c r="F33" s="777">
        <v>6</v>
      </c>
      <c r="G33" s="776" t="s">
        <v>2</v>
      </c>
      <c r="H33" s="434">
        <f t="shared" si="0"/>
        <v>20</v>
      </c>
      <c r="I33" s="624">
        <f t="shared" si="1"/>
        <v>46.96099999999999</v>
      </c>
      <c r="J33" s="785">
        <v>37971.34444444445</v>
      </c>
      <c r="K33" s="787">
        <v>37971.63402777778</v>
      </c>
      <c r="L33" s="26">
        <f t="shared" si="2"/>
        <v>6.949999999953434</v>
      </c>
      <c r="M33" s="27">
        <f t="shared" si="3"/>
        <v>417</v>
      </c>
      <c r="N33" s="789" t="s">
        <v>238</v>
      </c>
      <c r="O33" s="790" t="str">
        <f t="shared" si="4"/>
        <v>--</v>
      </c>
      <c r="P33" s="791" t="str">
        <f t="shared" si="5"/>
        <v>NO</v>
      </c>
      <c r="Q33" s="791" t="str">
        <f t="shared" si="6"/>
        <v>--</v>
      </c>
      <c r="R33" s="792">
        <f t="shared" si="7"/>
        <v>65.27578999999999</v>
      </c>
      <c r="S33" s="793" t="str">
        <f t="shared" si="8"/>
        <v>--</v>
      </c>
      <c r="T33" s="794" t="str">
        <f t="shared" si="9"/>
        <v>--</v>
      </c>
      <c r="U33" s="795" t="str">
        <f t="shared" si="10"/>
        <v>--</v>
      </c>
      <c r="V33" s="796" t="str">
        <f t="shared" si="11"/>
        <v>--</v>
      </c>
      <c r="W33" s="797" t="str">
        <f t="shared" si="12"/>
        <v>--</v>
      </c>
      <c r="X33" s="798" t="str">
        <f t="shared" si="13"/>
        <v>--</v>
      </c>
      <c r="Y33" s="799" t="str">
        <f t="shared" si="14"/>
        <v>--</v>
      </c>
      <c r="Z33" s="800" t="str">
        <f t="shared" si="15"/>
        <v>--</v>
      </c>
      <c r="AA33" s="801" t="str">
        <f t="shared" si="16"/>
        <v>--</v>
      </c>
      <c r="AB33" s="802" t="str">
        <f t="shared" si="17"/>
        <v>SI</v>
      </c>
      <c r="AC33" s="30">
        <f t="shared" si="18"/>
        <v>65.27578999999999</v>
      </c>
      <c r="AD33" s="534"/>
    </row>
    <row r="34" spans="2:30" s="16" customFormat="1" ht="16.5" customHeight="1">
      <c r="B34" s="125"/>
      <c r="C34" s="769">
        <v>13</v>
      </c>
      <c r="D34" s="769" t="s">
        <v>10</v>
      </c>
      <c r="E34" s="776">
        <v>220</v>
      </c>
      <c r="F34" s="777">
        <v>114</v>
      </c>
      <c r="G34" s="776" t="s">
        <v>2</v>
      </c>
      <c r="H34" s="434">
        <f t="shared" si="0"/>
        <v>20</v>
      </c>
      <c r="I34" s="624">
        <f t="shared" si="1"/>
        <v>53.53554</v>
      </c>
      <c r="J34" s="785">
        <v>37971.38402777778</v>
      </c>
      <c r="K34" s="787">
        <v>37971.39513888889</v>
      </c>
      <c r="L34" s="26">
        <f t="shared" si="2"/>
        <v>0.26666666666278616</v>
      </c>
      <c r="M34" s="27">
        <f t="shared" si="3"/>
        <v>16</v>
      </c>
      <c r="N34" s="789" t="s">
        <v>238</v>
      </c>
      <c r="O34" s="790" t="str">
        <f t="shared" si="4"/>
        <v>--</v>
      </c>
      <c r="P34" s="791" t="str">
        <f t="shared" si="5"/>
        <v>NO</v>
      </c>
      <c r="Q34" s="791" t="str">
        <f t="shared" si="6"/>
        <v>--</v>
      </c>
      <c r="R34" s="792">
        <f t="shared" si="7"/>
        <v>2.8909191599999997</v>
      </c>
      <c r="S34" s="793" t="str">
        <f t="shared" si="8"/>
        <v>--</v>
      </c>
      <c r="T34" s="794" t="str">
        <f t="shared" si="9"/>
        <v>--</v>
      </c>
      <c r="U34" s="795" t="str">
        <f t="shared" si="10"/>
        <v>--</v>
      </c>
      <c r="V34" s="796" t="str">
        <f t="shared" si="11"/>
        <v>--</v>
      </c>
      <c r="W34" s="797" t="str">
        <f t="shared" si="12"/>
        <v>--</v>
      </c>
      <c r="X34" s="798" t="str">
        <f t="shared" si="13"/>
        <v>--</v>
      </c>
      <c r="Y34" s="799" t="str">
        <f t="shared" si="14"/>
        <v>--</v>
      </c>
      <c r="Z34" s="800" t="str">
        <f t="shared" si="15"/>
        <v>--</v>
      </c>
      <c r="AA34" s="801" t="str">
        <f t="shared" si="16"/>
        <v>--</v>
      </c>
      <c r="AB34" s="802" t="str">
        <f t="shared" si="17"/>
        <v>SI</v>
      </c>
      <c r="AC34" s="30">
        <f t="shared" si="18"/>
        <v>2.8909191599999997</v>
      </c>
      <c r="AD34" s="534"/>
    </row>
    <row r="35" spans="2:30" s="16" customFormat="1" ht="16.5" customHeight="1">
      <c r="B35" s="125"/>
      <c r="C35" s="769">
        <v>14</v>
      </c>
      <c r="D35" s="769" t="s">
        <v>11</v>
      </c>
      <c r="E35" s="776">
        <v>220</v>
      </c>
      <c r="F35" s="777">
        <v>114</v>
      </c>
      <c r="G35" s="776" t="s">
        <v>2</v>
      </c>
      <c r="H35" s="434">
        <f t="shared" si="0"/>
        <v>20</v>
      </c>
      <c r="I35" s="624">
        <f t="shared" si="1"/>
        <v>53.53554</v>
      </c>
      <c r="J35" s="785">
        <v>37971.396527777775</v>
      </c>
      <c r="K35" s="787">
        <v>37971.40138888889</v>
      </c>
      <c r="L35" s="26">
        <f t="shared" si="2"/>
        <v>0.11666666669771075</v>
      </c>
      <c r="M35" s="27">
        <f t="shared" si="3"/>
        <v>7</v>
      </c>
      <c r="N35" s="789" t="s">
        <v>238</v>
      </c>
      <c r="O35" s="790" t="str">
        <f t="shared" si="4"/>
        <v>--</v>
      </c>
      <c r="P35" s="791" t="str">
        <f t="shared" si="5"/>
        <v>NO</v>
      </c>
      <c r="Q35" s="791" t="str">
        <f t="shared" si="6"/>
        <v>--</v>
      </c>
      <c r="R35" s="792">
        <f t="shared" si="7"/>
        <v>1.2848529599999998</v>
      </c>
      <c r="S35" s="793" t="str">
        <f t="shared" si="8"/>
        <v>--</v>
      </c>
      <c r="T35" s="794" t="str">
        <f t="shared" si="9"/>
        <v>--</v>
      </c>
      <c r="U35" s="795" t="str">
        <f t="shared" si="10"/>
        <v>--</v>
      </c>
      <c r="V35" s="796" t="str">
        <f t="shared" si="11"/>
        <v>--</v>
      </c>
      <c r="W35" s="797" t="str">
        <f t="shared" si="12"/>
        <v>--</v>
      </c>
      <c r="X35" s="798" t="str">
        <f t="shared" si="13"/>
        <v>--</v>
      </c>
      <c r="Y35" s="799" t="str">
        <f t="shared" si="14"/>
        <v>--</v>
      </c>
      <c r="Z35" s="800" t="str">
        <f t="shared" si="15"/>
        <v>--</v>
      </c>
      <c r="AA35" s="801" t="str">
        <f t="shared" si="16"/>
        <v>--</v>
      </c>
      <c r="AB35" s="802" t="str">
        <f t="shared" si="17"/>
        <v>SI</v>
      </c>
      <c r="AC35" s="30">
        <f t="shared" si="18"/>
        <v>1.2848529599999998</v>
      </c>
      <c r="AD35" s="534"/>
    </row>
    <row r="36" spans="2:30" s="16" customFormat="1" ht="16.5" customHeight="1">
      <c r="B36" s="125"/>
      <c r="C36" s="769">
        <v>15</v>
      </c>
      <c r="D36" s="769" t="s">
        <v>11</v>
      </c>
      <c r="E36" s="776">
        <v>220</v>
      </c>
      <c r="F36" s="777">
        <v>114</v>
      </c>
      <c r="G36" s="776" t="s">
        <v>2</v>
      </c>
      <c r="H36" s="434">
        <f t="shared" si="0"/>
        <v>20</v>
      </c>
      <c r="I36" s="624">
        <f t="shared" si="1"/>
        <v>53.53554</v>
      </c>
      <c r="J36" s="785">
        <v>37971.40138888889</v>
      </c>
      <c r="K36" s="787">
        <v>37971.524305555555</v>
      </c>
      <c r="L36" s="26">
        <f t="shared" si="2"/>
        <v>2.9500000000116415</v>
      </c>
      <c r="M36" s="27">
        <f t="shared" si="3"/>
        <v>177</v>
      </c>
      <c r="N36" s="789" t="s">
        <v>231</v>
      </c>
      <c r="O36" s="790" t="str">
        <f t="shared" si="4"/>
        <v>--</v>
      </c>
      <c r="P36" s="791" t="str">
        <f t="shared" si="5"/>
        <v>NO</v>
      </c>
      <c r="Q36" s="791" t="s">
        <v>240</v>
      </c>
      <c r="R36" s="792" t="str">
        <f t="shared" si="7"/>
        <v>--</v>
      </c>
      <c r="S36" s="793" t="str">
        <f t="shared" si="8"/>
        <v>--</v>
      </c>
      <c r="T36" s="794" t="str">
        <f t="shared" si="9"/>
        <v>--</v>
      </c>
      <c r="U36" s="795">
        <f t="shared" si="10"/>
        <v>3158.5968599999997</v>
      </c>
      <c r="V36" s="796" t="str">
        <f t="shared" si="11"/>
        <v>--</v>
      </c>
      <c r="W36" s="797" t="str">
        <f t="shared" si="12"/>
        <v>--</v>
      </c>
      <c r="X36" s="798" t="str">
        <f t="shared" si="13"/>
        <v>--</v>
      </c>
      <c r="Y36" s="799" t="str">
        <f t="shared" si="14"/>
        <v>--</v>
      </c>
      <c r="Z36" s="800" t="str">
        <f t="shared" si="15"/>
        <v>--</v>
      </c>
      <c r="AA36" s="801" t="str">
        <f t="shared" si="16"/>
        <v>--</v>
      </c>
      <c r="AB36" s="802" t="str">
        <f t="shared" si="17"/>
        <v>SI</v>
      </c>
      <c r="AC36" s="30">
        <f t="shared" si="18"/>
        <v>3158.5968599999997</v>
      </c>
      <c r="AD36" s="534"/>
    </row>
    <row r="37" spans="2:30" s="16" customFormat="1" ht="16.5" customHeight="1">
      <c r="B37" s="125"/>
      <c r="C37" s="769">
        <v>16</v>
      </c>
      <c r="D37" s="769" t="s">
        <v>9</v>
      </c>
      <c r="E37" s="776">
        <v>220</v>
      </c>
      <c r="F37" s="777">
        <v>6</v>
      </c>
      <c r="G37" s="776" t="s">
        <v>2</v>
      </c>
      <c r="H37" s="434">
        <f t="shared" si="0"/>
        <v>20</v>
      </c>
      <c r="I37" s="624">
        <f t="shared" si="1"/>
        <v>46.96099999999999</v>
      </c>
      <c r="J37" s="785">
        <v>37972.361805555556</v>
      </c>
      <c r="K37" s="787">
        <v>37972.697222222225</v>
      </c>
      <c r="L37" s="26">
        <f t="shared" si="2"/>
        <v>8.050000000046566</v>
      </c>
      <c r="M37" s="27">
        <f t="shared" si="3"/>
        <v>483</v>
      </c>
      <c r="N37" s="789" t="s">
        <v>238</v>
      </c>
      <c r="O37" s="790" t="str">
        <f t="shared" si="4"/>
        <v>--</v>
      </c>
      <c r="P37" s="791" t="str">
        <f t="shared" si="5"/>
        <v>NO</v>
      </c>
      <c r="Q37" s="791" t="str">
        <f t="shared" si="6"/>
        <v>--</v>
      </c>
      <c r="R37" s="792">
        <f t="shared" si="7"/>
        <v>75.60721</v>
      </c>
      <c r="S37" s="793" t="str">
        <f t="shared" si="8"/>
        <v>--</v>
      </c>
      <c r="T37" s="794" t="str">
        <f t="shared" si="9"/>
        <v>--</v>
      </c>
      <c r="U37" s="795" t="str">
        <f t="shared" si="10"/>
        <v>--</v>
      </c>
      <c r="V37" s="796" t="str">
        <f t="shared" si="11"/>
        <v>--</v>
      </c>
      <c r="W37" s="797" t="str">
        <f t="shared" si="12"/>
        <v>--</v>
      </c>
      <c r="X37" s="798" t="str">
        <f t="shared" si="13"/>
        <v>--</v>
      </c>
      <c r="Y37" s="799" t="str">
        <f t="shared" si="14"/>
        <v>--</v>
      </c>
      <c r="Z37" s="800" t="str">
        <f t="shared" si="15"/>
        <v>--</v>
      </c>
      <c r="AA37" s="801" t="str">
        <f t="shared" si="16"/>
        <v>--</v>
      </c>
      <c r="AB37" s="802" t="str">
        <f t="shared" si="17"/>
        <v>SI</v>
      </c>
      <c r="AC37" s="30">
        <f t="shared" si="18"/>
        <v>75.60721</v>
      </c>
      <c r="AD37" s="534"/>
    </row>
    <row r="38" spans="2:30" s="16" customFormat="1" ht="16.5" customHeight="1">
      <c r="B38" s="125"/>
      <c r="C38" s="769">
        <v>17</v>
      </c>
      <c r="D38" s="769" t="s">
        <v>4</v>
      </c>
      <c r="E38" s="776">
        <v>500</v>
      </c>
      <c r="F38" s="777">
        <v>345</v>
      </c>
      <c r="G38" s="776" t="s">
        <v>5</v>
      </c>
      <c r="H38" s="434">
        <f t="shared" si="0"/>
        <v>60</v>
      </c>
      <c r="I38" s="624">
        <f t="shared" si="1"/>
        <v>194.41785</v>
      </c>
      <c r="J38" s="785">
        <v>37976.675</v>
      </c>
      <c r="K38" s="787">
        <v>37976.68125</v>
      </c>
      <c r="L38" s="26">
        <f t="shared" si="2"/>
        <v>0.1499999999650754</v>
      </c>
      <c r="M38" s="27">
        <f t="shared" si="3"/>
        <v>9</v>
      </c>
      <c r="N38" s="789" t="s">
        <v>231</v>
      </c>
      <c r="O38" s="790" t="str">
        <f t="shared" si="4"/>
        <v>--</v>
      </c>
      <c r="P38" s="791" t="str">
        <f t="shared" si="5"/>
        <v>NO</v>
      </c>
      <c r="Q38" s="791" t="str">
        <f t="shared" si="6"/>
        <v>NO</v>
      </c>
      <c r="R38" s="792" t="str">
        <f t="shared" si="7"/>
        <v>--</v>
      </c>
      <c r="S38" s="793" t="str">
        <f t="shared" si="8"/>
        <v>--</v>
      </c>
      <c r="T38" s="794">
        <f t="shared" si="9"/>
        <v>11665.071</v>
      </c>
      <c r="U38" s="795" t="str">
        <f t="shared" si="10"/>
        <v>--</v>
      </c>
      <c r="V38" s="796" t="str">
        <f t="shared" si="11"/>
        <v>--</v>
      </c>
      <c r="W38" s="797" t="str">
        <f t="shared" si="12"/>
        <v>--</v>
      </c>
      <c r="X38" s="798" t="str">
        <f t="shared" si="13"/>
        <v>--</v>
      </c>
      <c r="Y38" s="799" t="str">
        <f t="shared" si="14"/>
        <v>--</v>
      </c>
      <c r="Z38" s="800" t="str">
        <f t="shared" si="15"/>
        <v>--</v>
      </c>
      <c r="AA38" s="801" t="str">
        <f t="shared" si="16"/>
        <v>--</v>
      </c>
      <c r="AB38" s="802" t="str">
        <f t="shared" si="17"/>
        <v>SI</v>
      </c>
      <c r="AC38" s="30">
        <f t="shared" si="18"/>
        <v>11665.071</v>
      </c>
      <c r="AD38" s="534"/>
    </row>
    <row r="39" spans="2:30" s="16" customFormat="1" ht="16.5" customHeight="1">
      <c r="B39" s="125"/>
      <c r="C39" s="769">
        <v>18</v>
      </c>
      <c r="D39" s="769" t="s">
        <v>228</v>
      </c>
      <c r="E39" s="776">
        <v>500</v>
      </c>
      <c r="F39" s="777">
        <v>183.94</v>
      </c>
      <c r="G39" s="776" t="s">
        <v>2</v>
      </c>
      <c r="H39" s="434">
        <f t="shared" si="0"/>
        <v>20</v>
      </c>
      <c r="I39" s="624">
        <f t="shared" si="1"/>
        <v>103.6557082</v>
      </c>
      <c r="J39" s="785">
        <v>37976.78402777778</v>
      </c>
      <c r="K39" s="787">
        <v>37976.78680555556</v>
      </c>
      <c r="L39" s="26">
        <f t="shared" si="2"/>
        <v>0.06666666670935228</v>
      </c>
      <c r="M39" s="27">
        <f t="shared" si="3"/>
        <v>4</v>
      </c>
      <c r="N39" s="789" t="s">
        <v>231</v>
      </c>
      <c r="O39" s="790" t="str">
        <f t="shared" si="4"/>
        <v>--</v>
      </c>
      <c r="P39" s="791" t="str">
        <f t="shared" si="5"/>
        <v>NO</v>
      </c>
      <c r="Q39" s="791" t="str">
        <f t="shared" si="6"/>
        <v>NO</v>
      </c>
      <c r="R39" s="792" t="str">
        <f t="shared" si="7"/>
        <v>--</v>
      </c>
      <c r="S39" s="793" t="str">
        <f t="shared" si="8"/>
        <v>--</v>
      </c>
      <c r="T39" s="794">
        <f t="shared" si="9"/>
        <v>2073.114164</v>
      </c>
      <c r="U39" s="795" t="str">
        <f t="shared" si="10"/>
        <v>--</v>
      </c>
      <c r="V39" s="796" t="str">
        <f t="shared" si="11"/>
        <v>--</v>
      </c>
      <c r="W39" s="797" t="str">
        <f t="shared" si="12"/>
        <v>--</v>
      </c>
      <c r="X39" s="798" t="str">
        <f t="shared" si="13"/>
        <v>--</v>
      </c>
      <c r="Y39" s="799" t="str">
        <f t="shared" si="14"/>
        <v>--</v>
      </c>
      <c r="Z39" s="800" t="str">
        <f t="shared" si="15"/>
        <v>--</v>
      </c>
      <c r="AA39" s="801" t="str">
        <f t="shared" si="16"/>
        <v>--</v>
      </c>
      <c r="AB39" s="802" t="str">
        <f t="shared" si="17"/>
        <v>SI</v>
      </c>
      <c r="AC39" s="30">
        <f t="shared" si="18"/>
        <v>2073.114164</v>
      </c>
      <c r="AD39" s="534"/>
    </row>
    <row r="40" spans="2:30" s="16" customFormat="1" ht="16.5" customHeight="1">
      <c r="B40" s="125"/>
      <c r="C40" s="769">
        <v>19</v>
      </c>
      <c r="D40" s="769" t="s">
        <v>3</v>
      </c>
      <c r="E40" s="776">
        <v>500</v>
      </c>
      <c r="F40" s="777">
        <v>77.1</v>
      </c>
      <c r="G40" s="776" t="s">
        <v>2</v>
      </c>
      <c r="H40" s="434">
        <f t="shared" si="0"/>
        <v>20</v>
      </c>
      <c r="I40" s="624">
        <f t="shared" si="1"/>
        <v>56.353</v>
      </c>
      <c r="J40" s="785">
        <v>37985.77569444444</v>
      </c>
      <c r="K40" s="787">
        <v>37986.08819444444</v>
      </c>
      <c r="L40" s="26">
        <f t="shared" si="2"/>
        <v>7.5</v>
      </c>
      <c r="M40" s="27">
        <f t="shared" si="3"/>
        <v>450</v>
      </c>
      <c r="N40" s="789" t="s">
        <v>231</v>
      </c>
      <c r="O40" s="790" t="str">
        <f t="shared" si="4"/>
        <v>--</v>
      </c>
      <c r="P40" s="791" t="str">
        <f t="shared" si="5"/>
        <v>NO</v>
      </c>
      <c r="Q40" s="791" t="s">
        <v>240</v>
      </c>
      <c r="R40" s="792" t="str">
        <f t="shared" si="7"/>
        <v>--</v>
      </c>
      <c r="S40" s="793" t="str">
        <f t="shared" si="8"/>
        <v>--</v>
      </c>
      <c r="T40" s="794" t="str">
        <f t="shared" si="9"/>
        <v>--</v>
      </c>
      <c r="U40" s="795">
        <f t="shared" si="10"/>
        <v>5635.299999999999</v>
      </c>
      <c r="V40" s="796">
        <f t="shared" si="11"/>
        <v>281.765</v>
      </c>
      <c r="W40" s="797" t="str">
        <f t="shared" si="12"/>
        <v>--</v>
      </c>
      <c r="X40" s="798" t="str">
        <f t="shared" si="13"/>
        <v>--</v>
      </c>
      <c r="Y40" s="799" t="str">
        <f t="shared" si="14"/>
        <v>--</v>
      </c>
      <c r="Z40" s="800" t="str">
        <f t="shared" si="15"/>
        <v>--</v>
      </c>
      <c r="AA40" s="801" t="str">
        <f t="shared" si="16"/>
        <v>--</v>
      </c>
      <c r="AB40" s="802" t="str">
        <f t="shared" si="17"/>
        <v>SI</v>
      </c>
      <c r="AC40" s="30">
        <f t="shared" si="18"/>
        <v>5917.065</v>
      </c>
      <c r="AD40" s="534"/>
    </row>
    <row r="41" spans="2:30" s="16" customFormat="1" ht="16.5" customHeight="1">
      <c r="B41" s="125"/>
      <c r="C41" s="769"/>
      <c r="D41" s="769"/>
      <c r="E41" s="776"/>
      <c r="F41" s="777"/>
      <c r="G41" s="776"/>
      <c r="H41" s="434">
        <f t="shared" si="0"/>
        <v>20</v>
      </c>
      <c r="I41" s="624">
        <f t="shared" si="1"/>
        <v>46.96099999999999</v>
      </c>
      <c r="J41" s="785"/>
      <c r="K41" s="787"/>
      <c r="L41" s="26">
        <f t="shared" si="2"/>
      </c>
      <c r="M41" s="27">
        <f t="shared" si="3"/>
      </c>
      <c r="N41" s="789"/>
      <c r="O41" s="790">
        <f t="shared" si="4"/>
      </c>
      <c r="P41" s="791">
        <f t="shared" si="5"/>
      </c>
      <c r="Q41" s="791">
        <f t="shared" si="6"/>
      </c>
      <c r="R41" s="792" t="str">
        <f t="shared" si="7"/>
        <v>--</v>
      </c>
      <c r="S41" s="793" t="str">
        <f t="shared" si="8"/>
        <v>--</v>
      </c>
      <c r="T41" s="794" t="str">
        <f t="shared" si="9"/>
        <v>--</v>
      </c>
      <c r="U41" s="795" t="str">
        <f t="shared" si="10"/>
        <v>--</v>
      </c>
      <c r="V41" s="796" t="str">
        <f t="shared" si="11"/>
        <v>--</v>
      </c>
      <c r="W41" s="797" t="str">
        <f t="shared" si="12"/>
        <v>--</v>
      </c>
      <c r="X41" s="798" t="str">
        <f t="shared" si="13"/>
        <v>--</v>
      </c>
      <c r="Y41" s="799" t="str">
        <f t="shared" si="14"/>
        <v>--</v>
      </c>
      <c r="Z41" s="800" t="str">
        <f t="shared" si="15"/>
        <v>--</v>
      </c>
      <c r="AA41" s="801" t="str">
        <f t="shared" si="16"/>
        <v>--</v>
      </c>
      <c r="AB41" s="802">
        <f t="shared" si="17"/>
      </c>
      <c r="AC41" s="30">
        <f t="shared" si="18"/>
      </c>
      <c r="AD41" s="534"/>
    </row>
    <row r="42" spans="2:30" s="16" customFormat="1" ht="16.5" customHeight="1" thickBot="1">
      <c r="B42" s="125"/>
      <c r="C42" s="778"/>
      <c r="D42" s="778"/>
      <c r="E42" s="779"/>
      <c r="F42" s="778"/>
      <c r="G42" s="780"/>
      <c r="H42" s="428"/>
      <c r="I42" s="625"/>
      <c r="J42" s="788"/>
      <c r="K42" s="788"/>
      <c r="L42" s="33"/>
      <c r="M42" s="33"/>
      <c r="N42" s="788"/>
      <c r="O42" s="803"/>
      <c r="P42" s="788"/>
      <c r="Q42" s="788"/>
      <c r="R42" s="804"/>
      <c r="S42" s="805"/>
      <c r="T42" s="806"/>
      <c r="U42" s="807"/>
      <c r="V42" s="808"/>
      <c r="W42" s="809"/>
      <c r="X42" s="810"/>
      <c r="Y42" s="811"/>
      <c r="Z42" s="812"/>
      <c r="AA42" s="813"/>
      <c r="AB42" s="814"/>
      <c r="AC42" s="36"/>
      <c r="AD42" s="534"/>
    </row>
    <row r="43" spans="2:30" s="16" customFormat="1" ht="16.5" customHeight="1" thickBot="1" thickTop="1">
      <c r="B43" s="125"/>
      <c r="C43" s="270" t="s">
        <v>115</v>
      </c>
      <c r="D43" s="271" t="s">
        <v>285</v>
      </c>
      <c r="E43" s="37"/>
      <c r="F43" s="1"/>
      <c r="G43" s="38"/>
      <c r="H43" s="1"/>
      <c r="I43" s="39"/>
      <c r="J43" s="39"/>
      <c r="K43" s="39"/>
      <c r="L43" s="39"/>
      <c r="M43" s="39"/>
      <c r="N43" s="39"/>
      <c r="O43" s="40"/>
      <c r="P43" s="39"/>
      <c r="Q43" s="39"/>
      <c r="R43" s="421">
        <f aca="true" t="shared" si="19" ref="R43:AA43">SUM(R20:R42)</f>
        <v>548.7750452999999</v>
      </c>
      <c r="S43" s="422">
        <f t="shared" si="19"/>
        <v>0</v>
      </c>
      <c r="T43" s="423">
        <f t="shared" si="19"/>
        <v>46817.396164000005</v>
      </c>
      <c r="U43" s="423">
        <f t="shared" si="19"/>
        <v>64030.54393</v>
      </c>
      <c r="V43" s="423">
        <f t="shared" si="19"/>
        <v>33519.609695</v>
      </c>
      <c r="W43" s="424">
        <f t="shared" si="19"/>
        <v>0</v>
      </c>
      <c r="X43" s="424">
        <f t="shared" si="19"/>
        <v>0</v>
      </c>
      <c r="Y43" s="424">
        <f t="shared" si="19"/>
        <v>0</v>
      </c>
      <c r="Z43" s="425">
        <f t="shared" si="19"/>
        <v>0</v>
      </c>
      <c r="AA43" s="426">
        <f t="shared" si="19"/>
        <v>0</v>
      </c>
      <c r="AB43" s="41"/>
      <c r="AC43" s="759">
        <f>ROUND(SUM(AC20:AC42),2)</f>
        <v>144916.32</v>
      </c>
      <c r="AD43" s="534"/>
    </row>
    <row r="44" spans="2:30" s="274" customFormat="1" ht="9.75" thickTop="1">
      <c r="B44" s="275"/>
      <c r="C44" s="272"/>
      <c r="D44" s="273" t="s">
        <v>286</v>
      </c>
      <c r="E44" s="276"/>
      <c r="F44" s="277"/>
      <c r="G44" s="278"/>
      <c r="H44" s="277"/>
      <c r="I44" s="279"/>
      <c r="J44" s="279"/>
      <c r="K44" s="279"/>
      <c r="L44" s="279"/>
      <c r="M44" s="279"/>
      <c r="N44" s="279"/>
      <c r="O44" s="280"/>
      <c r="P44" s="279"/>
      <c r="Q44" s="279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2"/>
      <c r="AD44" s="283"/>
    </row>
    <row r="45" spans="2:30" s="16" customFormat="1" ht="16.5" customHeight="1" thickBot="1"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6"/>
    </row>
    <row r="46" spans="2:30" ht="16.5" customHeight="1" thickTop="1">
      <c r="B46" s="12"/>
      <c r="AD46" s="1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9">
    <pageSetUpPr fitToPage="1"/>
  </sheetPr>
  <dimension ref="A1:AC157"/>
  <sheetViews>
    <sheetView zoomScale="75" zoomScaleNormal="75" workbookViewId="0" topLeftCell="A1">
      <selection activeCell="D44" sqref="D44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8" width="15.7109375" style="0" customWidth="1"/>
  </cols>
  <sheetData>
    <row r="1" spans="1:28" s="93" customFormat="1" ht="26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755"/>
    </row>
    <row r="2" spans="1:28" s="93" customFormat="1" ht="26.25">
      <c r="A2" s="143"/>
      <c r="B2" s="189" t="str">
        <f>+'tot-0312'!B2</f>
        <v>ANEXO I -1 a la Resolución ENRE N°  403 /2008.-</v>
      </c>
      <c r="C2" s="189"/>
      <c r="D2" s="189"/>
      <c r="E2" s="94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</row>
    <row r="3" spans="1:28" s="16" customFormat="1" ht="12.7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s="100" customFormat="1" ht="11.25">
      <c r="A4" s="213" t="s">
        <v>119</v>
      </c>
      <c r="B4" s="214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</row>
    <row r="5" spans="1:28" s="100" customFormat="1" ht="11.25">
      <c r="A5" s="213" t="s">
        <v>72</v>
      </c>
      <c r="B5" s="214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</row>
    <row r="6" spans="1:28" s="16" customFormat="1" ht="13.5" thickBo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s="16" customFormat="1" ht="13.5" thickTop="1">
      <c r="A7" s="64"/>
      <c r="B7" s="179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47"/>
    </row>
    <row r="8" spans="1:28" s="10" customFormat="1" ht="20.25">
      <c r="A8" s="191"/>
      <c r="B8" s="192"/>
      <c r="C8" s="191"/>
      <c r="D8" s="194" t="s">
        <v>88</v>
      </c>
      <c r="E8" s="191"/>
      <c r="F8" s="191"/>
      <c r="G8" s="193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42"/>
      <c r="S8" s="42"/>
      <c r="T8" s="42"/>
      <c r="U8" s="42"/>
      <c r="V8" s="42"/>
      <c r="W8" s="42"/>
      <c r="X8" s="42"/>
      <c r="Y8" s="42"/>
      <c r="Z8" s="42"/>
      <c r="AA8" s="42"/>
      <c r="AB8" s="160"/>
    </row>
    <row r="9" spans="1:28" s="16" customFormat="1" ht="12.75">
      <c r="A9" s="64"/>
      <c r="B9" s="181"/>
      <c r="C9" s="64"/>
      <c r="D9" s="65"/>
      <c r="E9" s="187"/>
      <c r="F9" s="64"/>
      <c r="G9" s="65"/>
      <c r="H9" s="64"/>
      <c r="I9" s="64"/>
      <c r="J9" s="64"/>
      <c r="K9" s="64"/>
      <c r="L9" s="64"/>
      <c r="M9" s="64"/>
      <c r="N9" s="64"/>
      <c r="O9" s="64"/>
      <c r="P9" s="64"/>
      <c r="Q9" s="64"/>
      <c r="R9" s="65"/>
      <c r="S9" s="65"/>
      <c r="T9" s="65"/>
      <c r="U9" s="65"/>
      <c r="V9" s="65"/>
      <c r="W9" s="65"/>
      <c r="X9" s="65"/>
      <c r="Y9" s="65"/>
      <c r="Z9" s="65"/>
      <c r="AA9" s="65"/>
      <c r="AB9" s="148"/>
    </row>
    <row r="10" spans="1:28" s="10" customFormat="1" ht="20.25">
      <c r="A10" s="191"/>
      <c r="B10" s="192"/>
      <c r="C10" s="191"/>
      <c r="D10" s="194" t="s">
        <v>120</v>
      </c>
      <c r="E10" s="191"/>
      <c r="F10" s="67"/>
      <c r="G10" s="42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160"/>
    </row>
    <row r="11" spans="1:28" s="16" customFormat="1" ht="12.75">
      <c r="A11" s="64"/>
      <c r="B11" s="181"/>
      <c r="C11" s="64"/>
      <c r="D11" s="65"/>
      <c r="E11" s="65"/>
      <c r="F11" s="65"/>
      <c r="G11" s="65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148"/>
    </row>
    <row r="12" spans="1:28" s="16" customFormat="1" ht="20.25">
      <c r="A12" s="191"/>
      <c r="B12" s="192"/>
      <c r="C12" s="191"/>
      <c r="D12" s="195" t="s">
        <v>121</v>
      </c>
      <c r="E12" s="191"/>
      <c r="F12" s="191"/>
      <c r="G12" s="191"/>
      <c r="H12" s="188"/>
      <c r="I12" s="188"/>
      <c r="J12" s="188"/>
      <c r="K12" s="188"/>
      <c r="L12" s="188"/>
      <c r="M12" s="64"/>
      <c r="N12" s="64"/>
      <c r="O12" s="64"/>
      <c r="P12" s="64"/>
      <c r="Q12" s="64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148"/>
    </row>
    <row r="13" spans="1:28" s="16" customFormat="1" ht="12.75">
      <c r="A13" s="64"/>
      <c r="B13" s="181"/>
      <c r="C13" s="64"/>
      <c r="D13" s="65"/>
      <c r="E13" s="65"/>
      <c r="F13" s="65"/>
      <c r="G13" s="182"/>
      <c r="H13" s="65"/>
      <c r="I13" s="65"/>
      <c r="J13" s="65"/>
      <c r="K13" s="65"/>
      <c r="L13" s="65"/>
      <c r="M13" s="64"/>
      <c r="N13" s="64"/>
      <c r="O13" s="64"/>
      <c r="P13" s="64"/>
      <c r="Q13" s="64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148"/>
    </row>
    <row r="14" spans="1:28" s="15" customFormat="1" ht="19.5">
      <c r="A14" s="196"/>
      <c r="B14" s="197" t="str">
        <f>+'tot-0312'!B14</f>
        <v>Desde el 01 al 31 de diciembre de 2003</v>
      </c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8"/>
      <c r="N14" s="198"/>
      <c r="O14" s="198"/>
      <c r="P14" s="198"/>
      <c r="Q14" s="198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200"/>
    </row>
    <row r="15" spans="1:28" s="16" customFormat="1" ht="13.5" thickBot="1">
      <c r="A15" s="64"/>
      <c r="B15" s="181"/>
      <c r="C15" s="64"/>
      <c r="D15" s="65"/>
      <c r="E15" s="65"/>
      <c r="F15" s="65"/>
      <c r="G15" s="182"/>
      <c r="H15" s="65"/>
      <c r="I15" s="65"/>
      <c r="J15" s="65"/>
      <c r="K15" s="65"/>
      <c r="L15" s="65"/>
      <c r="M15" s="64"/>
      <c r="N15" s="64"/>
      <c r="O15" s="64"/>
      <c r="P15" s="64"/>
      <c r="Q15" s="64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148"/>
    </row>
    <row r="16" spans="1:28" s="16" customFormat="1" ht="16.5" customHeight="1" thickBot="1" thickTop="1">
      <c r="A16" s="64"/>
      <c r="B16" s="181"/>
      <c r="C16" s="64"/>
      <c r="D16" s="353" t="s">
        <v>122</v>
      </c>
      <c r="E16" s="354"/>
      <c r="F16" s="355">
        <v>0.154</v>
      </c>
      <c r="H16" s="64"/>
      <c r="I16" s="64"/>
      <c r="J16" s="64"/>
      <c r="K16" s="64"/>
      <c r="L16" s="64"/>
      <c r="M16" s="64"/>
      <c r="N16" s="64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148"/>
    </row>
    <row r="17" spans="1:28" s="16" customFormat="1" ht="16.5" customHeight="1" thickBot="1" thickTop="1">
      <c r="A17" s="64"/>
      <c r="B17" s="181"/>
      <c r="C17" s="64"/>
      <c r="D17" s="201" t="s">
        <v>123</v>
      </c>
      <c r="E17" s="202"/>
      <c r="F17" s="203">
        <v>200</v>
      </c>
      <c r="G17"/>
      <c r="H17" s="65"/>
      <c r="I17" s="757"/>
      <c r="J17" s="758"/>
      <c r="K17" s="14"/>
      <c r="L17" s="65"/>
      <c r="M17" s="65"/>
      <c r="N17" s="65"/>
      <c r="O17" s="65"/>
      <c r="P17" s="65"/>
      <c r="Q17" s="65"/>
      <c r="R17" s="65"/>
      <c r="S17" s="65"/>
      <c r="T17" s="65"/>
      <c r="U17" s="66"/>
      <c r="V17" s="66"/>
      <c r="W17" s="66"/>
      <c r="X17" s="66"/>
      <c r="Y17" s="66"/>
      <c r="Z17" s="66"/>
      <c r="AA17" s="64"/>
      <c r="AB17" s="148"/>
    </row>
    <row r="18" spans="1:28" s="16" customFormat="1" ht="16.5" customHeight="1" thickBot="1" thickTop="1">
      <c r="A18" s="64"/>
      <c r="B18" s="181"/>
      <c r="C18" s="64"/>
      <c r="D18" s="65"/>
      <c r="E18" s="65"/>
      <c r="F18" s="65"/>
      <c r="G18" s="183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148"/>
    </row>
    <row r="19" spans="1:28" s="16" customFormat="1" ht="33.75" customHeight="1" thickBot="1" thickTop="1">
      <c r="A19" s="64"/>
      <c r="B19" s="181"/>
      <c r="C19" s="204" t="s">
        <v>93</v>
      </c>
      <c r="D19" s="207" t="s">
        <v>124</v>
      </c>
      <c r="E19" s="205" t="s">
        <v>59</v>
      </c>
      <c r="F19" s="208" t="s">
        <v>125</v>
      </c>
      <c r="G19" s="209" t="s">
        <v>94</v>
      </c>
      <c r="H19" s="349" t="s">
        <v>98</v>
      </c>
      <c r="I19" s="205" t="s">
        <v>99</v>
      </c>
      <c r="J19" s="205" t="s">
        <v>100</v>
      </c>
      <c r="K19" s="207" t="s">
        <v>126</v>
      </c>
      <c r="L19" s="207" t="s">
        <v>102</v>
      </c>
      <c r="M19" s="172" t="s">
        <v>103</v>
      </c>
      <c r="N19" s="172" t="s">
        <v>104</v>
      </c>
      <c r="O19" s="206" t="s">
        <v>106</v>
      </c>
      <c r="P19" s="205" t="s">
        <v>127</v>
      </c>
      <c r="Q19" s="443" t="s">
        <v>97</v>
      </c>
      <c r="R19" s="448" t="s">
        <v>107</v>
      </c>
      <c r="S19" s="454" t="s">
        <v>108</v>
      </c>
      <c r="T19" s="346" t="s">
        <v>128</v>
      </c>
      <c r="U19" s="348"/>
      <c r="V19" s="470" t="s">
        <v>129</v>
      </c>
      <c r="W19" s="471"/>
      <c r="X19" s="483" t="s">
        <v>111</v>
      </c>
      <c r="Y19" s="488" t="s">
        <v>112</v>
      </c>
      <c r="Z19" s="175" t="s">
        <v>113</v>
      </c>
      <c r="AA19" s="209" t="s">
        <v>114</v>
      </c>
      <c r="AB19" s="148"/>
    </row>
    <row r="20" spans="1:28" s="16" customFormat="1" ht="16.5" customHeight="1" hidden="1" thickTop="1">
      <c r="A20" s="64"/>
      <c r="B20" s="181"/>
      <c r="C20" s="440"/>
      <c r="D20" s="440"/>
      <c r="E20" s="440"/>
      <c r="F20" s="440"/>
      <c r="G20" s="441"/>
      <c r="H20" s="439"/>
      <c r="I20" s="440"/>
      <c r="J20" s="440"/>
      <c r="K20" s="440"/>
      <c r="L20" s="440"/>
      <c r="M20" s="440"/>
      <c r="N20" s="414"/>
      <c r="O20" s="442"/>
      <c r="P20" s="440"/>
      <c r="Q20" s="444"/>
      <c r="R20" s="449"/>
      <c r="S20" s="455"/>
      <c r="T20" s="460"/>
      <c r="U20" s="461"/>
      <c r="V20" s="472"/>
      <c r="W20" s="473"/>
      <c r="X20" s="484"/>
      <c r="Y20" s="489"/>
      <c r="Z20" s="442"/>
      <c r="AA20" s="629"/>
      <c r="AB20" s="148"/>
    </row>
    <row r="21" spans="1:28" s="16" customFormat="1" ht="16.5" customHeight="1" thickTop="1">
      <c r="A21" s="64"/>
      <c r="B21" s="181"/>
      <c r="C21" s="44"/>
      <c r="D21" s="44"/>
      <c r="E21" s="44"/>
      <c r="F21" s="44"/>
      <c r="G21" s="45"/>
      <c r="H21" s="357"/>
      <c r="I21" s="44"/>
      <c r="J21" s="44"/>
      <c r="K21" s="44"/>
      <c r="L21" s="44"/>
      <c r="M21" s="44"/>
      <c r="N21" s="18"/>
      <c r="O21" s="46"/>
      <c r="P21" s="44"/>
      <c r="Q21" s="445"/>
      <c r="R21" s="450"/>
      <c r="S21" s="456"/>
      <c r="T21" s="462"/>
      <c r="U21" s="463"/>
      <c r="V21" s="474"/>
      <c r="W21" s="475"/>
      <c r="X21" s="485"/>
      <c r="Y21" s="490"/>
      <c r="Z21" s="46"/>
      <c r="AA21" s="210"/>
      <c r="AB21" s="148"/>
    </row>
    <row r="22" spans="1:28" s="16" customFormat="1" ht="16.5" customHeight="1">
      <c r="A22" s="64"/>
      <c r="B22" s="181"/>
      <c r="C22" s="770">
        <v>20</v>
      </c>
      <c r="D22" s="816" t="s">
        <v>23</v>
      </c>
      <c r="E22" s="817" t="s">
        <v>24</v>
      </c>
      <c r="F22" s="818">
        <v>100</v>
      </c>
      <c r="G22" s="819" t="s">
        <v>15</v>
      </c>
      <c r="H22" s="626">
        <f aca="true" t="shared" si="0" ref="H22:H41">F22*$F$16</f>
        <v>15.4</v>
      </c>
      <c r="I22" s="825">
        <v>37957.427083333336</v>
      </c>
      <c r="J22" s="825">
        <v>37957.55416666667</v>
      </c>
      <c r="K22" s="55">
        <f aca="true" t="shared" si="1" ref="K22:K41">IF(D22="","",(J22-I22)*24)</f>
        <v>3.0499999999883585</v>
      </c>
      <c r="L22" s="56">
        <f aca="true" t="shared" si="2" ref="L22:L41">IF(D22="","",ROUND((J22-I22)*24*60,0))</f>
        <v>183</v>
      </c>
      <c r="M22" s="827" t="s">
        <v>238</v>
      </c>
      <c r="N22" s="815" t="str">
        <f aca="true" t="shared" si="3" ref="N22:N41">IF(D22="","","--")</f>
        <v>--</v>
      </c>
      <c r="O22" s="828" t="str">
        <f aca="true" t="shared" si="4" ref="O22:O41">IF(D22="","",IF(OR(M22="P",M22="RP"),"--","NO"))</f>
        <v>--</v>
      </c>
      <c r="P22" s="791" t="str">
        <f aca="true" t="shared" si="5" ref="P22:P41">IF(D22="","","NO")</f>
        <v>NO</v>
      </c>
      <c r="Q22" s="446">
        <f aca="true" t="shared" si="6" ref="Q22:Q41">$F$17*IF(OR(M22="P",M22="RP"),0.1,1)*IF(P22="SI",1,0.1)</f>
        <v>2</v>
      </c>
      <c r="R22" s="451">
        <f aca="true" t="shared" si="7" ref="R22:R41">IF(M22="P",H22*Q22*ROUND(L22/60,2),"--")</f>
        <v>93.94</v>
      </c>
      <c r="S22" s="457" t="str">
        <f aca="true" t="shared" si="8" ref="S22:S41">IF(M22="RP",H22*Q22*N22/100*ROUND(L22/60,2),"--")</f>
        <v>--</v>
      </c>
      <c r="T22" s="464" t="str">
        <f aca="true" t="shared" si="9" ref="T22:T41">IF(AND(M22="F",O22="NO"),H22*Q22,"--")</f>
        <v>--</v>
      </c>
      <c r="U22" s="465" t="str">
        <f aca="true" t="shared" si="10" ref="U22:U41">IF(M22="F",H22*Q22*ROUND(L22/60,2),"--")</f>
        <v>--</v>
      </c>
      <c r="V22" s="476" t="str">
        <f aca="true" t="shared" si="11" ref="V22:V41">IF(AND(M22="R",O22="NO"),H22*Q22*N22/100,"--")</f>
        <v>--</v>
      </c>
      <c r="W22" s="477" t="str">
        <f aca="true" t="shared" si="12" ref="W22:W41">IF(M22="R",H22*Q22*N22/100*ROUND(L22/60,2),"--")</f>
        <v>--</v>
      </c>
      <c r="X22" s="486" t="str">
        <f aca="true" t="shared" si="13" ref="X22:X41">IF(M22="RF",H22*Q22*ROUND(L22/60,2),"--")</f>
        <v>--</v>
      </c>
      <c r="Y22" s="491" t="str">
        <f aca="true" t="shared" si="14" ref="Y22:Y41">IF(M22="RR",H22*Q22*N22/100*ROUND(L22/60,2),"--")</f>
        <v>--</v>
      </c>
      <c r="Z22" s="58" t="str">
        <f aca="true" t="shared" si="15" ref="Z22:Z41">IF(D22="","","SI")</f>
        <v>SI</v>
      </c>
      <c r="AA22" s="211">
        <f aca="true" t="shared" si="16" ref="AA22:AA41">IF(D22="","",SUM(R22:Y22)*IF(Z22="SI",1,2))</f>
        <v>93.94</v>
      </c>
      <c r="AB22" s="148"/>
    </row>
    <row r="23" spans="1:28" s="16" customFormat="1" ht="16.5" customHeight="1">
      <c r="A23" s="64"/>
      <c r="B23" s="181"/>
      <c r="C23" s="770">
        <v>21</v>
      </c>
      <c r="D23" s="816" t="s">
        <v>23</v>
      </c>
      <c r="E23" s="817" t="s">
        <v>25</v>
      </c>
      <c r="F23" s="818">
        <v>150</v>
      </c>
      <c r="G23" s="819" t="s">
        <v>15</v>
      </c>
      <c r="H23" s="626">
        <f t="shared" si="0"/>
        <v>23.1</v>
      </c>
      <c r="I23" s="825">
        <v>37959.42847222222</v>
      </c>
      <c r="J23" s="825">
        <v>37959.55902777778</v>
      </c>
      <c r="K23" s="55">
        <f t="shared" si="1"/>
        <v>3.1333333334187046</v>
      </c>
      <c r="L23" s="56">
        <f t="shared" si="2"/>
        <v>188</v>
      </c>
      <c r="M23" s="827" t="s">
        <v>238</v>
      </c>
      <c r="N23" s="815" t="str">
        <f t="shared" si="3"/>
        <v>--</v>
      </c>
      <c r="O23" s="828" t="str">
        <f t="shared" si="4"/>
        <v>--</v>
      </c>
      <c r="P23" s="791" t="str">
        <f t="shared" si="5"/>
        <v>NO</v>
      </c>
      <c r="Q23" s="446">
        <f t="shared" si="6"/>
        <v>2</v>
      </c>
      <c r="R23" s="451">
        <f t="shared" si="7"/>
        <v>144.606</v>
      </c>
      <c r="S23" s="457" t="str">
        <f t="shared" si="8"/>
        <v>--</v>
      </c>
      <c r="T23" s="464" t="str">
        <f t="shared" si="9"/>
        <v>--</v>
      </c>
      <c r="U23" s="465" t="str">
        <f t="shared" si="10"/>
        <v>--</v>
      </c>
      <c r="V23" s="476" t="str">
        <f t="shared" si="11"/>
        <v>--</v>
      </c>
      <c r="W23" s="477" t="str">
        <f t="shared" si="12"/>
        <v>--</v>
      </c>
      <c r="X23" s="486" t="str">
        <f t="shared" si="13"/>
        <v>--</v>
      </c>
      <c r="Y23" s="491" t="str">
        <f t="shared" si="14"/>
        <v>--</v>
      </c>
      <c r="Z23" s="58" t="str">
        <f t="shared" si="15"/>
        <v>SI</v>
      </c>
      <c r="AA23" s="211">
        <f t="shared" si="16"/>
        <v>144.606</v>
      </c>
      <c r="AB23" s="148"/>
    </row>
    <row r="24" spans="1:28" s="16" customFormat="1" ht="16.5" customHeight="1">
      <c r="A24" s="64"/>
      <c r="B24" s="181"/>
      <c r="C24" s="770">
        <v>22</v>
      </c>
      <c r="D24" s="816" t="s">
        <v>30</v>
      </c>
      <c r="E24" s="817" t="s">
        <v>17</v>
      </c>
      <c r="F24" s="818">
        <v>150</v>
      </c>
      <c r="G24" s="819" t="s">
        <v>19</v>
      </c>
      <c r="H24" s="626">
        <f t="shared" si="0"/>
        <v>23.1</v>
      </c>
      <c r="I24" s="825">
        <v>37960.36111111111</v>
      </c>
      <c r="J24" s="825">
        <v>37960.72638888889</v>
      </c>
      <c r="K24" s="55">
        <f t="shared" si="1"/>
        <v>8.766666666779201</v>
      </c>
      <c r="L24" s="56">
        <f t="shared" si="2"/>
        <v>526</v>
      </c>
      <c r="M24" s="827" t="s">
        <v>238</v>
      </c>
      <c r="N24" s="815" t="str">
        <f t="shared" si="3"/>
        <v>--</v>
      </c>
      <c r="O24" s="828" t="str">
        <f t="shared" si="4"/>
        <v>--</v>
      </c>
      <c r="P24" s="791" t="str">
        <f t="shared" si="5"/>
        <v>NO</v>
      </c>
      <c r="Q24" s="446">
        <f t="shared" si="6"/>
        <v>2</v>
      </c>
      <c r="R24" s="451">
        <f t="shared" si="7"/>
        <v>405.174</v>
      </c>
      <c r="S24" s="457" t="str">
        <f t="shared" si="8"/>
        <v>--</v>
      </c>
      <c r="T24" s="464" t="str">
        <f t="shared" si="9"/>
        <v>--</v>
      </c>
      <c r="U24" s="465" t="str">
        <f t="shared" si="10"/>
        <v>--</v>
      </c>
      <c r="V24" s="476" t="str">
        <f t="shared" si="11"/>
        <v>--</v>
      </c>
      <c r="W24" s="477" t="str">
        <f t="shared" si="12"/>
        <v>--</v>
      </c>
      <c r="X24" s="486" t="str">
        <f t="shared" si="13"/>
        <v>--</v>
      </c>
      <c r="Y24" s="491" t="str">
        <f t="shared" si="14"/>
        <v>--</v>
      </c>
      <c r="Z24" s="58" t="str">
        <f t="shared" si="15"/>
        <v>SI</v>
      </c>
      <c r="AA24" s="211">
        <f t="shared" si="16"/>
        <v>405.174</v>
      </c>
      <c r="AB24" s="148"/>
    </row>
    <row r="25" spans="1:28" s="16" customFormat="1" ht="16.5" customHeight="1">
      <c r="A25" s="64"/>
      <c r="B25" s="181"/>
      <c r="C25" s="770">
        <v>23</v>
      </c>
      <c r="D25" s="816" t="s">
        <v>30</v>
      </c>
      <c r="E25" s="817" t="s">
        <v>17</v>
      </c>
      <c r="F25" s="818">
        <v>150</v>
      </c>
      <c r="G25" s="819" t="s">
        <v>19</v>
      </c>
      <c r="H25" s="626">
        <f t="shared" si="0"/>
        <v>23.1</v>
      </c>
      <c r="I25" s="825">
        <v>37961.34722222222</v>
      </c>
      <c r="J25" s="825">
        <v>37961.69375</v>
      </c>
      <c r="K25" s="55">
        <f t="shared" si="1"/>
        <v>8.316666666709352</v>
      </c>
      <c r="L25" s="56">
        <f t="shared" si="2"/>
        <v>499</v>
      </c>
      <c r="M25" s="827" t="s">
        <v>238</v>
      </c>
      <c r="N25" s="815" t="str">
        <f t="shared" si="3"/>
        <v>--</v>
      </c>
      <c r="O25" s="828" t="str">
        <f t="shared" si="4"/>
        <v>--</v>
      </c>
      <c r="P25" s="791" t="str">
        <f t="shared" si="5"/>
        <v>NO</v>
      </c>
      <c r="Q25" s="446">
        <f t="shared" si="6"/>
        <v>2</v>
      </c>
      <c r="R25" s="451">
        <f t="shared" si="7"/>
        <v>384.384</v>
      </c>
      <c r="S25" s="457" t="str">
        <f t="shared" si="8"/>
        <v>--</v>
      </c>
      <c r="T25" s="464" t="str">
        <f t="shared" si="9"/>
        <v>--</v>
      </c>
      <c r="U25" s="465" t="str">
        <f t="shared" si="10"/>
        <v>--</v>
      </c>
      <c r="V25" s="476" t="str">
        <f t="shared" si="11"/>
        <v>--</v>
      </c>
      <c r="W25" s="477" t="str">
        <f t="shared" si="12"/>
        <v>--</v>
      </c>
      <c r="X25" s="486" t="str">
        <f t="shared" si="13"/>
        <v>--</v>
      </c>
      <c r="Y25" s="491" t="str">
        <f t="shared" si="14"/>
        <v>--</v>
      </c>
      <c r="Z25" s="58" t="str">
        <f t="shared" si="15"/>
        <v>SI</v>
      </c>
      <c r="AA25" s="211">
        <f t="shared" si="16"/>
        <v>384.384</v>
      </c>
      <c r="AB25" s="148"/>
    </row>
    <row r="26" spans="1:28" s="16" customFormat="1" ht="16.5" customHeight="1">
      <c r="A26" s="64"/>
      <c r="B26" s="181"/>
      <c r="C26" s="770">
        <v>24</v>
      </c>
      <c r="D26" s="816" t="s">
        <v>29</v>
      </c>
      <c r="E26" s="817" t="s">
        <v>18</v>
      </c>
      <c r="F26" s="818">
        <v>150</v>
      </c>
      <c r="G26" s="819" t="s">
        <v>15</v>
      </c>
      <c r="H26" s="626">
        <f t="shared" si="0"/>
        <v>23.1</v>
      </c>
      <c r="I26" s="825">
        <v>37962.25</v>
      </c>
      <c r="J26" s="825">
        <v>37962.43958333333</v>
      </c>
      <c r="K26" s="55">
        <f t="shared" si="1"/>
        <v>4.5499999999883585</v>
      </c>
      <c r="L26" s="56">
        <f t="shared" si="2"/>
        <v>273</v>
      </c>
      <c r="M26" s="827" t="s">
        <v>238</v>
      </c>
      <c r="N26" s="815" t="str">
        <f t="shared" si="3"/>
        <v>--</v>
      </c>
      <c r="O26" s="828" t="str">
        <f t="shared" si="4"/>
        <v>--</v>
      </c>
      <c r="P26" s="791" t="str">
        <f t="shared" si="5"/>
        <v>NO</v>
      </c>
      <c r="Q26" s="446">
        <f t="shared" si="6"/>
        <v>2</v>
      </c>
      <c r="R26" s="451">
        <f t="shared" si="7"/>
        <v>210.21</v>
      </c>
      <c r="S26" s="457" t="str">
        <f t="shared" si="8"/>
        <v>--</v>
      </c>
      <c r="T26" s="464" t="str">
        <f t="shared" si="9"/>
        <v>--</v>
      </c>
      <c r="U26" s="465" t="str">
        <f t="shared" si="10"/>
        <v>--</v>
      </c>
      <c r="V26" s="476" t="str">
        <f t="shared" si="11"/>
        <v>--</v>
      </c>
      <c r="W26" s="477" t="str">
        <f t="shared" si="12"/>
        <v>--</v>
      </c>
      <c r="X26" s="486" t="str">
        <f t="shared" si="13"/>
        <v>--</v>
      </c>
      <c r="Y26" s="491" t="str">
        <f t="shared" si="14"/>
        <v>--</v>
      </c>
      <c r="Z26" s="58" t="str">
        <f t="shared" si="15"/>
        <v>SI</v>
      </c>
      <c r="AA26" s="211">
        <f t="shared" si="16"/>
        <v>210.21</v>
      </c>
      <c r="AB26" s="148"/>
    </row>
    <row r="27" spans="1:28" s="16" customFormat="1" ht="16.5" customHeight="1">
      <c r="A27" s="64"/>
      <c r="B27" s="181"/>
      <c r="C27" s="770">
        <v>25</v>
      </c>
      <c r="D27" s="816" t="s">
        <v>30</v>
      </c>
      <c r="E27" s="817" t="s">
        <v>17</v>
      </c>
      <c r="F27" s="818">
        <v>150</v>
      </c>
      <c r="G27" s="819" t="s">
        <v>19</v>
      </c>
      <c r="H27" s="626">
        <f t="shared" si="0"/>
        <v>23.1</v>
      </c>
      <c r="I27" s="825">
        <v>37962.33472222222</v>
      </c>
      <c r="J27" s="825">
        <v>37962.73819444444</v>
      </c>
      <c r="K27" s="55">
        <f t="shared" si="1"/>
        <v>9.683333333290648</v>
      </c>
      <c r="L27" s="56">
        <f t="shared" si="2"/>
        <v>581</v>
      </c>
      <c r="M27" s="827" t="s">
        <v>238</v>
      </c>
      <c r="N27" s="815" t="str">
        <f t="shared" si="3"/>
        <v>--</v>
      </c>
      <c r="O27" s="828" t="str">
        <f t="shared" si="4"/>
        <v>--</v>
      </c>
      <c r="P27" s="791" t="str">
        <f t="shared" si="5"/>
        <v>NO</v>
      </c>
      <c r="Q27" s="446">
        <f t="shared" si="6"/>
        <v>2</v>
      </c>
      <c r="R27" s="451">
        <f t="shared" si="7"/>
        <v>447.216</v>
      </c>
      <c r="S27" s="457" t="str">
        <f t="shared" si="8"/>
        <v>--</v>
      </c>
      <c r="T27" s="464" t="str">
        <f t="shared" si="9"/>
        <v>--</v>
      </c>
      <c r="U27" s="465" t="str">
        <f t="shared" si="10"/>
        <v>--</v>
      </c>
      <c r="V27" s="476" t="str">
        <f t="shared" si="11"/>
        <v>--</v>
      </c>
      <c r="W27" s="477" t="str">
        <f t="shared" si="12"/>
        <v>--</v>
      </c>
      <c r="X27" s="486" t="str">
        <f t="shared" si="13"/>
        <v>--</v>
      </c>
      <c r="Y27" s="491" t="str">
        <f t="shared" si="14"/>
        <v>--</v>
      </c>
      <c r="Z27" s="58" t="str">
        <f t="shared" si="15"/>
        <v>SI</v>
      </c>
      <c r="AA27" s="211">
        <f t="shared" si="16"/>
        <v>447.216</v>
      </c>
      <c r="AB27" s="148"/>
    </row>
    <row r="28" spans="1:29" s="16" customFormat="1" ht="16.5" customHeight="1">
      <c r="A28" s="64"/>
      <c r="B28" s="181"/>
      <c r="C28" s="770">
        <v>26</v>
      </c>
      <c r="D28" s="816" t="s">
        <v>26</v>
      </c>
      <c r="E28" s="817" t="s">
        <v>17</v>
      </c>
      <c r="F28" s="818">
        <v>300</v>
      </c>
      <c r="G28" s="819" t="s">
        <v>15</v>
      </c>
      <c r="H28" s="626">
        <f t="shared" si="0"/>
        <v>46.2</v>
      </c>
      <c r="I28" s="825">
        <v>37974.84097222222</v>
      </c>
      <c r="J28" s="825">
        <v>37986.99930555555</v>
      </c>
      <c r="K28" s="55">
        <f t="shared" si="1"/>
        <v>291.79999999998836</v>
      </c>
      <c r="L28" s="56">
        <f t="shared" si="2"/>
        <v>17508</v>
      </c>
      <c r="M28" s="827" t="s">
        <v>231</v>
      </c>
      <c r="N28" s="815" t="str">
        <f t="shared" si="3"/>
        <v>--</v>
      </c>
      <c r="O28" s="828" t="str">
        <f t="shared" si="4"/>
        <v>NO</v>
      </c>
      <c r="P28" s="791" t="str">
        <f t="shared" si="5"/>
        <v>NO</v>
      </c>
      <c r="Q28" s="446">
        <f t="shared" si="6"/>
        <v>20</v>
      </c>
      <c r="R28" s="451" t="str">
        <f t="shared" si="7"/>
        <v>--</v>
      </c>
      <c r="S28" s="457" t="str">
        <f t="shared" si="8"/>
        <v>--</v>
      </c>
      <c r="T28" s="464">
        <f t="shared" si="9"/>
        <v>924</v>
      </c>
      <c r="U28" s="465">
        <f t="shared" si="10"/>
        <v>269623.2</v>
      </c>
      <c r="V28" s="476" t="str">
        <f t="shared" si="11"/>
        <v>--</v>
      </c>
      <c r="W28" s="477" t="str">
        <f t="shared" si="12"/>
        <v>--</v>
      </c>
      <c r="X28" s="486" t="str">
        <f t="shared" si="13"/>
        <v>--</v>
      </c>
      <c r="Y28" s="491" t="str">
        <f t="shared" si="14"/>
        <v>--</v>
      </c>
      <c r="Z28" s="58" t="str">
        <f t="shared" si="15"/>
        <v>SI</v>
      </c>
      <c r="AA28" s="211">
        <f t="shared" si="16"/>
        <v>270547.2</v>
      </c>
      <c r="AB28" s="148"/>
      <c r="AC28" s="65"/>
    </row>
    <row r="29" spans="1:28" s="16" customFormat="1" ht="16.5" customHeight="1">
      <c r="A29" s="64"/>
      <c r="B29" s="181"/>
      <c r="C29" s="770"/>
      <c r="D29" s="816"/>
      <c r="E29" s="817"/>
      <c r="F29" s="818"/>
      <c r="G29" s="819"/>
      <c r="H29" s="626">
        <f t="shared" si="0"/>
        <v>0</v>
      </c>
      <c r="I29" s="825"/>
      <c r="J29" s="825"/>
      <c r="K29" s="55">
        <f t="shared" si="1"/>
      </c>
      <c r="L29" s="56">
        <f t="shared" si="2"/>
      </c>
      <c r="M29" s="827"/>
      <c r="N29" s="815">
        <f t="shared" si="3"/>
      </c>
      <c r="O29" s="828">
        <f t="shared" si="4"/>
      </c>
      <c r="P29" s="791">
        <f t="shared" si="5"/>
      </c>
      <c r="Q29" s="446">
        <f t="shared" si="6"/>
        <v>20</v>
      </c>
      <c r="R29" s="451" t="str">
        <f t="shared" si="7"/>
        <v>--</v>
      </c>
      <c r="S29" s="457" t="str">
        <f t="shared" si="8"/>
        <v>--</v>
      </c>
      <c r="T29" s="464" t="str">
        <f t="shared" si="9"/>
        <v>--</v>
      </c>
      <c r="U29" s="465" t="str">
        <f t="shared" si="10"/>
        <v>--</v>
      </c>
      <c r="V29" s="476" t="str">
        <f t="shared" si="11"/>
        <v>--</v>
      </c>
      <c r="W29" s="477" t="str">
        <f t="shared" si="12"/>
        <v>--</v>
      </c>
      <c r="X29" s="486" t="str">
        <f t="shared" si="13"/>
        <v>--</v>
      </c>
      <c r="Y29" s="491" t="str">
        <f t="shared" si="14"/>
        <v>--</v>
      </c>
      <c r="Z29" s="58">
        <f t="shared" si="15"/>
      </c>
      <c r="AA29" s="211">
        <f t="shared" si="16"/>
      </c>
      <c r="AB29" s="148"/>
    </row>
    <row r="30" spans="1:28" s="16" customFormat="1" ht="16.5" customHeight="1">
      <c r="A30" s="64"/>
      <c r="B30" s="181"/>
      <c r="C30" s="770"/>
      <c r="D30" s="816"/>
      <c r="E30" s="817"/>
      <c r="F30" s="818"/>
      <c r="G30" s="819"/>
      <c r="H30" s="626">
        <f t="shared" si="0"/>
        <v>0</v>
      </c>
      <c r="I30" s="825"/>
      <c r="J30" s="825"/>
      <c r="K30" s="55">
        <f t="shared" si="1"/>
      </c>
      <c r="L30" s="56">
        <f t="shared" si="2"/>
      </c>
      <c r="M30" s="827"/>
      <c r="N30" s="815">
        <f t="shared" si="3"/>
      </c>
      <c r="O30" s="828">
        <f t="shared" si="4"/>
      </c>
      <c r="P30" s="791">
        <f t="shared" si="5"/>
      </c>
      <c r="Q30" s="446">
        <f t="shared" si="6"/>
        <v>20</v>
      </c>
      <c r="R30" s="451" t="str">
        <f t="shared" si="7"/>
        <v>--</v>
      </c>
      <c r="S30" s="457" t="str">
        <f t="shared" si="8"/>
        <v>--</v>
      </c>
      <c r="T30" s="464" t="str">
        <f t="shared" si="9"/>
        <v>--</v>
      </c>
      <c r="U30" s="465" t="str">
        <f t="shared" si="10"/>
        <v>--</v>
      </c>
      <c r="V30" s="476" t="str">
        <f t="shared" si="11"/>
        <v>--</v>
      </c>
      <c r="W30" s="477" t="str">
        <f t="shared" si="12"/>
        <v>--</v>
      </c>
      <c r="X30" s="486" t="str">
        <f t="shared" si="13"/>
        <v>--</v>
      </c>
      <c r="Y30" s="491" t="str">
        <f t="shared" si="14"/>
        <v>--</v>
      </c>
      <c r="Z30" s="58">
        <f t="shared" si="15"/>
      </c>
      <c r="AA30" s="211">
        <f t="shared" si="16"/>
      </c>
      <c r="AB30" s="148"/>
    </row>
    <row r="31" spans="1:28" s="16" customFormat="1" ht="16.5" customHeight="1">
      <c r="A31" s="64"/>
      <c r="B31" s="181"/>
      <c r="C31" s="770"/>
      <c r="D31" s="816"/>
      <c r="E31" s="817"/>
      <c r="F31" s="818"/>
      <c r="G31" s="819"/>
      <c r="H31" s="626">
        <f t="shared" si="0"/>
        <v>0</v>
      </c>
      <c r="I31" s="825"/>
      <c r="J31" s="825"/>
      <c r="K31" s="55">
        <f t="shared" si="1"/>
      </c>
      <c r="L31" s="56">
        <f t="shared" si="2"/>
      </c>
      <c r="M31" s="827"/>
      <c r="N31" s="815">
        <f t="shared" si="3"/>
      </c>
      <c r="O31" s="828">
        <f t="shared" si="4"/>
      </c>
      <c r="P31" s="791">
        <f t="shared" si="5"/>
      </c>
      <c r="Q31" s="446">
        <f t="shared" si="6"/>
        <v>20</v>
      </c>
      <c r="R31" s="451" t="str">
        <f t="shared" si="7"/>
        <v>--</v>
      </c>
      <c r="S31" s="457" t="str">
        <f t="shared" si="8"/>
        <v>--</v>
      </c>
      <c r="T31" s="464" t="str">
        <f t="shared" si="9"/>
        <v>--</v>
      </c>
      <c r="U31" s="465" t="str">
        <f t="shared" si="10"/>
        <v>--</v>
      </c>
      <c r="V31" s="476" t="str">
        <f t="shared" si="11"/>
        <v>--</v>
      </c>
      <c r="W31" s="477" t="str">
        <f t="shared" si="12"/>
        <v>--</v>
      </c>
      <c r="X31" s="486" t="str">
        <f t="shared" si="13"/>
        <v>--</v>
      </c>
      <c r="Y31" s="491" t="str">
        <f t="shared" si="14"/>
        <v>--</v>
      </c>
      <c r="Z31" s="58">
        <f t="shared" si="15"/>
      </c>
      <c r="AA31" s="211">
        <f t="shared" si="16"/>
      </c>
      <c r="AB31" s="148"/>
    </row>
    <row r="32" spans="1:28" s="16" customFormat="1" ht="16.5" customHeight="1">
      <c r="A32" s="64"/>
      <c r="B32" s="181"/>
      <c r="C32" s="770"/>
      <c r="D32" s="816"/>
      <c r="E32" s="820"/>
      <c r="F32" s="818"/>
      <c r="G32" s="819"/>
      <c r="H32" s="626">
        <f t="shared" si="0"/>
        <v>0</v>
      </c>
      <c r="I32" s="825"/>
      <c r="J32" s="825"/>
      <c r="K32" s="55">
        <f t="shared" si="1"/>
      </c>
      <c r="L32" s="56">
        <f t="shared" si="2"/>
      </c>
      <c r="M32" s="827"/>
      <c r="N32" s="815">
        <f t="shared" si="3"/>
      </c>
      <c r="O32" s="828">
        <f t="shared" si="4"/>
      </c>
      <c r="P32" s="791">
        <f t="shared" si="5"/>
      </c>
      <c r="Q32" s="446">
        <f t="shared" si="6"/>
        <v>20</v>
      </c>
      <c r="R32" s="451" t="str">
        <f t="shared" si="7"/>
        <v>--</v>
      </c>
      <c r="S32" s="457" t="str">
        <f t="shared" si="8"/>
        <v>--</v>
      </c>
      <c r="T32" s="464" t="str">
        <f t="shared" si="9"/>
        <v>--</v>
      </c>
      <c r="U32" s="465" t="str">
        <f t="shared" si="10"/>
        <v>--</v>
      </c>
      <c r="V32" s="476" t="str">
        <f t="shared" si="11"/>
        <v>--</v>
      </c>
      <c r="W32" s="477" t="str">
        <f t="shared" si="12"/>
        <v>--</v>
      </c>
      <c r="X32" s="486" t="str">
        <f t="shared" si="13"/>
        <v>--</v>
      </c>
      <c r="Y32" s="491" t="str">
        <f t="shared" si="14"/>
        <v>--</v>
      </c>
      <c r="Z32" s="58">
        <f t="shared" si="15"/>
      </c>
      <c r="AA32" s="211">
        <f t="shared" si="16"/>
      </c>
      <c r="AB32" s="148"/>
    </row>
    <row r="33" spans="1:28" s="16" customFormat="1" ht="16.5" customHeight="1">
      <c r="A33" s="64"/>
      <c r="B33" s="181"/>
      <c r="C33" s="770"/>
      <c r="D33" s="816"/>
      <c r="E33" s="820"/>
      <c r="F33" s="818"/>
      <c r="G33" s="819"/>
      <c r="H33" s="626">
        <f t="shared" si="0"/>
        <v>0</v>
      </c>
      <c r="I33" s="825"/>
      <c r="J33" s="825"/>
      <c r="K33" s="55">
        <f t="shared" si="1"/>
      </c>
      <c r="L33" s="56">
        <f t="shared" si="2"/>
      </c>
      <c r="M33" s="827"/>
      <c r="N33" s="815">
        <f t="shared" si="3"/>
      </c>
      <c r="O33" s="828">
        <f t="shared" si="4"/>
      </c>
      <c r="P33" s="791">
        <f t="shared" si="5"/>
      </c>
      <c r="Q33" s="446">
        <f t="shared" si="6"/>
        <v>20</v>
      </c>
      <c r="R33" s="451" t="str">
        <f t="shared" si="7"/>
        <v>--</v>
      </c>
      <c r="S33" s="457" t="str">
        <f t="shared" si="8"/>
        <v>--</v>
      </c>
      <c r="T33" s="464" t="str">
        <f t="shared" si="9"/>
        <v>--</v>
      </c>
      <c r="U33" s="465" t="str">
        <f t="shared" si="10"/>
        <v>--</v>
      </c>
      <c r="V33" s="476" t="str">
        <f t="shared" si="11"/>
        <v>--</v>
      </c>
      <c r="W33" s="477" t="str">
        <f t="shared" si="12"/>
        <v>--</v>
      </c>
      <c r="X33" s="486" t="str">
        <f t="shared" si="13"/>
        <v>--</v>
      </c>
      <c r="Y33" s="491" t="str">
        <f t="shared" si="14"/>
        <v>--</v>
      </c>
      <c r="Z33" s="58">
        <f t="shared" si="15"/>
      </c>
      <c r="AA33" s="211">
        <f t="shared" si="16"/>
      </c>
      <c r="AB33" s="148"/>
    </row>
    <row r="34" spans="1:28" s="16" customFormat="1" ht="16.5" customHeight="1">
      <c r="A34" s="64"/>
      <c r="B34" s="181"/>
      <c r="C34" s="770"/>
      <c r="D34" s="816"/>
      <c r="E34" s="820"/>
      <c r="F34" s="818"/>
      <c r="G34" s="819"/>
      <c r="H34" s="626">
        <f t="shared" si="0"/>
        <v>0</v>
      </c>
      <c r="I34" s="825"/>
      <c r="J34" s="825"/>
      <c r="K34" s="55">
        <f t="shared" si="1"/>
      </c>
      <c r="L34" s="56">
        <f t="shared" si="2"/>
      </c>
      <c r="M34" s="827"/>
      <c r="N34" s="815">
        <f t="shared" si="3"/>
      </c>
      <c r="O34" s="828">
        <f t="shared" si="4"/>
      </c>
      <c r="P34" s="791">
        <f t="shared" si="5"/>
      </c>
      <c r="Q34" s="446">
        <f t="shared" si="6"/>
        <v>20</v>
      </c>
      <c r="R34" s="451" t="str">
        <f t="shared" si="7"/>
        <v>--</v>
      </c>
      <c r="S34" s="457" t="str">
        <f t="shared" si="8"/>
        <v>--</v>
      </c>
      <c r="T34" s="464" t="str">
        <f t="shared" si="9"/>
        <v>--</v>
      </c>
      <c r="U34" s="465" t="str">
        <f t="shared" si="10"/>
        <v>--</v>
      </c>
      <c r="V34" s="476" t="str">
        <f t="shared" si="11"/>
        <v>--</v>
      </c>
      <c r="W34" s="477" t="str">
        <f t="shared" si="12"/>
        <v>--</v>
      </c>
      <c r="X34" s="486" t="str">
        <f t="shared" si="13"/>
        <v>--</v>
      </c>
      <c r="Y34" s="491" t="str">
        <f t="shared" si="14"/>
        <v>--</v>
      </c>
      <c r="Z34" s="58">
        <f t="shared" si="15"/>
      </c>
      <c r="AA34" s="211">
        <f t="shared" si="16"/>
      </c>
      <c r="AB34" s="148"/>
    </row>
    <row r="35" spans="1:28" s="16" customFormat="1" ht="16.5" customHeight="1">
      <c r="A35" s="64"/>
      <c r="B35" s="181"/>
      <c r="C35" s="770"/>
      <c r="D35" s="816"/>
      <c r="E35" s="820"/>
      <c r="F35" s="818"/>
      <c r="G35" s="819"/>
      <c r="H35" s="626">
        <f t="shared" si="0"/>
        <v>0</v>
      </c>
      <c r="I35" s="825"/>
      <c r="J35" s="825"/>
      <c r="K35" s="55">
        <f t="shared" si="1"/>
      </c>
      <c r="L35" s="56">
        <f t="shared" si="2"/>
      </c>
      <c r="M35" s="827"/>
      <c r="N35" s="815">
        <f t="shared" si="3"/>
      </c>
      <c r="O35" s="828">
        <f t="shared" si="4"/>
      </c>
      <c r="P35" s="791">
        <f t="shared" si="5"/>
      </c>
      <c r="Q35" s="446">
        <f t="shared" si="6"/>
        <v>20</v>
      </c>
      <c r="R35" s="451" t="str">
        <f t="shared" si="7"/>
        <v>--</v>
      </c>
      <c r="S35" s="457" t="str">
        <f t="shared" si="8"/>
        <v>--</v>
      </c>
      <c r="T35" s="464" t="str">
        <f t="shared" si="9"/>
        <v>--</v>
      </c>
      <c r="U35" s="465" t="str">
        <f t="shared" si="10"/>
        <v>--</v>
      </c>
      <c r="V35" s="476" t="str">
        <f t="shared" si="11"/>
        <v>--</v>
      </c>
      <c r="W35" s="477" t="str">
        <f t="shared" si="12"/>
        <v>--</v>
      </c>
      <c r="X35" s="486" t="str">
        <f t="shared" si="13"/>
        <v>--</v>
      </c>
      <c r="Y35" s="491" t="str">
        <f t="shared" si="14"/>
        <v>--</v>
      </c>
      <c r="Z35" s="58">
        <f t="shared" si="15"/>
      </c>
      <c r="AA35" s="211">
        <f t="shared" si="16"/>
      </c>
      <c r="AB35" s="148"/>
    </row>
    <row r="36" spans="1:28" s="16" customFormat="1" ht="16.5" customHeight="1">
      <c r="A36" s="64"/>
      <c r="B36" s="181"/>
      <c r="C36" s="770"/>
      <c r="D36" s="816"/>
      <c r="E36" s="820"/>
      <c r="F36" s="818"/>
      <c r="G36" s="819"/>
      <c r="H36" s="626">
        <f t="shared" si="0"/>
        <v>0</v>
      </c>
      <c r="I36" s="825"/>
      <c r="J36" s="825"/>
      <c r="K36" s="55">
        <f t="shared" si="1"/>
      </c>
      <c r="L36" s="56">
        <f t="shared" si="2"/>
      </c>
      <c r="M36" s="827"/>
      <c r="N36" s="815">
        <f t="shared" si="3"/>
      </c>
      <c r="O36" s="828">
        <f t="shared" si="4"/>
      </c>
      <c r="P36" s="791">
        <f t="shared" si="5"/>
      </c>
      <c r="Q36" s="446">
        <f t="shared" si="6"/>
        <v>20</v>
      </c>
      <c r="R36" s="451" t="str">
        <f t="shared" si="7"/>
        <v>--</v>
      </c>
      <c r="S36" s="457" t="str">
        <f t="shared" si="8"/>
        <v>--</v>
      </c>
      <c r="T36" s="464" t="str">
        <f t="shared" si="9"/>
        <v>--</v>
      </c>
      <c r="U36" s="465" t="str">
        <f t="shared" si="10"/>
        <v>--</v>
      </c>
      <c r="V36" s="476" t="str">
        <f t="shared" si="11"/>
        <v>--</v>
      </c>
      <c r="W36" s="477" t="str">
        <f t="shared" si="12"/>
        <v>--</v>
      </c>
      <c r="X36" s="486" t="str">
        <f t="shared" si="13"/>
        <v>--</v>
      </c>
      <c r="Y36" s="491" t="str">
        <f t="shared" si="14"/>
        <v>--</v>
      </c>
      <c r="Z36" s="58">
        <f t="shared" si="15"/>
      </c>
      <c r="AA36" s="211">
        <f t="shared" si="16"/>
      </c>
      <c r="AB36" s="148"/>
    </row>
    <row r="37" spans="1:28" s="16" customFormat="1" ht="16.5" customHeight="1">
      <c r="A37" s="64"/>
      <c r="B37" s="181"/>
      <c r="C37" s="770"/>
      <c r="D37" s="816"/>
      <c r="E37" s="820"/>
      <c r="F37" s="818"/>
      <c r="G37" s="819"/>
      <c r="H37" s="626">
        <f t="shared" si="0"/>
        <v>0</v>
      </c>
      <c r="I37" s="825"/>
      <c r="J37" s="825"/>
      <c r="K37" s="55">
        <f t="shared" si="1"/>
      </c>
      <c r="L37" s="56">
        <f t="shared" si="2"/>
      </c>
      <c r="M37" s="827"/>
      <c r="N37" s="815">
        <f t="shared" si="3"/>
      </c>
      <c r="O37" s="828">
        <f t="shared" si="4"/>
      </c>
      <c r="P37" s="791">
        <f t="shared" si="5"/>
      </c>
      <c r="Q37" s="446">
        <f t="shared" si="6"/>
        <v>20</v>
      </c>
      <c r="R37" s="451" t="str">
        <f t="shared" si="7"/>
        <v>--</v>
      </c>
      <c r="S37" s="457" t="str">
        <f t="shared" si="8"/>
        <v>--</v>
      </c>
      <c r="T37" s="464" t="str">
        <f t="shared" si="9"/>
        <v>--</v>
      </c>
      <c r="U37" s="465" t="str">
        <f t="shared" si="10"/>
        <v>--</v>
      </c>
      <c r="V37" s="476" t="str">
        <f t="shared" si="11"/>
        <v>--</v>
      </c>
      <c r="W37" s="477" t="str">
        <f t="shared" si="12"/>
        <v>--</v>
      </c>
      <c r="X37" s="486" t="str">
        <f t="shared" si="13"/>
        <v>--</v>
      </c>
      <c r="Y37" s="491" t="str">
        <f t="shared" si="14"/>
        <v>--</v>
      </c>
      <c r="Z37" s="58">
        <f t="shared" si="15"/>
      </c>
      <c r="AA37" s="211">
        <f t="shared" si="16"/>
      </c>
      <c r="AB37" s="148"/>
    </row>
    <row r="38" spans="1:28" s="16" customFormat="1" ht="16.5" customHeight="1">
      <c r="A38" s="64"/>
      <c r="B38" s="181"/>
      <c r="C38" s="770"/>
      <c r="D38" s="816"/>
      <c r="E38" s="820"/>
      <c r="F38" s="818"/>
      <c r="G38" s="819"/>
      <c r="H38" s="626">
        <f t="shared" si="0"/>
        <v>0</v>
      </c>
      <c r="I38" s="825"/>
      <c r="J38" s="825"/>
      <c r="K38" s="55">
        <f t="shared" si="1"/>
      </c>
      <c r="L38" s="56">
        <f t="shared" si="2"/>
      </c>
      <c r="M38" s="827"/>
      <c r="N38" s="815">
        <f t="shared" si="3"/>
      </c>
      <c r="O38" s="828">
        <f t="shared" si="4"/>
      </c>
      <c r="P38" s="791">
        <f t="shared" si="5"/>
      </c>
      <c r="Q38" s="446">
        <f t="shared" si="6"/>
        <v>20</v>
      </c>
      <c r="R38" s="451" t="str">
        <f t="shared" si="7"/>
        <v>--</v>
      </c>
      <c r="S38" s="457" t="str">
        <f t="shared" si="8"/>
        <v>--</v>
      </c>
      <c r="T38" s="464" t="str">
        <f t="shared" si="9"/>
        <v>--</v>
      </c>
      <c r="U38" s="465" t="str">
        <f t="shared" si="10"/>
        <v>--</v>
      </c>
      <c r="V38" s="476" t="str">
        <f t="shared" si="11"/>
        <v>--</v>
      </c>
      <c r="W38" s="477" t="str">
        <f t="shared" si="12"/>
        <v>--</v>
      </c>
      <c r="X38" s="486" t="str">
        <f t="shared" si="13"/>
        <v>--</v>
      </c>
      <c r="Y38" s="491" t="str">
        <f t="shared" si="14"/>
        <v>--</v>
      </c>
      <c r="Z38" s="58">
        <f t="shared" si="15"/>
      </c>
      <c r="AA38" s="211">
        <f t="shared" si="16"/>
      </c>
      <c r="AB38" s="148"/>
    </row>
    <row r="39" spans="1:28" s="16" customFormat="1" ht="16.5" customHeight="1">
      <c r="A39" s="64"/>
      <c r="B39" s="181"/>
      <c r="C39" s="770"/>
      <c r="D39" s="816"/>
      <c r="E39" s="820"/>
      <c r="F39" s="818"/>
      <c r="G39" s="819"/>
      <c r="H39" s="626">
        <f t="shared" si="0"/>
        <v>0</v>
      </c>
      <c r="I39" s="825"/>
      <c r="J39" s="825"/>
      <c r="K39" s="55">
        <f t="shared" si="1"/>
      </c>
      <c r="L39" s="56">
        <f t="shared" si="2"/>
      </c>
      <c r="M39" s="827"/>
      <c r="N39" s="815">
        <f t="shared" si="3"/>
      </c>
      <c r="O39" s="828">
        <f t="shared" si="4"/>
      </c>
      <c r="P39" s="791">
        <f t="shared" si="5"/>
      </c>
      <c r="Q39" s="446">
        <f t="shared" si="6"/>
        <v>20</v>
      </c>
      <c r="R39" s="451" t="str">
        <f t="shared" si="7"/>
        <v>--</v>
      </c>
      <c r="S39" s="457" t="str">
        <f t="shared" si="8"/>
        <v>--</v>
      </c>
      <c r="T39" s="464" t="str">
        <f t="shared" si="9"/>
        <v>--</v>
      </c>
      <c r="U39" s="465" t="str">
        <f t="shared" si="10"/>
        <v>--</v>
      </c>
      <c r="V39" s="476" t="str">
        <f t="shared" si="11"/>
        <v>--</v>
      </c>
      <c r="W39" s="477" t="str">
        <f t="shared" si="12"/>
        <v>--</v>
      </c>
      <c r="X39" s="486" t="str">
        <f t="shared" si="13"/>
        <v>--</v>
      </c>
      <c r="Y39" s="491" t="str">
        <f t="shared" si="14"/>
        <v>--</v>
      </c>
      <c r="Z39" s="58">
        <f t="shared" si="15"/>
      </c>
      <c r="AA39" s="211">
        <f t="shared" si="16"/>
      </c>
      <c r="AB39" s="148"/>
    </row>
    <row r="40" spans="1:28" s="16" customFormat="1" ht="16.5" customHeight="1">
      <c r="A40" s="64"/>
      <c r="B40" s="181"/>
      <c r="C40" s="770"/>
      <c r="D40" s="816"/>
      <c r="E40" s="820"/>
      <c r="F40" s="818"/>
      <c r="G40" s="819"/>
      <c r="H40" s="626">
        <f t="shared" si="0"/>
        <v>0</v>
      </c>
      <c r="I40" s="825"/>
      <c r="J40" s="825"/>
      <c r="K40" s="55">
        <f t="shared" si="1"/>
      </c>
      <c r="L40" s="56">
        <f t="shared" si="2"/>
      </c>
      <c r="M40" s="827"/>
      <c r="N40" s="815">
        <f t="shared" si="3"/>
      </c>
      <c r="O40" s="828">
        <f t="shared" si="4"/>
      </c>
      <c r="P40" s="791">
        <f t="shared" si="5"/>
      </c>
      <c r="Q40" s="446">
        <f t="shared" si="6"/>
        <v>20</v>
      </c>
      <c r="R40" s="451" t="str">
        <f t="shared" si="7"/>
        <v>--</v>
      </c>
      <c r="S40" s="457" t="str">
        <f t="shared" si="8"/>
        <v>--</v>
      </c>
      <c r="T40" s="464" t="str">
        <f t="shared" si="9"/>
        <v>--</v>
      </c>
      <c r="U40" s="465" t="str">
        <f t="shared" si="10"/>
        <v>--</v>
      </c>
      <c r="V40" s="476" t="str">
        <f t="shared" si="11"/>
        <v>--</v>
      </c>
      <c r="W40" s="477" t="str">
        <f t="shared" si="12"/>
        <v>--</v>
      </c>
      <c r="X40" s="486" t="str">
        <f t="shared" si="13"/>
        <v>--</v>
      </c>
      <c r="Y40" s="491" t="str">
        <f t="shared" si="14"/>
        <v>--</v>
      </c>
      <c r="Z40" s="58">
        <f t="shared" si="15"/>
      </c>
      <c r="AA40" s="211">
        <f t="shared" si="16"/>
      </c>
      <c r="AB40" s="148"/>
    </row>
    <row r="41" spans="1:28" s="16" customFormat="1" ht="16.5" customHeight="1">
      <c r="A41" s="64"/>
      <c r="B41" s="181"/>
      <c r="C41" s="770"/>
      <c r="D41" s="816"/>
      <c r="E41" s="820"/>
      <c r="F41" s="818"/>
      <c r="G41" s="819"/>
      <c r="H41" s="626">
        <f t="shared" si="0"/>
        <v>0</v>
      </c>
      <c r="I41" s="825"/>
      <c r="J41" s="825"/>
      <c r="K41" s="55">
        <f t="shared" si="1"/>
      </c>
      <c r="L41" s="56">
        <f t="shared" si="2"/>
      </c>
      <c r="M41" s="827"/>
      <c r="N41" s="815">
        <f t="shared" si="3"/>
      </c>
      <c r="O41" s="828">
        <f t="shared" si="4"/>
      </c>
      <c r="P41" s="791">
        <f t="shared" si="5"/>
      </c>
      <c r="Q41" s="446">
        <f t="shared" si="6"/>
        <v>20</v>
      </c>
      <c r="R41" s="451" t="str">
        <f t="shared" si="7"/>
        <v>--</v>
      </c>
      <c r="S41" s="457" t="str">
        <f t="shared" si="8"/>
        <v>--</v>
      </c>
      <c r="T41" s="464" t="str">
        <f t="shared" si="9"/>
        <v>--</v>
      </c>
      <c r="U41" s="465" t="str">
        <f t="shared" si="10"/>
        <v>--</v>
      </c>
      <c r="V41" s="476" t="str">
        <f t="shared" si="11"/>
        <v>--</v>
      </c>
      <c r="W41" s="477" t="str">
        <f t="shared" si="12"/>
        <v>--</v>
      </c>
      <c r="X41" s="486" t="str">
        <f t="shared" si="13"/>
        <v>--</v>
      </c>
      <c r="Y41" s="491" t="str">
        <f t="shared" si="14"/>
        <v>--</v>
      </c>
      <c r="Z41" s="58">
        <f t="shared" si="15"/>
      </c>
      <c r="AA41" s="211">
        <f t="shared" si="16"/>
      </c>
      <c r="AB41" s="148"/>
    </row>
    <row r="42" spans="1:28" s="16" customFormat="1" ht="16.5" customHeight="1" thickBot="1">
      <c r="A42" s="64"/>
      <c r="B42" s="181"/>
      <c r="C42" s="821"/>
      <c r="D42" s="822"/>
      <c r="E42" s="823"/>
      <c r="F42" s="822"/>
      <c r="G42" s="824"/>
      <c r="H42" s="351"/>
      <c r="I42" s="821"/>
      <c r="J42" s="826"/>
      <c r="K42" s="61"/>
      <c r="L42" s="62"/>
      <c r="M42" s="829"/>
      <c r="N42" s="803"/>
      <c r="O42" s="830"/>
      <c r="P42" s="829"/>
      <c r="Q42" s="447"/>
      <c r="R42" s="452"/>
      <c r="S42" s="458"/>
      <c r="T42" s="466"/>
      <c r="U42" s="467"/>
      <c r="V42" s="478"/>
      <c r="W42" s="479"/>
      <c r="X42" s="487"/>
      <c r="Y42" s="492"/>
      <c r="Z42" s="63"/>
      <c r="AA42" s="212"/>
      <c r="AB42" s="148"/>
    </row>
    <row r="43" spans="1:28" s="16" customFormat="1" ht="16.5" customHeight="1" thickBot="1" thickTop="1">
      <c r="A43" s="64"/>
      <c r="B43" s="181"/>
      <c r="C43" s="270" t="s">
        <v>115</v>
      </c>
      <c r="D43" s="271" t="s">
        <v>287</v>
      </c>
      <c r="E43" s="65"/>
      <c r="F43" s="65"/>
      <c r="G43" s="65"/>
      <c r="H43" s="65"/>
      <c r="I43" s="65"/>
      <c r="J43" s="66"/>
      <c r="K43" s="65"/>
      <c r="L43" s="65"/>
      <c r="M43" s="65"/>
      <c r="N43" s="65"/>
      <c r="O43" s="65"/>
      <c r="P43" s="65"/>
      <c r="Q43" s="65"/>
      <c r="R43" s="453">
        <f aca="true" t="shared" si="17" ref="R43:Y43">SUM(R20:R42)</f>
        <v>1685.5300000000002</v>
      </c>
      <c r="S43" s="459">
        <f t="shared" si="17"/>
        <v>0</v>
      </c>
      <c r="T43" s="468">
        <f t="shared" si="17"/>
        <v>924</v>
      </c>
      <c r="U43" s="469">
        <f t="shared" si="17"/>
        <v>269623.2</v>
      </c>
      <c r="V43" s="480">
        <f t="shared" si="17"/>
        <v>0</v>
      </c>
      <c r="W43" s="481">
        <f t="shared" si="17"/>
        <v>0</v>
      </c>
      <c r="X43" s="532">
        <f t="shared" si="17"/>
        <v>0</v>
      </c>
      <c r="Y43" s="533">
        <f t="shared" si="17"/>
        <v>0</v>
      </c>
      <c r="Z43" s="64"/>
      <c r="AA43" s="862">
        <f>ROUND(SUM(AA20:AA42),2)</f>
        <v>272232.73</v>
      </c>
      <c r="AB43" s="148"/>
    </row>
    <row r="44" spans="1:28" s="274" customFormat="1" ht="9.75" thickTop="1">
      <c r="A44" s="284"/>
      <c r="B44" s="285"/>
      <c r="C44" s="272"/>
      <c r="D44" s="273" t="s">
        <v>286</v>
      </c>
      <c r="E44" s="286"/>
      <c r="F44" s="286"/>
      <c r="G44" s="286"/>
      <c r="H44" s="286"/>
      <c r="I44" s="286"/>
      <c r="J44" s="287"/>
      <c r="K44" s="286"/>
      <c r="L44" s="286"/>
      <c r="M44" s="286"/>
      <c r="N44" s="286"/>
      <c r="O44" s="286"/>
      <c r="P44" s="286"/>
      <c r="Q44" s="286"/>
      <c r="R44" s="289"/>
      <c r="S44" s="289"/>
      <c r="T44" s="289"/>
      <c r="U44" s="289"/>
      <c r="V44" s="289"/>
      <c r="W44" s="289"/>
      <c r="X44" s="289"/>
      <c r="Y44" s="289"/>
      <c r="Z44" s="284"/>
      <c r="AA44" s="288"/>
      <c r="AB44" s="290"/>
    </row>
    <row r="45" spans="1:28" s="16" customFormat="1" ht="16.5" customHeight="1" thickBot="1">
      <c r="A45" s="64"/>
      <c r="B45" s="184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6"/>
    </row>
    <row r="46" spans="1:29" ht="16.5" customHeight="1" thickTop="1">
      <c r="A46" s="3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6.5" customHeight="1">
      <c r="A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6.5" customHeight="1">
      <c r="A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6.5" customHeight="1">
      <c r="A49" s="3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4:29" ht="16.5" customHeight="1"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4:29" ht="16.5" customHeight="1"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4:29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4:29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4:29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4:29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4:29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4:29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4:29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4:29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4:29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4:29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4:29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4:29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4:29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4:29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4:29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4:29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4:29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4:29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4:29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4:29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4:29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4:29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4:29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4:29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4:29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4:29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4:29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4:29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4:29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4:29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4:29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4:29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4:29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4:29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4:29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4:29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4:29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4:29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4:29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4:29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4:29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4:29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4:29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4:29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4:29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4:29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4:29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4:29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4:29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4:29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4:29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4:29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4:29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4:29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4:29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4:29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4:29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4:29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4:29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4:29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4:29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4:29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4:29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4:29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4:29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4:29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4:29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4:29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4:29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4:29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4:29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4:29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4:29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4:29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4:29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4:29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4:29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4:29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4:29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4:29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4:29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4:29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4:29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4:29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4:29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4:29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4:29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4:29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4:29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4:29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4:29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4:29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4:29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4:29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4:29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4:29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4:29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4:29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4:29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4:29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4:29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4:29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ht="16.5" customHeight="1">
      <c r="AC154" s="5"/>
    </row>
    <row r="155" ht="16.5" customHeight="1">
      <c r="AC155" s="5"/>
    </row>
    <row r="156" ht="16.5" customHeight="1">
      <c r="AC156" s="5"/>
    </row>
    <row r="157" ht="16.5" customHeight="1">
      <c r="AC157" s="5"/>
    </row>
    <row r="158" ht="16.5" customHeight="1"/>
    <row r="159" ht="16.5" customHeight="1"/>
    <row r="160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0">
    <pageSetUpPr fitToPage="1"/>
  </sheetPr>
  <dimension ref="A1:W160"/>
  <sheetViews>
    <sheetView zoomScale="75" zoomScaleNormal="75" workbookViewId="0" topLeftCell="A1">
      <selection activeCell="H46" sqref="H46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1" width="15.7109375" style="0" customWidth="1"/>
  </cols>
  <sheetData>
    <row r="1" spans="1:21" s="93" customFormat="1" ht="26.25">
      <c r="A1" s="143"/>
      <c r="U1" s="754"/>
    </row>
    <row r="2" spans="1:21" s="93" customFormat="1" ht="26.25">
      <c r="A2" s="143"/>
      <c r="B2" s="94" t="str">
        <f>+'tot-0312'!B2</f>
        <v>ANEXO I -1 a la Resolución ENRE N°  403 /2008.-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="16" customFormat="1" ht="12.75">
      <c r="A3" s="64"/>
    </row>
    <row r="4" spans="1:2" s="100" customFormat="1" ht="11.25">
      <c r="A4" s="98" t="s">
        <v>71</v>
      </c>
      <c r="B4" s="177"/>
    </row>
    <row r="5" spans="1:2" s="100" customFormat="1" ht="11.25">
      <c r="A5" s="98" t="s">
        <v>72</v>
      </c>
      <c r="B5" s="177"/>
    </row>
    <row r="6" s="16" customFormat="1" ht="13.5" thickBot="1"/>
    <row r="7" spans="2:21" s="16" customFormat="1" ht="13.5" thickTop="1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215"/>
    </row>
    <row r="8" spans="2:21" s="10" customFormat="1" ht="20.25">
      <c r="B8" s="158"/>
      <c r="C8" s="11"/>
      <c r="D8" s="67" t="s">
        <v>88</v>
      </c>
      <c r="L8" s="191"/>
      <c r="M8" s="191"/>
      <c r="N8" s="42"/>
      <c r="O8" s="11"/>
      <c r="P8" s="11"/>
      <c r="Q8" s="11"/>
      <c r="R8" s="11"/>
      <c r="S8" s="11"/>
      <c r="T8" s="11"/>
      <c r="U8" s="224"/>
    </row>
    <row r="9" spans="2:21" s="16" customFormat="1" ht="12.75">
      <c r="B9" s="125"/>
      <c r="C9" s="1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14"/>
      <c r="P9" s="14"/>
      <c r="Q9" s="14"/>
      <c r="R9" s="14"/>
      <c r="S9" s="14"/>
      <c r="T9" s="14"/>
      <c r="U9" s="129"/>
    </row>
    <row r="10" spans="2:21" s="10" customFormat="1" ht="20.25">
      <c r="B10" s="158"/>
      <c r="C10" s="11"/>
      <c r="D10" s="195" t="s">
        <v>130</v>
      </c>
      <c r="E10" s="43"/>
      <c r="F10" s="191"/>
      <c r="G10" s="225"/>
      <c r="I10" s="225"/>
      <c r="J10" s="225"/>
      <c r="K10" s="225"/>
      <c r="L10" s="225"/>
      <c r="M10" s="225"/>
      <c r="N10" s="225"/>
      <c r="O10" s="11"/>
      <c r="P10" s="11"/>
      <c r="Q10" s="11"/>
      <c r="R10" s="11"/>
      <c r="S10" s="11"/>
      <c r="T10" s="11"/>
      <c r="U10" s="224"/>
    </row>
    <row r="11" spans="2:21" s="16" customFormat="1" ht="13.5">
      <c r="B11" s="125"/>
      <c r="C11" s="14"/>
      <c r="D11" s="223"/>
      <c r="E11" s="223"/>
      <c r="F11" s="64"/>
      <c r="G11" s="216"/>
      <c r="H11" s="127"/>
      <c r="I11" s="216"/>
      <c r="J11" s="216"/>
      <c r="K11" s="216"/>
      <c r="L11" s="216"/>
      <c r="M11" s="216"/>
      <c r="N11" s="216"/>
      <c r="O11" s="14"/>
      <c r="P11" s="14"/>
      <c r="Q11" s="14"/>
      <c r="R11" s="14"/>
      <c r="S11" s="14"/>
      <c r="T11" s="14"/>
      <c r="U11" s="129"/>
    </row>
    <row r="12" spans="2:21" s="10" customFormat="1" ht="20.25">
      <c r="B12" s="158"/>
      <c r="C12" s="11"/>
      <c r="D12" s="195" t="s">
        <v>131</v>
      </c>
      <c r="E12" s="43"/>
      <c r="F12" s="191"/>
      <c r="G12" s="225"/>
      <c r="I12" s="225"/>
      <c r="J12" s="225"/>
      <c r="K12" s="225"/>
      <c r="L12" s="225"/>
      <c r="M12" s="225"/>
      <c r="N12" s="225"/>
      <c r="O12" s="11"/>
      <c r="P12" s="11"/>
      <c r="Q12" s="11"/>
      <c r="R12" s="11"/>
      <c r="S12" s="11"/>
      <c r="T12" s="11"/>
      <c r="U12" s="224"/>
    </row>
    <row r="13" spans="2:21" s="16" customFormat="1" ht="13.5">
      <c r="B13" s="125"/>
      <c r="C13" s="14"/>
      <c r="D13" s="223"/>
      <c r="E13" s="223"/>
      <c r="F13" s="64"/>
      <c r="G13" s="216"/>
      <c r="H13" s="127"/>
      <c r="I13" s="216"/>
      <c r="J13" s="216"/>
      <c r="K13" s="216"/>
      <c r="L13" s="216"/>
      <c r="M13" s="216"/>
      <c r="N13" s="216"/>
      <c r="O13" s="14"/>
      <c r="P13" s="14"/>
      <c r="Q13" s="14"/>
      <c r="R13" s="14"/>
      <c r="S13" s="14"/>
      <c r="T13" s="14"/>
      <c r="U13" s="129"/>
    </row>
    <row r="14" spans="2:21" s="16" customFormat="1" ht="19.5">
      <c r="B14" s="113" t="str">
        <f>+'tot-0312'!B14</f>
        <v>Desde el 01 al 31 de diciembre de 2003</v>
      </c>
      <c r="C14" s="116"/>
      <c r="D14" s="116"/>
      <c r="E14" s="116"/>
      <c r="F14" s="116"/>
      <c r="G14" s="226"/>
      <c r="H14" s="226"/>
      <c r="I14" s="226"/>
      <c r="J14" s="226"/>
      <c r="K14" s="226"/>
      <c r="L14" s="226"/>
      <c r="M14" s="226"/>
      <c r="N14" s="226"/>
      <c r="O14" s="116"/>
      <c r="P14" s="116"/>
      <c r="Q14" s="116"/>
      <c r="R14" s="116"/>
      <c r="S14" s="116"/>
      <c r="T14" s="116"/>
      <c r="U14" s="227"/>
    </row>
    <row r="15" spans="2:21" s="16" customFormat="1" ht="14.25" thickBot="1">
      <c r="B15" s="228"/>
      <c r="C15" s="229"/>
      <c r="D15" s="229"/>
      <c r="E15" s="229"/>
      <c r="F15" s="229"/>
      <c r="G15" s="230"/>
      <c r="H15" s="230"/>
      <c r="I15" s="230"/>
      <c r="J15" s="230"/>
      <c r="K15" s="230"/>
      <c r="L15" s="230"/>
      <c r="M15" s="230"/>
      <c r="N15" s="230"/>
      <c r="O15" s="229"/>
      <c r="P15" s="229"/>
      <c r="Q15" s="229"/>
      <c r="R15" s="229"/>
      <c r="S15" s="229"/>
      <c r="T15" s="229"/>
      <c r="U15" s="231"/>
    </row>
    <row r="16" spans="2:21" s="16" customFormat="1" ht="15" thickBot="1" thickTop="1">
      <c r="B16" s="125"/>
      <c r="C16" s="14"/>
      <c r="D16" s="232"/>
      <c r="E16" s="232"/>
      <c r="F16" s="233" t="s">
        <v>132</v>
      </c>
      <c r="G16" s="14"/>
      <c r="H16" s="12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29"/>
    </row>
    <row r="17" spans="2:21" s="16" customFormat="1" ht="16.5" customHeight="1" thickBot="1" thickTop="1">
      <c r="B17" s="125"/>
      <c r="C17" s="14"/>
      <c r="D17" s="760" t="s">
        <v>133</v>
      </c>
      <c r="E17" s="761">
        <v>30.733</v>
      </c>
      <c r="F17" s="762">
        <v>200</v>
      </c>
      <c r="T17" s="150"/>
      <c r="U17" s="129"/>
    </row>
    <row r="18" spans="2:21" s="16" customFormat="1" ht="16.5" customHeight="1" thickBot="1" thickTop="1">
      <c r="B18" s="125"/>
      <c r="C18" s="14"/>
      <c r="D18" s="763" t="s">
        <v>134</v>
      </c>
      <c r="E18" s="764">
        <v>27.658</v>
      </c>
      <c r="F18" s="762">
        <v>100</v>
      </c>
      <c r="M18" s="14"/>
      <c r="N18" s="14"/>
      <c r="O18" s="14"/>
      <c r="P18" s="14"/>
      <c r="Q18" s="14"/>
      <c r="R18" s="14"/>
      <c r="S18" s="14"/>
      <c r="T18" s="14"/>
      <c r="U18" s="129"/>
    </row>
    <row r="19" spans="2:21" s="16" customFormat="1" ht="16.5" customHeight="1" thickBot="1" thickTop="1">
      <c r="B19" s="125"/>
      <c r="C19" s="14"/>
      <c r="D19" s="765" t="s">
        <v>135</v>
      </c>
      <c r="E19" s="764">
        <v>24.587</v>
      </c>
      <c r="F19" s="762">
        <v>40</v>
      </c>
      <c r="I19" s="757"/>
      <c r="J19" s="758"/>
      <c r="K19" s="14"/>
      <c r="M19" s="14"/>
      <c r="O19" s="14"/>
      <c r="P19" s="14"/>
      <c r="Q19" s="14"/>
      <c r="R19" s="14"/>
      <c r="S19" s="14"/>
      <c r="T19" s="14"/>
      <c r="U19" s="129"/>
    </row>
    <row r="20" spans="2:21" s="16" customFormat="1" ht="16.5" customHeight="1" thickBot="1" thickTop="1">
      <c r="B20" s="125"/>
      <c r="C20" s="21"/>
      <c r="D20" s="83"/>
      <c r="E20" s="83"/>
      <c r="F20" s="217"/>
      <c r="G20" s="218"/>
      <c r="H20" s="218"/>
      <c r="I20" s="218"/>
      <c r="J20" s="218"/>
      <c r="K20" s="218"/>
      <c r="L20" s="218"/>
      <c r="M20" s="218"/>
      <c r="N20" s="75"/>
      <c r="O20" s="219"/>
      <c r="P20" s="220"/>
      <c r="Q20" s="220"/>
      <c r="R20" s="220"/>
      <c r="S20" s="221"/>
      <c r="T20" s="222"/>
      <c r="U20" s="129"/>
    </row>
    <row r="21" spans="2:21" s="16" customFormat="1" ht="33.75" customHeight="1" thickBot="1" thickTop="1">
      <c r="B21" s="125"/>
      <c r="C21" s="165" t="s">
        <v>93</v>
      </c>
      <c r="D21" s="173" t="s">
        <v>124</v>
      </c>
      <c r="E21" s="169" t="s">
        <v>59</v>
      </c>
      <c r="F21" s="235" t="s">
        <v>94</v>
      </c>
      <c r="G21" s="349" t="s">
        <v>98</v>
      </c>
      <c r="H21" s="167" t="s">
        <v>99</v>
      </c>
      <c r="I21" s="169" t="s">
        <v>100</v>
      </c>
      <c r="J21" s="236" t="s">
        <v>101</v>
      </c>
      <c r="K21" s="236" t="s">
        <v>102</v>
      </c>
      <c r="L21" s="172" t="s">
        <v>103</v>
      </c>
      <c r="M21" s="168" t="s">
        <v>106</v>
      </c>
      <c r="N21" s="494" t="s">
        <v>97</v>
      </c>
      <c r="O21" s="482" t="s">
        <v>117</v>
      </c>
      <c r="P21" s="501" t="s">
        <v>136</v>
      </c>
      <c r="Q21" s="502"/>
      <c r="R21" s="511" t="s">
        <v>111</v>
      </c>
      <c r="S21" s="175" t="s">
        <v>113</v>
      </c>
      <c r="T21" s="209" t="s">
        <v>114</v>
      </c>
      <c r="U21" s="129"/>
    </row>
    <row r="22" spans="2:21" s="16" customFormat="1" ht="16.5" customHeight="1" hidden="1" thickTop="1">
      <c r="B22" s="125"/>
      <c r="C22" s="20"/>
      <c r="D22" s="69"/>
      <c r="E22" s="69"/>
      <c r="F22" s="69"/>
      <c r="G22" s="358"/>
      <c r="H22" s="69"/>
      <c r="I22" s="69"/>
      <c r="J22" s="69"/>
      <c r="K22" s="69"/>
      <c r="L22" s="69"/>
      <c r="M22" s="69"/>
      <c r="N22" s="496"/>
      <c r="O22" s="499"/>
      <c r="P22" s="503"/>
      <c r="Q22" s="504"/>
      <c r="R22" s="512"/>
      <c r="S22" s="69"/>
      <c r="T22" s="630"/>
      <c r="U22" s="129"/>
    </row>
    <row r="23" spans="2:21" s="16" customFormat="1" ht="16.5" customHeight="1" thickTop="1">
      <c r="B23" s="125"/>
      <c r="C23" s="20"/>
      <c r="D23" s="70"/>
      <c r="E23" s="70"/>
      <c r="F23" s="70"/>
      <c r="G23" s="359"/>
      <c r="H23" s="70"/>
      <c r="I23" s="70"/>
      <c r="J23" s="70"/>
      <c r="K23" s="70"/>
      <c r="L23" s="70"/>
      <c r="M23" s="70"/>
      <c r="N23" s="493"/>
      <c r="O23" s="497"/>
      <c r="P23" s="505"/>
      <c r="Q23" s="506"/>
      <c r="R23" s="509"/>
      <c r="S23" s="70"/>
      <c r="T23" s="237"/>
      <c r="U23" s="129"/>
    </row>
    <row r="24" spans="2:21" s="16" customFormat="1" ht="16.5" customHeight="1">
      <c r="B24" s="125"/>
      <c r="C24" s="769">
        <v>27</v>
      </c>
      <c r="D24" s="831" t="s">
        <v>28</v>
      </c>
      <c r="E24" s="831" t="s">
        <v>50</v>
      </c>
      <c r="F24" s="832">
        <v>132</v>
      </c>
      <c r="G24" s="350">
        <f aca="true" t="shared" si="0" ref="G24:G43">IF(F24=500,$E$17,IF(F24=220,$E$18,$E$19))</f>
        <v>24.587</v>
      </c>
      <c r="H24" s="834">
        <v>37960.342361111114</v>
      </c>
      <c r="I24" s="835">
        <v>37960.49166666667</v>
      </c>
      <c r="J24" s="74">
        <f aca="true" t="shared" si="1" ref="J24:J43">IF(D24="","",(I24-H24)*24)</f>
        <v>3.583333333313931</v>
      </c>
      <c r="K24" s="31">
        <f aca="true" t="shared" si="2" ref="K24:K43">IF(D24="","",ROUND((I24-H24)*24*60,0))</f>
        <v>215</v>
      </c>
      <c r="L24" s="789" t="s">
        <v>238</v>
      </c>
      <c r="M24" s="791" t="str">
        <f aca="true" t="shared" si="3" ref="M24:M43">IF(D24="","",IF(L24="P","--","NO"))</f>
        <v>--</v>
      </c>
      <c r="N24" s="837">
        <f aca="true" t="shared" si="4" ref="N24:N43">IF(F24=500,$F$17,IF(F24=220,$F$18,$F$19))</f>
        <v>40</v>
      </c>
      <c r="O24" s="838">
        <f aca="true" t="shared" si="5" ref="O24:O43">IF(L24="P",G24*N24*ROUND(K24/60,2)*0.1,"--")</f>
        <v>352.08584</v>
      </c>
      <c r="P24" s="839" t="str">
        <f aca="true" t="shared" si="6" ref="P24:P43">IF(AND(L24="F",M24="NO"),G24*N24,"--")</f>
        <v>--</v>
      </c>
      <c r="Q24" s="840" t="str">
        <f aca="true" t="shared" si="7" ref="Q24:Q43">IF(L24="F",G24*N24*ROUND(K24/60,2),"--")</f>
        <v>--</v>
      </c>
      <c r="R24" s="841" t="str">
        <f aca="true" t="shared" si="8" ref="R24:R43">IF(L24="RF",G24*N24*ROUND(K24/60,2),"--")</f>
        <v>--</v>
      </c>
      <c r="S24" s="791" t="str">
        <f aca="true" t="shared" si="9" ref="S24:S43">IF(D24="","","SI")</f>
        <v>SI</v>
      </c>
      <c r="T24" s="77">
        <f aca="true" t="shared" si="10" ref="T24:T43">IF(D24="","",SUM(O24:R24)*IF(S24="SI",1,2))</f>
        <v>352.08584</v>
      </c>
      <c r="U24" s="129"/>
    </row>
    <row r="25" spans="2:21" s="16" customFormat="1" ht="16.5" customHeight="1">
      <c r="B25" s="125"/>
      <c r="C25" s="769">
        <v>28</v>
      </c>
      <c r="D25" s="831" t="s">
        <v>16</v>
      </c>
      <c r="E25" s="831" t="s">
        <v>39</v>
      </c>
      <c r="F25" s="832">
        <v>132</v>
      </c>
      <c r="G25" s="350">
        <f t="shared" si="0"/>
        <v>24.587</v>
      </c>
      <c r="H25" s="834">
        <v>37961.30763888889</v>
      </c>
      <c r="I25" s="835">
        <v>37961.54861111111</v>
      </c>
      <c r="J25" s="74">
        <f t="shared" si="1"/>
        <v>5.783333333325572</v>
      </c>
      <c r="K25" s="31">
        <f t="shared" si="2"/>
        <v>347</v>
      </c>
      <c r="L25" s="789" t="s">
        <v>238</v>
      </c>
      <c r="M25" s="791" t="str">
        <f t="shared" si="3"/>
        <v>--</v>
      </c>
      <c r="N25" s="837">
        <f t="shared" si="4"/>
        <v>40</v>
      </c>
      <c r="O25" s="838">
        <f t="shared" si="5"/>
        <v>568.45144</v>
      </c>
      <c r="P25" s="839" t="str">
        <f t="shared" si="6"/>
        <v>--</v>
      </c>
      <c r="Q25" s="840" t="str">
        <f t="shared" si="7"/>
        <v>--</v>
      </c>
      <c r="R25" s="841" t="str">
        <f t="shared" si="8"/>
        <v>--</v>
      </c>
      <c r="S25" s="791" t="str">
        <f t="shared" si="9"/>
        <v>SI</v>
      </c>
      <c r="T25" s="77">
        <f t="shared" si="10"/>
        <v>568.45144</v>
      </c>
      <c r="U25" s="129"/>
    </row>
    <row r="26" spans="2:21" s="16" customFormat="1" ht="16.5" customHeight="1">
      <c r="B26" s="125"/>
      <c r="C26" s="769">
        <v>29</v>
      </c>
      <c r="D26" s="831" t="s">
        <v>37</v>
      </c>
      <c r="E26" s="831" t="s">
        <v>38</v>
      </c>
      <c r="F26" s="832">
        <v>500</v>
      </c>
      <c r="G26" s="350">
        <f t="shared" si="0"/>
        <v>30.733</v>
      </c>
      <c r="H26" s="834">
        <v>37962.30138888889</v>
      </c>
      <c r="I26" s="835">
        <v>37962.756944444445</v>
      </c>
      <c r="J26" s="74">
        <f t="shared" si="1"/>
        <v>10.933333333348855</v>
      </c>
      <c r="K26" s="31">
        <f t="shared" si="2"/>
        <v>656</v>
      </c>
      <c r="L26" s="789" t="s">
        <v>238</v>
      </c>
      <c r="M26" s="791" t="str">
        <f t="shared" si="3"/>
        <v>--</v>
      </c>
      <c r="N26" s="837">
        <f t="shared" si="4"/>
        <v>200</v>
      </c>
      <c r="O26" s="838">
        <f t="shared" si="5"/>
        <v>6718.233800000001</v>
      </c>
      <c r="P26" s="839" t="str">
        <f t="shared" si="6"/>
        <v>--</v>
      </c>
      <c r="Q26" s="840" t="str">
        <f t="shared" si="7"/>
        <v>--</v>
      </c>
      <c r="R26" s="841" t="str">
        <f t="shared" si="8"/>
        <v>--</v>
      </c>
      <c r="S26" s="791" t="str">
        <f t="shared" si="9"/>
        <v>SI</v>
      </c>
      <c r="T26" s="77">
        <f t="shared" si="10"/>
        <v>6718.233800000001</v>
      </c>
      <c r="U26" s="129"/>
    </row>
    <row r="27" spans="2:21" s="16" customFormat="1" ht="16.5" customHeight="1">
      <c r="B27" s="125"/>
      <c r="C27" s="769">
        <v>30</v>
      </c>
      <c r="D27" s="831" t="s">
        <v>30</v>
      </c>
      <c r="E27" s="831" t="s">
        <v>210</v>
      </c>
      <c r="F27" s="832">
        <v>132</v>
      </c>
      <c r="G27" s="350">
        <f t="shared" si="0"/>
        <v>24.587</v>
      </c>
      <c r="H27" s="834">
        <v>37962.322222222225</v>
      </c>
      <c r="I27" s="835">
        <v>37962.615277777775</v>
      </c>
      <c r="J27" s="74">
        <f t="shared" si="1"/>
        <v>7.033333333209157</v>
      </c>
      <c r="K27" s="31">
        <f t="shared" si="2"/>
        <v>422</v>
      </c>
      <c r="L27" s="789" t="s">
        <v>238</v>
      </c>
      <c r="M27" s="791" t="str">
        <f t="shared" si="3"/>
        <v>--</v>
      </c>
      <c r="N27" s="837">
        <f t="shared" si="4"/>
        <v>40</v>
      </c>
      <c r="O27" s="838">
        <f t="shared" si="5"/>
        <v>691.3864400000001</v>
      </c>
      <c r="P27" s="839" t="str">
        <f t="shared" si="6"/>
        <v>--</v>
      </c>
      <c r="Q27" s="840" t="str">
        <f t="shared" si="7"/>
        <v>--</v>
      </c>
      <c r="R27" s="841" t="str">
        <f t="shared" si="8"/>
        <v>--</v>
      </c>
      <c r="S27" s="791" t="str">
        <f t="shared" si="9"/>
        <v>SI</v>
      </c>
      <c r="T27" s="77">
        <f t="shared" si="10"/>
        <v>691.3864400000001</v>
      </c>
      <c r="U27" s="129"/>
    </row>
    <row r="28" spans="2:21" s="16" customFormat="1" ht="16.5" customHeight="1">
      <c r="B28" s="125"/>
      <c r="C28" s="769">
        <v>31</v>
      </c>
      <c r="D28" s="831" t="s">
        <v>37</v>
      </c>
      <c r="E28" s="831" t="s">
        <v>38</v>
      </c>
      <c r="F28" s="832">
        <v>500</v>
      </c>
      <c r="G28" s="350">
        <f t="shared" si="0"/>
        <v>30.733</v>
      </c>
      <c r="H28" s="834">
        <v>37963.00277777778</v>
      </c>
      <c r="I28" s="835">
        <v>37963.725694444445</v>
      </c>
      <c r="J28" s="74">
        <f t="shared" si="1"/>
        <v>17.349999999976717</v>
      </c>
      <c r="K28" s="31">
        <f t="shared" si="2"/>
        <v>1041</v>
      </c>
      <c r="L28" s="789" t="s">
        <v>238</v>
      </c>
      <c r="M28" s="791" t="str">
        <f t="shared" si="3"/>
        <v>--</v>
      </c>
      <c r="N28" s="837">
        <f t="shared" si="4"/>
        <v>200</v>
      </c>
      <c r="O28" s="838">
        <f t="shared" si="5"/>
        <v>10664.351000000002</v>
      </c>
      <c r="P28" s="839" t="str">
        <f t="shared" si="6"/>
        <v>--</v>
      </c>
      <c r="Q28" s="840" t="str">
        <f t="shared" si="7"/>
        <v>--</v>
      </c>
      <c r="R28" s="841" t="str">
        <f t="shared" si="8"/>
        <v>--</v>
      </c>
      <c r="S28" s="791" t="str">
        <f t="shared" si="9"/>
        <v>SI</v>
      </c>
      <c r="T28" s="77">
        <f t="shared" si="10"/>
        <v>10664.351000000002</v>
      </c>
      <c r="U28" s="129"/>
    </row>
    <row r="29" spans="2:21" s="16" customFormat="1" ht="16.5" customHeight="1">
      <c r="B29" s="125"/>
      <c r="C29" s="769">
        <v>32</v>
      </c>
      <c r="D29" s="831" t="s">
        <v>37</v>
      </c>
      <c r="E29" s="831" t="s">
        <v>38</v>
      </c>
      <c r="F29" s="832">
        <v>500</v>
      </c>
      <c r="G29" s="350">
        <f t="shared" si="0"/>
        <v>30.733</v>
      </c>
      <c r="H29" s="834">
        <v>37965.00763888889</v>
      </c>
      <c r="I29" s="835">
        <v>37965.135416666664</v>
      </c>
      <c r="J29" s="74">
        <f t="shared" si="1"/>
        <v>3.0666666665347293</v>
      </c>
      <c r="K29" s="31">
        <f t="shared" si="2"/>
        <v>184</v>
      </c>
      <c r="L29" s="789" t="s">
        <v>238</v>
      </c>
      <c r="M29" s="791" t="str">
        <f t="shared" si="3"/>
        <v>--</v>
      </c>
      <c r="N29" s="837">
        <f t="shared" si="4"/>
        <v>200</v>
      </c>
      <c r="O29" s="838">
        <f t="shared" si="5"/>
        <v>1887.0062000000003</v>
      </c>
      <c r="P29" s="839" t="str">
        <f t="shared" si="6"/>
        <v>--</v>
      </c>
      <c r="Q29" s="840" t="str">
        <f t="shared" si="7"/>
        <v>--</v>
      </c>
      <c r="R29" s="841" t="str">
        <f t="shared" si="8"/>
        <v>--</v>
      </c>
      <c r="S29" s="791" t="str">
        <f t="shared" si="9"/>
        <v>SI</v>
      </c>
      <c r="T29" s="77">
        <f t="shared" si="10"/>
        <v>1887.0062000000003</v>
      </c>
      <c r="U29" s="129"/>
    </row>
    <row r="30" spans="2:21" s="16" customFormat="1" ht="16.5" customHeight="1">
      <c r="B30" s="125"/>
      <c r="C30" s="769">
        <v>33</v>
      </c>
      <c r="D30" s="831" t="s">
        <v>20</v>
      </c>
      <c r="E30" s="831" t="s">
        <v>41</v>
      </c>
      <c r="F30" s="832">
        <v>132</v>
      </c>
      <c r="G30" s="350">
        <f t="shared" si="0"/>
        <v>24.587</v>
      </c>
      <c r="H30" s="834">
        <v>37966.38263888889</v>
      </c>
      <c r="I30" s="835">
        <v>37966.55972222222</v>
      </c>
      <c r="J30" s="74">
        <f t="shared" si="1"/>
        <v>4.249999999883585</v>
      </c>
      <c r="K30" s="31">
        <f t="shared" si="2"/>
        <v>255</v>
      </c>
      <c r="L30" s="789" t="s">
        <v>238</v>
      </c>
      <c r="M30" s="791" t="str">
        <f t="shared" si="3"/>
        <v>--</v>
      </c>
      <c r="N30" s="837">
        <f t="shared" si="4"/>
        <v>40</v>
      </c>
      <c r="O30" s="838">
        <f t="shared" si="5"/>
        <v>417.97900000000004</v>
      </c>
      <c r="P30" s="839" t="str">
        <f t="shared" si="6"/>
        <v>--</v>
      </c>
      <c r="Q30" s="840" t="str">
        <f t="shared" si="7"/>
        <v>--</v>
      </c>
      <c r="R30" s="841" t="str">
        <f t="shared" si="8"/>
        <v>--</v>
      </c>
      <c r="S30" s="791" t="str">
        <f t="shared" si="9"/>
        <v>SI</v>
      </c>
      <c r="T30" s="77">
        <f t="shared" si="10"/>
        <v>417.97900000000004</v>
      </c>
      <c r="U30" s="129"/>
    </row>
    <row r="31" spans="2:21" s="16" customFormat="1" ht="16.5" customHeight="1">
      <c r="B31" s="125"/>
      <c r="C31" s="769">
        <v>34</v>
      </c>
      <c r="D31" s="831" t="s">
        <v>37</v>
      </c>
      <c r="E31" s="831" t="s">
        <v>38</v>
      </c>
      <c r="F31" s="832">
        <v>500</v>
      </c>
      <c r="G31" s="350">
        <f t="shared" si="0"/>
        <v>30.733</v>
      </c>
      <c r="H31" s="834">
        <v>37969.302083333336</v>
      </c>
      <c r="I31" s="835">
        <v>37969.75486111111</v>
      </c>
      <c r="J31" s="74">
        <f t="shared" si="1"/>
        <v>10.866666666639503</v>
      </c>
      <c r="K31" s="31">
        <f t="shared" si="2"/>
        <v>652</v>
      </c>
      <c r="L31" s="789" t="s">
        <v>238</v>
      </c>
      <c r="M31" s="791" t="str">
        <f t="shared" si="3"/>
        <v>--</v>
      </c>
      <c r="N31" s="837">
        <f t="shared" si="4"/>
        <v>200</v>
      </c>
      <c r="O31" s="838">
        <f t="shared" si="5"/>
        <v>6681.354200000001</v>
      </c>
      <c r="P31" s="839" t="str">
        <f t="shared" si="6"/>
        <v>--</v>
      </c>
      <c r="Q31" s="840" t="str">
        <f t="shared" si="7"/>
        <v>--</v>
      </c>
      <c r="R31" s="841" t="str">
        <f t="shared" si="8"/>
        <v>--</v>
      </c>
      <c r="S31" s="791" t="str">
        <f t="shared" si="9"/>
        <v>SI</v>
      </c>
      <c r="T31" s="77">
        <f t="shared" si="10"/>
        <v>6681.354200000001</v>
      </c>
      <c r="U31" s="129"/>
    </row>
    <row r="32" spans="2:21" s="16" customFormat="1" ht="16.5" customHeight="1">
      <c r="B32" s="125"/>
      <c r="C32" s="769">
        <v>35</v>
      </c>
      <c r="D32" s="831" t="s">
        <v>22</v>
      </c>
      <c r="E32" s="831" t="s">
        <v>42</v>
      </c>
      <c r="F32" s="832">
        <v>132</v>
      </c>
      <c r="G32" s="350">
        <f t="shared" si="0"/>
        <v>24.587</v>
      </c>
      <c r="H32" s="834">
        <v>37969.342361111114</v>
      </c>
      <c r="I32" s="835">
        <v>37969.541666666664</v>
      </c>
      <c r="J32" s="74">
        <f t="shared" si="1"/>
        <v>4.783333333209157</v>
      </c>
      <c r="K32" s="31">
        <f t="shared" si="2"/>
        <v>287</v>
      </c>
      <c r="L32" s="789" t="s">
        <v>238</v>
      </c>
      <c r="M32" s="791" t="str">
        <f t="shared" si="3"/>
        <v>--</v>
      </c>
      <c r="N32" s="837">
        <f t="shared" si="4"/>
        <v>40</v>
      </c>
      <c r="O32" s="838">
        <f t="shared" si="5"/>
        <v>470.1034400000001</v>
      </c>
      <c r="P32" s="839" t="str">
        <f t="shared" si="6"/>
        <v>--</v>
      </c>
      <c r="Q32" s="840" t="str">
        <f t="shared" si="7"/>
        <v>--</v>
      </c>
      <c r="R32" s="841" t="str">
        <f t="shared" si="8"/>
        <v>--</v>
      </c>
      <c r="S32" s="791" t="str">
        <f t="shared" si="9"/>
        <v>SI</v>
      </c>
      <c r="T32" s="77">
        <f t="shared" si="10"/>
        <v>470.1034400000001</v>
      </c>
      <c r="U32" s="129"/>
    </row>
    <row r="33" spans="2:21" s="16" customFormat="1" ht="16.5" customHeight="1">
      <c r="B33" s="125"/>
      <c r="C33" s="769">
        <v>36</v>
      </c>
      <c r="D33" s="831" t="s">
        <v>47</v>
      </c>
      <c r="E33" s="831" t="s">
        <v>40</v>
      </c>
      <c r="F33" s="832">
        <v>500</v>
      </c>
      <c r="G33" s="350">
        <f t="shared" si="0"/>
        <v>30.733</v>
      </c>
      <c r="H33" s="834">
        <v>37969.364583333336</v>
      </c>
      <c r="I33" s="835">
        <v>37969.64861111111</v>
      </c>
      <c r="J33" s="74">
        <f t="shared" si="1"/>
        <v>6.816666666534729</v>
      </c>
      <c r="K33" s="31">
        <f t="shared" si="2"/>
        <v>409</v>
      </c>
      <c r="L33" s="789" t="s">
        <v>238</v>
      </c>
      <c r="M33" s="791" t="str">
        <f t="shared" si="3"/>
        <v>--</v>
      </c>
      <c r="N33" s="837">
        <f t="shared" si="4"/>
        <v>200</v>
      </c>
      <c r="O33" s="838">
        <f t="shared" si="5"/>
        <v>4191.981200000001</v>
      </c>
      <c r="P33" s="839" t="str">
        <f t="shared" si="6"/>
        <v>--</v>
      </c>
      <c r="Q33" s="840" t="str">
        <f t="shared" si="7"/>
        <v>--</v>
      </c>
      <c r="R33" s="841" t="str">
        <f t="shared" si="8"/>
        <v>--</v>
      </c>
      <c r="S33" s="791" t="str">
        <f t="shared" si="9"/>
        <v>SI</v>
      </c>
      <c r="T33" s="77">
        <f t="shared" si="10"/>
        <v>4191.981200000001</v>
      </c>
      <c r="U33" s="129"/>
    </row>
    <row r="34" spans="2:21" s="16" customFormat="1" ht="16.5" customHeight="1">
      <c r="B34" s="125"/>
      <c r="C34" s="769">
        <v>37</v>
      </c>
      <c r="D34" s="831" t="s">
        <v>28</v>
      </c>
      <c r="E34" s="831" t="s">
        <v>48</v>
      </c>
      <c r="F34" s="832">
        <v>132</v>
      </c>
      <c r="G34" s="350">
        <f t="shared" si="0"/>
        <v>24.587</v>
      </c>
      <c r="H34" s="834">
        <v>37973.33541666667</v>
      </c>
      <c r="I34" s="835">
        <v>37973.44305555556</v>
      </c>
      <c r="J34" s="74">
        <f t="shared" si="1"/>
        <v>2.5833333333721384</v>
      </c>
      <c r="K34" s="31">
        <f t="shared" si="2"/>
        <v>155</v>
      </c>
      <c r="L34" s="789" t="s">
        <v>238</v>
      </c>
      <c r="M34" s="791" t="str">
        <f t="shared" si="3"/>
        <v>--</v>
      </c>
      <c r="N34" s="837">
        <f t="shared" si="4"/>
        <v>40</v>
      </c>
      <c r="O34" s="838">
        <f t="shared" si="5"/>
        <v>253.73784</v>
      </c>
      <c r="P34" s="839" t="str">
        <f t="shared" si="6"/>
        <v>--</v>
      </c>
      <c r="Q34" s="840" t="str">
        <f t="shared" si="7"/>
        <v>--</v>
      </c>
      <c r="R34" s="841" t="str">
        <f t="shared" si="8"/>
        <v>--</v>
      </c>
      <c r="S34" s="791" t="str">
        <f t="shared" si="9"/>
        <v>SI</v>
      </c>
      <c r="T34" s="77">
        <f t="shared" si="10"/>
        <v>253.73784</v>
      </c>
      <c r="U34" s="129"/>
    </row>
    <row r="35" spans="2:21" s="16" customFormat="1" ht="16.5" customHeight="1">
      <c r="B35" s="125"/>
      <c r="C35" s="769">
        <v>38</v>
      </c>
      <c r="D35" s="831" t="s">
        <v>44</v>
      </c>
      <c r="E35" s="831" t="s">
        <v>45</v>
      </c>
      <c r="F35" s="832">
        <v>500</v>
      </c>
      <c r="G35" s="350">
        <f t="shared" si="0"/>
        <v>30.733</v>
      </c>
      <c r="H35" s="834">
        <v>37975.354166666664</v>
      </c>
      <c r="I35" s="835">
        <v>37975.61597222222</v>
      </c>
      <c r="J35" s="74">
        <f t="shared" si="1"/>
        <v>6.28333333338378</v>
      </c>
      <c r="K35" s="31">
        <f t="shared" si="2"/>
        <v>377</v>
      </c>
      <c r="L35" s="789" t="s">
        <v>238</v>
      </c>
      <c r="M35" s="791" t="str">
        <f t="shared" si="3"/>
        <v>--</v>
      </c>
      <c r="N35" s="837">
        <f t="shared" si="4"/>
        <v>200</v>
      </c>
      <c r="O35" s="838">
        <f t="shared" si="5"/>
        <v>3860.0648</v>
      </c>
      <c r="P35" s="839" t="str">
        <f t="shared" si="6"/>
        <v>--</v>
      </c>
      <c r="Q35" s="840" t="str">
        <f t="shared" si="7"/>
        <v>--</v>
      </c>
      <c r="R35" s="841" t="str">
        <f t="shared" si="8"/>
        <v>--</v>
      </c>
      <c r="S35" s="791" t="str">
        <f t="shared" si="9"/>
        <v>SI</v>
      </c>
      <c r="T35" s="77">
        <f t="shared" si="10"/>
        <v>3860.0648</v>
      </c>
      <c r="U35" s="129"/>
    </row>
    <row r="36" spans="2:21" s="16" customFormat="1" ht="16.5" customHeight="1">
      <c r="B36" s="125"/>
      <c r="C36" s="769">
        <v>39</v>
      </c>
      <c r="D36" s="831" t="s">
        <v>29</v>
      </c>
      <c r="E36" s="831" t="s">
        <v>51</v>
      </c>
      <c r="F36" s="832">
        <v>132</v>
      </c>
      <c r="G36" s="350">
        <f t="shared" si="0"/>
        <v>24.587</v>
      </c>
      <c r="H36" s="834">
        <v>37976.28333333333</v>
      </c>
      <c r="I36" s="835">
        <v>37976.71041666667</v>
      </c>
      <c r="J36" s="74">
        <f t="shared" si="1"/>
        <v>10.250000000058208</v>
      </c>
      <c r="K36" s="31">
        <f t="shared" si="2"/>
        <v>615</v>
      </c>
      <c r="L36" s="789" t="s">
        <v>238</v>
      </c>
      <c r="M36" s="791" t="str">
        <f t="shared" si="3"/>
        <v>--</v>
      </c>
      <c r="N36" s="837">
        <f t="shared" si="4"/>
        <v>40</v>
      </c>
      <c r="O36" s="838">
        <f t="shared" si="5"/>
        <v>1008.067</v>
      </c>
      <c r="P36" s="839" t="str">
        <f t="shared" si="6"/>
        <v>--</v>
      </c>
      <c r="Q36" s="840" t="str">
        <f t="shared" si="7"/>
        <v>--</v>
      </c>
      <c r="R36" s="841" t="str">
        <f t="shared" si="8"/>
        <v>--</v>
      </c>
      <c r="S36" s="791" t="str">
        <f t="shared" si="9"/>
        <v>SI</v>
      </c>
      <c r="T36" s="77">
        <f t="shared" si="10"/>
        <v>1008.067</v>
      </c>
      <c r="U36" s="129"/>
    </row>
    <row r="37" spans="2:21" s="16" customFormat="1" ht="16.5" customHeight="1">
      <c r="B37" s="125"/>
      <c r="C37" s="769">
        <v>40</v>
      </c>
      <c r="D37" s="831" t="s">
        <v>28</v>
      </c>
      <c r="E37" s="831" t="s">
        <v>49</v>
      </c>
      <c r="F37" s="832">
        <v>132</v>
      </c>
      <c r="G37" s="350">
        <f t="shared" si="0"/>
        <v>24.587</v>
      </c>
      <c r="H37" s="834">
        <v>37978.34166666667</v>
      </c>
      <c r="I37" s="835">
        <v>37978.45972222222</v>
      </c>
      <c r="J37" s="74">
        <f t="shared" si="1"/>
        <v>2.833333333313931</v>
      </c>
      <c r="K37" s="31">
        <f t="shared" si="2"/>
        <v>170</v>
      </c>
      <c r="L37" s="789" t="s">
        <v>238</v>
      </c>
      <c r="M37" s="791" t="str">
        <f t="shared" si="3"/>
        <v>--</v>
      </c>
      <c r="N37" s="837">
        <f t="shared" si="4"/>
        <v>40</v>
      </c>
      <c r="O37" s="838">
        <f t="shared" si="5"/>
        <v>278.32484</v>
      </c>
      <c r="P37" s="839" t="str">
        <f t="shared" si="6"/>
        <v>--</v>
      </c>
      <c r="Q37" s="840" t="str">
        <f t="shared" si="7"/>
        <v>--</v>
      </c>
      <c r="R37" s="841" t="str">
        <f t="shared" si="8"/>
        <v>--</v>
      </c>
      <c r="S37" s="791" t="str">
        <f t="shared" si="9"/>
        <v>SI</v>
      </c>
      <c r="T37" s="77">
        <f t="shared" si="10"/>
        <v>278.32484</v>
      </c>
      <c r="U37" s="129"/>
    </row>
    <row r="38" spans="2:21" s="16" customFormat="1" ht="16.5" customHeight="1">
      <c r="B38" s="125"/>
      <c r="C38" s="769">
        <v>41</v>
      </c>
      <c r="D38" s="831" t="s">
        <v>22</v>
      </c>
      <c r="E38" s="831" t="s">
        <v>43</v>
      </c>
      <c r="F38" s="832">
        <v>132</v>
      </c>
      <c r="G38" s="350">
        <f t="shared" si="0"/>
        <v>24.587</v>
      </c>
      <c r="H38" s="834">
        <v>37983.34861111111</v>
      </c>
      <c r="I38" s="835">
        <v>37983.509722222225</v>
      </c>
      <c r="J38" s="74">
        <f t="shared" si="1"/>
        <v>3.8666666666977108</v>
      </c>
      <c r="K38" s="31">
        <f t="shared" si="2"/>
        <v>232</v>
      </c>
      <c r="L38" s="789" t="s">
        <v>238</v>
      </c>
      <c r="M38" s="791" t="str">
        <f t="shared" si="3"/>
        <v>--</v>
      </c>
      <c r="N38" s="837">
        <f t="shared" si="4"/>
        <v>40</v>
      </c>
      <c r="O38" s="838">
        <f t="shared" si="5"/>
        <v>380.60676000000007</v>
      </c>
      <c r="P38" s="839" t="str">
        <f t="shared" si="6"/>
        <v>--</v>
      </c>
      <c r="Q38" s="840" t="str">
        <f t="shared" si="7"/>
        <v>--</v>
      </c>
      <c r="R38" s="841" t="str">
        <f t="shared" si="8"/>
        <v>--</v>
      </c>
      <c r="S38" s="791" t="str">
        <f t="shared" si="9"/>
        <v>SI</v>
      </c>
      <c r="T38" s="77">
        <f t="shared" si="10"/>
        <v>380.60676000000007</v>
      </c>
      <c r="U38" s="129"/>
    </row>
    <row r="39" spans="2:21" s="16" customFormat="1" ht="16.5" customHeight="1">
      <c r="B39" s="125"/>
      <c r="C39" s="769">
        <v>42</v>
      </c>
      <c r="D39" s="831" t="s">
        <v>26</v>
      </c>
      <c r="E39" s="831" t="s">
        <v>46</v>
      </c>
      <c r="F39" s="832">
        <v>220</v>
      </c>
      <c r="G39" s="350">
        <f t="shared" si="0"/>
        <v>27.658</v>
      </c>
      <c r="H39" s="834">
        <v>37986.27291666667</v>
      </c>
      <c r="I39" s="835">
        <v>37986.50208333333</v>
      </c>
      <c r="J39" s="74">
        <f t="shared" si="1"/>
        <v>5.499999999941792</v>
      </c>
      <c r="K39" s="31">
        <f t="shared" si="2"/>
        <v>330</v>
      </c>
      <c r="L39" s="789" t="s">
        <v>238</v>
      </c>
      <c r="M39" s="791" t="str">
        <f t="shared" si="3"/>
        <v>--</v>
      </c>
      <c r="N39" s="837">
        <f t="shared" si="4"/>
        <v>100</v>
      </c>
      <c r="O39" s="838">
        <f t="shared" si="5"/>
        <v>1521.1900000000003</v>
      </c>
      <c r="P39" s="839" t="str">
        <f t="shared" si="6"/>
        <v>--</v>
      </c>
      <c r="Q39" s="840" t="str">
        <f t="shared" si="7"/>
        <v>--</v>
      </c>
      <c r="R39" s="841" t="str">
        <f t="shared" si="8"/>
        <v>--</v>
      </c>
      <c r="S39" s="791" t="str">
        <f t="shared" si="9"/>
        <v>SI</v>
      </c>
      <c r="T39" s="77">
        <f t="shared" si="10"/>
        <v>1521.1900000000003</v>
      </c>
      <c r="U39" s="129"/>
    </row>
    <row r="40" spans="2:21" s="16" customFormat="1" ht="16.5" customHeight="1">
      <c r="B40" s="125"/>
      <c r="C40" s="769"/>
      <c r="D40" s="831"/>
      <c r="E40" s="831"/>
      <c r="F40" s="832"/>
      <c r="G40" s="350">
        <f t="shared" si="0"/>
        <v>24.587</v>
      </c>
      <c r="H40" s="834"/>
      <c r="I40" s="835"/>
      <c r="J40" s="74">
        <f t="shared" si="1"/>
      </c>
      <c r="K40" s="31">
        <f t="shared" si="2"/>
      </c>
      <c r="L40" s="789"/>
      <c r="M40" s="791">
        <f t="shared" si="3"/>
      </c>
      <c r="N40" s="837">
        <f t="shared" si="4"/>
        <v>40</v>
      </c>
      <c r="O40" s="838" t="str">
        <f t="shared" si="5"/>
        <v>--</v>
      </c>
      <c r="P40" s="839" t="str">
        <f t="shared" si="6"/>
        <v>--</v>
      </c>
      <c r="Q40" s="840" t="str">
        <f t="shared" si="7"/>
        <v>--</v>
      </c>
      <c r="R40" s="841" t="str">
        <f t="shared" si="8"/>
        <v>--</v>
      </c>
      <c r="S40" s="791">
        <f t="shared" si="9"/>
      </c>
      <c r="T40" s="77">
        <f t="shared" si="10"/>
      </c>
      <c r="U40" s="129"/>
    </row>
    <row r="41" spans="2:21" s="16" customFormat="1" ht="16.5" customHeight="1">
      <c r="B41" s="125"/>
      <c r="C41" s="769"/>
      <c r="D41" s="831"/>
      <c r="E41" s="831"/>
      <c r="F41" s="832"/>
      <c r="G41" s="350">
        <f t="shared" si="0"/>
        <v>24.587</v>
      </c>
      <c r="H41" s="834"/>
      <c r="I41" s="835"/>
      <c r="J41" s="74">
        <f t="shared" si="1"/>
      </c>
      <c r="K41" s="31">
        <f t="shared" si="2"/>
      </c>
      <c r="L41" s="789"/>
      <c r="M41" s="791">
        <f t="shared" si="3"/>
      </c>
      <c r="N41" s="837">
        <f t="shared" si="4"/>
        <v>40</v>
      </c>
      <c r="O41" s="838" t="str">
        <f t="shared" si="5"/>
        <v>--</v>
      </c>
      <c r="P41" s="839" t="str">
        <f t="shared" si="6"/>
        <v>--</v>
      </c>
      <c r="Q41" s="840" t="str">
        <f t="shared" si="7"/>
        <v>--</v>
      </c>
      <c r="R41" s="841" t="str">
        <f t="shared" si="8"/>
        <v>--</v>
      </c>
      <c r="S41" s="791">
        <f t="shared" si="9"/>
      </c>
      <c r="T41" s="77">
        <f t="shared" si="10"/>
      </c>
      <c r="U41" s="129"/>
    </row>
    <row r="42" spans="2:21" s="16" customFormat="1" ht="16.5" customHeight="1">
      <c r="B42" s="125"/>
      <c r="C42" s="769"/>
      <c r="D42" s="831"/>
      <c r="E42" s="831"/>
      <c r="F42" s="832"/>
      <c r="G42" s="350">
        <f t="shared" si="0"/>
        <v>24.587</v>
      </c>
      <c r="H42" s="834"/>
      <c r="I42" s="835"/>
      <c r="J42" s="74">
        <f t="shared" si="1"/>
      </c>
      <c r="K42" s="31">
        <f t="shared" si="2"/>
      </c>
      <c r="L42" s="789"/>
      <c r="M42" s="791">
        <f t="shared" si="3"/>
      </c>
      <c r="N42" s="837">
        <f t="shared" si="4"/>
        <v>40</v>
      </c>
      <c r="O42" s="838" t="str">
        <f t="shared" si="5"/>
        <v>--</v>
      </c>
      <c r="P42" s="839" t="str">
        <f t="shared" si="6"/>
        <v>--</v>
      </c>
      <c r="Q42" s="840" t="str">
        <f t="shared" si="7"/>
        <v>--</v>
      </c>
      <c r="R42" s="841" t="str">
        <f t="shared" si="8"/>
        <v>--</v>
      </c>
      <c r="S42" s="791">
        <f t="shared" si="9"/>
      </c>
      <c r="T42" s="77">
        <f t="shared" si="10"/>
      </c>
      <c r="U42" s="129"/>
    </row>
    <row r="43" spans="2:21" s="16" customFormat="1" ht="16.5" customHeight="1">
      <c r="B43" s="125"/>
      <c r="C43" s="769"/>
      <c r="D43" s="831"/>
      <c r="E43" s="831"/>
      <c r="F43" s="832"/>
      <c r="G43" s="350">
        <f t="shared" si="0"/>
        <v>24.587</v>
      </c>
      <c r="H43" s="834"/>
      <c r="I43" s="835"/>
      <c r="J43" s="74">
        <f t="shared" si="1"/>
      </c>
      <c r="K43" s="31">
        <f t="shared" si="2"/>
      </c>
      <c r="L43" s="789"/>
      <c r="M43" s="791">
        <f t="shared" si="3"/>
      </c>
      <c r="N43" s="837">
        <f t="shared" si="4"/>
        <v>40</v>
      </c>
      <c r="O43" s="838" t="str">
        <f t="shared" si="5"/>
        <v>--</v>
      </c>
      <c r="P43" s="839" t="str">
        <f t="shared" si="6"/>
        <v>--</v>
      </c>
      <c r="Q43" s="840" t="str">
        <f t="shared" si="7"/>
        <v>--</v>
      </c>
      <c r="R43" s="841" t="str">
        <f t="shared" si="8"/>
        <v>--</v>
      </c>
      <c r="S43" s="791">
        <f t="shared" si="9"/>
      </c>
      <c r="T43" s="77">
        <f t="shared" si="10"/>
      </c>
      <c r="U43" s="129"/>
    </row>
    <row r="44" spans="2:21" s="16" customFormat="1" ht="16.5" customHeight="1" thickBot="1">
      <c r="B44" s="125"/>
      <c r="C44" s="778"/>
      <c r="D44" s="833"/>
      <c r="E44" s="833"/>
      <c r="F44" s="779"/>
      <c r="G44" s="351"/>
      <c r="H44" s="836"/>
      <c r="I44" s="836"/>
      <c r="J44" s="78"/>
      <c r="K44" s="78"/>
      <c r="L44" s="836"/>
      <c r="M44" s="788"/>
      <c r="N44" s="842"/>
      <c r="O44" s="843"/>
      <c r="P44" s="844"/>
      <c r="Q44" s="845"/>
      <c r="R44" s="846"/>
      <c r="S44" s="788"/>
      <c r="T44" s="238"/>
      <c r="U44" s="129"/>
    </row>
    <row r="45" spans="2:21" s="16" customFormat="1" ht="16.5" customHeight="1" thickBot="1" thickTop="1">
      <c r="B45" s="125"/>
      <c r="C45" s="270" t="s">
        <v>115</v>
      </c>
      <c r="D45" s="271" t="s">
        <v>288</v>
      </c>
      <c r="E45"/>
      <c r="F45" s="14"/>
      <c r="G45" s="14"/>
      <c r="H45" s="14"/>
      <c r="I45" s="14"/>
      <c r="J45" s="14"/>
      <c r="K45" s="14"/>
      <c r="L45" s="14"/>
      <c r="M45" s="14"/>
      <c r="N45" s="14"/>
      <c r="O45" s="500">
        <f>SUM(O22:O44)</f>
        <v>39944.92380000001</v>
      </c>
      <c r="P45" s="507">
        <f>SUM(P22:P44)</f>
        <v>0</v>
      </c>
      <c r="Q45" s="508">
        <f>SUM(Q22:Q44)</f>
        <v>0</v>
      </c>
      <c r="R45" s="510">
        <f>SUM(R22:R44)</f>
        <v>0</v>
      </c>
      <c r="S45" s="79"/>
      <c r="T45" s="80">
        <f>ROUND(SUM(T22:T44),2)</f>
        <v>39944.92</v>
      </c>
      <c r="U45" s="129"/>
    </row>
    <row r="46" spans="2:21" s="274" customFormat="1" ht="13.5" thickTop="1">
      <c r="B46" s="275"/>
      <c r="C46" s="272"/>
      <c r="D46" s="273"/>
      <c r="E46"/>
      <c r="F46" s="291"/>
      <c r="G46" s="291"/>
      <c r="H46" s="291"/>
      <c r="I46" s="291"/>
      <c r="J46" s="291"/>
      <c r="K46" s="291"/>
      <c r="L46" s="291"/>
      <c r="M46" s="291"/>
      <c r="N46" s="291"/>
      <c r="O46" s="289"/>
      <c r="P46" s="289"/>
      <c r="Q46" s="289"/>
      <c r="R46" s="289"/>
      <c r="S46" s="289"/>
      <c r="T46" s="292"/>
      <c r="U46" s="293"/>
    </row>
    <row r="47" spans="2:21" s="16" customFormat="1" ht="16.5" customHeight="1" thickBot="1">
      <c r="B47" s="154"/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6"/>
    </row>
    <row r="48" spans="21:23" ht="16.5" customHeight="1" thickTop="1">
      <c r="U48" s="5"/>
      <c r="V48" s="5"/>
      <c r="W48" s="5"/>
    </row>
    <row r="49" spans="21:23" ht="16.5" customHeight="1">
      <c r="U49" s="5"/>
      <c r="V49" s="5"/>
      <c r="W49" s="5"/>
    </row>
    <row r="50" spans="21:23" ht="16.5" customHeight="1">
      <c r="U50" s="5"/>
      <c r="V50" s="5"/>
      <c r="W50" s="5"/>
    </row>
    <row r="51" spans="21:23" ht="16.5" customHeight="1">
      <c r="U51" s="5"/>
      <c r="V51" s="5"/>
      <c r="W51" s="5"/>
    </row>
    <row r="52" spans="21:23" ht="16.5" customHeight="1">
      <c r="U52" s="5"/>
      <c r="V52" s="5"/>
      <c r="W52" s="5"/>
    </row>
    <row r="53" spans="4:23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4:23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4:23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4:23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4:23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4:23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4:23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4:23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4:23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4:23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4:23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4:23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4:23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4:23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4:23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4:23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4:23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4:23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4:23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4:23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4:23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4:23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4:23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4:23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4:23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4:23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4:23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4:23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4:23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4:23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4:23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4:23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4:23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4:23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4:23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4:23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4:23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4:23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4:23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4:23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4:23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4:23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4:23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4:23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4:23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4:23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4:23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4:23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4:23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4:23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4:23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4:23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4:23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4:23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4:23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4:23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4:23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4:23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4:23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4:23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4:23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4:23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4:23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4:23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4:23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4:23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4:23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4:23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4:23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4:23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4:23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4:23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4:23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4:23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4:23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4:23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4:23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4:23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4:23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4:23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4:23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4:23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4:23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4:23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4:23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4:23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4:23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4:23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4:23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4:23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4:23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4:23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4:23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4:23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4:23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4:23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4:23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4:23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4:23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4:23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4:23" ht="16.5" customHeight="1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4:23" ht="16.5" customHeight="1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4:23" ht="16.5" customHeight="1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4:23" ht="16.5" customHeight="1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4:23" ht="16.5" customHeight="1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4:23" ht="16.5" customHeight="1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4:23" ht="16.5" customHeight="1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4:23" ht="16.5" customHeight="1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X158"/>
  <sheetViews>
    <sheetView zoomScale="75" zoomScaleNormal="75" workbookViewId="0" topLeftCell="A1">
      <selection activeCell="U48" sqref="U48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19" width="15.140625" style="0" hidden="1" customWidth="1"/>
    <col min="20" max="20" width="9.7109375" style="0" customWidth="1"/>
    <col min="21" max="22" width="15.7109375" style="0" customWidth="1"/>
  </cols>
  <sheetData>
    <row r="1" spans="1:22" s="93" customFormat="1" ht="26.25">
      <c r="A1" s="143"/>
      <c r="V1" s="754"/>
    </row>
    <row r="2" spans="1:22" s="93" customFormat="1" ht="26.25">
      <c r="A2" s="143"/>
      <c r="B2" s="257" t="str">
        <f>+'tot-0312'!B2</f>
        <v>ANEXO I -1 a la Resolución ENRE N°  403 /2008.-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</row>
    <row r="3" s="16" customFormat="1" ht="12.75">
      <c r="A3" s="64"/>
    </row>
    <row r="4" spans="1:2" s="100" customFormat="1" ht="11.25">
      <c r="A4" s="98" t="s">
        <v>71</v>
      </c>
      <c r="B4" s="177"/>
    </row>
    <row r="5" spans="1:2" s="100" customFormat="1" ht="11.25">
      <c r="A5" s="98" t="s">
        <v>72</v>
      </c>
      <c r="B5" s="177"/>
    </row>
    <row r="6" s="16" customFormat="1" ht="13.5" thickBot="1"/>
    <row r="7" spans="2:22" s="16" customFormat="1" ht="13.5" thickTop="1"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215"/>
    </row>
    <row r="8" spans="2:22" s="10" customFormat="1" ht="20.25">
      <c r="B8" s="158"/>
      <c r="D8" s="7" t="s">
        <v>137</v>
      </c>
      <c r="E8" s="81"/>
      <c r="F8" s="9"/>
      <c r="G8" s="8"/>
      <c r="H8" s="8"/>
      <c r="I8" s="8"/>
      <c r="J8" s="8"/>
      <c r="K8" s="8"/>
      <c r="L8" s="8"/>
      <c r="M8" s="8"/>
      <c r="N8" s="9"/>
      <c r="O8" s="9"/>
      <c r="P8" s="9"/>
      <c r="Q8" s="9"/>
      <c r="R8" s="9"/>
      <c r="S8" s="9"/>
      <c r="T8" s="9"/>
      <c r="U8" s="9"/>
      <c r="V8" s="252"/>
    </row>
    <row r="9" spans="2:22" s="16" customFormat="1" ht="12.75">
      <c r="B9" s="12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29"/>
    </row>
    <row r="10" spans="2:22" s="10" customFormat="1" ht="20.25">
      <c r="B10" s="158"/>
      <c r="D10" s="159" t="s">
        <v>138</v>
      </c>
      <c r="F10" s="253"/>
      <c r="G10" s="254"/>
      <c r="H10" s="254"/>
      <c r="I10" s="254"/>
      <c r="J10" s="254"/>
      <c r="K10" s="254"/>
      <c r="L10" s="254"/>
      <c r="M10" s="254"/>
      <c r="N10" s="254"/>
      <c r="O10" s="254"/>
      <c r="P10" s="11"/>
      <c r="Q10" s="11"/>
      <c r="R10" s="11"/>
      <c r="S10" s="11"/>
      <c r="T10" s="11"/>
      <c r="U10" s="11"/>
      <c r="V10" s="224"/>
    </row>
    <row r="11" spans="2:22" s="16" customFormat="1" ht="16.5" customHeight="1">
      <c r="B11" s="125"/>
      <c r="C11" s="14"/>
      <c r="D11" s="241"/>
      <c r="F11" s="106"/>
      <c r="G11" s="149"/>
      <c r="H11" s="149"/>
      <c r="I11" s="149"/>
      <c r="J11" s="149"/>
      <c r="K11" s="149"/>
      <c r="L11" s="149"/>
      <c r="M11" s="149"/>
      <c r="N11" s="149"/>
      <c r="O11" s="149"/>
      <c r="P11" s="14"/>
      <c r="Q11" s="14"/>
      <c r="R11" s="14"/>
      <c r="S11" s="14"/>
      <c r="T11" s="14"/>
      <c r="U11" s="14"/>
      <c r="V11" s="129"/>
    </row>
    <row r="12" spans="2:22" s="10" customFormat="1" ht="20.25">
      <c r="B12" s="158"/>
      <c r="D12" s="159" t="s">
        <v>139</v>
      </c>
      <c r="F12" s="253"/>
      <c r="G12" s="254"/>
      <c r="H12" s="254"/>
      <c r="I12" s="254"/>
      <c r="J12" s="254"/>
      <c r="K12" s="254"/>
      <c r="L12" s="254"/>
      <c r="M12" s="254"/>
      <c r="N12" s="254"/>
      <c r="O12" s="254"/>
      <c r="P12" s="11"/>
      <c r="Q12" s="11"/>
      <c r="R12" s="11"/>
      <c r="S12" s="11"/>
      <c r="T12" s="11"/>
      <c r="U12" s="11"/>
      <c r="V12" s="224"/>
    </row>
    <row r="13" spans="2:22" s="16" customFormat="1" ht="16.5" customHeight="1">
      <c r="B13" s="125"/>
      <c r="C13" s="14"/>
      <c r="D13" s="241"/>
      <c r="F13" s="106"/>
      <c r="G13" s="149"/>
      <c r="H13" s="149"/>
      <c r="I13" s="149"/>
      <c r="J13" s="149"/>
      <c r="K13" s="149"/>
      <c r="L13" s="149"/>
      <c r="M13" s="149"/>
      <c r="N13" s="149"/>
      <c r="O13" s="149"/>
      <c r="P13" s="14"/>
      <c r="Q13" s="14"/>
      <c r="R13" s="14"/>
      <c r="S13" s="14"/>
      <c r="T13" s="14"/>
      <c r="U13" s="14"/>
      <c r="V13" s="129"/>
    </row>
    <row r="14" spans="2:22" s="15" customFormat="1" ht="16.5" customHeight="1">
      <c r="B14" s="178" t="str">
        <f>+'tot-0312'!B14</f>
        <v>Desde el 01 al 31 de diciembre de 2003</v>
      </c>
      <c r="C14" s="161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161"/>
      <c r="Q14" s="161"/>
      <c r="R14" s="161"/>
      <c r="S14" s="161"/>
      <c r="T14" s="161"/>
      <c r="U14" s="161"/>
      <c r="V14" s="256"/>
    </row>
    <row r="15" spans="2:22" s="16" customFormat="1" ht="16.5" customHeight="1" thickBot="1">
      <c r="B15" s="125"/>
      <c r="C15" s="14"/>
      <c r="D15" s="14"/>
      <c r="E15" s="14"/>
      <c r="F15" s="14"/>
      <c r="G15" s="14"/>
      <c r="H15" s="14"/>
      <c r="I15" s="14"/>
      <c r="J15" s="14"/>
      <c r="K15" s="14"/>
      <c r="P15" s="14"/>
      <c r="Q15" s="14"/>
      <c r="R15" s="14"/>
      <c r="S15" s="14"/>
      <c r="T15" s="14"/>
      <c r="U15" s="14"/>
      <c r="V15" s="129"/>
    </row>
    <row r="16" spans="2:22" s="16" customFormat="1" ht="16.5" customHeight="1" thickBot="1" thickTop="1">
      <c r="B16" s="125"/>
      <c r="C16" s="14"/>
      <c r="D16" s="234" t="s">
        <v>122</v>
      </c>
      <c r="E16" s="258"/>
      <c r="F16" s="266">
        <v>0.154</v>
      </c>
      <c r="G16" s="232"/>
      <c r="H16"/>
      <c r="I16" s="14"/>
      <c r="J16" s="14"/>
      <c r="K16" s="14"/>
      <c r="L16" s="14"/>
      <c r="M16" s="14"/>
      <c r="O16" s="14"/>
      <c r="P16" s="14"/>
      <c r="Q16" s="14"/>
      <c r="R16" s="14"/>
      <c r="S16" s="14"/>
      <c r="T16" s="14"/>
      <c r="U16" s="14"/>
      <c r="V16" s="129"/>
    </row>
    <row r="17" spans="2:22" s="16" customFormat="1" ht="16.5" customHeight="1" thickBot="1" thickTop="1">
      <c r="B17" s="125"/>
      <c r="C17" s="14"/>
      <c r="D17" s="259" t="s">
        <v>123</v>
      </c>
      <c r="E17" s="260"/>
      <c r="F17" s="261">
        <v>20</v>
      </c>
      <c r="G17" s="232"/>
      <c r="H17"/>
      <c r="I17" s="757"/>
      <c r="J17" s="758"/>
      <c r="K17" s="14"/>
      <c r="L17" s="14"/>
      <c r="M17" s="14"/>
      <c r="O17" s="14"/>
      <c r="P17" s="14"/>
      <c r="Q17" s="14"/>
      <c r="R17" s="150"/>
      <c r="S17" s="150"/>
      <c r="T17" s="150"/>
      <c r="U17" s="150"/>
      <c r="V17" s="129"/>
    </row>
    <row r="18" spans="2:22" s="16" customFormat="1" ht="16.5" customHeight="1" thickBot="1" thickTop="1">
      <c r="B18" s="125"/>
      <c r="C18" s="2"/>
      <c r="D18" s="242"/>
      <c r="E18" s="243"/>
      <c r="F18" s="243"/>
      <c r="G18" s="39"/>
      <c r="H18" s="39"/>
      <c r="I18" s="39"/>
      <c r="J18" s="39"/>
      <c r="K18" s="39"/>
      <c r="L18" s="39"/>
      <c r="M18" s="39"/>
      <c r="N18" s="39"/>
      <c r="O18" s="244"/>
      <c r="P18" s="245"/>
      <c r="Q18" s="246"/>
      <c r="R18" s="246"/>
      <c r="S18" s="246"/>
      <c r="T18" s="247"/>
      <c r="U18" s="248"/>
      <c r="V18" s="129"/>
    </row>
    <row r="19" spans="2:22" s="16" customFormat="1" ht="33.75" customHeight="1" thickBot="1" thickTop="1">
      <c r="B19" s="125"/>
      <c r="C19" s="165" t="s">
        <v>93</v>
      </c>
      <c r="D19" s="173" t="s">
        <v>124</v>
      </c>
      <c r="E19" s="167" t="s">
        <v>59</v>
      </c>
      <c r="F19" s="262" t="s">
        <v>125</v>
      </c>
      <c r="G19" s="349" t="s">
        <v>98</v>
      </c>
      <c r="H19" s="167" t="s">
        <v>99</v>
      </c>
      <c r="I19" s="167" t="s">
        <v>100</v>
      </c>
      <c r="J19" s="173" t="s">
        <v>101</v>
      </c>
      <c r="K19" s="173" t="s">
        <v>102</v>
      </c>
      <c r="L19" s="172" t="s">
        <v>103</v>
      </c>
      <c r="M19" s="172" t="s">
        <v>104</v>
      </c>
      <c r="N19" s="167" t="s">
        <v>106</v>
      </c>
      <c r="O19" s="349" t="s">
        <v>97</v>
      </c>
      <c r="P19" s="513" t="s">
        <v>117</v>
      </c>
      <c r="Q19" s="517" t="s">
        <v>140</v>
      </c>
      <c r="R19" s="518"/>
      <c r="S19" s="525" t="s">
        <v>111</v>
      </c>
      <c r="T19" s="175" t="s">
        <v>113</v>
      </c>
      <c r="U19" s="263" t="s">
        <v>114</v>
      </c>
      <c r="V19" s="129"/>
    </row>
    <row r="20" spans="2:22" s="16" customFormat="1" ht="16.5" customHeight="1" hidden="1" thickTop="1">
      <c r="B20" s="125"/>
      <c r="C20" s="249"/>
      <c r="D20" s="250"/>
      <c r="E20" s="250"/>
      <c r="F20" s="250"/>
      <c r="G20" s="356"/>
      <c r="H20" s="251"/>
      <c r="I20" s="251"/>
      <c r="J20" s="249"/>
      <c r="K20" s="249"/>
      <c r="L20" s="250"/>
      <c r="M20" s="17"/>
      <c r="N20" s="249"/>
      <c r="O20" s="361"/>
      <c r="P20" s="514"/>
      <c r="Q20" s="519"/>
      <c r="R20" s="520"/>
      <c r="S20" s="526"/>
      <c r="T20" s="529"/>
      <c r="U20" s="566"/>
      <c r="V20" s="129"/>
    </row>
    <row r="21" spans="2:22" s="16" customFormat="1" ht="16.5" customHeight="1" thickTop="1">
      <c r="B21" s="125"/>
      <c r="C21" s="32"/>
      <c r="D21" s="84"/>
      <c r="E21" s="85"/>
      <c r="F21" s="86"/>
      <c r="G21" s="360"/>
      <c r="H21" s="88"/>
      <c r="I21" s="89"/>
      <c r="J21" s="90"/>
      <c r="K21" s="91"/>
      <c r="L21" s="92"/>
      <c r="M21" s="18"/>
      <c r="N21" s="87"/>
      <c r="O21" s="362"/>
      <c r="P21" s="515"/>
      <c r="Q21" s="521"/>
      <c r="R21" s="522"/>
      <c r="S21" s="527"/>
      <c r="T21" s="87"/>
      <c r="U21" s="264"/>
      <c r="V21" s="129"/>
    </row>
    <row r="22" spans="2:22" s="16" customFormat="1" ht="16.5" customHeight="1">
      <c r="B22" s="125"/>
      <c r="C22" s="769">
        <v>43</v>
      </c>
      <c r="D22" s="847" t="s">
        <v>65</v>
      </c>
      <c r="E22" s="831" t="s">
        <v>214</v>
      </c>
      <c r="F22" s="848">
        <v>150</v>
      </c>
      <c r="G22" s="626">
        <f aca="true" t="shared" si="0" ref="G22:G41">F22*$F$16</f>
        <v>23.1</v>
      </c>
      <c r="H22" s="834">
        <v>37958.018055555556</v>
      </c>
      <c r="I22" s="787">
        <v>37958.28402777778</v>
      </c>
      <c r="J22" s="74">
        <f aca="true" t="shared" si="1" ref="J22:J41">IF(D22="","",(I22-H22)*24)</f>
        <v>6.383333333360497</v>
      </c>
      <c r="K22" s="31">
        <f aca="true" t="shared" si="2" ref="K22:K41">IF(D22="","",ROUND((I22-H22)*24*60,0))</f>
        <v>383</v>
      </c>
      <c r="L22" s="789" t="s">
        <v>238</v>
      </c>
      <c r="M22" s="815" t="str">
        <f aca="true" t="shared" si="3" ref="M22:M41">IF(D22="","","--")</f>
        <v>--</v>
      </c>
      <c r="N22" s="791" t="str">
        <f aca="true" t="shared" si="4" ref="N22:N41">IF(D22="","",IF(OR(L22="P",L22="RP"),"--","NO"))</f>
        <v>--</v>
      </c>
      <c r="O22" s="851">
        <f aca="true" t="shared" si="5" ref="O22:O41">IF(L22="P",$F$17/10,$F$17)</f>
        <v>2</v>
      </c>
      <c r="P22" s="852">
        <f aca="true" t="shared" si="6" ref="P22:P41">IF(L22="P",G22*O22*ROUND(K22/60,2),"--")</f>
        <v>294.75600000000003</v>
      </c>
      <c r="Q22" s="853" t="str">
        <f aca="true" t="shared" si="7" ref="Q22:Q41">IF(AND(L22="F",N22="NO"),G22*O22,"--")</f>
        <v>--</v>
      </c>
      <c r="R22" s="854" t="str">
        <f aca="true" t="shared" si="8" ref="R22:R41">IF(L22="F",G22*O22*ROUND(K22/60,2),"--")</f>
        <v>--</v>
      </c>
      <c r="S22" s="855" t="str">
        <f aca="true" t="shared" si="9" ref="S22:S41">IF(L22="RF",G22*O22*ROUND(K22/60,2),"--")</f>
        <v>--</v>
      </c>
      <c r="T22" s="791" t="str">
        <f aca="true" t="shared" si="10" ref="T22:T41">IF(D22="","","SI")</f>
        <v>SI</v>
      </c>
      <c r="U22" s="77">
        <f aca="true" t="shared" si="11" ref="U22:U41">IF(D22="","",SUM(P22:S22)*IF(T22="SI",1,2))</f>
        <v>294.75600000000003</v>
      </c>
      <c r="V22" s="129"/>
    </row>
    <row r="23" spans="2:22" s="16" customFormat="1" ht="16.5" customHeight="1">
      <c r="B23" s="125"/>
      <c r="C23" s="769">
        <v>44</v>
      </c>
      <c r="D23" s="847" t="s">
        <v>60</v>
      </c>
      <c r="E23" s="831" t="s">
        <v>61</v>
      </c>
      <c r="F23" s="848">
        <v>245</v>
      </c>
      <c r="G23" s="626">
        <f t="shared" si="0"/>
        <v>37.73</v>
      </c>
      <c r="H23" s="834">
        <v>37961.36736111111</v>
      </c>
      <c r="I23" s="787">
        <v>37961.717361111114</v>
      </c>
      <c r="J23" s="74">
        <f t="shared" si="1"/>
        <v>8.400000000139698</v>
      </c>
      <c r="K23" s="31">
        <f t="shared" si="2"/>
        <v>504</v>
      </c>
      <c r="L23" s="789" t="s">
        <v>238</v>
      </c>
      <c r="M23" s="815" t="str">
        <f t="shared" si="3"/>
        <v>--</v>
      </c>
      <c r="N23" s="791" t="str">
        <f t="shared" si="4"/>
        <v>--</v>
      </c>
      <c r="O23" s="851">
        <f t="shared" si="5"/>
        <v>2</v>
      </c>
      <c r="P23" s="852">
        <f t="shared" si="6"/>
        <v>633.8639999999999</v>
      </c>
      <c r="Q23" s="853" t="str">
        <f t="shared" si="7"/>
        <v>--</v>
      </c>
      <c r="R23" s="854" t="str">
        <f t="shared" si="8"/>
        <v>--</v>
      </c>
      <c r="S23" s="855" t="str">
        <f t="shared" si="9"/>
        <v>--</v>
      </c>
      <c r="T23" s="791" t="str">
        <f t="shared" si="10"/>
        <v>SI</v>
      </c>
      <c r="U23" s="77">
        <f t="shared" si="11"/>
        <v>633.8639999999999</v>
      </c>
      <c r="V23" s="129"/>
    </row>
    <row r="24" spans="2:22" s="16" customFormat="1" ht="16.5" customHeight="1">
      <c r="B24" s="125"/>
      <c r="C24" s="769">
        <v>45</v>
      </c>
      <c r="D24" s="847" t="s">
        <v>60</v>
      </c>
      <c r="E24" s="831" t="s">
        <v>62</v>
      </c>
      <c r="F24" s="848">
        <v>245</v>
      </c>
      <c r="G24" s="626">
        <f t="shared" si="0"/>
        <v>37.73</v>
      </c>
      <c r="H24" s="834">
        <v>37961.368055555555</v>
      </c>
      <c r="I24" s="787">
        <v>37961.775</v>
      </c>
      <c r="J24" s="74">
        <f t="shared" si="1"/>
        <v>9.766666666720994</v>
      </c>
      <c r="K24" s="31">
        <f t="shared" si="2"/>
        <v>586</v>
      </c>
      <c r="L24" s="789" t="s">
        <v>238</v>
      </c>
      <c r="M24" s="815" t="str">
        <f t="shared" si="3"/>
        <v>--</v>
      </c>
      <c r="N24" s="791" t="str">
        <f t="shared" si="4"/>
        <v>--</v>
      </c>
      <c r="O24" s="851">
        <f t="shared" si="5"/>
        <v>2</v>
      </c>
      <c r="P24" s="852">
        <f t="shared" si="6"/>
        <v>737.2441999999999</v>
      </c>
      <c r="Q24" s="853" t="str">
        <f t="shared" si="7"/>
        <v>--</v>
      </c>
      <c r="R24" s="854" t="str">
        <f t="shared" si="8"/>
        <v>--</v>
      </c>
      <c r="S24" s="855" t="str">
        <f t="shared" si="9"/>
        <v>--</v>
      </c>
      <c r="T24" s="791" t="str">
        <f t="shared" si="10"/>
        <v>SI</v>
      </c>
      <c r="U24" s="77">
        <f t="shared" si="11"/>
        <v>737.2441999999999</v>
      </c>
      <c r="V24" s="129"/>
    </row>
    <row r="25" spans="2:22" s="16" customFormat="1" ht="16.5" customHeight="1">
      <c r="B25" s="125"/>
      <c r="C25" s="769">
        <v>46</v>
      </c>
      <c r="D25" s="847" t="s">
        <v>65</v>
      </c>
      <c r="E25" s="831" t="s">
        <v>214</v>
      </c>
      <c r="F25" s="848">
        <v>150</v>
      </c>
      <c r="G25" s="626">
        <f t="shared" si="0"/>
        <v>23.1</v>
      </c>
      <c r="H25" s="834">
        <v>37965</v>
      </c>
      <c r="I25" s="787">
        <v>37965.27569444444</v>
      </c>
      <c r="J25" s="74">
        <f t="shared" si="1"/>
        <v>6.616666666581295</v>
      </c>
      <c r="K25" s="31">
        <f t="shared" si="2"/>
        <v>397</v>
      </c>
      <c r="L25" s="789" t="s">
        <v>238</v>
      </c>
      <c r="M25" s="815" t="str">
        <f t="shared" si="3"/>
        <v>--</v>
      </c>
      <c r="N25" s="791" t="str">
        <f t="shared" si="4"/>
        <v>--</v>
      </c>
      <c r="O25" s="851">
        <f t="shared" si="5"/>
        <v>2</v>
      </c>
      <c r="P25" s="852">
        <f t="shared" si="6"/>
        <v>305.84400000000005</v>
      </c>
      <c r="Q25" s="853" t="str">
        <f t="shared" si="7"/>
        <v>--</v>
      </c>
      <c r="R25" s="854" t="str">
        <f t="shared" si="8"/>
        <v>--</v>
      </c>
      <c r="S25" s="855" t="str">
        <f t="shared" si="9"/>
        <v>--</v>
      </c>
      <c r="T25" s="791" t="str">
        <f t="shared" si="10"/>
        <v>SI</v>
      </c>
      <c r="U25" s="77">
        <f t="shared" si="11"/>
        <v>305.84400000000005</v>
      </c>
      <c r="V25" s="239"/>
    </row>
    <row r="26" spans="2:22" s="16" customFormat="1" ht="16.5" customHeight="1">
      <c r="B26" s="125"/>
      <c r="C26" s="769">
        <v>47</v>
      </c>
      <c r="D26" s="847" t="s">
        <v>60</v>
      </c>
      <c r="E26" s="831" t="s">
        <v>63</v>
      </c>
      <c r="F26" s="848">
        <v>245</v>
      </c>
      <c r="G26" s="626">
        <f t="shared" si="0"/>
        <v>37.73</v>
      </c>
      <c r="H26" s="834">
        <v>37965.32152777778</v>
      </c>
      <c r="I26" s="787">
        <v>37965.68472222222</v>
      </c>
      <c r="J26" s="74">
        <f t="shared" si="1"/>
        <v>8.71666666661622</v>
      </c>
      <c r="K26" s="31">
        <f t="shared" si="2"/>
        <v>523</v>
      </c>
      <c r="L26" s="789" t="s">
        <v>238</v>
      </c>
      <c r="M26" s="815" t="str">
        <f t="shared" si="3"/>
        <v>--</v>
      </c>
      <c r="N26" s="791" t="str">
        <f t="shared" si="4"/>
        <v>--</v>
      </c>
      <c r="O26" s="851">
        <f t="shared" si="5"/>
        <v>2</v>
      </c>
      <c r="P26" s="852">
        <f t="shared" si="6"/>
        <v>658.0112</v>
      </c>
      <c r="Q26" s="853" t="str">
        <f t="shared" si="7"/>
        <v>--</v>
      </c>
      <c r="R26" s="854" t="str">
        <f t="shared" si="8"/>
        <v>--</v>
      </c>
      <c r="S26" s="855" t="str">
        <f t="shared" si="9"/>
        <v>--</v>
      </c>
      <c r="T26" s="791" t="str">
        <f t="shared" si="10"/>
        <v>SI</v>
      </c>
      <c r="U26" s="77">
        <f t="shared" si="11"/>
        <v>658.0112</v>
      </c>
      <c r="V26" s="239"/>
    </row>
    <row r="27" spans="2:22" s="16" customFormat="1" ht="16.5" customHeight="1">
      <c r="B27" s="125"/>
      <c r="C27" s="769">
        <v>48</v>
      </c>
      <c r="D27" s="847" t="s">
        <v>60</v>
      </c>
      <c r="E27" s="831" t="s">
        <v>64</v>
      </c>
      <c r="F27" s="848">
        <v>245</v>
      </c>
      <c r="G27" s="626">
        <f t="shared" si="0"/>
        <v>37.73</v>
      </c>
      <c r="H27" s="834">
        <v>37965.32152777778</v>
      </c>
      <c r="I27" s="787">
        <v>37965.6875</v>
      </c>
      <c r="J27" s="74">
        <f t="shared" si="1"/>
        <v>8.783333333325572</v>
      </c>
      <c r="K27" s="31">
        <f t="shared" si="2"/>
        <v>527</v>
      </c>
      <c r="L27" s="789" t="s">
        <v>238</v>
      </c>
      <c r="M27" s="815" t="str">
        <f t="shared" si="3"/>
        <v>--</v>
      </c>
      <c r="N27" s="791" t="str">
        <f t="shared" si="4"/>
        <v>--</v>
      </c>
      <c r="O27" s="851">
        <f t="shared" si="5"/>
        <v>2</v>
      </c>
      <c r="P27" s="852">
        <f t="shared" si="6"/>
        <v>662.5387999999999</v>
      </c>
      <c r="Q27" s="853" t="str">
        <f t="shared" si="7"/>
        <v>--</v>
      </c>
      <c r="R27" s="854" t="str">
        <f t="shared" si="8"/>
        <v>--</v>
      </c>
      <c r="S27" s="855" t="str">
        <f t="shared" si="9"/>
        <v>--</v>
      </c>
      <c r="T27" s="791" t="str">
        <f t="shared" si="10"/>
        <v>SI</v>
      </c>
      <c r="U27" s="77">
        <f t="shared" si="11"/>
        <v>662.5387999999999</v>
      </c>
      <c r="V27" s="239"/>
    </row>
    <row r="28" spans="2:22" s="16" customFormat="1" ht="16.5" customHeight="1">
      <c r="B28" s="125"/>
      <c r="C28" s="769">
        <v>49</v>
      </c>
      <c r="D28" s="847" t="s">
        <v>21</v>
      </c>
      <c r="E28" s="831" t="s">
        <v>213</v>
      </c>
      <c r="F28" s="848">
        <v>150</v>
      </c>
      <c r="G28" s="626">
        <f t="shared" si="0"/>
        <v>23.1</v>
      </c>
      <c r="H28" s="834">
        <v>37968.075</v>
      </c>
      <c r="I28" s="787">
        <v>37986.99930555555</v>
      </c>
      <c r="J28" s="74">
        <f t="shared" si="1"/>
        <v>454.18333333334886</v>
      </c>
      <c r="K28" s="31">
        <f t="shared" si="2"/>
        <v>27251</v>
      </c>
      <c r="L28" s="789" t="s">
        <v>238</v>
      </c>
      <c r="M28" s="815" t="str">
        <f t="shared" si="3"/>
        <v>--</v>
      </c>
      <c r="N28" s="791" t="str">
        <f t="shared" si="4"/>
        <v>--</v>
      </c>
      <c r="O28" s="851">
        <f t="shared" si="5"/>
        <v>2</v>
      </c>
      <c r="P28" s="852">
        <f t="shared" si="6"/>
        <v>20983.116</v>
      </c>
      <c r="Q28" s="853" t="str">
        <f t="shared" si="7"/>
        <v>--</v>
      </c>
      <c r="R28" s="854" t="str">
        <f t="shared" si="8"/>
        <v>--</v>
      </c>
      <c r="S28" s="855" t="str">
        <f t="shared" si="9"/>
        <v>--</v>
      </c>
      <c r="T28" s="791" t="str">
        <f t="shared" si="10"/>
        <v>SI</v>
      </c>
      <c r="U28" s="77">
        <f t="shared" si="11"/>
        <v>20983.116</v>
      </c>
      <c r="V28" s="239"/>
    </row>
    <row r="29" spans="2:22" s="16" customFormat="1" ht="16.5" customHeight="1">
      <c r="B29" s="125"/>
      <c r="C29" s="769">
        <v>50</v>
      </c>
      <c r="D29" s="847" t="s">
        <v>30</v>
      </c>
      <c r="E29" s="831" t="s">
        <v>215</v>
      </c>
      <c r="F29" s="848">
        <v>120</v>
      </c>
      <c r="G29" s="626">
        <f t="shared" si="0"/>
        <v>18.48</v>
      </c>
      <c r="H29" s="834">
        <v>37972.259722222225</v>
      </c>
      <c r="I29" s="787">
        <v>37973.72638888889</v>
      </c>
      <c r="J29" s="74">
        <f t="shared" si="1"/>
        <v>35.20000000001164</v>
      </c>
      <c r="K29" s="31">
        <f t="shared" si="2"/>
        <v>2112</v>
      </c>
      <c r="L29" s="789" t="s">
        <v>238</v>
      </c>
      <c r="M29" s="815" t="str">
        <f t="shared" si="3"/>
        <v>--</v>
      </c>
      <c r="N29" s="791" t="str">
        <f t="shared" si="4"/>
        <v>--</v>
      </c>
      <c r="O29" s="851">
        <f t="shared" si="5"/>
        <v>2</v>
      </c>
      <c r="P29" s="852">
        <f t="shared" si="6"/>
        <v>1300.9920000000002</v>
      </c>
      <c r="Q29" s="853" t="str">
        <f t="shared" si="7"/>
        <v>--</v>
      </c>
      <c r="R29" s="854" t="str">
        <f t="shared" si="8"/>
        <v>--</v>
      </c>
      <c r="S29" s="855" t="str">
        <f t="shared" si="9"/>
        <v>--</v>
      </c>
      <c r="T29" s="791" t="str">
        <f t="shared" si="10"/>
        <v>SI</v>
      </c>
      <c r="U29" s="77">
        <f t="shared" si="11"/>
        <v>1300.9920000000002</v>
      </c>
      <c r="V29" s="239"/>
    </row>
    <row r="30" spans="2:22" s="16" customFormat="1" ht="16.5" customHeight="1">
      <c r="B30" s="125"/>
      <c r="C30" s="769"/>
      <c r="D30" s="847"/>
      <c r="E30" s="831"/>
      <c r="F30" s="848"/>
      <c r="G30" s="626">
        <f t="shared" si="0"/>
        <v>0</v>
      </c>
      <c r="H30" s="834"/>
      <c r="I30" s="787"/>
      <c r="J30" s="74">
        <f>IF(D30="","",(I30-H30)*24)</f>
      </c>
      <c r="K30" s="31">
        <f>IF(D30="","",ROUND((I30-H30)*24*60,0))</f>
      </c>
      <c r="L30" s="789"/>
      <c r="M30" s="815">
        <f>IF(D30="","","--")</f>
      </c>
      <c r="N30" s="791">
        <f>IF(D30="","",IF(OR(L30="P",L30="RP"),"--","NO"))</f>
      </c>
      <c r="O30" s="851">
        <f>IF(L30="P",$F$17/10,$F$17)</f>
        <v>20</v>
      </c>
      <c r="P30" s="852" t="str">
        <f>IF(L30="P",G30*O30*ROUND(K30/60,2),"--")</f>
        <v>--</v>
      </c>
      <c r="Q30" s="853" t="str">
        <f>IF(AND(L30="F",N30="NO"),G30*O30,"--")</f>
        <v>--</v>
      </c>
      <c r="R30" s="854" t="str">
        <f>IF(L30="F",G30*O30*ROUND(K30/60,2),"--")</f>
        <v>--</v>
      </c>
      <c r="S30" s="855" t="str">
        <f>IF(L30="RF",G30*O30*ROUND(K30/60,2),"--")</f>
        <v>--</v>
      </c>
      <c r="T30" s="791">
        <f>IF(D30="","","SI")</f>
      </c>
      <c r="U30" s="77">
        <f>IF(D30="","",SUM(P30:S30)*IF(T30="SI",1,2))</f>
      </c>
      <c r="V30" s="239"/>
    </row>
    <row r="31" spans="2:22" s="16" customFormat="1" ht="16.5" customHeight="1">
      <c r="B31" s="125"/>
      <c r="C31" s="769"/>
      <c r="D31" s="847"/>
      <c r="E31" s="831"/>
      <c r="F31" s="848"/>
      <c r="G31" s="626">
        <f t="shared" si="0"/>
        <v>0</v>
      </c>
      <c r="H31" s="834"/>
      <c r="I31" s="787"/>
      <c r="J31" s="74">
        <f t="shared" si="1"/>
      </c>
      <c r="K31" s="31">
        <f t="shared" si="2"/>
      </c>
      <c r="L31" s="789"/>
      <c r="M31" s="815">
        <f t="shared" si="3"/>
      </c>
      <c r="N31" s="791">
        <f t="shared" si="4"/>
      </c>
      <c r="O31" s="851">
        <f t="shared" si="5"/>
        <v>20</v>
      </c>
      <c r="P31" s="852" t="str">
        <f t="shared" si="6"/>
        <v>--</v>
      </c>
      <c r="Q31" s="853" t="str">
        <f t="shared" si="7"/>
        <v>--</v>
      </c>
      <c r="R31" s="854" t="str">
        <f t="shared" si="8"/>
        <v>--</v>
      </c>
      <c r="S31" s="855" t="str">
        <f t="shared" si="9"/>
        <v>--</v>
      </c>
      <c r="T31" s="791">
        <f t="shared" si="10"/>
      </c>
      <c r="U31" s="77">
        <f t="shared" si="11"/>
      </c>
      <c r="V31" s="129"/>
    </row>
    <row r="32" spans="2:22" s="16" customFormat="1" ht="16.5" customHeight="1">
      <c r="B32" s="125"/>
      <c r="C32" s="769"/>
      <c r="D32" s="847"/>
      <c r="E32" s="831"/>
      <c r="F32" s="848"/>
      <c r="G32" s="626">
        <f t="shared" si="0"/>
        <v>0</v>
      </c>
      <c r="H32" s="834"/>
      <c r="I32" s="787"/>
      <c r="J32" s="74">
        <f t="shared" si="1"/>
      </c>
      <c r="K32" s="31">
        <f t="shared" si="2"/>
      </c>
      <c r="L32" s="789"/>
      <c r="M32" s="815">
        <f t="shared" si="3"/>
      </c>
      <c r="N32" s="791">
        <f t="shared" si="4"/>
      </c>
      <c r="O32" s="851">
        <f t="shared" si="5"/>
        <v>20</v>
      </c>
      <c r="P32" s="852" t="str">
        <f t="shared" si="6"/>
        <v>--</v>
      </c>
      <c r="Q32" s="853" t="str">
        <f t="shared" si="7"/>
        <v>--</v>
      </c>
      <c r="R32" s="854" t="str">
        <f t="shared" si="8"/>
        <v>--</v>
      </c>
      <c r="S32" s="855" t="str">
        <f t="shared" si="9"/>
        <v>--</v>
      </c>
      <c r="T32" s="791">
        <f t="shared" si="10"/>
      </c>
      <c r="U32" s="77">
        <f t="shared" si="11"/>
      </c>
      <c r="V32" s="129"/>
    </row>
    <row r="33" spans="2:22" s="16" customFormat="1" ht="16.5" customHeight="1">
      <c r="B33" s="125"/>
      <c r="C33" s="769"/>
      <c r="D33" s="847"/>
      <c r="E33" s="831"/>
      <c r="F33" s="848"/>
      <c r="G33" s="626">
        <f t="shared" si="0"/>
        <v>0</v>
      </c>
      <c r="H33" s="834"/>
      <c r="I33" s="787"/>
      <c r="J33" s="74">
        <f t="shared" si="1"/>
      </c>
      <c r="K33" s="31">
        <f t="shared" si="2"/>
      </c>
      <c r="L33" s="789"/>
      <c r="M33" s="815">
        <f t="shared" si="3"/>
      </c>
      <c r="N33" s="791">
        <f t="shared" si="4"/>
      </c>
      <c r="O33" s="851">
        <f t="shared" si="5"/>
        <v>20</v>
      </c>
      <c r="P33" s="852" t="str">
        <f t="shared" si="6"/>
        <v>--</v>
      </c>
      <c r="Q33" s="853" t="str">
        <f t="shared" si="7"/>
        <v>--</v>
      </c>
      <c r="R33" s="854" t="str">
        <f t="shared" si="8"/>
        <v>--</v>
      </c>
      <c r="S33" s="855" t="str">
        <f t="shared" si="9"/>
        <v>--</v>
      </c>
      <c r="T33" s="791">
        <f t="shared" si="10"/>
      </c>
      <c r="U33" s="77">
        <f t="shared" si="11"/>
      </c>
      <c r="V33" s="129"/>
    </row>
    <row r="34" spans="2:22" s="16" customFormat="1" ht="16.5" customHeight="1">
      <c r="B34" s="125"/>
      <c r="C34" s="769"/>
      <c r="D34" s="847"/>
      <c r="E34" s="831"/>
      <c r="F34" s="848"/>
      <c r="G34" s="626">
        <f t="shared" si="0"/>
        <v>0</v>
      </c>
      <c r="H34" s="834"/>
      <c r="I34" s="787"/>
      <c r="J34" s="74">
        <f t="shared" si="1"/>
      </c>
      <c r="K34" s="31">
        <f t="shared" si="2"/>
      </c>
      <c r="L34" s="789"/>
      <c r="M34" s="815">
        <f t="shared" si="3"/>
      </c>
      <c r="N34" s="791">
        <f t="shared" si="4"/>
      </c>
      <c r="O34" s="851">
        <f t="shared" si="5"/>
        <v>20</v>
      </c>
      <c r="P34" s="852" t="str">
        <f t="shared" si="6"/>
        <v>--</v>
      </c>
      <c r="Q34" s="853" t="str">
        <f t="shared" si="7"/>
        <v>--</v>
      </c>
      <c r="R34" s="854" t="str">
        <f t="shared" si="8"/>
        <v>--</v>
      </c>
      <c r="S34" s="855" t="str">
        <f t="shared" si="9"/>
        <v>--</v>
      </c>
      <c r="T34" s="791">
        <f t="shared" si="10"/>
      </c>
      <c r="U34" s="77">
        <f t="shared" si="11"/>
      </c>
      <c r="V34" s="129"/>
    </row>
    <row r="35" spans="2:22" s="16" customFormat="1" ht="16.5" customHeight="1">
      <c r="B35" s="125"/>
      <c r="C35" s="769"/>
      <c r="D35" s="847"/>
      <c r="E35" s="831"/>
      <c r="F35" s="848"/>
      <c r="G35" s="626">
        <f t="shared" si="0"/>
        <v>0</v>
      </c>
      <c r="H35" s="834"/>
      <c r="I35" s="787"/>
      <c r="J35" s="74">
        <f t="shared" si="1"/>
      </c>
      <c r="K35" s="31">
        <f t="shared" si="2"/>
      </c>
      <c r="L35" s="789"/>
      <c r="M35" s="815">
        <f t="shared" si="3"/>
      </c>
      <c r="N35" s="791">
        <f t="shared" si="4"/>
      </c>
      <c r="O35" s="851">
        <f t="shared" si="5"/>
        <v>20</v>
      </c>
      <c r="P35" s="852" t="str">
        <f t="shared" si="6"/>
        <v>--</v>
      </c>
      <c r="Q35" s="853" t="str">
        <f t="shared" si="7"/>
        <v>--</v>
      </c>
      <c r="R35" s="854" t="str">
        <f t="shared" si="8"/>
        <v>--</v>
      </c>
      <c r="S35" s="855" t="str">
        <f t="shared" si="9"/>
        <v>--</v>
      </c>
      <c r="T35" s="791">
        <f t="shared" si="10"/>
      </c>
      <c r="U35" s="77">
        <f t="shared" si="11"/>
      </c>
      <c r="V35" s="129"/>
    </row>
    <row r="36" spans="2:22" s="16" customFormat="1" ht="16.5" customHeight="1">
      <c r="B36" s="125"/>
      <c r="C36" s="769"/>
      <c r="D36" s="847"/>
      <c r="E36" s="831"/>
      <c r="F36" s="848"/>
      <c r="G36" s="626">
        <f t="shared" si="0"/>
        <v>0</v>
      </c>
      <c r="H36" s="834"/>
      <c r="I36" s="787"/>
      <c r="J36" s="74">
        <f t="shared" si="1"/>
      </c>
      <c r="K36" s="31">
        <f t="shared" si="2"/>
      </c>
      <c r="L36" s="789"/>
      <c r="M36" s="815">
        <f t="shared" si="3"/>
      </c>
      <c r="N36" s="791">
        <f t="shared" si="4"/>
      </c>
      <c r="O36" s="851">
        <f t="shared" si="5"/>
        <v>20</v>
      </c>
      <c r="P36" s="852" t="str">
        <f t="shared" si="6"/>
        <v>--</v>
      </c>
      <c r="Q36" s="853" t="str">
        <f t="shared" si="7"/>
        <v>--</v>
      </c>
      <c r="R36" s="854" t="str">
        <f t="shared" si="8"/>
        <v>--</v>
      </c>
      <c r="S36" s="855" t="str">
        <f t="shared" si="9"/>
        <v>--</v>
      </c>
      <c r="T36" s="791">
        <f t="shared" si="10"/>
      </c>
      <c r="U36" s="77">
        <f t="shared" si="11"/>
      </c>
      <c r="V36" s="129"/>
    </row>
    <row r="37" spans="2:22" s="16" customFormat="1" ht="16.5" customHeight="1">
      <c r="B37" s="125"/>
      <c r="C37" s="769"/>
      <c r="D37" s="847"/>
      <c r="E37" s="831"/>
      <c r="F37" s="848"/>
      <c r="G37" s="626">
        <f t="shared" si="0"/>
        <v>0</v>
      </c>
      <c r="H37" s="834"/>
      <c r="I37" s="787"/>
      <c r="J37" s="74">
        <f t="shared" si="1"/>
      </c>
      <c r="K37" s="31">
        <f t="shared" si="2"/>
      </c>
      <c r="L37" s="789"/>
      <c r="M37" s="815">
        <f t="shared" si="3"/>
      </c>
      <c r="N37" s="791">
        <f t="shared" si="4"/>
      </c>
      <c r="O37" s="851">
        <f t="shared" si="5"/>
        <v>20</v>
      </c>
      <c r="P37" s="852" t="str">
        <f t="shared" si="6"/>
        <v>--</v>
      </c>
      <c r="Q37" s="853" t="str">
        <f t="shared" si="7"/>
        <v>--</v>
      </c>
      <c r="R37" s="854" t="str">
        <f t="shared" si="8"/>
        <v>--</v>
      </c>
      <c r="S37" s="855" t="str">
        <f t="shared" si="9"/>
        <v>--</v>
      </c>
      <c r="T37" s="791">
        <f t="shared" si="10"/>
      </c>
      <c r="U37" s="77">
        <f t="shared" si="11"/>
      </c>
      <c r="V37" s="129"/>
    </row>
    <row r="38" spans="2:22" s="16" customFormat="1" ht="16.5" customHeight="1">
      <c r="B38" s="125"/>
      <c r="C38" s="769"/>
      <c r="D38" s="847"/>
      <c r="E38" s="831"/>
      <c r="F38" s="848"/>
      <c r="G38" s="626">
        <f t="shared" si="0"/>
        <v>0</v>
      </c>
      <c r="H38" s="834"/>
      <c r="I38" s="787"/>
      <c r="J38" s="74">
        <f t="shared" si="1"/>
      </c>
      <c r="K38" s="31">
        <f t="shared" si="2"/>
      </c>
      <c r="L38" s="789"/>
      <c r="M38" s="815">
        <f t="shared" si="3"/>
      </c>
      <c r="N38" s="791">
        <f t="shared" si="4"/>
      </c>
      <c r="O38" s="851">
        <f t="shared" si="5"/>
        <v>20</v>
      </c>
      <c r="P38" s="852" t="str">
        <f t="shared" si="6"/>
        <v>--</v>
      </c>
      <c r="Q38" s="853" t="str">
        <f t="shared" si="7"/>
        <v>--</v>
      </c>
      <c r="R38" s="854" t="str">
        <f t="shared" si="8"/>
        <v>--</v>
      </c>
      <c r="S38" s="855" t="str">
        <f t="shared" si="9"/>
        <v>--</v>
      </c>
      <c r="T38" s="791">
        <f t="shared" si="10"/>
      </c>
      <c r="U38" s="77">
        <f t="shared" si="11"/>
      </c>
      <c r="V38" s="129"/>
    </row>
    <row r="39" spans="2:22" s="16" customFormat="1" ht="16.5" customHeight="1">
      <c r="B39" s="125"/>
      <c r="C39" s="769"/>
      <c r="D39" s="847"/>
      <c r="E39" s="831"/>
      <c r="F39" s="848"/>
      <c r="G39" s="626">
        <f t="shared" si="0"/>
        <v>0</v>
      </c>
      <c r="H39" s="834"/>
      <c r="I39" s="787"/>
      <c r="J39" s="74">
        <f t="shared" si="1"/>
      </c>
      <c r="K39" s="31">
        <f t="shared" si="2"/>
      </c>
      <c r="L39" s="789"/>
      <c r="M39" s="815">
        <f t="shared" si="3"/>
      </c>
      <c r="N39" s="791">
        <f t="shared" si="4"/>
      </c>
      <c r="O39" s="851">
        <f t="shared" si="5"/>
        <v>20</v>
      </c>
      <c r="P39" s="852" t="str">
        <f t="shared" si="6"/>
        <v>--</v>
      </c>
      <c r="Q39" s="853" t="str">
        <f t="shared" si="7"/>
        <v>--</v>
      </c>
      <c r="R39" s="854" t="str">
        <f t="shared" si="8"/>
        <v>--</v>
      </c>
      <c r="S39" s="855" t="str">
        <f t="shared" si="9"/>
        <v>--</v>
      </c>
      <c r="T39" s="791">
        <f t="shared" si="10"/>
      </c>
      <c r="U39" s="77">
        <f t="shared" si="11"/>
      </c>
      <c r="V39" s="129"/>
    </row>
    <row r="40" spans="2:22" s="16" customFormat="1" ht="16.5" customHeight="1">
      <c r="B40" s="125"/>
      <c r="C40" s="769"/>
      <c r="D40" s="847"/>
      <c r="E40" s="831"/>
      <c r="F40" s="848"/>
      <c r="G40" s="626">
        <f t="shared" si="0"/>
        <v>0</v>
      </c>
      <c r="H40" s="834"/>
      <c r="I40" s="787"/>
      <c r="J40" s="74">
        <f t="shared" si="1"/>
      </c>
      <c r="K40" s="31">
        <f t="shared" si="2"/>
      </c>
      <c r="L40" s="789"/>
      <c r="M40" s="815">
        <f t="shared" si="3"/>
      </c>
      <c r="N40" s="791">
        <f t="shared" si="4"/>
      </c>
      <c r="O40" s="851">
        <f t="shared" si="5"/>
        <v>20</v>
      </c>
      <c r="P40" s="852" t="str">
        <f t="shared" si="6"/>
        <v>--</v>
      </c>
      <c r="Q40" s="853" t="str">
        <f t="shared" si="7"/>
        <v>--</v>
      </c>
      <c r="R40" s="854" t="str">
        <f t="shared" si="8"/>
        <v>--</v>
      </c>
      <c r="S40" s="855" t="str">
        <f t="shared" si="9"/>
        <v>--</v>
      </c>
      <c r="T40" s="791">
        <f t="shared" si="10"/>
      </c>
      <c r="U40" s="77">
        <f t="shared" si="11"/>
      </c>
      <c r="V40" s="129"/>
    </row>
    <row r="41" spans="2:22" s="16" customFormat="1" ht="16.5" customHeight="1">
      <c r="B41" s="125"/>
      <c r="C41" s="769"/>
      <c r="D41" s="847"/>
      <c r="E41" s="831"/>
      <c r="F41" s="848"/>
      <c r="G41" s="626">
        <f t="shared" si="0"/>
        <v>0</v>
      </c>
      <c r="H41" s="834"/>
      <c r="I41" s="787"/>
      <c r="J41" s="74">
        <f t="shared" si="1"/>
      </c>
      <c r="K41" s="31">
        <f t="shared" si="2"/>
      </c>
      <c r="L41" s="789"/>
      <c r="M41" s="815">
        <f t="shared" si="3"/>
      </c>
      <c r="N41" s="791">
        <f t="shared" si="4"/>
      </c>
      <c r="O41" s="851">
        <f t="shared" si="5"/>
        <v>20</v>
      </c>
      <c r="P41" s="852" t="str">
        <f t="shared" si="6"/>
        <v>--</v>
      </c>
      <c r="Q41" s="853" t="str">
        <f t="shared" si="7"/>
        <v>--</v>
      </c>
      <c r="R41" s="854" t="str">
        <f t="shared" si="8"/>
        <v>--</v>
      </c>
      <c r="S41" s="855" t="str">
        <f t="shared" si="9"/>
        <v>--</v>
      </c>
      <c r="T41" s="791">
        <f t="shared" si="10"/>
      </c>
      <c r="U41" s="77">
        <f t="shared" si="11"/>
      </c>
      <c r="V41" s="129"/>
    </row>
    <row r="42" spans="2:22" s="16" customFormat="1" ht="16.5" customHeight="1" thickBot="1">
      <c r="B42" s="125"/>
      <c r="C42" s="778"/>
      <c r="D42" s="849"/>
      <c r="E42" s="833"/>
      <c r="F42" s="850"/>
      <c r="G42" s="351"/>
      <c r="H42" s="836"/>
      <c r="I42" s="836"/>
      <c r="J42" s="78"/>
      <c r="K42" s="78"/>
      <c r="L42" s="836"/>
      <c r="M42" s="803"/>
      <c r="N42" s="788"/>
      <c r="O42" s="856"/>
      <c r="P42" s="857"/>
      <c r="Q42" s="858"/>
      <c r="R42" s="859"/>
      <c r="S42" s="860"/>
      <c r="T42" s="788"/>
      <c r="U42" s="265"/>
      <c r="V42" s="129"/>
    </row>
    <row r="43" spans="2:22" s="16" customFormat="1" ht="16.5" customHeight="1" thickBot="1" thickTop="1">
      <c r="B43" s="125"/>
      <c r="C43" s="270" t="s">
        <v>115</v>
      </c>
      <c r="D43" s="271" t="s">
        <v>287</v>
      </c>
      <c r="G43" s="14"/>
      <c r="H43" s="14"/>
      <c r="I43" s="14"/>
      <c r="J43" s="14"/>
      <c r="K43" s="14"/>
      <c r="L43" s="14"/>
      <c r="M43" s="14"/>
      <c r="N43" s="14"/>
      <c r="O43" s="14"/>
      <c r="P43" s="516">
        <f>SUM(P20:P42)</f>
        <v>25576.366200000004</v>
      </c>
      <c r="Q43" s="523">
        <f>SUM(Q20:Q42)</f>
        <v>0</v>
      </c>
      <c r="R43" s="524">
        <f>SUM(R20:R42)</f>
        <v>0</v>
      </c>
      <c r="S43" s="528">
        <f>SUM(S20:S42)</f>
        <v>0</v>
      </c>
      <c r="U43" s="80">
        <f>ROUND(SUM(U20:U42),2)</f>
        <v>25576.37</v>
      </c>
      <c r="V43" s="240"/>
    </row>
    <row r="44" spans="2:22" s="274" customFormat="1" ht="9.75" thickTop="1">
      <c r="B44" s="275"/>
      <c r="C44" s="272"/>
      <c r="D44" s="273"/>
      <c r="G44" s="291"/>
      <c r="H44" s="291"/>
      <c r="I44" s="291"/>
      <c r="J44" s="291"/>
      <c r="K44" s="291"/>
      <c r="L44" s="291"/>
      <c r="M44" s="291"/>
      <c r="N44" s="291"/>
      <c r="O44" s="291"/>
      <c r="P44" s="289"/>
      <c r="Q44" s="289"/>
      <c r="R44" s="289"/>
      <c r="S44" s="289"/>
      <c r="U44" s="292"/>
      <c r="V44" s="293"/>
    </row>
    <row r="45" spans="2:22" s="16" customFormat="1" ht="16.5" customHeight="1" thickBot="1">
      <c r="B45" s="154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6"/>
    </row>
    <row r="46" spans="4:24" ht="16.5" customHeight="1" thickTop="1">
      <c r="D46" s="6"/>
      <c r="E46" s="6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4:24" ht="16.5" customHeight="1">
      <c r="D47" s="6"/>
      <c r="E47" s="6"/>
      <c r="F47" s="6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4:24" ht="16.5" customHeight="1">
      <c r="D48" s="6"/>
      <c r="E48" s="6"/>
      <c r="F48" s="6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4:24" ht="16.5" customHeight="1">
      <c r="D49" s="6"/>
      <c r="E49" s="6"/>
      <c r="F49" s="6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4:24" ht="16.5" customHeight="1">
      <c r="D50" s="6"/>
      <c r="E50" s="6"/>
      <c r="F50" s="6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4:24" ht="16.5" customHeight="1">
      <c r="D51" s="6"/>
      <c r="E51" s="6"/>
      <c r="F51" s="6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4:24" ht="16.5" customHeight="1"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4:24" ht="16.5" customHeight="1"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4:24" ht="16.5" customHeight="1"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4:24" ht="16.5" customHeight="1"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4:24" ht="16.5" customHeight="1"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4:24" ht="16.5" customHeight="1"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4:24" ht="16.5" customHeight="1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4:24" ht="16.5" customHeight="1"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4:24" ht="16.5" customHeight="1"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4:24" ht="16.5" customHeight="1"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4:24" ht="16.5" customHeight="1"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4:24" ht="16.5" customHeight="1"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4:24" ht="16.5" customHeight="1"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4:24" ht="16.5" customHeight="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4:24" ht="16.5" customHeight="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4:24" ht="16.5" customHeight="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4:24" ht="16.5" customHeight="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4:24" ht="16.5" customHeight="1"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4:24" ht="16.5" customHeight="1"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4:24" ht="16.5" customHeight="1"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4:24" ht="16.5" customHeight="1"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4:24" ht="16.5" customHeight="1"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4:24" ht="16.5" customHeight="1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4:24" ht="16.5" customHeight="1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4:24" ht="16.5" customHeight="1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4:24" ht="16.5" customHeight="1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4:24" ht="16.5" customHeight="1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4:24" ht="16.5" customHeight="1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4:24" ht="16.5" customHeight="1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4:24" ht="16.5" customHeight="1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4:24" ht="16.5" customHeight="1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4:24" ht="16.5" customHeight="1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4:24" ht="16.5" customHeight="1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4:24" ht="16.5" customHeight="1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4:24" ht="16.5" customHeight="1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4:24" ht="16.5" customHeight="1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4:24" ht="16.5" customHeight="1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4:24" ht="16.5" customHeight="1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4:24" ht="16.5" customHeight="1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4:24" ht="16.5" customHeight="1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4:24" ht="16.5" customHeight="1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4:24" ht="16.5" customHeight="1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4:24" ht="16.5" customHeight="1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4:24" ht="16.5" customHeight="1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4:24" ht="16.5" customHeight="1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4:24" ht="16.5" customHeight="1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4:24" ht="16.5" customHeight="1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4:24" ht="16.5" customHeight="1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4:24" ht="16.5" customHeight="1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4:24" ht="16.5" customHeight="1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4:24" ht="16.5" customHeight="1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4:24" ht="16.5" customHeight="1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4:24" ht="16.5" customHeight="1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4:24" ht="16.5" customHeight="1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4:24" ht="16.5" customHeight="1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4:24" ht="16.5" customHeight="1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4:24" ht="16.5" customHeight="1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4:24" ht="16.5" customHeight="1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4:24" ht="16.5" customHeight="1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4:24" ht="16.5" customHeight="1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4:24" ht="16.5" customHeight="1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4:24" ht="16.5" customHeight="1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 customHeight="1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 customHeight="1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 customHeight="1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 customHeight="1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 customHeight="1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 customHeight="1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 customHeight="1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4:24" ht="16.5" customHeight="1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4:24" ht="16.5" customHeight="1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4:24" ht="16.5" customHeight="1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4:24" ht="16.5" customHeight="1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4:24" ht="16.5" customHeight="1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4:24" ht="16.5" customHeight="1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4:24" ht="16.5" customHeight="1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4:24" ht="16.5" customHeight="1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4:24" ht="16.5" customHeight="1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4:24" ht="16.5" customHeight="1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4:24" ht="16.5" customHeight="1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4:24" ht="16.5" customHeight="1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4:24" ht="16.5" customHeight="1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4:24" ht="16.5" customHeight="1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4:24" ht="16.5" customHeight="1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4:24" ht="16.5" customHeight="1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4:24" ht="16.5" customHeight="1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4:24" ht="16.5" customHeight="1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4:24" ht="16.5" customHeight="1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4:24" ht="16.5" customHeight="1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4:24" ht="16.5" customHeight="1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4:24" ht="16.5" customHeight="1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4:24" ht="16.5" customHeight="1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4:24" ht="16.5" customHeight="1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4:24" ht="16.5" customHeight="1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4:24" ht="16.5" customHeight="1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4:24" ht="16.5" customHeight="1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4:24" ht="16.5" customHeight="1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4:24" ht="16.5" customHeight="1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4:24" ht="16.5" customHeight="1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4:24" ht="16.5" customHeight="1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4:24" ht="16.5" customHeight="1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4:24" ht="16.5" customHeight="1">
      <c r="D153" s="5"/>
      <c r="E153" s="5"/>
      <c r="F153" s="5"/>
      <c r="W153" s="5"/>
      <c r="X153" s="5"/>
    </row>
    <row r="154" spans="4:6" ht="16.5" customHeight="1">
      <c r="D154" s="5"/>
      <c r="E154" s="5"/>
      <c r="F154" s="5"/>
    </row>
    <row r="155" spans="4:6" ht="16.5" customHeight="1">
      <c r="D155" s="5"/>
      <c r="E155" s="5"/>
      <c r="F155" s="5"/>
    </row>
    <row r="156" spans="4:6" ht="16.5" customHeight="1">
      <c r="D156" s="5"/>
      <c r="E156" s="5"/>
      <c r="F156" s="5"/>
    </row>
    <row r="157" spans="4:6" ht="16.5" customHeight="1">
      <c r="D157" s="5"/>
      <c r="E157" s="5"/>
      <c r="F157" s="5"/>
    </row>
    <row r="158" spans="4:6" ht="16.5" customHeight="1">
      <c r="D158" s="5"/>
      <c r="E158" s="5"/>
      <c r="F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AG61"/>
  <sheetViews>
    <sheetView zoomScale="75" zoomScaleNormal="75" workbookViewId="0" topLeftCell="A1">
      <selection activeCell="M58" sqref="M58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AD1" s="754"/>
    </row>
    <row r="2" spans="1:23" ht="27" customHeight="1">
      <c r="A2" s="6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9" customFormat="1" ht="30.75">
      <c r="A3" s="636"/>
      <c r="B3" s="637" t="str">
        <f>+'tot-0312'!B2</f>
        <v>ANEXO I -1 a la Resolución ENRE N°  403 /2008.-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AB3" s="638"/>
      <c r="AC3" s="638"/>
      <c r="AD3" s="638"/>
    </row>
    <row r="4" spans="1:2" s="100" customFormat="1" ht="11.25">
      <c r="A4" s="98" t="s">
        <v>71</v>
      </c>
      <c r="B4" s="98"/>
    </row>
    <row r="5" spans="1:2" s="100" customFormat="1" ht="11.25">
      <c r="A5" s="98" t="s">
        <v>72</v>
      </c>
      <c r="B5" s="98"/>
    </row>
    <row r="6" s="100" customFormat="1" ht="12" thickBot="1">
      <c r="A6" s="98"/>
    </row>
    <row r="7" spans="1:30" ht="16.5" customHeight="1" thickTop="1">
      <c r="A7" s="16"/>
      <c r="B7" s="144"/>
      <c r="C7" s="145"/>
      <c r="D7" s="145"/>
      <c r="E7" s="146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343"/>
      <c r="X7" s="343"/>
      <c r="Y7" s="343"/>
      <c r="Z7" s="343"/>
      <c r="AA7" s="343"/>
      <c r="AB7" s="343"/>
      <c r="AC7" s="343"/>
      <c r="AD7" s="147"/>
    </row>
    <row r="8" spans="1:30" ht="20.25">
      <c r="A8" s="16"/>
      <c r="B8" s="125"/>
      <c r="C8" s="14"/>
      <c r="D8" s="7" t="s">
        <v>142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94"/>
      <c r="Q8" s="294"/>
      <c r="R8" s="14"/>
      <c r="S8" s="14"/>
      <c r="T8" s="14"/>
      <c r="U8" s="14"/>
      <c r="V8" s="14"/>
      <c r="AD8" s="148"/>
    </row>
    <row r="9" spans="1:30" ht="16.5" customHeight="1">
      <c r="A9" s="16"/>
      <c r="B9" s="12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AD9" s="148"/>
    </row>
    <row r="10" spans="2:30" s="15" customFormat="1" ht="20.25">
      <c r="B10" s="120"/>
      <c r="C10" s="119"/>
      <c r="D10" s="7" t="s">
        <v>143</v>
      </c>
      <c r="E10" s="119"/>
      <c r="F10" s="119"/>
      <c r="G10" s="119"/>
      <c r="H10" s="119"/>
      <c r="N10" s="119"/>
      <c r="O10" s="119"/>
      <c r="P10" s="363"/>
      <c r="Q10" s="363"/>
      <c r="R10" s="119"/>
      <c r="S10" s="119"/>
      <c r="T10" s="119"/>
      <c r="U10" s="119"/>
      <c r="V10" s="119"/>
      <c r="W10"/>
      <c r="X10" s="119"/>
      <c r="Y10" s="119"/>
      <c r="Z10" s="119"/>
      <c r="AA10" s="119"/>
      <c r="AB10" s="119"/>
      <c r="AC10"/>
      <c r="AD10" s="364"/>
    </row>
    <row r="11" spans="1:30" ht="16.5" customHeight="1">
      <c r="A11" s="16"/>
      <c r="B11" s="12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AD11" s="148"/>
    </row>
    <row r="12" spans="2:30" s="15" customFormat="1" ht="20.25">
      <c r="B12" s="120"/>
      <c r="C12" s="119"/>
      <c r="D12" s="7" t="s">
        <v>211</v>
      </c>
      <c r="E12" s="119"/>
      <c r="F12" s="119"/>
      <c r="G12" s="119"/>
      <c r="H12" s="119"/>
      <c r="N12" s="119"/>
      <c r="O12" s="119"/>
      <c r="P12" s="363"/>
      <c r="Q12" s="363"/>
      <c r="R12" s="119"/>
      <c r="S12" s="119"/>
      <c r="T12" s="119"/>
      <c r="U12" s="119"/>
      <c r="V12" s="119"/>
      <c r="W12"/>
      <c r="X12" s="119"/>
      <c r="Y12" s="119"/>
      <c r="Z12" s="119"/>
      <c r="AA12" s="119"/>
      <c r="AB12" s="119"/>
      <c r="AC12"/>
      <c r="AD12" s="364"/>
    </row>
    <row r="13" spans="1:30" ht="16.5" customHeight="1">
      <c r="A13" s="16"/>
      <c r="B13" s="125"/>
      <c r="C13" s="14"/>
      <c r="D13" s="14"/>
      <c r="E13" s="16"/>
      <c r="F13" s="16"/>
      <c r="G13" s="16"/>
      <c r="H13" s="16"/>
      <c r="I13" s="149"/>
      <c r="J13" s="149"/>
      <c r="K13" s="149"/>
      <c r="L13" s="149"/>
      <c r="M13" s="149"/>
      <c r="N13" s="149"/>
      <c r="O13" s="149"/>
      <c r="P13" s="149"/>
      <c r="Q13" s="149"/>
      <c r="R13" s="14"/>
      <c r="S13" s="14"/>
      <c r="T13" s="14"/>
      <c r="U13" s="14"/>
      <c r="V13" s="14"/>
      <c r="AD13" s="148"/>
    </row>
    <row r="14" spans="2:30" s="15" customFormat="1" ht="19.5">
      <c r="B14" s="113" t="str">
        <f>+'tot-0312'!B14</f>
        <v>Desde el 01 al 31 de diciembre de 2003</v>
      </c>
      <c r="C14" s="114"/>
      <c r="D14" s="116"/>
      <c r="E14" s="116"/>
      <c r="F14" s="116"/>
      <c r="G14" s="116"/>
      <c r="H14" s="116"/>
      <c r="I14" s="117"/>
      <c r="J14" s="4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366"/>
      <c r="V14" s="366"/>
      <c r="W14"/>
      <c r="X14" s="367"/>
      <c r="Y14" s="367"/>
      <c r="Z14" s="367"/>
      <c r="AA14" s="367"/>
      <c r="AB14" s="366"/>
      <c r="AC14" s="4"/>
      <c r="AD14" s="118"/>
    </row>
    <row r="15" spans="1:30" ht="16.5" customHeight="1">
      <c r="A15" s="16"/>
      <c r="B15" s="125"/>
      <c r="C15" s="14"/>
      <c r="D15" s="14"/>
      <c r="E15" s="2"/>
      <c r="F15" s="2"/>
      <c r="G15" s="14"/>
      <c r="H15" s="14"/>
      <c r="I15" s="14"/>
      <c r="J15" s="295"/>
      <c r="K15" s="14"/>
      <c r="L15" s="14"/>
      <c r="M15" s="14"/>
      <c r="N15" s="16"/>
      <c r="O15" s="16"/>
      <c r="P15" s="14"/>
      <c r="Q15" s="14"/>
      <c r="R15" s="14"/>
      <c r="S15" s="14"/>
      <c r="T15" s="14"/>
      <c r="U15" s="14"/>
      <c r="V15" s="14"/>
      <c r="AD15" s="148"/>
    </row>
    <row r="16" spans="1:30" ht="16.5" customHeight="1">
      <c r="A16" s="16"/>
      <c r="B16" s="125"/>
      <c r="C16" s="14"/>
      <c r="D16" s="14"/>
      <c r="E16" s="2"/>
      <c r="F16" s="2"/>
      <c r="G16" s="14"/>
      <c r="H16" s="14"/>
      <c r="I16" s="296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AD16" s="148"/>
    </row>
    <row r="17" spans="1:30" ht="16.5" customHeight="1">
      <c r="A17" s="16"/>
      <c r="B17" s="125"/>
      <c r="C17" s="14"/>
      <c r="D17" s="14"/>
      <c r="E17" s="2"/>
      <c r="F17" s="2"/>
      <c r="G17" s="14"/>
      <c r="H17" s="14"/>
      <c r="I17" s="296"/>
      <c r="J17" s="14"/>
      <c r="K17" s="12"/>
      <c r="M17" s="14"/>
      <c r="N17" s="16"/>
      <c r="O17" s="16"/>
      <c r="P17" s="14"/>
      <c r="Q17" s="14"/>
      <c r="R17" s="14"/>
      <c r="S17" s="14"/>
      <c r="T17" s="14"/>
      <c r="U17" s="14"/>
      <c r="V17" s="14"/>
      <c r="AD17" s="148"/>
    </row>
    <row r="18" spans="1:30" ht="16.5" customHeight="1">
      <c r="A18" s="16"/>
      <c r="B18" s="125"/>
      <c r="C18" s="606" t="s">
        <v>144</v>
      </c>
      <c r="D18" s="13" t="s">
        <v>145</v>
      </c>
      <c r="E18" s="2"/>
      <c r="F18" s="2"/>
      <c r="G18" s="14"/>
      <c r="H18" s="14"/>
      <c r="I18" s="14"/>
      <c r="J18" s="295"/>
      <c r="K18" s="14"/>
      <c r="L18" s="14"/>
      <c r="M18" s="14"/>
      <c r="N18" s="16"/>
      <c r="O18" s="16"/>
      <c r="P18" s="14"/>
      <c r="Q18" s="14"/>
      <c r="R18" s="14"/>
      <c r="S18" s="14"/>
      <c r="T18" s="14"/>
      <c r="U18" s="14"/>
      <c r="V18" s="14"/>
      <c r="AD18" s="148"/>
    </row>
    <row r="19" spans="2:30" s="107" customFormat="1" ht="16.5" customHeight="1">
      <c r="B19" s="315"/>
      <c r="C19" s="109"/>
      <c r="D19" s="575"/>
      <c r="E19" s="576"/>
      <c r="F19" s="309"/>
      <c r="G19" s="109"/>
      <c r="H19" s="109"/>
      <c r="I19" s="109"/>
      <c r="J19" s="596"/>
      <c r="K19" s="109"/>
      <c r="L19" s="109"/>
      <c r="M19" s="109"/>
      <c r="P19" s="109"/>
      <c r="Q19" s="109"/>
      <c r="R19" s="109"/>
      <c r="S19" s="109"/>
      <c r="T19" s="109"/>
      <c r="U19" s="109"/>
      <c r="V19" s="109"/>
      <c r="W19"/>
      <c r="AD19" s="597"/>
    </row>
    <row r="20" spans="2:30" s="107" customFormat="1" ht="16.5" customHeight="1">
      <c r="B20" s="315"/>
      <c r="C20" s="109"/>
      <c r="D20" s="577" t="s">
        <v>146</v>
      </c>
      <c r="F20" s="628">
        <v>56.353</v>
      </c>
      <c r="G20" s="577" t="s">
        <v>147</v>
      </c>
      <c r="H20" s="109"/>
      <c r="I20" s="109"/>
      <c r="J20" s="299"/>
      <c r="K20" s="579" t="s">
        <v>148</v>
      </c>
      <c r="L20" s="580">
        <v>0.0065</v>
      </c>
      <c r="R20" s="109"/>
      <c r="S20" s="109"/>
      <c r="T20" s="109"/>
      <c r="U20" s="109"/>
      <c r="V20" s="109"/>
      <c r="W20"/>
      <c r="AD20" s="597"/>
    </row>
    <row r="21" spans="2:30" s="107" customFormat="1" ht="16.5" customHeight="1">
      <c r="B21" s="315"/>
      <c r="C21" s="109"/>
      <c r="D21" s="709" t="s">
        <v>188</v>
      </c>
      <c r="E21" s="709"/>
      <c r="F21" s="578">
        <v>4098984</v>
      </c>
      <c r="G21" s="578"/>
      <c r="H21" s="109"/>
      <c r="I21" s="109"/>
      <c r="J21" s="109"/>
      <c r="K21" s="575" t="s">
        <v>151</v>
      </c>
      <c r="L21" s="109">
        <f>MID(B14,16,2)*24</f>
        <v>744</v>
      </c>
      <c r="M21" s="109" t="s">
        <v>152</v>
      </c>
      <c r="N21" s="109"/>
      <c r="O21" s="757"/>
      <c r="P21" s="758"/>
      <c r="Q21" s="14"/>
      <c r="R21" s="109"/>
      <c r="S21" s="109"/>
      <c r="T21" s="109"/>
      <c r="U21" s="109"/>
      <c r="V21" s="109"/>
      <c r="W21"/>
      <c r="AD21" s="597"/>
    </row>
    <row r="22" spans="2:30" s="107" customFormat="1" ht="16.5" customHeight="1">
      <c r="B22" s="315"/>
      <c r="C22" s="109"/>
      <c r="D22" s="109"/>
      <c r="E22" s="311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/>
      <c r="AD22" s="597"/>
    </row>
    <row r="23" spans="1:30" ht="16.5" customHeight="1">
      <c r="A23" s="16"/>
      <c r="B23" s="125"/>
      <c r="C23" s="606" t="s">
        <v>154</v>
      </c>
      <c r="D23" s="108" t="s">
        <v>155</v>
      </c>
      <c r="I23" s="14"/>
      <c r="J23" s="107"/>
      <c r="O23" s="14"/>
      <c r="P23" s="14"/>
      <c r="Q23" s="14"/>
      <c r="R23" s="14"/>
      <c r="S23" s="14"/>
      <c r="T23" s="14"/>
      <c r="V23" s="14"/>
      <c r="X23" s="14"/>
      <c r="Y23" s="14"/>
      <c r="Z23" s="14"/>
      <c r="AA23" s="14"/>
      <c r="AB23" s="14"/>
      <c r="AC23" s="14"/>
      <c r="AD23" s="148"/>
    </row>
    <row r="24" spans="1:30" ht="10.5" customHeight="1" thickBot="1">
      <c r="A24" s="16"/>
      <c r="B24" s="125"/>
      <c r="C24" s="2"/>
      <c r="D24" s="108"/>
      <c r="I24" s="14"/>
      <c r="J24" s="107"/>
      <c r="O24" s="14"/>
      <c r="P24" s="14"/>
      <c r="Q24" s="14"/>
      <c r="R24" s="14"/>
      <c r="S24" s="14"/>
      <c r="T24" s="14"/>
      <c r="V24" s="14"/>
      <c r="X24" s="14"/>
      <c r="Y24" s="14"/>
      <c r="Z24" s="14"/>
      <c r="AA24" s="14"/>
      <c r="AB24" s="14"/>
      <c r="AC24" s="14"/>
      <c r="AD24" s="148"/>
    </row>
    <row r="25" spans="2:30" s="107" customFormat="1" ht="16.5" customHeight="1" thickBot="1" thickTop="1">
      <c r="B25" s="315"/>
      <c r="C25" s="309"/>
      <c r="D25"/>
      <c r="E25"/>
      <c r="F25"/>
      <c r="G25"/>
      <c r="H25"/>
      <c r="I25"/>
      <c r="J25" s="640" t="s">
        <v>156</v>
      </c>
      <c r="K25" s="641">
        <f>F21*L20</f>
        <v>26643.395999999997</v>
      </c>
      <c r="L25"/>
      <c r="S25"/>
      <c r="T25"/>
      <c r="U25"/>
      <c r="W25"/>
      <c r="AD25" s="597"/>
    </row>
    <row r="26" spans="2:30" s="107" customFormat="1" ht="11.25" customHeight="1" thickTop="1">
      <c r="B26" s="315"/>
      <c r="C26" s="309"/>
      <c r="D26" s="109"/>
      <c r="E26" s="311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/>
      <c r="W26"/>
      <c r="AD26" s="597"/>
    </row>
    <row r="27" spans="1:30" ht="16.5" customHeight="1">
      <c r="A27" s="16"/>
      <c r="B27" s="125"/>
      <c r="C27" s="606" t="s">
        <v>157</v>
      </c>
      <c r="D27" s="108" t="s">
        <v>158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AD27" s="148"/>
    </row>
    <row r="28" spans="1:30" ht="21.75" customHeight="1" thickBot="1">
      <c r="A28" s="16"/>
      <c r="B28" s="125"/>
      <c r="C28" s="14"/>
      <c r="D28" s="14"/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AD28" s="148"/>
    </row>
    <row r="29" spans="2:31" s="16" customFormat="1" ht="33.75" customHeight="1" thickBot="1" thickTop="1">
      <c r="B29" s="125"/>
      <c r="C29" s="165" t="s">
        <v>93</v>
      </c>
      <c r="D29" s="365" t="s">
        <v>74</v>
      </c>
      <c r="E29" s="170" t="s">
        <v>94</v>
      </c>
      <c r="F29" s="171" t="s">
        <v>95</v>
      </c>
      <c r="G29" s="166" t="s">
        <v>96</v>
      </c>
      <c r="H29" s="438" t="s">
        <v>97</v>
      </c>
      <c r="I29" s="494" t="s">
        <v>98</v>
      </c>
      <c r="J29" s="167" t="s">
        <v>99</v>
      </c>
      <c r="K29" s="168" t="s">
        <v>100</v>
      </c>
      <c r="L29" s="172" t="s">
        <v>101</v>
      </c>
      <c r="M29" s="173" t="s">
        <v>102</v>
      </c>
      <c r="N29" s="172" t="s">
        <v>159</v>
      </c>
      <c r="O29" s="172" t="s">
        <v>104</v>
      </c>
      <c r="P29" s="168" t="s">
        <v>105</v>
      </c>
      <c r="Q29" s="167" t="s">
        <v>106</v>
      </c>
      <c r="R29" s="551" t="s">
        <v>107</v>
      </c>
      <c r="S29" s="552" t="s">
        <v>108</v>
      </c>
      <c r="T29" s="547" t="s">
        <v>118</v>
      </c>
      <c r="U29" s="548"/>
      <c r="V29" s="549"/>
      <c r="W29" s="553" t="s">
        <v>160</v>
      </c>
      <c r="X29" s="554"/>
      <c r="Y29" s="555"/>
      <c r="Z29" s="557" t="s">
        <v>111</v>
      </c>
      <c r="AA29" s="559" t="s">
        <v>116</v>
      </c>
      <c r="AB29" s="174" t="s">
        <v>113</v>
      </c>
      <c r="AC29" s="209" t="s">
        <v>114</v>
      </c>
      <c r="AD29" s="152"/>
      <c r="AE29"/>
    </row>
    <row r="30" spans="1:30" ht="16.5" customHeight="1" thickTop="1">
      <c r="A30" s="16"/>
      <c r="B30" s="125"/>
      <c r="C30" s="301"/>
      <c r="D30" s="301"/>
      <c r="E30" s="302"/>
      <c r="F30" s="303"/>
      <c r="G30" s="542"/>
      <c r="H30" s="543"/>
      <c r="I30" s="544"/>
      <c r="J30" s="539"/>
      <c r="K30" s="304"/>
      <c r="L30" s="20"/>
      <c r="M30" s="20"/>
      <c r="N30" s="82"/>
      <c r="O30" s="82"/>
      <c r="P30" s="20"/>
      <c r="Q30" s="437"/>
      <c r="R30" s="642"/>
      <c r="S30" s="643"/>
      <c r="T30" s="644"/>
      <c r="U30" s="603"/>
      <c r="V30" s="645"/>
      <c r="W30" s="646"/>
      <c r="X30" s="647"/>
      <c r="Y30" s="648"/>
      <c r="Z30" s="649"/>
      <c r="AA30" s="650"/>
      <c r="AB30" s="651"/>
      <c r="AC30" s="652"/>
      <c r="AD30" s="148"/>
    </row>
    <row r="31" spans="1:30" ht="16.5" customHeight="1">
      <c r="A31" s="16"/>
      <c r="B31" s="125"/>
      <c r="C31" s="20" t="s">
        <v>241</v>
      </c>
      <c r="D31" s="20" t="s">
        <v>13</v>
      </c>
      <c r="E31" s="23">
        <v>500</v>
      </c>
      <c r="F31" s="22">
        <v>3.6</v>
      </c>
      <c r="G31" s="433" t="s">
        <v>7</v>
      </c>
      <c r="H31" s="540">
        <f>IF(G31="A",200,IF(G31="B",60,20))</f>
        <v>200</v>
      </c>
      <c r="I31" s="537">
        <f>IF(F31&gt;100,F31,100)*$F$20/100</f>
        <v>56.353</v>
      </c>
      <c r="J31" s="541">
        <v>37960.32916666667</v>
      </c>
      <c r="K31" s="25">
        <v>37960.51388888889</v>
      </c>
      <c r="L31" s="653">
        <f>IF(D31="","",(K31-J31)*24)</f>
        <v>4.433333333290648</v>
      </c>
      <c r="M31" s="31">
        <f>IF(D31="","",ROUND((K31-J31)*24*60,0))</f>
        <v>266</v>
      </c>
      <c r="N31" s="791" t="s">
        <v>238</v>
      </c>
      <c r="O31" s="29" t="str">
        <f>IF(D31="","","--")</f>
        <v>--</v>
      </c>
      <c r="P31" s="24" t="str">
        <f>IF(D31="","","NO")</f>
        <v>NO</v>
      </c>
      <c r="Q31" s="24" t="str">
        <f>IF(D31="","",IF(OR(N31="P",N31="RP"),"--","NO"))</f>
        <v>--</v>
      </c>
      <c r="R31" s="654">
        <f>IF(N31="P",+I31*H31*ROUND(M31/60,2)/100,"--")</f>
        <v>499.28758</v>
      </c>
      <c r="S31" s="655" t="str">
        <f>IF(N31="RP",I31*H31*ROUND(M31/60,2)*0.01*O31/100,"--")</f>
        <v>--</v>
      </c>
      <c r="T31" s="656" t="str">
        <f>IF(AND(N31="F",Q31="NO"),IF(P31="SI",1.2,1)*I31*H31,"--")</f>
        <v>--</v>
      </c>
      <c r="U31" s="657" t="str">
        <f>IF(AND(M31&gt;10,N31="F"),IF(M31&lt;=300,ROUND(M31/60,2),5)*I31*H31*IF(P31="SI",1.2,1),"--")</f>
        <v>--</v>
      </c>
      <c r="V31" s="658" t="str">
        <f>IF(AND(N31="F",M31&gt;300),IF(P31="SI",1.2,1)*(ROUND(M31/60,2)-5)*I31*H31*0.1,"--")</f>
        <v>--</v>
      </c>
      <c r="W31" s="659" t="str">
        <f>IF(AND(N31="R",Q31="NO"),IF(P31="SI",1.2,1)*I31*H31*O31/100,"--")</f>
        <v>--</v>
      </c>
      <c r="X31" s="660" t="str">
        <f>IF(AND(M31&gt;10,N31="R"),IF(M31&lt;=300,ROUND(M31/60,2),5)*I31*H31*O31/100*IF(P31="SI",1.2,1),"--")</f>
        <v>--</v>
      </c>
      <c r="Y31" s="661" t="str">
        <f>IF(AND(N31="R",M31&gt;300),IF(P31="SI",1.2,1)*(ROUND(M31/60,2)-5)*I31*H31*O31/100*0.1,"--")</f>
        <v>--</v>
      </c>
      <c r="Z31" s="662" t="str">
        <f>IF(N31="RF",IF(P31="SI",1.2,1)*ROUND(M31/60,2)*I31*H31*0.1,"--")</f>
        <v>--</v>
      </c>
      <c r="AA31" s="663" t="str">
        <f>IF(N31="RR",IF(P31="SI",1.2,1)*ROUND(M31/60,2)*I31*H31*O31/100*0.1,"--")</f>
        <v>--</v>
      </c>
      <c r="AB31" s="352" t="str">
        <f>IF(D31="","","SI")</f>
        <v>SI</v>
      </c>
      <c r="AC31" s="30">
        <f>IF(D31="","",SUM(R31:AA31)*IF(AB31="SI",1,2))</f>
        <v>499.28758</v>
      </c>
      <c r="AD31" s="153"/>
    </row>
    <row r="32" spans="1:30" ht="16.5" customHeight="1">
      <c r="A32" s="16"/>
      <c r="B32" s="125"/>
      <c r="C32" s="20" t="s">
        <v>242</v>
      </c>
      <c r="D32" s="20" t="s">
        <v>206</v>
      </c>
      <c r="E32" s="23">
        <v>500</v>
      </c>
      <c r="F32" s="22">
        <v>227</v>
      </c>
      <c r="G32" s="433" t="s">
        <v>2</v>
      </c>
      <c r="H32" s="540">
        <f>IF(G32="A",200,IF(G32="B",60,20))</f>
        <v>20</v>
      </c>
      <c r="I32" s="537">
        <f>IF(F32&gt;100,F32,100)*$F$20/100</f>
        <v>127.92131</v>
      </c>
      <c r="J32" s="541">
        <v>37977.34930555556</v>
      </c>
      <c r="K32" s="25">
        <v>37986.99930555555</v>
      </c>
      <c r="L32" s="653">
        <f>IF(D32="","",(K32-J32)*24)</f>
        <v>231.5999999998603</v>
      </c>
      <c r="M32" s="31">
        <f>IF(D32="","",ROUND((K32-J32)*24*60,0))</f>
        <v>13896</v>
      </c>
      <c r="N32" s="791" t="s">
        <v>231</v>
      </c>
      <c r="O32" s="29" t="str">
        <f>IF(D32="","","--")</f>
        <v>--</v>
      </c>
      <c r="P32" s="24" t="str">
        <f>IF(D32="","","NO")</f>
        <v>NO</v>
      </c>
      <c r="Q32" s="24" t="str">
        <f>IF(D32="","",IF(OR(N32="P",N32="RP"),"--","NO"))</f>
        <v>NO</v>
      </c>
      <c r="R32" s="654" t="str">
        <f>IF(N32="P",+I32*H32*ROUND(M32/60,2)/100,"--")</f>
        <v>--</v>
      </c>
      <c r="S32" s="655" t="str">
        <f>IF(N32="RP",I32*H32*ROUND(M32/60,2)*0.01*O32/100,"--")</f>
        <v>--</v>
      </c>
      <c r="T32" s="656">
        <f>IF(AND(N32="F",Q32="NO"),IF(P32="SI",1.2,1)*I32*H32,"--")</f>
        <v>2558.4262</v>
      </c>
      <c r="U32" s="657">
        <f>IF(AND(M32&gt;10,N32="F"),IF(M32&lt;=300,ROUND(M32/60,2),5)*I32*H32*IF(P32="SI",1.2,1),"--")</f>
        <v>12792.131</v>
      </c>
      <c r="V32" s="658">
        <f>IF(AND(N32="F",M32&gt;300),IF(P32="SI",1.2,1)*(ROUND(M32/60,2)-5)*I32*H32*0.1,"--")</f>
        <v>57973.937692</v>
      </c>
      <c r="W32" s="659" t="str">
        <f>IF(AND(N32="R",Q32="NO"),IF(P32="SI",1.2,1)*I32*H32*O32/100,"--")</f>
        <v>--</v>
      </c>
      <c r="X32" s="660" t="str">
        <f>IF(AND(M32&gt;10,N32="R"),IF(M32&lt;=300,ROUND(M32/60,2),5)*I32*H32*O32/100*IF(P32="SI",1.2,1),"--")</f>
        <v>--</v>
      </c>
      <c r="Y32" s="661" t="str">
        <f>IF(AND(N32="R",M32&gt;300),IF(P32="SI",1.2,1)*(ROUND(M32/60,2)-5)*I32*H32*O32/100*0.1,"--")</f>
        <v>--</v>
      </c>
      <c r="Z32" s="662" t="str">
        <f>IF(N32="RF",IF(P32="SI",1.2,1)*ROUND(M32/60,2)*I32*H32*0.1,"--")</f>
        <v>--</v>
      </c>
      <c r="AA32" s="663" t="str">
        <f>IF(N32="RR",IF(P32="SI",1.2,1)*ROUND(M32/60,2)*I32*H32*O32/100*0.1,"--")</f>
        <v>--</v>
      </c>
      <c r="AB32" s="352" t="str">
        <f>IF(D32="","","SI")</f>
        <v>SI</v>
      </c>
      <c r="AC32" s="30">
        <v>0</v>
      </c>
      <c r="AD32" s="153"/>
    </row>
    <row r="33" spans="1:30" ht="16.5" customHeight="1">
      <c r="A33" s="16"/>
      <c r="B33" s="125"/>
      <c r="C33" s="20" t="s">
        <v>243</v>
      </c>
      <c r="D33" s="20" t="s">
        <v>207</v>
      </c>
      <c r="E33" s="23">
        <v>500</v>
      </c>
      <c r="F33" s="22">
        <v>40</v>
      </c>
      <c r="G33" s="433" t="s">
        <v>2</v>
      </c>
      <c r="H33" s="540">
        <f>IF(G33="A",200,IF(G33="B",60,20))</f>
        <v>20</v>
      </c>
      <c r="I33" s="537">
        <f>IF(F33&gt;100,F33,100)*$F$20/100</f>
        <v>56.353</v>
      </c>
      <c r="J33" s="541">
        <v>37977.36666666667</v>
      </c>
      <c r="K33" s="25">
        <v>37977.39444444444</v>
      </c>
      <c r="L33" s="653">
        <f>IF(D33="","",(K33-J33)*24)</f>
        <v>0.6666666665696539</v>
      </c>
      <c r="M33" s="31">
        <f>IF(D33="","",ROUND((K33-J33)*24*60,0))</f>
        <v>40</v>
      </c>
      <c r="N33" s="791" t="s">
        <v>231</v>
      </c>
      <c r="O33" s="29" t="str">
        <f>IF(D33="","","--")</f>
        <v>--</v>
      </c>
      <c r="P33" s="24" t="str">
        <f>IF(D33="","","NO")</f>
        <v>NO</v>
      </c>
      <c r="Q33" s="24" t="str">
        <f>IF(D33="","",IF(OR(N33="P",N33="RP"),"--","NO"))</f>
        <v>NO</v>
      </c>
      <c r="R33" s="654" t="str">
        <f>IF(N33="P",+I33*H33*ROUND(M33/60,2)/100,"--")</f>
        <v>--</v>
      </c>
      <c r="S33" s="655" t="str">
        <f>IF(N33="RP",I33*H33*ROUND(M33/60,2)*0.01*O33/100,"--")</f>
        <v>--</v>
      </c>
      <c r="T33" s="656">
        <f>IF(AND(N33="F",Q33="NO"),IF(P33="SI",1.2,1)*I33*H33,"--")</f>
        <v>1127.06</v>
      </c>
      <c r="U33" s="657">
        <f>IF(AND(M33&gt;10,N33="F"),IF(M33&lt;=300,ROUND(M33/60,2),5)*I33*H33*IF(P33="SI",1.2,1),"--")</f>
        <v>755.1302000000001</v>
      </c>
      <c r="V33" s="658" t="str">
        <f>IF(AND(N33="F",M33&gt;300),IF(P33="SI",1.2,1)*(ROUND(M33/60,2)-5)*I33*H33*0.1,"--")</f>
        <v>--</v>
      </c>
      <c r="W33" s="659" t="str">
        <f>IF(AND(N33="R",Q33="NO"),IF(P33="SI",1.2,1)*I33*H33*O33/100,"--")</f>
        <v>--</v>
      </c>
      <c r="X33" s="660" t="str">
        <f>IF(AND(M33&gt;10,N33="R"),IF(M33&lt;=300,ROUND(M33/60,2),5)*I33*H33*O33/100*IF(P33="SI",1.2,1),"--")</f>
        <v>--</v>
      </c>
      <c r="Y33" s="661" t="str">
        <f>IF(AND(N33="R",M33&gt;300),IF(P33="SI",1.2,1)*(ROUND(M33/60,2)-5)*I33*H33*O33/100*0.1,"--")</f>
        <v>--</v>
      </c>
      <c r="Z33" s="662" t="str">
        <f>IF(N33="RF",IF(P33="SI",1.2,1)*ROUND(M33/60,2)*I33*H33*0.1,"--")</f>
        <v>--</v>
      </c>
      <c r="AA33" s="663" t="str">
        <f>IF(N33="RR",IF(P33="SI",1.2,1)*ROUND(M33/60,2)*I33*H33*O33/100*0.1,"--")</f>
        <v>--</v>
      </c>
      <c r="AB33" s="352" t="str">
        <f>IF(D33="","","SI")</f>
        <v>SI</v>
      </c>
      <c r="AC33" s="30">
        <f>IF(D33="","",SUM(R33:AA33)*IF(AB33="SI",1,2))</f>
        <v>1882.1902</v>
      </c>
      <c r="AD33" s="153"/>
    </row>
    <row r="34" spans="1:30" ht="16.5" customHeight="1" thickBot="1">
      <c r="A34" s="107"/>
      <c r="B34" s="125"/>
      <c r="C34" s="300"/>
      <c r="D34" s="300"/>
      <c r="E34" s="305"/>
      <c r="F34" s="306"/>
      <c r="G34" s="307"/>
      <c r="H34" s="536"/>
      <c r="I34" s="538"/>
      <c r="J34" s="308"/>
      <c r="K34" s="308"/>
      <c r="L34" s="33"/>
      <c r="M34" s="33"/>
      <c r="N34" s="33"/>
      <c r="O34" s="34"/>
      <c r="P34" s="33"/>
      <c r="Q34" s="33"/>
      <c r="R34" s="664"/>
      <c r="S34" s="665"/>
      <c r="T34" s="666"/>
      <c r="U34" s="667"/>
      <c r="V34" s="668"/>
      <c r="W34" s="669"/>
      <c r="X34" s="670"/>
      <c r="Y34" s="671"/>
      <c r="Z34" s="672"/>
      <c r="AA34" s="673"/>
      <c r="AB34" s="35"/>
      <c r="AC34" s="674"/>
      <c r="AD34" s="153"/>
    </row>
    <row r="35" spans="1:30" ht="16.5" customHeight="1" thickBot="1" thickTop="1">
      <c r="A35" s="107"/>
      <c r="B35" s="125"/>
      <c r="C35" s="309"/>
      <c r="D35" s="309"/>
      <c r="E35" s="310"/>
      <c r="F35" s="311"/>
      <c r="G35" s="298"/>
      <c r="H35" s="298"/>
      <c r="I35" s="312"/>
      <c r="J35" s="312"/>
      <c r="K35" s="312"/>
      <c r="L35" s="312"/>
      <c r="M35" s="312"/>
      <c r="N35" s="312"/>
      <c r="O35" s="313"/>
      <c r="P35" s="312"/>
      <c r="Q35" s="312"/>
      <c r="R35" s="545">
        <f aca="true" t="shared" si="0" ref="R35:AA35">SUM(R30:R34)</f>
        <v>499.28758</v>
      </c>
      <c r="S35" s="546">
        <f t="shared" si="0"/>
        <v>0</v>
      </c>
      <c r="T35" s="550">
        <f t="shared" si="0"/>
        <v>3685.4862</v>
      </c>
      <c r="U35" s="550">
        <f t="shared" si="0"/>
        <v>13547.261199999999</v>
      </c>
      <c r="V35" s="550">
        <f t="shared" si="0"/>
        <v>57973.937692</v>
      </c>
      <c r="W35" s="556">
        <f t="shared" si="0"/>
        <v>0</v>
      </c>
      <c r="X35" s="556">
        <f t="shared" si="0"/>
        <v>0</v>
      </c>
      <c r="Y35" s="556">
        <f t="shared" si="0"/>
        <v>0</v>
      </c>
      <c r="Z35" s="558">
        <f t="shared" si="0"/>
        <v>0</v>
      </c>
      <c r="AA35" s="560">
        <f t="shared" si="0"/>
        <v>0</v>
      </c>
      <c r="AB35" s="314"/>
      <c r="AC35" s="675">
        <f>SUM(AC30:AC34)</f>
        <v>2381.47778</v>
      </c>
      <c r="AD35" s="153"/>
    </row>
    <row r="36" spans="1:30" ht="13.5" customHeight="1" hidden="1" thickBot="1" thickTop="1">
      <c r="A36" s="107"/>
      <c r="B36" s="125"/>
      <c r="C36" s="309"/>
      <c r="D36" s="309"/>
      <c r="E36" s="310"/>
      <c r="F36" s="311"/>
      <c r="G36" s="298"/>
      <c r="H36" s="298"/>
      <c r="I36" s="312"/>
      <c r="J36" s="312"/>
      <c r="K36" s="312"/>
      <c r="L36" s="312"/>
      <c r="M36" s="312"/>
      <c r="N36" s="312"/>
      <c r="O36" s="313"/>
      <c r="P36" s="312"/>
      <c r="Q36" s="312"/>
      <c r="R36" s="676"/>
      <c r="S36" s="677"/>
      <c r="T36" s="678"/>
      <c r="U36" s="678"/>
      <c r="V36" s="678"/>
      <c r="W36" s="676"/>
      <c r="X36" s="676"/>
      <c r="Y36" s="676"/>
      <c r="Z36" s="676"/>
      <c r="AA36" s="676"/>
      <c r="AB36" s="599"/>
      <c r="AC36" s="340"/>
      <c r="AD36" s="153"/>
    </row>
    <row r="37" spans="1:33" s="16" customFormat="1" ht="33.75" customHeight="1" hidden="1" thickBot="1" thickTop="1">
      <c r="A37" s="64"/>
      <c r="B37" s="181"/>
      <c r="C37" s="204" t="s">
        <v>93</v>
      </c>
      <c r="D37" s="207" t="s">
        <v>124</v>
      </c>
      <c r="E37" s="205" t="s">
        <v>59</v>
      </c>
      <c r="F37" s="208" t="s">
        <v>125</v>
      </c>
      <c r="G37" s="209" t="s">
        <v>94</v>
      </c>
      <c r="H37" s="349" t="s">
        <v>98</v>
      </c>
      <c r="I37" s="679"/>
      <c r="J37" s="205" t="s">
        <v>99</v>
      </c>
      <c r="K37" s="205" t="s">
        <v>100</v>
      </c>
      <c r="L37" s="207" t="s">
        <v>126</v>
      </c>
      <c r="M37" s="207" t="s">
        <v>102</v>
      </c>
      <c r="N37" s="172" t="s">
        <v>141</v>
      </c>
      <c r="O37" s="205" t="s">
        <v>106</v>
      </c>
      <c r="P37" s="680" t="s">
        <v>127</v>
      </c>
      <c r="Q37" s="681"/>
      <c r="R37" s="349" t="s">
        <v>161</v>
      </c>
      <c r="S37" s="589" t="s">
        <v>107</v>
      </c>
      <c r="T37" s="581" t="s">
        <v>162</v>
      </c>
      <c r="U37" s="582"/>
      <c r="V37" s="592" t="s">
        <v>111</v>
      </c>
      <c r="W37" s="682"/>
      <c r="X37" s="683"/>
      <c r="Y37" s="683"/>
      <c r="Z37" s="683"/>
      <c r="AA37" s="684"/>
      <c r="AB37" s="175" t="s">
        <v>113</v>
      </c>
      <c r="AC37" s="209" t="s">
        <v>114</v>
      </c>
      <c r="AD37" s="148"/>
      <c r="AF37"/>
      <c r="AG37"/>
    </row>
    <row r="38" spans="1:30" ht="16.5" customHeight="1" hidden="1" thickTop="1">
      <c r="A38" s="16"/>
      <c r="B38" s="125"/>
      <c r="C38" s="47"/>
      <c r="D38" s="47"/>
      <c r="E38" s="47"/>
      <c r="F38" s="47"/>
      <c r="G38" s="368"/>
      <c r="H38" s="562"/>
      <c r="I38" s="685"/>
      <c r="J38" s="47"/>
      <c r="K38" s="47"/>
      <c r="L38" s="47"/>
      <c r="M38" s="47"/>
      <c r="N38" s="47"/>
      <c r="O38" s="369"/>
      <c r="P38" s="686"/>
      <c r="Q38" s="687"/>
      <c r="R38" s="593"/>
      <c r="S38" s="594"/>
      <c r="T38" s="583"/>
      <c r="U38" s="584"/>
      <c r="V38" s="595"/>
      <c r="W38" s="688"/>
      <c r="X38" s="689"/>
      <c r="Y38" s="689"/>
      <c r="Z38" s="689"/>
      <c r="AA38" s="690"/>
      <c r="AB38" s="369"/>
      <c r="AC38" s="370"/>
      <c r="AD38" s="148"/>
    </row>
    <row r="39" spans="1:30" ht="16.5" customHeight="1" hidden="1">
      <c r="A39" s="16"/>
      <c r="B39" s="125"/>
      <c r="C39" s="47"/>
      <c r="D39" s="48"/>
      <c r="E39" s="49"/>
      <c r="F39" s="50"/>
      <c r="G39" s="51"/>
      <c r="H39" s="563" t="e">
        <f>F39*#REF!</f>
        <v>#REF!</v>
      </c>
      <c r="I39" s="691"/>
      <c r="J39" s="54"/>
      <c r="K39" s="54"/>
      <c r="L39" s="55">
        <f>IF(D39="","",(K39-J39)*24)</f>
      </c>
      <c r="M39" s="56">
        <f>IF(D39="","",(K39-J39)*24*60)</f>
      </c>
      <c r="N39" s="52"/>
      <c r="O39" s="57">
        <f>IF(D39="","",IF(N39="P","--","NO"))</f>
      </c>
      <c r="P39" s="692">
        <f>IF(D39="","","NO")</f>
      </c>
      <c r="Q39" s="693"/>
      <c r="R39" s="530">
        <f>200*IF(P39="SI",1,0.1)*IF(N39="P",0.1,1)</f>
        <v>20</v>
      </c>
      <c r="S39" s="590" t="str">
        <f>IF(N39="P",H39*R39*ROUND(M39/60,2),"--")</f>
        <v>--</v>
      </c>
      <c r="T39" s="585" t="str">
        <f>IF(AND(N39="F",O39="NO"),H39*R39,"--")</f>
        <v>--</v>
      </c>
      <c r="U39" s="586" t="str">
        <f>IF(N39="F",H39*R39*ROUND(M39/60,2),"--")</f>
        <v>--</v>
      </c>
      <c r="V39" s="509" t="str">
        <f>IF(N39="RF",H39*R39*ROUND(M39/60,2),"--")</f>
        <v>--</v>
      </c>
      <c r="W39" s="694"/>
      <c r="X39" s="695"/>
      <c r="Y39" s="695"/>
      <c r="Z39" s="695"/>
      <c r="AA39" s="696"/>
      <c r="AB39" s="58">
        <f>IF(D39="","","SI")</f>
      </c>
      <c r="AC39" s="211">
        <f>IF(D39="","",SUM(S39:V39)*IF(AB39="SI",1,2))</f>
      </c>
      <c r="AD39" s="153"/>
    </row>
    <row r="40" spans="1:30" ht="16.5" customHeight="1" hidden="1">
      <c r="A40" s="16"/>
      <c r="B40" s="125"/>
      <c r="C40" s="47"/>
      <c r="D40" s="48"/>
      <c r="E40" s="49"/>
      <c r="F40" s="50"/>
      <c r="G40" s="51"/>
      <c r="H40" s="563" t="e">
        <f>F40*#REF!</f>
        <v>#REF!</v>
      </c>
      <c r="I40" s="691"/>
      <c r="J40" s="53"/>
      <c r="K40" s="54"/>
      <c r="L40" s="55">
        <f>IF(D40="","",(K40-J40)*24)</f>
      </c>
      <c r="M40" s="56">
        <f>IF(D40="","",(K40-J40)*24*60)</f>
      </c>
      <c r="N40" s="52"/>
      <c r="O40" s="57">
        <f>IF(D40="","",IF(N40="P","--","NO"))</f>
      </c>
      <c r="P40" s="692">
        <f>IF(D40="","","NO")</f>
      </c>
      <c r="Q40" s="693"/>
      <c r="R40" s="530">
        <f>200*IF(P40="SI",1,0.1)*IF(N40="P",0.1,1)</f>
        <v>20</v>
      </c>
      <c r="S40" s="590" t="str">
        <f>IF(N40="P",H40*R40*ROUND(M40/60,2),"--")</f>
        <v>--</v>
      </c>
      <c r="T40" s="585" t="str">
        <f>IF(AND(N40="F",O40="NO"),H40*R40,"--")</f>
        <v>--</v>
      </c>
      <c r="U40" s="586" t="str">
        <f>IF(N40="F",H40*R40*ROUND(M40/60,2),"--")</f>
        <v>--</v>
      </c>
      <c r="V40" s="509" t="str">
        <f>IF(N40="RF",H40*R40*ROUND(M40/60,2),"--")</f>
        <v>--</v>
      </c>
      <c r="W40" s="694"/>
      <c r="X40" s="695"/>
      <c r="Y40" s="695"/>
      <c r="Z40" s="695"/>
      <c r="AA40" s="696"/>
      <c r="AB40" s="58">
        <f>IF(D40="","","SI")</f>
      </c>
      <c r="AC40" s="211">
        <f>IF(D40="","",SUM(S40:V40)*IF(AB40="SI",1,2))</f>
      </c>
      <c r="AD40" s="153"/>
    </row>
    <row r="41" spans="1:30" ht="16.5" customHeight="1" hidden="1">
      <c r="A41" s="16"/>
      <c r="B41" s="125"/>
      <c r="C41" s="47"/>
      <c r="D41" s="48"/>
      <c r="E41" s="49"/>
      <c r="F41" s="50"/>
      <c r="G41" s="51"/>
      <c r="H41" s="563" t="e">
        <f>F41*#REF!</f>
        <v>#REF!</v>
      </c>
      <c r="I41" s="691"/>
      <c r="J41" s="53"/>
      <c r="K41" s="54"/>
      <c r="L41" s="55">
        <f>IF(D41="","",(K41-J41)*24)</f>
      </c>
      <c r="M41" s="56">
        <f>IF(D41="","",(K41-J41)*24*60)</f>
      </c>
      <c r="N41" s="52"/>
      <c r="O41" s="57">
        <f>IF(D41="","",IF(N41="P","--","NO"))</f>
      </c>
      <c r="P41" s="692">
        <f>IF(D41="","","NO")</f>
      </c>
      <c r="Q41" s="693"/>
      <c r="R41" s="530">
        <f>200*IF(P41="SI",1,0.1)*IF(N41="P",0.1,1)</f>
        <v>20</v>
      </c>
      <c r="S41" s="590" t="str">
        <f>IF(N41="P",H41*R41*ROUND(M41/60,2),"--")</f>
        <v>--</v>
      </c>
      <c r="T41" s="585" t="str">
        <f>IF(AND(N41="F",O41="NO"),H41*R41,"--")</f>
        <v>--</v>
      </c>
      <c r="U41" s="586" t="str">
        <f>IF(N41="F",H41*R41*ROUND(M41/60,2),"--")</f>
        <v>--</v>
      </c>
      <c r="V41" s="509" t="str">
        <f>IF(N41="RF",H41*R41*ROUND(M41/60,2),"--")</f>
        <v>--</v>
      </c>
      <c r="W41" s="694"/>
      <c r="X41" s="695"/>
      <c r="Y41" s="695"/>
      <c r="Z41" s="695"/>
      <c r="AA41" s="696"/>
      <c r="AB41" s="58">
        <f>IF(D41="","","SI")</f>
      </c>
      <c r="AC41" s="211">
        <f>IF(D41="","",SUM(S41:V41)*IF(AB41="SI",1,2))</f>
      </c>
      <c r="AD41" s="153"/>
    </row>
    <row r="42" spans="1:30" ht="16.5" customHeight="1" hidden="1">
      <c r="A42" s="16"/>
      <c r="B42" s="125"/>
      <c r="C42" s="47"/>
      <c r="D42" s="48"/>
      <c r="E42" s="49"/>
      <c r="F42" s="50"/>
      <c r="G42" s="51"/>
      <c r="H42" s="563" t="e">
        <f>F42*#REF!</f>
        <v>#REF!</v>
      </c>
      <c r="I42" s="691"/>
      <c r="J42" s="53"/>
      <c r="K42" s="54"/>
      <c r="L42" s="55">
        <f>IF(D42="","",(K42-J42)*24)</f>
      </c>
      <c r="M42" s="56">
        <f>IF(D42="","",(K42-J42)*24*60)</f>
      </c>
      <c r="N42" s="52"/>
      <c r="O42" s="57">
        <f>IF(D42="","",IF(N42="P","--","NO"))</f>
      </c>
      <c r="P42" s="692">
        <f>IF(D42="","","NO")</f>
      </c>
      <c r="Q42" s="693"/>
      <c r="R42" s="530">
        <f>200*IF(P42="SI",1,0.1)*IF(N42="P",0.1,1)</f>
        <v>20</v>
      </c>
      <c r="S42" s="590" t="str">
        <f>IF(N42="P",H42*R42*ROUND(M42/60,2),"--")</f>
        <v>--</v>
      </c>
      <c r="T42" s="585" t="str">
        <f>IF(AND(N42="F",O42="NO"),H42*R42,"--")</f>
        <v>--</v>
      </c>
      <c r="U42" s="586" t="str">
        <f>IF(N42="F",H42*R42*ROUND(M42/60,2),"--")</f>
        <v>--</v>
      </c>
      <c r="V42" s="509" t="str">
        <f>IF(N42="RF",H42*R42*ROUND(M42/60,2),"--")</f>
        <v>--</v>
      </c>
      <c r="W42" s="694"/>
      <c r="X42" s="695"/>
      <c r="Y42" s="695"/>
      <c r="Z42" s="695"/>
      <c r="AA42" s="696"/>
      <c r="AB42" s="58">
        <f>IF(D42="","","SI")</f>
      </c>
      <c r="AC42" s="211">
        <f>IF(D42="","",SUM(S42:V42)*IF(AB42="SI",1,2))</f>
      </c>
      <c r="AD42" s="153"/>
    </row>
    <row r="43" spans="1:30" ht="16.5" customHeight="1" hidden="1" thickBot="1">
      <c r="A43" s="107"/>
      <c r="B43" s="125"/>
      <c r="C43" s="59"/>
      <c r="D43" s="371"/>
      <c r="E43" s="372"/>
      <c r="F43" s="373"/>
      <c r="G43" s="374"/>
      <c r="H43" s="564"/>
      <c r="I43" s="697"/>
      <c r="J43" s="375"/>
      <c r="K43" s="376"/>
      <c r="L43" s="377"/>
      <c r="M43" s="378"/>
      <c r="N43" s="60"/>
      <c r="O43" s="33"/>
      <c r="P43" s="698"/>
      <c r="Q43" s="699"/>
      <c r="R43" s="531"/>
      <c r="S43" s="591"/>
      <c r="T43" s="587"/>
      <c r="U43" s="588"/>
      <c r="V43" s="535"/>
      <c r="W43" s="700"/>
      <c r="X43" s="701"/>
      <c r="Y43" s="701"/>
      <c r="Z43" s="701"/>
      <c r="AA43" s="702"/>
      <c r="AB43" s="379"/>
      <c r="AC43" s="380"/>
      <c r="AD43" s="153"/>
    </row>
    <row r="44" spans="1:30" ht="16.5" customHeight="1" hidden="1" thickBot="1" thickTop="1">
      <c r="A44" s="107"/>
      <c r="B44" s="125"/>
      <c r="C44" s="182"/>
      <c r="D44" s="1"/>
      <c r="E44" s="1"/>
      <c r="F44" s="244"/>
      <c r="G44" s="381"/>
      <c r="H44" s="382"/>
      <c r="I44" s="383"/>
      <c r="J44" s="384"/>
      <c r="K44" s="385"/>
      <c r="L44" s="386"/>
      <c r="M44" s="382"/>
      <c r="N44" s="387"/>
      <c r="O44" s="39"/>
      <c r="P44" s="388"/>
      <c r="Q44" s="389"/>
      <c r="R44" s="390"/>
      <c r="S44" s="390"/>
      <c r="T44" s="390"/>
      <c r="U44" s="344"/>
      <c r="V44" s="344"/>
      <c r="W44" s="344"/>
      <c r="X44" s="344"/>
      <c r="Y44" s="344"/>
      <c r="Z44" s="344"/>
      <c r="AA44" s="344"/>
      <c r="AB44" s="344"/>
      <c r="AC44" s="391">
        <f>SUM(AC38:AC43)</f>
        <v>0</v>
      </c>
      <c r="AD44" s="153"/>
    </row>
    <row r="45" spans="1:30" ht="16.5" customHeight="1" thickBot="1" thickTop="1">
      <c r="A45" s="107"/>
      <c r="B45" s="125"/>
      <c r="C45" s="182"/>
      <c r="D45" s="1"/>
      <c r="E45" s="1"/>
      <c r="F45" s="244"/>
      <c r="G45" s="381"/>
      <c r="H45" s="382"/>
      <c r="I45" s="383"/>
      <c r="J45" s="640" t="s">
        <v>163</v>
      </c>
      <c r="K45" s="641">
        <f>+AC44+AC35</f>
        <v>2381.47778</v>
      </c>
      <c r="L45" s="386"/>
      <c r="M45" s="382"/>
      <c r="N45" s="703"/>
      <c r="O45" s="704"/>
      <c r="P45" s="388"/>
      <c r="Q45" s="389"/>
      <c r="R45" s="390"/>
      <c r="S45" s="390"/>
      <c r="T45" s="390"/>
      <c r="U45" s="344"/>
      <c r="V45" s="344"/>
      <c r="W45" s="344"/>
      <c r="X45" s="344"/>
      <c r="Y45" s="344"/>
      <c r="Z45" s="344"/>
      <c r="AA45" s="344"/>
      <c r="AB45" s="344"/>
      <c r="AC45" s="705"/>
      <c r="AD45" s="153"/>
    </row>
    <row r="46" spans="1:30" ht="13.5" customHeight="1" thickTop="1">
      <c r="A46" s="107"/>
      <c r="B46" s="315"/>
      <c r="C46" s="309"/>
      <c r="D46" s="316"/>
      <c r="E46" s="317"/>
      <c r="F46" s="318"/>
      <c r="G46" s="319"/>
      <c r="H46" s="319"/>
      <c r="I46" s="317"/>
      <c r="J46" s="297"/>
      <c r="K46" s="297"/>
      <c r="L46" s="317"/>
      <c r="M46" s="317"/>
      <c r="N46" s="317"/>
      <c r="O46" s="320"/>
      <c r="P46" s="317"/>
      <c r="Q46" s="317"/>
      <c r="R46" s="321"/>
      <c r="S46" s="322"/>
      <c r="T46" s="322"/>
      <c r="U46" s="323"/>
      <c r="AC46" s="323"/>
      <c r="AD46" s="326"/>
    </row>
    <row r="47" spans="1:30" ht="16.5" customHeight="1">
      <c r="A47" s="107"/>
      <c r="B47" s="315"/>
      <c r="C47" s="327" t="s">
        <v>164</v>
      </c>
      <c r="D47" s="328" t="s">
        <v>165</v>
      </c>
      <c r="E47" s="317"/>
      <c r="F47" s="318"/>
      <c r="G47" s="319"/>
      <c r="H47" s="319"/>
      <c r="I47" s="317"/>
      <c r="J47" s="297"/>
      <c r="K47" s="297"/>
      <c r="L47" s="317"/>
      <c r="M47" s="317"/>
      <c r="N47" s="317"/>
      <c r="O47" s="320"/>
      <c r="P47" s="317"/>
      <c r="Q47" s="317"/>
      <c r="R47" s="321"/>
      <c r="S47" s="322"/>
      <c r="T47" s="322"/>
      <c r="U47" s="323"/>
      <c r="AC47" s="323"/>
      <c r="AD47" s="326"/>
    </row>
    <row r="48" spans="1:30" ht="16.5" customHeight="1">
      <c r="A48" s="107"/>
      <c r="B48" s="315"/>
      <c r="C48" s="327"/>
      <c r="D48" s="316"/>
      <c r="E48" s="317"/>
      <c r="F48" s="318"/>
      <c r="G48" s="319"/>
      <c r="H48" s="319"/>
      <c r="I48" s="317"/>
      <c r="J48" s="297"/>
      <c r="K48" s="297"/>
      <c r="L48" s="317"/>
      <c r="M48" s="317"/>
      <c r="N48" s="317"/>
      <c r="O48" s="320"/>
      <c r="P48" s="317"/>
      <c r="Q48" s="317"/>
      <c r="R48" s="317"/>
      <c r="S48" s="321"/>
      <c r="T48" s="322"/>
      <c r="AD48" s="326"/>
    </row>
    <row r="49" spans="2:30" s="107" customFormat="1" ht="16.5" customHeight="1">
      <c r="B49" s="315"/>
      <c r="C49" s="309"/>
      <c r="D49" s="337" t="s">
        <v>74</v>
      </c>
      <c r="E49" s="312" t="s">
        <v>166</v>
      </c>
      <c r="F49" s="312" t="s">
        <v>167</v>
      </c>
      <c r="G49" s="609" t="s">
        <v>168</v>
      </c>
      <c r="H49" s="313"/>
      <c r="I49" s="312"/>
      <c r="J49"/>
      <c r="K49" s="608" t="s">
        <v>169</v>
      </c>
      <c r="L49"/>
      <c r="M49"/>
      <c r="O49" s="608" t="s">
        <v>176</v>
      </c>
      <c r="P49" s="329"/>
      <c r="Q49" s="330"/>
      <c r="R49" s="331"/>
      <c r="S49" s="109"/>
      <c r="T49"/>
      <c r="U49"/>
      <c r="V49"/>
      <c r="W49"/>
      <c r="X49" s="109"/>
      <c r="Y49" s="109"/>
      <c r="Z49" s="109"/>
      <c r="AA49" s="109"/>
      <c r="AB49" s="109"/>
      <c r="AC49" s="706" t="s">
        <v>170</v>
      </c>
      <c r="AD49" s="326"/>
    </row>
    <row r="50" spans="2:30" s="107" customFormat="1" ht="16.5" customHeight="1">
      <c r="B50" s="315"/>
      <c r="C50" s="309"/>
      <c r="D50" s="312" t="s">
        <v>189</v>
      </c>
      <c r="E50" s="710">
        <v>267</v>
      </c>
      <c r="F50" s="392">
        <v>500</v>
      </c>
      <c r="G50" s="602">
        <f>E50*$F$20*$L$21/100</f>
        <v>111944.10744</v>
      </c>
      <c r="H50" s="602">
        <f>F50*$F$20*$L$21/100</f>
        <v>209633.16</v>
      </c>
      <c r="I50" s="602">
        <f>G50*$F$20*$L$21/100</f>
        <v>46934393.97205342</v>
      </c>
      <c r="J50" s="4"/>
      <c r="K50" s="604">
        <v>151911</v>
      </c>
      <c r="L50" s="4"/>
      <c r="M50" s="607" t="s">
        <v>271</v>
      </c>
      <c r="R50" s="331"/>
      <c r="S50" s="109"/>
      <c r="T50"/>
      <c r="U50"/>
      <c r="V50"/>
      <c r="W50"/>
      <c r="X50" s="109"/>
      <c r="Y50" s="109"/>
      <c r="Z50" s="109"/>
      <c r="AA50" s="109"/>
      <c r="AB50" s="707"/>
      <c r="AC50" s="578">
        <f>K50+G50</f>
        <v>263855.10744</v>
      </c>
      <c r="AD50" s="326"/>
    </row>
    <row r="51" spans="2:30" s="107" customFormat="1" ht="16.5" customHeight="1">
      <c r="B51" s="315"/>
      <c r="C51" s="309"/>
      <c r="D51" s="312" t="s">
        <v>190</v>
      </c>
      <c r="E51" s="710">
        <f>3*3.6</f>
        <v>10.8</v>
      </c>
      <c r="F51" s="392">
        <v>500</v>
      </c>
      <c r="G51" s="602">
        <f>E51*$F$20*$L$21/100</f>
        <v>4528.076256000001</v>
      </c>
      <c r="H51" s="333"/>
      <c r="I51" s="561"/>
      <c r="J51" s="4"/>
      <c r="K51" s="602">
        <v>4233</v>
      </c>
      <c r="L51" s="4"/>
      <c r="M51" s="607" t="s">
        <v>271</v>
      </c>
      <c r="O51" s="332"/>
      <c r="P51"/>
      <c r="Q51" s="331"/>
      <c r="R51" s="331"/>
      <c r="S51" s="109"/>
      <c r="T51"/>
      <c r="U51"/>
      <c r="V51"/>
      <c r="W51"/>
      <c r="X51" s="109"/>
      <c r="Y51" s="109"/>
      <c r="Z51" s="109"/>
      <c r="AA51" s="109"/>
      <c r="AB51" s="109"/>
      <c r="AC51" s="578">
        <f>K51+G51</f>
        <v>8761.076256</v>
      </c>
      <c r="AD51" s="326"/>
    </row>
    <row r="52" spans="2:30" s="107" customFormat="1" ht="16.5" customHeight="1">
      <c r="B52" s="315"/>
      <c r="C52" s="309"/>
      <c r="E52" s="299"/>
      <c r="F52" s="312"/>
      <c r="G52" s="313"/>
      <c r="H52"/>
      <c r="I52" s="312"/>
      <c r="J52" s="312"/>
      <c r="K52"/>
      <c r="L52" s="578"/>
      <c r="M52" s="330"/>
      <c r="N52" s="330"/>
      <c r="O52" s="604">
        <v>0</v>
      </c>
      <c r="P52" s="4"/>
      <c r="Q52" s="607" t="s">
        <v>271</v>
      </c>
      <c r="R52" s="331"/>
      <c r="S52" s="109"/>
      <c r="T52"/>
      <c r="U52"/>
      <c r="V52"/>
      <c r="W52"/>
      <c r="X52" s="109"/>
      <c r="Y52" s="109"/>
      <c r="Z52" s="109"/>
      <c r="AA52" s="109"/>
      <c r="AB52" s="109"/>
      <c r="AC52" s="711">
        <f>+O52</f>
        <v>0</v>
      </c>
      <c r="AD52" s="326"/>
    </row>
    <row r="53" spans="1:30" ht="16.5" customHeight="1">
      <c r="A53" s="107"/>
      <c r="B53" s="315"/>
      <c r="C53" s="309"/>
      <c r="D53" s="297"/>
      <c r="E53" s="299"/>
      <c r="F53" s="312"/>
      <c r="G53" s="312"/>
      <c r="H53" s="313"/>
      <c r="J53" s="312"/>
      <c r="L53" s="334"/>
      <c r="M53" s="330"/>
      <c r="N53" s="330"/>
      <c r="O53" s="331"/>
      <c r="P53" s="331"/>
      <c r="Q53" s="331"/>
      <c r="R53" s="331"/>
      <c r="S53" s="331"/>
      <c r="AC53" s="576">
        <f>SUM(AC50:AC52)</f>
        <v>272616.183696</v>
      </c>
      <c r="AD53" s="326"/>
    </row>
    <row r="54" spans="2:30" ht="16.5" customHeight="1">
      <c r="B54" s="315"/>
      <c r="C54" s="327" t="s">
        <v>183</v>
      </c>
      <c r="D54" s="335" t="s">
        <v>184</v>
      </c>
      <c r="E54" s="312"/>
      <c r="F54" s="336"/>
      <c r="G54" s="298"/>
      <c r="H54" s="297"/>
      <c r="I54" s="297"/>
      <c r="J54" s="297"/>
      <c r="K54" s="312"/>
      <c r="L54" s="312"/>
      <c r="M54" s="297"/>
      <c r="N54" s="312"/>
      <c r="O54" s="297"/>
      <c r="P54" s="297"/>
      <c r="Q54" s="297"/>
      <c r="R54" s="297"/>
      <c r="S54" s="297"/>
      <c r="T54" s="297"/>
      <c r="U54" s="297"/>
      <c r="AC54" s="297"/>
      <c r="AD54" s="326"/>
    </row>
    <row r="55" spans="2:30" s="107" customFormat="1" ht="16.5" customHeight="1">
      <c r="B55" s="315"/>
      <c r="C55" s="309"/>
      <c r="D55" s="337" t="s">
        <v>185</v>
      </c>
      <c r="E55" s="338">
        <f>10*K45*K25/AC53</f>
        <v>2327.472078051537</v>
      </c>
      <c r="G55" s="298"/>
      <c r="L55" s="312"/>
      <c r="N55" s="312"/>
      <c r="O55" s="313"/>
      <c r="V55"/>
      <c r="W55"/>
      <c r="AD55" s="326"/>
    </row>
    <row r="56" spans="2:30" s="107" customFormat="1" ht="16.5" customHeight="1">
      <c r="B56" s="315"/>
      <c r="C56" s="309"/>
      <c r="E56" s="601"/>
      <c r="F56" s="311"/>
      <c r="G56" s="298"/>
      <c r="J56" s="298"/>
      <c r="K56" s="340"/>
      <c r="L56" s="312"/>
      <c r="M56" s="312"/>
      <c r="N56" s="312"/>
      <c r="O56" s="313"/>
      <c r="P56" s="312"/>
      <c r="Q56" s="312"/>
      <c r="R56" s="599"/>
      <c r="S56" s="599"/>
      <c r="T56" s="599"/>
      <c r="U56" s="600"/>
      <c r="V56"/>
      <c r="W56"/>
      <c r="AC56" s="600"/>
      <c r="AD56" s="326"/>
    </row>
    <row r="57" spans="2:30" ht="16.5" customHeight="1">
      <c r="B57" s="315"/>
      <c r="C57" s="309"/>
      <c r="D57" s="341" t="s">
        <v>191</v>
      </c>
      <c r="E57" s="339"/>
      <c r="F57" s="311"/>
      <c r="G57" s="298"/>
      <c r="H57" s="297"/>
      <c r="I57" s="297"/>
      <c r="N57" s="312"/>
      <c r="O57" s="313"/>
      <c r="P57" s="312"/>
      <c r="Q57" s="312"/>
      <c r="R57" s="329"/>
      <c r="S57" s="329"/>
      <c r="T57" s="329"/>
      <c r="U57" s="330"/>
      <c r="AC57" s="330"/>
      <c r="AD57" s="326"/>
    </row>
    <row r="58" spans="2:30" ht="16.5" customHeight="1" thickBot="1">
      <c r="B58" s="315"/>
      <c r="C58" s="309"/>
      <c r="D58" s="341"/>
      <c r="E58" s="339"/>
      <c r="F58" s="311"/>
      <c r="G58" s="298"/>
      <c r="H58" s="297"/>
      <c r="I58" s="297"/>
      <c r="N58" s="312"/>
      <c r="O58" s="313"/>
      <c r="P58" s="312"/>
      <c r="Q58" s="312"/>
      <c r="R58" s="329"/>
      <c r="S58" s="329"/>
      <c r="T58" s="329"/>
      <c r="U58" s="330"/>
      <c r="AC58" s="330"/>
      <c r="AD58" s="326"/>
    </row>
    <row r="59" spans="2:30" s="616" customFormat="1" ht="21" thickBot="1" thickTop="1">
      <c r="B59" s="610"/>
      <c r="C59" s="611"/>
      <c r="D59" s="612"/>
      <c r="E59" s="613"/>
      <c r="F59" s="614"/>
      <c r="G59" s="615"/>
      <c r="I59"/>
      <c r="J59" s="617" t="s">
        <v>187</v>
      </c>
      <c r="K59" s="618">
        <f>IF(E55&gt;3*K25,K25*3,E55)</f>
        <v>2327.472078051537</v>
      </c>
      <c r="M59" s="619"/>
      <c r="N59" s="619"/>
      <c r="O59" s="620"/>
      <c r="P59" s="619"/>
      <c r="Q59" s="619"/>
      <c r="R59" s="621"/>
      <c r="S59" s="621"/>
      <c r="T59" s="621"/>
      <c r="U59" s="622"/>
      <c r="V59"/>
      <c r="W59"/>
      <c r="AC59" s="622"/>
      <c r="AD59" s="623"/>
    </row>
    <row r="60" spans="2:30" ht="16.5" customHeight="1" thickBot="1" thickTop="1">
      <c r="B60" s="132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345"/>
      <c r="W60" s="345"/>
      <c r="X60" s="345"/>
      <c r="Y60" s="345"/>
      <c r="Z60" s="345"/>
      <c r="AA60" s="345"/>
      <c r="AB60" s="345"/>
      <c r="AC60" s="134"/>
      <c r="AD60" s="342"/>
    </row>
    <row r="61" spans="2:23" ht="16.5" customHeight="1" thickTop="1">
      <c r="B61" s="12"/>
      <c r="C61" s="708"/>
      <c r="W61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G69"/>
  <sheetViews>
    <sheetView zoomScale="75" zoomScaleNormal="75" workbookViewId="0" topLeftCell="E1">
      <selection activeCell="F21" sqref="F21"/>
    </sheetView>
  </sheetViews>
  <sheetFormatPr defaultColWidth="11.421875" defaultRowHeight="12.75"/>
  <cols>
    <col min="1" max="1" width="44.8515625" style="0" customWidth="1"/>
    <col min="2" max="2" width="25.7109375" style="0" customWidth="1"/>
    <col min="3" max="3" width="4.7109375" style="0" customWidth="1"/>
    <col min="4" max="4" width="30.7109375" style="0" customWidth="1"/>
    <col min="5" max="5" width="20.7109375" style="0" customWidth="1"/>
    <col min="6" max="6" width="15.00390625" style="0" customWidth="1"/>
    <col min="7" max="7" width="14.7109375" style="0" customWidth="1"/>
    <col min="8" max="8" width="13.8515625" style="0" hidden="1" customWidth="1"/>
    <col min="9" max="9" width="18.7109375" style="0" hidden="1" customWidth="1"/>
    <col min="10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8.421875" style="0" customWidth="1"/>
    <col min="17" max="17" width="7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AD1" s="754"/>
    </row>
    <row r="2" spans="1:23" ht="27" customHeight="1">
      <c r="A2" s="6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9" customFormat="1" ht="30.75">
      <c r="A3" s="636"/>
      <c r="B3" s="637" t="str">
        <f>+'tot-0312'!B2</f>
        <v>ANEXO I -1 a la Resolución ENRE N°  403 /2008.-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AB3" s="638"/>
      <c r="AC3" s="638"/>
      <c r="AD3" s="638"/>
    </row>
    <row r="4" spans="1:2" s="100" customFormat="1" ht="11.25">
      <c r="A4" s="712" t="s">
        <v>71</v>
      </c>
      <c r="B4" s="724"/>
    </row>
    <row r="5" spans="1:2" s="100" customFormat="1" ht="12" thickBot="1">
      <c r="A5" s="712" t="s">
        <v>72</v>
      </c>
      <c r="B5" s="712"/>
    </row>
    <row r="6" spans="1:30" ht="16.5" customHeight="1" thickTop="1">
      <c r="A6" s="16"/>
      <c r="B6" s="144"/>
      <c r="C6" s="145"/>
      <c r="D6" s="145"/>
      <c r="E6" s="146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343"/>
      <c r="X6" s="343"/>
      <c r="Y6" s="343"/>
      <c r="Z6" s="343"/>
      <c r="AA6" s="343"/>
      <c r="AB6" s="343"/>
      <c r="AC6" s="343"/>
      <c r="AD6" s="147"/>
    </row>
    <row r="7" spans="1:30" ht="20.25">
      <c r="A7" s="16"/>
      <c r="B7" s="125"/>
      <c r="C7" s="14"/>
      <c r="D7" s="7" t="s">
        <v>142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4"/>
      <c r="Q7" s="294"/>
      <c r="R7" s="14"/>
      <c r="S7" s="14"/>
      <c r="T7" s="14"/>
      <c r="U7" s="14"/>
      <c r="V7" s="14"/>
      <c r="AD7" s="148"/>
    </row>
    <row r="8" spans="1:30" ht="16.5" customHeight="1">
      <c r="A8" s="16"/>
      <c r="B8" s="12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AD8" s="148"/>
    </row>
    <row r="9" spans="2:30" s="15" customFormat="1" ht="20.25">
      <c r="B9" s="120"/>
      <c r="C9" s="119"/>
      <c r="D9" s="7" t="s">
        <v>143</v>
      </c>
      <c r="E9" s="119"/>
      <c r="F9" s="119"/>
      <c r="G9" s="119"/>
      <c r="H9" s="119"/>
      <c r="N9" s="119"/>
      <c r="O9" s="119"/>
      <c r="P9" s="363"/>
      <c r="Q9" s="363"/>
      <c r="R9" s="119"/>
      <c r="S9" s="119"/>
      <c r="T9" s="119"/>
      <c r="U9" s="119"/>
      <c r="V9" s="119"/>
      <c r="W9"/>
      <c r="X9" s="119"/>
      <c r="Y9" s="119"/>
      <c r="Z9" s="119"/>
      <c r="AA9" s="119"/>
      <c r="AB9" s="119"/>
      <c r="AC9"/>
      <c r="AD9" s="364"/>
    </row>
    <row r="10" spans="1:30" ht="16.5" customHeight="1">
      <c r="A10" s="16"/>
      <c r="B10" s="12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AD10" s="148"/>
    </row>
    <row r="11" spans="2:30" s="15" customFormat="1" ht="20.25">
      <c r="B11" s="120"/>
      <c r="C11" s="119"/>
      <c r="D11" s="7" t="s">
        <v>212</v>
      </c>
      <c r="E11" s="119"/>
      <c r="F11" s="119"/>
      <c r="G11" s="119"/>
      <c r="H11" s="119"/>
      <c r="N11" s="119"/>
      <c r="O11" s="119"/>
      <c r="P11" s="363"/>
      <c r="Q11" s="363"/>
      <c r="R11" s="119"/>
      <c r="S11" s="119"/>
      <c r="T11" s="119"/>
      <c r="U11" s="119"/>
      <c r="V11" s="119"/>
      <c r="W11"/>
      <c r="X11" s="119"/>
      <c r="Y11" s="119"/>
      <c r="Z11" s="119"/>
      <c r="AA11" s="119"/>
      <c r="AB11" s="119"/>
      <c r="AC11"/>
      <c r="AD11" s="364"/>
    </row>
    <row r="12" spans="1:30" ht="16.5" customHeight="1">
      <c r="A12" s="16"/>
      <c r="B12" s="125"/>
      <c r="C12" s="14"/>
      <c r="D12" s="14"/>
      <c r="E12" s="16"/>
      <c r="F12" s="16"/>
      <c r="G12" s="16"/>
      <c r="H12" s="16"/>
      <c r="I12" s="149"/>
      <c r="J12" s="149"/>
      <c r="K12" s="149"/>
      <c r="L12" s="149"/>
      <c r="M12" s="149"/>
      <c r="N12" s="149"/>
      <c r="O12" s="149"/>
      <c r="P12" s="149"/>
      <c r="Q12" s="149"/>
      <c r="R12" s="14"/>
      <c r="S12" s="14"/>
      <c r="T12" s="14"/>
      <c r="U12" s="14"/>
      <c r="V12" s="14"/>
      <c r="AD12" s="148"/>
    </row>
    <row r="13" spans="2:30" s="15" customFormat="1" ht="19.5">
      <c r="B13" s="113" t="str">
        <f>+'tot-0312'!B14</f>
        <v>Desde el 01 al 31 de diciembre de 2003</v>
      </c>
      <c r="C13" s="114"/>
      <c r="D13" s="116"/>
      <c r="E13" s="116"/>
      <c r="F13" s="116"/>
      <c r="G13" s="116"/>
      <c r="H13" s="116"/>
      <c r="I13" s="117"/>
      <c r="J13" s="4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366"/>
      <c r="V13" s="366"/>
      <c r="W13"/>
      <c r="X13" s="367"/>
      <c r="Y13" s="367"/>
      <c r="Z13" s="367"/>
      <c r="AA13" s="367"/>
      <c r="AB13" s="366"/>
      <c r="AC13" s="4"/>
      <c r="AD13" s="118"/>
    </row>
    <row r="14" spans="1:30" ht="16.5" customHeight="1">
      <c r="A14" s="16"/>
      <c r="B14" s="125"/>
      <c r="C14" s="14"/>
      <c r="D14" s="14"/>
      <c r="E14" s="2"/>
      <c r="F14" s="2"/>
      <c r="G14" s="14"/>
      <c r="H14" s="14"/>
      <c r="I14" s="14"/>
      <c r="J14" s="295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AD14" s="148"/>
    </row>
    <row r="15" spans="1:30" ht="16.5" customHeight="1">
      <c r="A15" s="16"/>
      <c r="B15" s="125"/>
      <c r="C15" s="14"/>
      <c r="D15" s="14"/>
      <c r="E15" s="2"/>
      <c r="F15" s="2"/>
      <c r="G15" s="14"/>
      <c r="H15" s="14"/>
      <c r="I15" s="296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AD15" s="148"/>
    </row>
    <row r="16" spans="1:30" ht="16.5" customHeight="1">
      <c r="A16" s="16"/>
      <c r="B16" s="125"/>
      <c r="C16" s="14"/>
      <c r="D16" s="14"/>
      <c r="E16" s="2"/>
      <c r="F16" s="2"/>
      <c r="G16" s="14"/>
      <c r="H16" s="14"/>
      <c r="I16" s="296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AD16" s="148"/>
    </row>
    <row r="17" spans="1:30" ht="16.5" customHeight="1">
      <c r="A17" s="16"/>
      <c r="B17" s="125"/>
      <c r="C17" s="606" t="s">
        <v>144</v>
      </c>
      <c r="D17" s="13" t="s">
        <v>145</v>
      </c>
      <c r="E17" s="2"/>
      <c r="F17" s="2"/>
      <c r="G17" s="14"/>
      <c r="H17" s="14"/>
      <c r="I17" s="14"/>
      <c r="J17" s="295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AD17" s="148"/>
    </row>
    <row r="18" spans="2:30" s="107" customFormat="1" ht="16.5" customHeight="1">
      <c r="B18" s="315"/>
      <c r="C18" s="109"/>
      <c r="D18" s="575"/>
      <c r="E18" s="576"/>
      <c r="F18" s="309"/>
      <c r="G18" s="109"/>
      <c r="H18" s="109"/>
      <c r="I18" s="109"/>
      <c r="J18" s="596"/>
      <c r="K18" s="109"/>
      <c r="L18" s="109"/>
      <c r="M18" s="109"/>
      <c r="P18" s="109"/>
      <c r="Q18" s="109"/>
      <c r="R18" s="109"/>
      <c r="S18" s="109"/>
      <c r="T18" s="109"/>
      <c r="U18" s="109"/>
      <c r="V18" s="109"/>
      <c r="W18"/>
      <c r="AD18" s="597"/>
    </row>
    <row r="19" spans="2:30" s="107" customFormat="1" ht="16.5" customHeight="1">
      <c r="B19" s="315"/>
      <c r="C19" s="109"/>
      <c r="D19" s="577" t="s">
        <v>146</v>
      </c>
      <c r="F19" s="628">
        <v>56.353</v>
      </c>
      <c r="G19" s="577" t="s">
        <v>147</v>
      </c>
      <c r="H19" s="109"/>
      <c r="I19" s="109"/>
      <c r="J19" s="299"/>
      <c r="K19" s="579" t="s">
        <v>148</v>
      </c>
      <c r="L19" s="580">
        <v>0.04</v>
      </c>
      <c r="R19" s="109"/>
      <c r="S19" s="109"/>
      <c r="T19" s="109"/>
      <c r="U19" s="109"/>
      <c r="V19" s="109"/>
      <c r="W19"/>
      <c r="AD19" s="597"/>
    </row>
    <row r="20" spans="2:30" s="107" customFormat="1" ht="16.5" customHeight="1">
      <c r="B20" s="315"/>
      <c r="C20" s="109"/>
      <c r="D20" s="577" t="s">
        <v>149</v>
      </c>
      <c r="F20" s="628">
        <v>0.154</v>
      </c>
      <c r="G20" s="577" t="s">
        <v>150</v>
      </c>
      <c r="H20" s="109"/>
      <c r="I20" s="109"/>
      <c r="J20" s="109"/>
      <c r="K20" s="575" t="s">
        <v>151</v>
      </c>
      <c r="L20" s="109">
        <f>MID(B13,16,2)*24</f>
        <v>744</v>
      </c>
      <c r="M20" s="109" t="s">
        <v>152</v>
      </c>
      <c r="N20" s="109"/>
      <c r="O20" s="109"/>
      <c r="P20" s="598"/>
      <c r="Q20" s="109"/>
      <c r="R20" s="109"/>
      <c r="S20" s="109"/>
      <c r="T20" s="109"/>
      <c r="U20" s="109"/>
      <c r="V20" s="109"/>
      <c r="W20"/>
      <c r="AD20" s="597"/>
    </row>
    <row r="21" spans="2:30" s="107" customFormat="1" ht="16.5" customHeight="1">
      <c r="B21" s="315"/>
      <c r="C21" s="109"/>
      <c r="D21" s="577" t="s">
        <v>153</v>
      </c>
      <c r="F21" s="628">
        <v>24.587</v>
      </c>
      <c r="G21" s="577" t="s">
        <v>235</v>
      </c>
      <c r="H21" s="109"/>
      <c r="I21" s="109"/>
      <c r="J21" s="109"/>
      <c r="K21" s="757"/>
      <c r="L21" s="758"/>
      <c r="M21" s="109"/>
      <c r="N21" s="109"/>
      <c r="O21" s="109"/>
      <c r="P21" s="598"/>
      <c r="Q21" s="109"/>
      <c r="R21" s="109"/>
      <c r="S21" s="109"/>
      <c r="T21" s="109"/>
      <c r="U21" s="109"/>
      <c r="V21" s="109"/>
      <c r="W21"/>
      <c r="AD21" s="597"/>
    </row>
    <row r="22" spans="2:30" s="107" customFormat="1" ht="16.5" customHeight="1">
      <c r="B22" s="315"/>
      <c r="C22" s="109"/>
      <c r="D22" s="577" t="s">
        <v>236</v>
      </c>
      <c r="F22" s="628">
        <v>30.733</v>
      </c>
      <c r="G22" s="577" t="s">
        <v>235</v>
      </c>
      <c r="H22" s="109"/>
      <c r="I22" s="109"/>
      <c r="J22" s="109"/>
      <c r="K22" s="757"/>
      <c r="L22" s="758"/>
      <c r="M22" s="109"/>
      <c r="N22" s="109"/>
      <c r="O22" s="109"/>
      <c r="P22" s="598"/>
      <c r="Q22" s="109"/>
      <c r="R22" s="109"/>
      <c r="S22" s="109"/>
      <c r="T22" s="109"/>
      <c r="U22" s="109"/>
      <c r="V22" s="109"/>
      <c r="W22"/>
      <c r="AD22" s="597"/>
    </row>
    <row r="23" spans="2:30" s="107" customFormat="1" ht="8.25" customHeight="1">
      <c r="B23" s="315"/>
      <c r="C23" s="109"/>
      <c r="D23" s="109"/>
      <c r="E23" s="311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/>
      <c r="AD23" s="597"/>
    </row>
    <row r="24" spans="1:30" ht="16.5" customHeight="1">
      <c r="A24" s="16"/>
      <c r="B24" s="125"/>
      <c r="C24" s="606" t="s">
        <v>154</v>
      </c>
      <c r="D24" s="108" t="s">
        <v>155</v>
      </c>
      <c r="I24" s="14"/>
      <c r="J24" s="107"/>
      <c r="O24" s="14"/>
      <c r="P24" s="14"/>
      <c r="Q24" s="14"/>
      <c r="R24" s="14"/>
      <c r="S24" s="14"/>
      <c r="T24" s="14"/>
      <c r="V24" s="14"/>
      <c r="X24" s="14"/>
      <c r="Y24" s="14"/>
      <c r="Z24" s="14"/>
      <c r="AA24" s="14"/>
      <c r="AB24" s="14"/>
      <c r="AC24" s="14"/>
      <c r="AD24" s="148"/>
    </row>
    <row r="25" spans="1:30" ht="10.5" customHeight="1" thickBot="1">
      <c r="A25" s="16"/>
      <c r="B25" s="125"/>
      <c r="C25" s="2"/>
      <c r="D25" s="108"/>
      <c r="I25" s="14"/>
      <c r="J25" s="107"/>
      <c r="O25" s="14"/>
      <c r="P25" s="14"/>
      <c r="Q25" s="14"/>
      <c r="R25" s="14"/>
      <c r="S25" s="14"/>
      <c r="T25" s="14"/>
      <c r="V25" s="14"/>
      <c r="X25" s="14"/>
      <c r="Y25" s="14"/>
      <c r="Z25" s="14"/>
      <c r="AA25" s="14"/>
      <c r="AB25" s="14"/>
      <c r="AC25" s="14"/>
      <c r="AD25" s="148"/>
    </row>
    <row r="26" spans="2:30" s="107" customFormat="1" ht="16.5" customHeight="1" thickBot="1" thickTop="1">
      <c r="B26" s="315"/>
      <c r="C26" s="309"/>
      <c r="D26"/>
      <c r="E26"/>
      <c r="F26"/>
      <c r="G26"/>
      <c r="H26"/>
      <c r="I26"/>
      <c r="J26" s="640" t="s">
        <v>156</v>
      </c>
      <c r="K26" s="641">
        <f>L19*AC61</f>
        <v>27657.503804800002</v>
      </c>
      <c r="L26"/>
      <c r="S26"/>
      <c r="T26"/>
      <c r="U26"/>
      <c r="W26"/>
      <c r="AD26" s="597"/>
    </row>
    <row r="27" spans="2:30" s="107" customFormat="1" ht="11.25" customHeight="1" thickTop="1">
      <c r="B27" s="315"/>
      <c r="C27" s="309"/>
      <c r="D27" s="109"/>
      <c r="E27" s="311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/>
      <c r="W27"/>
      <c r="AD27" s="597"/>
    </row>
    <row r="28" spans="1:30" ht="16.5" customHeight="1">
      <c r="A28" s="16"/>
      <c r="B28" s="125"/>
      <c r="C28" s="606" t="s">
        <v>157</v>
      </c>
      <c r="D28" s="108" t="s">
        <v>158</v>
      </c>
      <c r="E28" s="1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AD28" s="148"/>
    </row>
    <row r="29" spans="1:30" ht="21.75" customHeight="1" thickBot="1">
      <c r="A29" s="16"/>
      <c r="B29" s="125"/>
      <c r="C29" s="14"/>
      <c r="D29" s="14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AD29" s="148"/>
    </row>
    <row r="30" spans="2:31" s="16" customFormat="1" ht="33.75" customHeight="1" thickBot="1" thickTop="1">
      <c r="B30" s="125"/>
      <c r="C30" s="165" t="s">
        <v>93</v>
      </c>
      <c r="D30" s="365" t="s">
        <v>74</v>
      </c>
      <c r="E30" s="170" t="s">
        <v>94</v>
      </c>
      <c r="F30" s="171" t="s">
        <v>95</v>
      </c>
      <c r="G30" s="166" t="s">
        <v>96</v>
      </c>
      <c r="H30" s="438" t="s">
        <v>97</v>
      </c>
      <c r="I30" s="494" t="s">
        <v>98</v>
      </c>
      <c r="J30" s="167" t="s">
        <v>99</v>
      </c>
      <c r="K30" s="168" t="s">
        <v>100</v>
      </c>
      <c r="L30" s="172" t="s">
        <v>101</v>
      </c>
      <c r="M30" s="173" t="s">
        <v>102</v>
      </c>
      <c r="N30" s="172" t="s">
        <v>159</v>
      </c>
      <c r="O30" s="172" t="s">
        <v>104</v>
      </c>
      <c r="P30" s="168" t="s">
        <v>105</v>
      </c>
      <c r="Q30" s="167" t="s">
        <v>106</v>
      </c>
      <c r="R30" s="551" t="s">
        <v>107</v>
      </c>
      <c r="S30" s="552" t="s">
        <v>108</v>
      </c>
      <c r="T30" s="547" t="s">
        <v>118</v>
      </c>
      <c r="U30" s="548"/>
      <c r="V30" s="549"/>
      <c r="W30" s="553" t="s">
        <v>160</v>
      </c>
      <c r="X30" s="554"/>
      <c r="Y30" s="555"/>
      <c r="Z30" s="557" t="s">
        <v>111</v>
      </c>
      <c r="AA30" s="559" t="s">
        <v>116</v>
      </c>
      <c r="AB30" s="174" t="s">
        <v>113</v>
      </c>
      <c r="AC30" s="209" t="s">
        <v>114</v>
      </c>
      <c r="AD30" s="152"/>
      <c r="AE30"/>
    </row>
    <row r="31" spans="1:30" ht="16.5" customHeight="1" thickTop="1">
      <c r="A31" s="16"/>
      <c r="B31" s="125"/>
      <c r="C31" s="301"/>
      <c r="D31" s="301"/>
      <c r="E31" s="302"/>
      <c r="F31" s="303"/>
      <c r="G31" s="542"/>
      <c r="H31" s="543"/>
      <c r="I31" s="544"/>
      <c r="J31" s="539"/>
      <c r="K31" s="304"/>
      <c r="L31" s="20"/>
      <c r="M31" s="20"/>
      <c r="N31" s="82"/>
      <c r="O31" s="82"/>
      <c r="P31" s="20"/>
      <c r="Q31" s="437"/>
      <c r="R31" s="642"/>
      <c r="S31" s="643"/>
      <c r="T31" s="644"/>
      <c r="U31" s="603"/>
      <c r="V31" s="645"/>
      <c r="W31" s="646"/>
      <c r="X31" s="647"/>
      <c r="Y31" s="648"/>
      <c r="Z31" s="649"/>
      <c r="AA31" s="650"/>
      <c r="AB31" s="651"/>
      <c r="AC31" s="652"/>
      <c r="AD31" s="148"/>
    </row>
    <row r="32" spans="1:30" ht="16.5" customHeight="1">
      <c r="A32" s="16"/>
      <c r="B32" s="125"/>
      <c r="C32" s="20" t="s">
        <v>244</v>
      </c>
      <c r="D32" s="20" t="s">
        <v>14</v>
      </c>
      <c r="E32" s="23">
        <v>500</v>
      </c>
      <c r="F32" s="22">
        <v>506</v>
      </c>
      <c r="G32" s="433" t="s">
        <v>2</v>
      </c>
      <c r="H32" s="540">
        <f>IF(G32="A",200,IF(G32="B",60,20))</f>
        <v>20</v>
      </c>
      <c r="I32" s="537">
        <f>IF(F32&gt;100,F32,100)*$F$19/100</f>
        <v>285.14618</v>
      </c>
      <c r="J32" s="541">
        <v>37963.23611111111</v>
      </c>
      <c r="K32" s="25">
        <v>37963.27361111111</v>
      </c>
      <c r="L32" s="653">
        <f>IF(D32="","",(K32-J32)*24)</f>
        <v>0.8999999999650754</v>
      </c>
      <c r="M32" s="31">
        <f>IF(D32="","",ROUND((K32-J32)*24*60,0))</f>
        <v>54</v>
      </c>
      <c r="N32" s="789" t="s">
        <v>238</v>
      </c>
      <c r="O32" s="29" t="str">
        <f>IF(D32="","","--")</f>
        <v>--</v>
      </c>
      <c r="P32" s="24" t="str">
        <f>IF(D32="","","NO")</f>
        <v>NO</v>
      </c>
      <c r="Q32" s="24" t="str">
        <f>IF(D32="","",IF(OR(N32="P",N32="RP"),"--","NO"))</f>
        <v>--</v>
      </c>
      <c r="R32" s="654">
        <f>IF(N32="P",+I32*H32*ROUND(M32/60,2)/100,"--")</f>
        <v>51.326312400000006</v>
      </c>
      <c r="S32" s="655" t="str">
        <f>IF(N32="RP",I32*H32*ROUND(M32/60,2)*0.01*O32/100,"--")</f>
        <v>--</v>
      </c>
      <c r="T32" s="656" t="str">
        <f>IF(AND(N32="F",Q32="NO"),IF(P32="SI",1.2,1)*I32*H32,"--")</f>
        <v>--</v>
      </c>
      <c r="U32" s="657" t="str">
        <f>IF(AND(M32&gt;10,N32="F"),IF(M32&lt;=300,ROUND(M32/60,2),5)*I32*H32*IF(P32="SI",1.2,1),"--")</f>
        <v>--</v>
      </c>
      <c r="V32" s="658" t="str">
        <f>IF(AND(N32="F",M32&gt;300),IF(P32="SI",1.2,1)*(ROUND(M32/60,2)-5)*I32*H32*0.1,"--")</f>
        <v>--</v>
      </c>
      <c r="W32" s="659" t="str">
        <f>IF(AND(N32="R",Q32="NO"),IF(P32="SI",1.2,1)*I32*H32*O32/100,"--")</f>
        <v>--</v>
      </c>
      <c r="X32" s="660" t="str">
        <f>IF(AND(M32&gt;10,N32="R"),IF(M32&lt;=300,ROUND(M32/60,2),5)*I32*H32*O32/100*IF(P32="SI",1.2,1),"--")</f>
        <v>--</v>
      </c>
      <c r="Y32" s="661" t="str">
        <f>IF(AND(N32="R",M32&gt;300),IF(P32="SI",1.2,1)*(ROUND(M32/60,2)-5)*I32*H32*O32/100*0.1,"--")</f>
        <v>--</v>
      </c>
      <c r="Z32" s="662" t="str">
        <f>IF(N32="RF",IF(P32="SI",1.2,1)*ROUND(M32/60,2)*I32*H32*0.1,"--")</f>
        <v>--</v>
      </c>
      <c r="AA32" s="663" t="str">
        <f>IF(N32="RR",IF(P32="SI",1.2,1)*ROUND(M32/60,2)*I32*H32*O32/100*0.1,"--")</f>
        <v>--</v>
      </c>
      <c r="AB32" s="352" t="str">
        <f>IF(D32="","","SI")</f>
        <v>SI</v>
      </c>
      <c r="AC32" s="30">
        <f>IF(D32="","",SUM(R32:AA32)*IF(AB32="SI",1,2))</f>
        <v>51.326312400000006</v>
      </c>
      <c r="AD32" s="153"/>
    </row>
    <row r="33" spans="1:30" ht="16.5" customHeight="1">
      <c r="A33" s="16"/>
      <c r="B33" s="125"/>
      <c r="C33" s="20" t="s">
        <v>245</v>
      </c>
      <c r="D33" s="20" t="s">
        <v>14</v>
      </c>
      <c r="E33" s="23">
        <v>500</v>
      </c>
      <c r="F33" s="22">
        <v>506</v>
      </c>
      <c r="G33" s="433" t="s">
        <v>2</v>
      </c>
      <c r="H33" s="540">
        <f>IF(G33="A",200,IF(G33="B",60,20))</f>
        <v>20</v>
      </c>
      <c r="I33" s="537">
        <f>IF(F33&gt;100,F33,100)*$F$19/100</f>
        <v>285.14618</v>
      </c>
      <c r="J33" s="541">
        <v>37966.115277777775</v>
      </c>
      <c r="K33" s="25">
        <v>37966.15</v>
      </c>
      <c r="L33" s="653">
        <f>IF(D33="","",(K33-J33)*24)</f>
        <v>0.8333333334303461</v>
      </c>
      <c r="M33" s="31">
        <f>IF(D33="","",ROUND((K33-J33)*24*60,0))</f>
        <v>50</v>
      </c>
      <c r="N33" s="789" t="s">
        <v>238</v>
      </c>
      <c r="O33" s="29" t="str">
        <f>IF(D33="","","--")</f>
        <v>--</v>
      </c>
      <c r="P33" s="24" t="str">
        <f>IF(D33="","","NO")</f>
        <v>NO</v>
      </c>
      <c r="Q33" s="24" t="str">
        <f>IF(D33="","",IF(OR(N33="P",N33="RP"),"--","NO"))</f>
        <v>--</v>
      </c>
      <c r="R33" s="654">
        <f>IF(N33="P",+I33*H33*ROUND(M33/60,2)/100,"--")</f>
        <v>47.334265880000004</v>
      </c>
      <c r="S33" s="655" t="str">
        <f>IF(N33="RP",I33*H33*ROUND(M33/60,2)*0.01*O33/100,"--")</f>
        <v>--</v>
      </c>
      <c r="T33" s="656" t="str">
        <f>IF(AND(N33="F",Q33="NO"),IF(P33="SI",1.2,1)*I33*H33,"--")</f>
        <v>--</v>
      </c>
      <c r="U33" s="657" t="str">
        <f>IF(AND(M33&gt;10,N33="F"),IF(M33&lt;=300,ROUND(M33/60,2),5)*I33*H33*IF(P33="SI",1.2,1),"--")</f>
        <v>--</v>
      </c>
      <c r="V33" s="658" t="str">
        <f>IF(AND(N33="F",M33&gt;300),IF(P33="SI",1.2,1)*(ROUND(M33/60,2)-5)*I33*H33*0.1,"--")</f>
        <v>--</v>
      </c>
      <c r="W33" s="659" t="str">
        <f>IF(AND(N33="R",Q33="NO"),IF(P33="SI",1.2,1)*I33*H33*O33/100,"--")</f>
        <v>--</v>
      </c>
      <c r="X33" s="660" t="str">
        <f>IF(AND(M33&gt;10,N33="R"),IF(M33&lt;=300,ROUND(M33/60,2),5)*I33*H33*O33/100*IF(P33="SI",1.2,1),"--")</f>
        <v>--</v>
      </c>
      <c r="Y33" s="661" t="str">
        <f>IF(AND(N33="R",M33&gt;300),IF(P33="SI",1.2,1)*(ROUND(M33/60,2)-5)*I33*H33*O33/100*0.1,"--")</f>
        <v>--</v>
      </c>
      <c r="Z33" s="662" t="str">
        <f>IF(N33="RF",IF(P33="SI",1.2,1)*ROUND(M33/60,2)*I33*H33*0.1,"--")</f>
        <v>--</v>
      </c>
      <c r="AA33" s="663" t="str">
        <f>IF(N33="RR",IF(P33="SI",1.2,1)*ROUND(M33/60,2)*I33*H33*O33/100*0.1,"--")</f>
        <v>--</v>
      </c>
      <c r="AB33" s="352" t="str">
        <f>IF(D33="","","SI")</f>
        <v>SI</v>
      </c>
      <c r="AC33" s="30">
        <f>IF(D33="","",SUM(R33:AA33)*IF(AB33="SI",1,2))</f>
        <v>47.334265880000004</v>
      </c>
      <c r="AD33" s="153"/>
    </row>
    <row r="34" spans="1:30" ht="16.5" customHeight="1">
      <c r="A34" s="16"/>
      <c r="B34" s="125"/>
      <c r="C34" s="20" t="s">
        <v>246</v>
      </c>
      <c r="D34" s="20" t="s">
        <v>14</v>
      </c>
      <c r="E34" s="23">
        <v>500</v>
      </c>
      <c r="F34" s="22">
        <v>506</v>
      </c>
      <c r="G34" s="433" t="s">
        <v>2</v>
      </c>
      <c r="H34" s="540">
        <f>IF(G34="A",200,IF(G34="B",60,20))</f>
        <v>20</v>
      </c>
      <c r="I34" s="537">
        <f>IF(F34&gt;100,F34,100)*$F$19/100</f>
        <v>285.14618</v>
      </c>
      <c r="J34" s="541">
        <v>37970.10833333333</v>
      </c>
      <c r="K34" s="25">
        <v>37970.138194444444</v>
      </c>
      <c r="L34" s="653">
        <f>IF(D34="","",(K34-J34)*24)</f>
        <v>0.7166666667326353</v>
      </c>
      <c r="M34" s="31">
        <f>IF(D34="","",ROUND((K34-J34)*24*60,0))</f>
        <v>43</v>
      </c>
      <c r="N34" s="789" t="s">
        <v>238</v>
      </c>
      <c r="O34" s="29" t="str">
        <f>IF(D34="","","--")</f>
        <v>--</v>
      </c>
      <c r="P34" s="24" t="str">
        <f>IF(D34="","","NO")</f>
        <v>NO</v>
      </c>
      <c r="Q34" s="24" t="str">
        <f>IF(D34="","",IF(OR(N34="P",N34="RP"),"--","NO"))</f>
        <v>--</v>
      </c>
      <c r="R34" s="654">
        <f>IF(N34="P",+I34*H34*ROUND(M34/60,2)/100,"--")</f>
        <v>41.061049919999995</v>
      </c>
      <c r="S34" s="655" t="str">
        <f>IF(N34="RP",I34*H34*ROUND(M34/60,2)*0.01*O34/100,"--")</f>
        <v>--</v>
      </c>
      <c r="T34" s="656" t="str">
        <f>IF(AND(N34="F",Q34="NO"),IF(P34="SI",1.2,1)*I34*H34,"--")</f>
        <v>--</v>
      </c>
      <c r="U34" s="657" t="str">
        <f>IF(AND(M34&gt;10,N34="F"),IF(M34&lt;=300,ROUND(M34/60,2),5)*I34*H34*IF(P34="SI",1.2,1),"--")</f>
        <v>--</v>
      </c>
      <c r="V34" s="658" t="str">
        <f>IF(AND(N34="F",M34&gt;300),IF(P34="SI",1.2,1)*(ROUND(M34/60,2)-5)*I34*H34*0.1,"--")</f>
        <v>--</v>
      </c>
      <c r="W34" s="659" t="str">
        <f>IF(AND(N34="R",Q34="NO"),IF(P34="SI",1.2,1)*I34*H34*O34/100,"--")</f>
        <v>--</v>
      </c>
      <c r="X34" s="660" t="str">
        <f>IF(AND(M34&gt;10,N34="R"),IF(M34&lt;=300,ROUND(M34/60,2),5)*I34*H34*O34/100*IF(P34="SI",1.2,1),"--")</f>
        <v>--</v>
      </c>
      <c r="Y34" s="661" t="str">
        <f>IF(AND(N34="R",M34&gt;300),IF(P34="SI",1.2,1)*(ROUND(M34/60,2)-5)*I34*H34*O34/100*0.1,"--")</f>
        <v>--</v>
      </c>
      <c r="Z34" s="662" t="str">
        <f>IF(N34="RF",IF(P34="SI",1.2,1)*ROUND(M34/60,2)*I34*H34*0.1,"--")</f>
        <v>--</v>
      </c>
      <c r="AA34" s="663" t="str">
        <f>IF(N34="RR",IF(P34="SI",1.2,1)*ROUND(M34/60,2)*I34*H34*O34/100*0.1,"--")</f>
        <v>--</v>
      </c>
      <c r="AB34" s="352" t="str">
        <f>IF(D34="","","SI")</f>
        <v>SI</v>
      </c>
      <c r="AC34" s="30">
        <f>IF(D34="","",SUM(R34:AA34)*IF(AB34="SI",1,2))</f>
        <v>41.061049919999995</v>
      </c>
      <c r="AD34" s="153"/>
    </row>
    <row r="35" spans="1:30" ht="16.5" customHeight="1" thickBot="1">
      <c r="A35" s="107"/>
      <c r="B35" s="125"/>
      <c r="C35" s="300"/>
      <c r="D35" s="300"/>
      <c r="E35" s="305"/>
      <c r="F35" s="306"/>
      <c r="G35" s="307"/>
      <c r="H35" s="536"/>
      <c r="I35" s="538"/>
      <c r="J35" s="308"/>
      <c r="K35" s="308"/>
      <c r="L35" s="33"/>
      <c r="M35" s="33"/>
      <c r="N35" s="33"/>
      <c r="O35" s="34"/>
      <c r="P35" s="33"/>
      <c r="Q35" s="33"/>
      <c r="R35" s="664"/>
      <c r="S35" s="665"/>
      <c r="T35" s="666"/>
      <c r="U35" s="667"/>
      <c r="V35" s="668"/>
      <c r="W35" s="669"/>
      <c r="X35" s="670"/>
      <c r="Y35" s="671"/>
      <c r="Z35" s="672"/>
      <c r="AA35" s="673"/>
      <c r="AB35" s="35"/>
      <c r="AC35" s="674"/>
      <c r="AD35" s="153"/>
    </row>
    <row r="36" spans="1:30" ht="16.5" customHeight="1" thickBot="1" thickTop="1">
      <c r="A36" s="107"/>
      <c r="B36" s="125"/>
      <c r="C36" s="309"/>
      <c r="D36" s="309"/>
      <c r="E36" s="310"/>
      <c r="F36" s="311"/>
      <c r="G36" s="298"/>
      <c r="H36" s="298"/>
      <c r="I36" s="312"/>
      <c r="J36" s="312"/>
      <c r="K36" s="312"/>
      <c r="L36" s="312"/>
      <c r="M36" s="312"/>
      <c r="N36" s="312"/>
      <c r="O36" s="313"/>
      <c r="P36" s="312"/>
      <c r="Q36" s="312"/>
      <c r="R36" s="545">
        <f aca="true" t="shared" si="0" ref="R36:AA36">SUM(R31:R35)</f>
        <v>139.7216282</v>
      </c>
      <c r="S36" s="546">
        <f t="shared" si="0"/>
        <v>0</v>
      </c>
      <c r="T36" s="550">
        <f t="shared" si="0"/>
        <v>0</v>
      </c>
      <c r="U36" s="550">
        <f t="shared" si="0"/>
        <v>0</v>
      </c>
      <c r="V36" s="550">
        <f t="shared" si="0"/>
        <v>0</v>
      </c>
      <c r="W36" s="556">
        <f t="shared" si="0"/>
        <v>0</v>
      </c>
      <c r="X36" s="556">
        <f t="shared" si="0"/>
        <v>0</v>
      </c>
      <c r="Y36" s="556">
        <f t="shared" si="0"/>
        <v>0</v>
      </c>
      <c r="Z36" s="558">
        <f t="shared" si="0"/>
        <v>0</v>
      </c>
      <c r="AA36" s="560">
        <f t="shared" si="0"/>
        <v>0</v>
      </c>
      <c r="AB36" s="314"/>
      <c r="AC36" s="675">
        <f>SUM(AC31:AC35)</f>
        <v>139.7216282</v>
      </c>
      <c r="AD36" s="153"/>
    </row>
    <row r="37" spans="1:30" ht="13.5" customHeight="1" thickBot="1" thickTop="1">
      <c r="A37" s="107"/>
      <c r="B37" s="125"/>
      <c r="C37" s="309"/>
      <c r="D37" s="309"/>
      <c r="E37" s="310"/>
      <c r="F37" s="311"/>
      <c r="G37" s="298"/>
      <c r="H37" s="298"/>
      <c r="I37" s="312"/>
      <c r="J37" s="312"/>
      <c r="K37" s="312"/>
      <c r="L37" s="312"/>
      <c r="M37" s="312"/>
      <c r="N37" s="312"/>
      <c r="O37" s="313"/>
      <c r="P37" s="312"/>
      <c r="Q37" s="312"/>
      <c r="R37" s="676"/>
      <c r="S37" s="677"/>
      <c r="T37" s="678"/>
      <c r="U37" s="678"/>
      <c r="V37" s="678"/>
      <c r="W37" s="676"/>
      <c r="X37" s="676"/>
      <c r="Y37" s="676"/>
      <c r="Z37" s="676"/>
      <c r="AA37" s="676"/>
      <c r="AB37" s="599"/>
      <c r="AC37" s="340"/>
      <c r="AD37" s="153"/>
    </row>
    <row r="38" spans="1:33" s="16" customFormat="1" ht="33.75" customHeight="1" thickBot="1" thickTop="1">
      <c r="A38" s="64"/>
      <c r="B38" s="181"/>
      <c r="C38" s="204" t="s">
        <v>93</v>
      </c>
      <c r="D38" s="207" t="s">
        <v>124</v>
      </c>
      <c r="E38" s="205" t="s">
        <v>59</v>
      </c>
      <c r="F38" s="208" t="s">
        <v>125</v>
      </c>
      <c r="G38" s="209" t="s">
        <v>94</v>
      </c>
      <c r="H38" s="349" t="s">
        <v>98</v>
      </c>
      <c r="I38" s="679"/>
      <c r="J38" s="205" t="s">
        <v>99</v>
      </c>
      <c r="K38" s="205" t="s">
        <v>100</v>
      </c>
      <c r="L38" s="207" t="s">
        <v>126</v>
      </c>
      <c r="M38" s="207" t="s">
        <v>102</v>
      </c>
      <c r="N38" s="172" t="s">
        <v>141</v>
      </c>
      <c r="O38" s="205" t="s">
        <v>106</v>
      </c>
      <c r="P38" s="680" t="s">
        <v>127</v>
      </c>
      <c r="Q38" s="681"/>
      <c r="R38" s="349" t="s">
        <v>161</v>
      </c>
      <c r="S38" s="589" t="s">
        <v>107</v>
      </c>
      <c r="T38" s="581" t="s">
        <v>162</v>
      </c>
      <c r="U38" s="582"/>
      <c r="V38" s="592" t="s">
        <v>111</v>
      </c>
      <c r="W38" s="682"/>
      <c r="X38" s="683"/>
      <c r="Y38" s="683"/>
      <c r="Z38" s="683"/>
      <c r="AA38" s="684"/>
      <c r="AB38" s="175" t="s">
        <v>113</v>
      </c>
      <c r="AC38" s="209" t="s">
        <v>114</v>
      </c>
      <c r="AD38" s="148"/>
      <c r="AF38"/>
      <c r="AG38"/>
    </row>
    <row r="39" spans="1:30" ht="16.5" customHeight="1" thickTop="1">
      <c r="A39" s="16"/>
      <c r="B39" s="125"/>
      <c r="C39" s="47"/>
      <c r="D39" s="47"/>
      <c r="E39" s="47"/>
      <c r="F39" s="47"/>
      <c r="G39" s="368"/>
      <c r="H39" s="562"/>
      <c r="I39" s="685"/>
      <c r="J39" s="47"/>
      <c r="K39" s="47"/>
      <c r="L39" s="47"/>
      <c r="M39" s="47"/>
      <c r="N39" s="47"/>
      <c r="O39" s="369"/>
      <c r="P39" s="686"/>
      <c r="Q39" s="687"/>
      <c r="R39" s="593"/>
      <c r="S39" s="594"/>
      <c r="T39" s="583"/>
      <c r="U39" s="584"/>
      <c r="V39" s="595"/>
      <c r="W39" s="688"/>
      <c r="X39" s="689"/>
      <c r="Y39" s="689"/>
      <c r="Z39" s="689"/>
      <c r="AA39" s="690"/>
      <c r="AB39" s="369"/>
      <c r="AC39" s="370"/>
      <c r="AD39" s="148"/>
    </row>
    <row r="40" spans="1:30" ht="16.5" customHeight="1">
      <c r="A40" s="16"/>
      <c r="B40" s="125"/>
      <c r="C40" s="47" t="s">
        <v>267</v>
      </c>
      <c r="D40" s="48" t="s">
        <v>68</v>
      </c>
      <c r="E40" s="49" t="s">
        <v>70</v>
      </c>
      <c r="F40" s="50">
        <v>80</v>
      </c>
      <c r="G40" s="51"/>
      <c r="H40" s="563">
        <f>F40*$F$20</f>
        <v>12.32</v>
      </c>
      <c r="I40" s="691"/>
      <c r="J40" s="54">
        <v>37958.33819444444</v>
      </c>
      <c r="K40" s="54">
        <v>37958.74791666667</v>
      </c>
      <c r="L40" s="55">
        <f>IF(D40="","",(K40-J40)*24)</f>
        <v>9.833333333430346</v>
      </c>
      <c r="M40" s="56">
        <f>IF(D40="","",(K40-J40)*24*60)</f>
        <v>590.0000000058208</v>
      </c>
      <c r="N40" s="789" t="s">
        <v>238</v>
      </c>
      <c r="O40" s="57" t="str">
        <f>IF(D40="","",IF(OR(N40="P",N40="RP"),"--","NO"))</f>
        <v>--</v>
      </c>
      <c r="P40" s="692" t="str">
        <f>IF(D40="","","NO")</f>
        <v>NO</v>
      </c>
      <c r="Q40" s="693"/>
      <c r="R40" s="530">
        <f>200*IF(P40="SI",1,0.1)*IF(N40="P",0.1,1)</f>
        <v>2</v>
      </c>
      <c r="S40" s="590">
        <f>IF(N40="P",H40*R40*ROUND(M40/60,2),"--")</f>
        <v>242.21120000000002</v>
      </c>
      <c r="T40" s="585" t="str">
        <f>IF(AND(N40="F",O40="NO"),H40*R40,"--")</f>
        <v>--</v>
      </c>
      <c r="U40" s="586" t="str">
        <f>IF(N40="F",H40*R40*ROUND(M40/60,2),"--")</f>
        <v>--</v>
      </c>
      <c r="V40" s="509" t="str">
        <f>IF(N40="RF",H40*R40*ROUND(M40/60,2),"--")</f>
        <v>--</v>
      </c>
      <c r="W40" s="694"/>
      <c r="X40" s="695"/>
      <c r="Y40" s="695"/>
      <c r="Z40" s="695"/>
      <c r="AA40" s="696"/>
      <c r="AB40" s="58" t="str">
        <f>IF(D40="","","SI")</f>
        <v>SI</v>
      </c>
      <c r="AC40" s="211">
        <f>IF(D40="","",SUM(S40:V40)*IF(AB40="SI",1,2))</f>
        <v>242.21120000000002</v>
      </c>
      <c r="AD40" s="153"/>
    </row>
    <row r="41" spans="1:30" ht="16.5" customHeight="1">
      <c r="A41" s="16"/>
      <c r="B41" s="125"/>
      <c r="C41" s="47" t="s">
        <v>268</v>
      </c>
      <c r="D41" s="48" t="s">
        <v>68</v>
      </c>
      <c r="E41" s="49" t="s">
        <v>69</v>
      </c>
      <c r="F41" s="50">
        <v>80</v>
      </c>
      <c r="G41" s="51"/>
      <c r="H41" s="563">
        <f>F41*$F$20</f>
        <v>12.32</v>
      </c>
      <c r="I41" s="691"/>
      <c r="J41" s="53">
        <v>37963.24722222222</v>
      </c>
      <c r="K41" s="54">
        <v>37966.15</v>
      </c>
      <c r="L41" s="55">
        <f>IF(D41="","",(K41-J41)*24)</f>
        <v>69.66666666674428</v>
      </c>
      <c r="M41" s="56">
        <f>IF(D41="","",(K41-J41)*24*60)</f>
        <v>4180.000000004657</v>
      </c>
      <c r="N41" s="789" t="s">
        <v>238</v>
      </c>
      <c r="O41" s="57" t="str">
        <f>IF(D41="","",IF(OR(N41="P",N41="RP"),"--","NO"))</f>
        <v>--</v>
      </c>
      <c r="P41" s="692" t="str">
        <f>IF(D41="","","NO")</f>
        <v>NO</v>
      </c>
      <c r="Q41" s="693"/>
      <c r="R41" s="530">
        <f>200*IF(P41="SI",1,0.1)*IF(N41="P",0.1,1)</f>
        <v>2</v>
      </c>
      <c r="S41" s="590">
        <f>IF(N41="P",H41*R41*ROUND(M41/60,2),"--")</f>
        <v>1716.6688000000001</v>
      </c>
      <c r="T41" s="585" t="str">
        <f>IF(AND(N41="F",O41="NO"),H41*R41,"--")</f>
        <v>--</v>
      </c>
      <c r="U41" s="586" t="str">
        <f>IF(N41="F",H41*R41*ROUND(M41/60,2),"--")</f>
        <v>--</v>
      </c>
      <c r="V41" s="509" t="str">
        <f>IF(N41="RF",H41*R41*ROUND(M41/60,2),"--")</f>
        <v>--</v>
      </c>
      <c r="W41" s="694"/>
      <c r="X41" s="695"/>
      <c r="Y41" s="695"/>
      <c r="Z41" s="695"/>
      <c r="AA41" s="696"/>
      <c r="AB41" s="58" t="str">
        <f>IF(D41="","","SI")</f>
        <v>SI</v>
      </c>
      <c r="AC41" s="211">
        <f>IF(D41="","",SUM(S41:V41)*IF(AB41="SI",1,2))</f>
        <v>1716.6688000000001</v>
      </c>
      <c r="AD41" s="153"/>
    </row>
    <row r="42" spans="1:30" ht="16.5" customHeight="1">
      <c r="A42" s="16"/>
      <c r="B42" s="125"/>
      <c r="C42" s="47" t="s">
        <v>269</v>
      </c>
      <c r="D42" s="48" t="s">
        <v>31</v>
      </c>
      <c r="E42" s="49" t="s">
        <v>66</v>
      </c>
      <c r="F42" s="50">
        <v>80</v>
      </c>
      <c r="G42" s="51"/>
      <c r="H42" s="563">
        <f>F42*$F$20</f>
        <v>12.32</v>
      </c>
      <c r="I42" s="691"/>
      <c r="J42" s="53">
        <v>37966.12708333333</v>
      </c>
      <c r="K42" s="54">
        <v>37970.138194444444</v>
      </c>
      <c r="L42" s="55">
        <f>IF(D42="","",(K42-J42)*24)</f>
        <v>96.26666666666279</v>
      </c>
      <c r="M42" s="56">
        <f>IF(D42="","",(K42-J42)*24*60)</f>
        <v>5775.999999999767</v>
      </c>
      <c r="N42" s="789" t="s">
        <v>238</v>
      </c>
      <c r="O42" s="57" t="str">
        <f>IF(D42="","",IF(OR(N42="P",N42="RP"),"--","NO"))</f>
        <v>--</v>
      </c>
      <c r="P42" s="692" t="str">
        <f>IF(D42="","","NO")</f>
        <v>NO</v>
      </c>
      <c r="Q42" s="693"/>
      <c r="R42" s="530">
        <f>200*IF(P42="SI",1,0.1)*IF(N42="P",0.1,1)</f>
        <v>2</v>
      </c>
      <c r="S42" s="590">
        <f>IF(N42="P",H42*R42*ROUND(M42/60,2),"--")</f>
        <v>2372.0928</v>
      </c>
      <c r="T42" s="585" t="str">
        <f>IF(AND(N42="F",O42="NO"),H42*R42,"--")</f>
        <v>--</v>
      </c>
      <c r="U42" s="586" t="str">
        <f>IF(N42="F",H42*R42*ROUND(M42/60,2),"--")</f>
        <v>--</v>
      </c>
      <c r="V42" s="509" t="str">
        <f>IF(N42="RF",H42*R42*ROUND(M42/60,2),"--")</f>
        <v>--</v>
      </c>
      <c r="W42" s="694"/>
      <c r="X42" s="695"/>
      <c r="Y42" s="695"/>
      <c r="Z42" s="695"/>
      <c r="AA42" s="696"/>
      <c r="AB42" s="58" t="str">
        <f>IF(D42="","","SI")</f>
        <v>SI</v>
      </c>
      <c r="AC42" s="211">
        <f>IF(D42="","",SUM(S42:V42)*IF(AB42="SI",1,2))</f>
        <v>2372.0928</v>
      </c>
      <c r="AD42" s="153"/>
    </row>
    <row r="43" spans="1:30" ht="16.5" customHeight="1">
      <c r="A43" s="16"/>
      <c r="B43" s="125"/>
      <c r="C43" s="47" t="s">
        <v>270</v>
      </c>
      <c r="D43" s="48" t="s">
        <v>31</v>
      </c>
      <c r="E43" s="49" t="s">
        <v>67</v>
      </c>
      <c r="F43" s="50">
        <v>80</v>
      </c>
      <c r="G43" s="51"/>
      <c r="H43" s="563">
        <f>F43*$F$20</f>
        <v>12.32</v>
      </c>
      <c r="I43" s="691"/>
      <c r="J43" s="53">
        <v>37970.138194444444</v>
      </c>
      <c r="K43" s="54">
        <v>37972.736805555556</v>
      </c>
      <c r="L43" s="55">
        <f>IF(D43="","",(K43-J43)*24)</f>
        <v>62.36666666669771</v>
      </c>
      <c r="M43" s="56">
        <f>IF(D43="","",(K43-J43)*24*60)</f>
        <v>3742.0000000018626</v>
      </c>
      <c r="N43" s="789" t="s">
        <v>238</v>
      </c>
      <c r="O43" s="57" t="str">
        <f>IF(D43="","",IF(OR(N43="P",N43="RP"),"--","NO"))</f>
        <v>--</v>
      </c>
      <c r="P43" s="692" t="str">
        <f>IF(D43="","","NO")</f>
        <v>NO</v>
      </c>
      <c r="Q43" s="693"/>
      <c r="R43" s="530">
        <f>200*IF(P43="SI",1,0.1)*IF(N43="P",0.1,1)</f>
        <v>2</v>
      </c>
      <c r="S43" s="590">
        <f>IF(N43="P",H43*R43*ROUND(M43/60,2),"--")</f>
        <v>1536.7968</v>
      </c>
      <c r="T43" s="585" t="str">
        <f>IF(AND(N43="F",O43="NO"),H43*R43,"--")</f>
        <v>--</v>
      </c>
      <c r="U43" s="586" t="str">
        <f>IF(N43="F",H43*R43*ROUND(M43/60,2),"--")</f>
        <v>--</v>
      </c>
      <c r="V43" s="509" t="str">
        <f>IF(N43="RF",H43*R43*ROUND(M43/60,2),"--")</f>
        <v>--</v>
      </c>
      <c r="W43" s="694"/>
      <c r="X43" s="695"/>
      <c r="Y43" s="695"/>
      <c r="Z43" s="695"/>
      <c r="AA43" s="696"/>
      <c r="AB43" s="58" t="str">
        <f>IF(D43="","","SI")</f>
        <v>SI</v>
      </c>
      <c r="AC43" s="211">
        <f>IF(D43="","",SUM(S43:V43)*IF(AB43="SI",1,2))</f>
        <v>1536.7968</v>
      </c>
      <c r="AD43" s="153"/>
    </row>
    <row r="44" spans="1:30" ht="16.5" customHeight="1" thickBot="1">
      <c r="A44" s="107"/>
      <c r="B44" s="125"/>
      <c r="C44" s="59"/>
      <c r="D44" s="371"/>
      <c r="E44" s="372"/>
      <c r="F44" s="373"/>
      <c r="G44" s="374"/>
      <c r="H44" s="564"/>
      <c r="I44" s="697"/>
      <c r="J44" s="375"/>
      <c r="K44" s="376"/>
      <c r="L44" s="377"/>
      <c r="M44" s="378"/>
      <c r="N44" s="60"/>
      <c r="O44" s="33"/>
      <c r="P44" s="698"/>
      <c r="Q44" s="699"/>
      <c r="R44" s="531"/>
      <c r="S44" s="591"/>
      <c r="T44" s="587"/>
      <c r="U44" s="588"/>
      <c r="V44" s="535"/>
      <c r="W44" s="700"/>
      <c r="X44" s="701"/>
      <c r="Y44" s="701"/>
      <c r="Z44" s="701"/>
      <c r="AA44" s="702"/>
      <c r="AB44" s="379"/>
      <c r="AC44" s="380"/>
      <c r="AD44" s="153"/>
    </row>
    <row r="45" spans="1:30" ht="16.5" customHeight="1" thickBot="1" thickTop="1">
      <c r="A45" s="107"/>
      <c r="B45" s="125"/>
      <c r="C45" s="182"/>
      <c r="D45" s="1"/>
      <c r="E45" s="1"/>
      <c r="F45" s="244"/>
      <c r="G45" s="381"/>
      <c r="H45" s="382"/>
      <c r="I45" s="383"/>
      <c r="J45" s="384"/>
      <c r="K45" s="385"/>
      <c r="L45" s="386"/>
      <c r="M45" s="382"/>
      <c r="N45" s="387"/>
      <c r="O45" s="39"/>
      <c r="P45" s="388"/>
      <c r="Q45" s="389"/>
      <c r="R45" s="390"/>
      <c r="S45" s="390"/>
      <c r="T45" s="390"/>
      <c r="U45" s="344"/>
      <c r="V45" s="344"/>
      <c r="W45" s="344"/>
      <c r="X45" s="344"/>
      <c r="Y45" s="344"/>
      <c r="Z45" s="344"/>
      <c r="AA45" s="344"/>
      <c r="AB45" s="344"/>
      <c r="AC45" s="391">
        <f>SUM(AC39:AC44)</f>
        <v>5867.7696</v>
      </c>
      <c r="AD45" s="153"/>
    </row>
    <row r="46" spans="1:30" ht="16.5" customHeight="1" thickBot="1" thickTop="1">
      <c r="A46" s="107"/>
      <c r="B46" s="125"/>
      <c r="C46" s="182"/>
      <c r="D46" s="1"/>
      <c r="E46" s="1"/>
      <c r="F46" s="244"/>
      <c r="G46" s="381"/>
      <c r="H46" s="382"/>
      <c r="I46" s="383"/>
      <c r="J46" s="640" t="s">
        <v>163</v>
      </c>
      <c r="K46" s="641">
        <f>+AC45+AC36</f>
        <v>6007.4912282</v>
      </c>
      <c r="L46" s="386"/>
      <c r="M46" s="382"/>
      <c r="N46" s="703"/>
      <c r="O46" s="704"/>
      <c r="P46" s="388"/>
      <c r="Q46" s="389"/>
      <c r="R46" s="390"/>
      <c r="S46" s="390"/>
      <c r="T46" s="390"/>
      <c r="U46" s="344"/>
      <c r="V46" s="344"/>
      <c r="W46" s="344"/>
      <c r="X46" s="344"/>
      <c r="Y46" s="344"/>
      <c r="Z46" s="344"/>
      <c r="AA46" s="344"/>
      <c r="AB46" s="344"/>
      <c r="AC46" s="705"/>
      <c r="AD46" s="153"/>
    </row>
    <row r="47" spans="1:30" ht="13.5" customHeight="1" thickTop="1">
      <c r="A47" s="107"/>
      <c r="B47" s="315"/>
      <c r="C47" s="309"/>
      <c r="D47" s="316"/>
      <c r="E47" s="317"/>
      <c r="F47" s="318"/>
      <c r="G47" s="319"/>
      <c r="H47" s="319"/>
      <c r="I47" s="317"/>
      <c r="J47" s="297"/>
      <c r="K47" s="297"/>
      <c r="L47" s="317"/>
      <c r="M47" s="317"/>
      <c r="N47" s="317"/>
      <c r="O47" s="320"/>
      <c r="P47" s="317"/>
      <c r="Q47" s="317"/>
      <c r="R47" s="321"/>
      <c r="S47" s="322"/>
      <c r="T47" s="322"/>
      <c r="U47" s="323"/>
      <c r="AC47" s="323"/>
      <c r="AD47" s="326"/>
    </row>
    <row r="48" spans="1:30" ht="16.5" customHeight="1">
      <c r="A48" s="107"/>
      <c r="B48" s="315"/>
      <c r="C48" s="327" t="s">
        <v>164</v>
      </c>
      <c r="D48" s="328" t="s">
        <v>165</v>
      </c>
      <c r="E48" s="317"/>
      <c r="F48" s="318"/>
      <c r="G48" s="319"/>
      <c r="H48" s="319"/>
      <c r="I48" s="317"/>
      <c r="J48" s="297"/>
      <c r="K48" s="297"/>
      <c r="L48" s="317"/>
      <c r="M48" s="317"/>
      <c r="N48" s="317"/>
      <c r="O48" s="320"/>
      <c r="P48" s="317"/>
      <c r="Q48" s="317"/>
      <c r="R48" s="321"/>
      <c r="S48" s="322"/>
      <c r="T48" s="322"/>
      <c r="U48" s="323"/>
      <c r="AC48" s="323"/>
      <c r="AD48" s="326"/>
    </row>
    <row r="49" spans="1:30" ht="16.5" customHeight="1">
      <c r="A49" s="107"/>
      <c r="B49" s="315"/>
      <c r="C49" s="327"/>
      <c r="D49" s="316"/>
      <c r="E49" s="317"/>
      <c r="F49" s="318"/>
      <c r="G49" s="319"/>
      <c r="H49" s="319"/>
      <c r="I49" s="317"/>
      <c r="J49" s="297"/>
      <c r="K49" s="297"/>
      <c r="L49" s="317"/>
      <c r="M49" s="317"/>
      <c r="N49" s="317"/>
      <c r="O49" s="320"/>
      <c r="P49" s="317"/>
      <c r="Q49" s="317"/>
      <c r="R49" s="317"/>
      <c r="S49" s="321"/>
      <c r="T49" s="322"/>
      <c r="AD49" s="326"/>
    </row>
    <row r="50" spans="2:30" s="107" customFormat="1" ht="16.5" customHeight="1">
      <c r="B50" s="315"/>
      <c r="C50" s="309"/>
      <c r="D50" s="337" t="s">
        <v>74</v>
      </c>
      <c r="E50" s="312" t="s">
        <v>166</v>
      </c>
      <c r="F50" s="312" t="s">
        <v>167</v>
      </c>
      <c r="G50" s="609" t="s">
        <v>168</v>
      </c>
      <c r="H50" s="313"/>
      <c r="I50" s="312"/>
      <c r="J50"/>
      <c r="K50"/>
      <c r="L50" s="608" t="s">
        <v>169</v>
      </c>
      <c r="M50"/>
      <c r="N50"/>
      <c r="O50"/>
      <c r="P50"/>
      <c r="Q50" s="331"/>
      <c r="R50" s="331"/>
      <c r="S50" s="109"/>
      <c r="T50"/>
      <c r="U50"/>
      <c r="V50"/>
      <c r="W50"/>
      <c r="X50" s="109"/>
      <c r="Y50" s="109"/>
      <c r="Z50" s="109"/>
      <c r="AA50" s="109"/>
      <c r="AB50" s="109"/>
      <c r="AC50" s="706" t="s">
        <v>170</v>
      </c>
      <c r="AD50" s="326"/>
    </row>
    <row r="51" spans="2:30" s="107" customFormat="1" ht="16.5" customHeight="1">
      <c r="B51" s="315"/>
      <c r="C51" s="309"/>
      <c r="D51" s="312" t="s">
        <v>171</v>
      </c>
      <c r="E51" s="392">
        <v>506</v>
      </c>
      <c r="F51" s="392">
        <v>500</v>
      </c>
      <c r="G51" s="602">
        <f>E51*$F$19*$L$20/100</f>
        <v>212148.75792000003</v>
      </c>
      <c r="H51" s="602"/>
      <c r="I51" s="602"/>
      <c r="J51" s="4"/>
      <c r="K51"/>
      <c r="L51" s="604">
        <v>375761</v>
      </c>
      <c r="M51" s="4"/>
      <c r="N51" s="607" t="s">
        <v>271</v>
      </c>
      <c r="O51"/>
      <c r="P51"/>
      <c r="Q51" s="331"/>
      <c r="R51" s="331"/>
      <c r="S51" s="109"/>
      <c r="T51"/>
      <c r="U51"/>
      <c r="V51"/>
      <c r="W51"/>
      <c r="X51" s="109"/>
      <c r="Y51" s="109"/>
      <c r="Z51" s="109"/>
      <c r="AA51" s="109"/>
      <c r="AB51" s="707"/>
      <c r="AC51" s="578">
        <f>L51+G51</f>
        <v>587909.75792</v>
      </c>
      <c r="AD51" s="326"/>
    </row>
    <row r="52" spans="2:30" s="107" customFormat="1" ht="16.5" customHeight="1">
      <c r="B52" s="315"/>
      <c r="C52" s="309"/>
      <c r="D52" s="333" t="s">
        <v>172</v>
      </c>
      <c r="E52" s="392">
        <v>85</v>
      </c>
      <c r="F52" s="392">
        <v>500</v>
      </c>
      <c r="G52" s="602">
        <f>E52*$F$19*$L$20/100</f>
        <v>35637.637200000005</v>
      </c>
      <c r="H52" s="333"/>
      <c r="I52" s="561"/>
      <c r="J52" s="4"/>
      <c r="K52"/>
      <c r="L52" s="602">
        <v>16331</v>
      </c>
      <c r="M52" s="4"/>
      <c r="N52" s="607" t="s">
        <v>271</v>
      </c>
      <c r="O52" s="332"/>
      <c r="P52"/>
      <c r="Q52" s="331"/>
      <c r="R52" s="331"/>
      <c r="S52" s="109"/>
      <c r="T52"/>
      <c r="U52"/>
      <c r="V52"/>
      <c r="W52"/>
      <c r="X52" s="109"/>
      <c r="Y52" s="109"/>
      <c r="Z52" s="109"/>
      <c r="AA52" s="109"/>
      <c r="AB52" s="109"/>
      <c r="AC52" s="578">
        <f>L52+G52</f>
        <v>51968.637200000005</v>
      </c>
      <c r="AD52" s="326"/>
    </row>
    <row r="53" spans="2:30" s="107" customFormat="1" ht="16.5" customHeight="1">
      <c r="B53" s="315"/>
      <c r="C53" s="309"/>
      <c r="E53" s="299"/>
      <c r="F53" s="312"/>
      <c r="G53" s="313"/>
      <c r="H53"/>
      <c r="I53" s="312"/>
      <c r="J53" s="312"/>
      <c r="K53"/>
      <c r="L53" s="578"/>
      <c r="M53" s="330"/>
      <c r="N53" s="330"/>
      <c r="O53" s="331"/>
      <c r="P53" s="331"/>
      <c r="Q53" s="331"/>
      <c r="R53" s="331"/>
      <c r="S53" s="109"/>
      <c r="T53"/>
      <c r="U53"/>
      <c r="V53"/>
      <c r="W53"/>
      <c r="X53" s="109"/>
      <c r="Y53" s="109"/>
      <c r="Z53" s="109"/>
      <c r="AA53" s="109"/>
      <c r="AB53" s="109"/>
      <c r="AC53" s="578"/>
      <c r="AD53" s="326"/>
    </row>
    <row r="54" spans="1:30" ht="16.5" customHeight="1">
      <c r="A54" s="107"/>
      <c r="B54" s="315"/>
      <c r="C54" s="309"/>
      <c r="D54" s="337" t="s">
        <v>173</v>
      </c>
      <c r="E54" s="312" t="s">
        <v>174</v>
      </c>
      <c r="F54" s="312" t="s">
        <v>167</v>
      </c>
      <c r="G54" s="609" t="s">
        <v>175</v>
      </c>
      <c r="I54" s="329"/>
      <c r="J54" s="312"/>
      <c r="L54" s="608" t="s">
        <v>176</v>
      </c>
      <c r="M54" s="329"/>
      <c r="N54" s="330"/>
      <c r="O54" s="331"/>
      <c r="P54" s="331"/>
      <c r="Q54" s="331"/>
      <c r="R54" s="331"/>
      <c r="S54" s="331"/>
      <c r="AC54" s="578">
        <f>+L55</f>
        <v>0</v>
      </c>
      <c r="AD54" s="326"/>
    </row>
    <row r="55" spans="1:30" ht="16.5" customHeight="1">
      <c r="A55" s="107"/>
      <c r="B55" s="315"/>
      <c r="C55" s="309"/>
      <c r="D55" s="312" t="s">
        <v>177</v>
      </c>
      <c r="E55" s="392">
        <v>300</v>
      </c>
      <c r="F55" s="392" t="s">
        <v>15</v>
      </c>
      <c r="G55" s="602">
        <f>E55*F20*L20</f>
        <v>34372.8</v>
      </c>
      <c r="H55" s="4"/>
      <c r="I55" s="4"/>
      <c r="J55" s="604"/>
      <c r="L55" s="604">
        <v>0</v>
      </c>
      <c r="M55" s="4"/>
      <c r="N55" s="607" t="s">
        <v>271</v>
      </c>
      <c r="O55" s="324"/>
      <c r="P55" s="324"/>
      <c r="Q55" s="324"/>
      <c r="R55" s="324"/>
      <c r="S55" s="324"/>
      <c r="AC55" s="325">
        <f>G55</f>
        <v>34372.8</v>
      </c>
      <c r="AD55" s="326"/>
    </row>
    <row r="56" spans="1:30" ht="16.5" customHeight="1">
      <c r="A56" s="107"/>
      <c r="B56" s="315"/>
      <c r="C56" s="309"/>
      <c r="D56" s="312" t="s">
        <v>237</v>
      </c>
      <c r="E56" s="392">
        <v>150</v>
      </c>
      <c r="F56" s="392" t="s">
        <v>230</v>
      </c>
      <c r="G56" s="602">
        <f>E56*F20*L20</f>
        <v>17186.4</v>
      </c>
      <c r="H56" s="4"/>
      <c r="I56" s="4"/>
      <c r="J56" s="604"/>
      <c r="L56" s="604"/>
      <c r="M56" s="4"/>
      <c r="N56" s="607"/>
      <c r="O56" s="324"/>
      <c r="P56" s="324"/>
      <c r="Q56" s="324"/>
      <c r="R56" s="324"/>
      <c r="S56" s="324"/>
      <c r="AC56" s="325">
        <f>G56</f>
        <v>17186.4</v>
      </c>
      <c r="AD56" s="326"/>
    </row>
    <row r="57" spans="1:30" ht="16.5" customHeight="1">
      <c r="A57" s="107"/>
      <c r="B57" s="315"/>
      <c r="C57" s="309"/>
      <c r="D57" s="312"/>
      <c r="E57" s="392"/>
      <c r="F57" s="392"/>
      <c r="G57" s="602"/>
      <c r="H57" s="4"/>
      <c r="I57" s="4"/>
      <c r="J57" s="604"/>
      <c r="L57" s="604"/>
      <c r="M57" s="4"/>
      <c r="N57" s="607"/>
      <c r="O57" s="324"/>
      <c r="P57" s="324"/>
      <c r="Q57" s="324"/>
      <c r="R57" s="324"/>
      <c r="S57" s="324"/>
      <c r="AC57" s="325"/>
      <c r="AD57" s="326"/>
    </row>
    <row r="58" spans="1:30" ht="16.5" customHeight="1">
      <c r="A58" s="107"/>
      <c r="B58" s="315"/>
      <c r="C58" s="309"/>
      <c r="D58" s="337" t="s">
        <v>178</v>
      </c>
      <c r="E58" s="561" t="s">
        <v>179</v>
      </c>
      <c r="F58" s="561"/>
      <c r="G58" s="312" t="s">
        <v>167</v>
      </c>
      <c r="I58" s="329"/>
      <c r="J58" s="609" t="s">
        <v>180</v>
      </c>
      <c r="L58" s="608"/>
      <c r="M58" s="329"/>
      <c r="N58" s="330"/>
      <c r="O58" s="331"/>
      <c r="P58" s="331"/>
      <c r="Q58" s="331"/>
      <c r="R58" s="331"/>
      <c r="S58" s="331"/>
      <c r="AC58" s="578"/>
      <c r="AD58" s="326"/>
    </row>
    <row r="59" spans="1:30" ht="16.5" customHeight="1">
      <c r="A59" s="107"/>
      <c r="B59" s="315"/>
      <c r="C59" s="309"/>
      <c r="D59" s="312" t="s">
        <v>181</v>
      </c>
      <c r="E59" s="861" t="s">
        <v>182</v>
      </c>
      <c r="F59" s="723"/>
      <c r="G59" s="392">
        <v>132</v>
      </c>
      <c r="H59" s="4"/>
      <c r="I59" s="4"/>
      <c r="J59" s="602">
        <f>0*F21*L20</f>
        <v>0</v>
      </c>
      <c r="L59" s="604"/>
      <c r="M59" s="4"/>
      <c r="N59" s="607"/>
      <c r="O59" s="324"/>
      <c r="P59" s="324"/>
      <c r="Q59" s="324"/>
      <c r="R59" s="324"/>
      <c r="S59" s="324"/>
      <c r="AC59" s="325">
        <f>J59</f>
        <v>0</v>
      </c>
      <c r="AD59" s="326"/>
    </row>
    <row r="60" spans="1:30" ht="16.5" customHeight="1">
      <c r="A60" s="107"/>
      <c r="B60" s="315"/>
      <c r="C60" s="309"/>
      <c r="D60" s="312" t="s">
        <v>233</v>
      </c>
      <c r="E60" s="861" t="s">
        <v>234</v>
      </c>
      <c r="F60" s="723"/>
      <c r="G60" s="392">
        <v>500</v>
      </c>
      <c r="H60" s="4"/>
      <c r="I60" s="4"/>
      <c r="J60" s="602">
        <f>F22*L20</f>
        <v>22865.352</v>
      </c>
      <c r="L60" s="604"/>
      <c r="M60" s="4"/>
      <c r="N60" s="607"/>
      <c r="O60" s="324"/>
      <c r="P60" s="324"/>
      <c r="Q60" s="324"/>
      <c r="R60" s="324"/>
      <c r="S60" s="324"/>
      <c r="AC60" s="605">
        <f>J60</f>
        <v>22865.352</v>
      </c>
      <c r="AD60" s="326"/>
    </row>
    <row r="61" spans="1:30" ht="16.5" customHeight="1">
      <c r="A61" s="107"/>
      <c r="B61" s="315"/>
      <c r="C61" s="309"/>
      <c r="D61" s="297"/>
      <c r="E61" s="299"/>
      <c r="F61" s="312"/>
      <c r="G61" s="312"/>
      <c r="H61" s="313"/>
      <c r="J61" s="312"/>
      <c r="L61" s="334"/>
      <c r="M61" s="330"/>
      <c r="N61" s="330"/>
      <c r="O61" s="331"/>
      <c r="P61" s="331"/>
      <c r="Q61" s="331"/>
      <c r="R61" s="331"/>
      <c r="S61" s="331"/>
      <c r="AC61" s="576">
        <f>SUM(AC51:AC59)</f>
        <v>691437.5951200001</v>
      </c>
      <c r="AD61" s="326"/>
    </row>
    <row r="62" spans="2:30" ht="16.5" customHeight="1">
      <c r="B62" s="315"/>
      <c r="C62" s="327" t="s">
        <v>183</v>
      </c>
      <c r="D62" s="335" t="s">
        <v>184</v>
      </c>
      <c r="E62" s="312"/>
      <c r="F62" s="336"/>
      <c r="G62" s="298"/>
      <c r="H62" s="297"/>
      <c r="I62" s="297"/>
      <c r="J62" s="297"/>
      <c r="K62" s="312"/>
      <c r="L62" s="312"/>
      <c r="M62" s="297"/>
      <c r="N62" s="312"/>
      <c r="O62" s="297"/>
      <c r="P62" s="297"/>
      <c r="Q62" s="297"/>
      <c r="R62" s="297"/>
      <c r="S62" s="297"/>
      <c r="T62" s="297"/>
      <c r="U62" s="297"/>
      <c r="AC62" s="297"/>
      <c r="AD62" s="326"/>
    </row>
    <row r="63" spans="2:30" s="107" customFormat="1" ht="16.5" customHeight="1">
      <c r="B63" s="315"/>
      <c r="C63" s="309"/>
      <c r="D63" s="337" t="s">
        <v>185</v>
      </c>
      <c r="E63" s="338">
        <f>10*K46*K26/AC61</f>
        <v>2402.99649128</v>
      </c>
      <c r="G63" s="298"/>
      <c r="L63" s="312"/>
      <c r="N63" s="312"/>
      <c r="O63" s="313"/>
      <c r="V63"/>
      <c r="W63"/>
      <c r="AD63" s="326"/>
    </row>
    <row r="64" spans="2:30" s="107" customFormat="1" ht="16.5" customHeight="1">
      <c r="B64" s="315"/>
      <c r="C64" s="309"/>
      <c r="E64" s="601"/>
      <c r="F64" s="311"/>
      <c r="G64" s="298"/>
      <c r="J64" s="298"/>
      <c r="K64" s="340"/>
      <c r="L64" s="312"/>
      <c r="M64" s="312"/>
      <c r="N64" s="312"/>
      <c r="O64" s="313"/>
      <c r="P64" s="312"/>
      <c r="Q64" s="312"/>
      <c r="R64" s="599"/>
      <c r="S64" s="599"/>
      <c r="T64" s="599"/>
      <c r="U64" s="600"/>
      <c r="V64"/>
      <c r="W64"/>
      <c r="AC64" s="600"/>
      <c r="AD64" s="326"/>
    </row>
    <row r="65" spans="2:30" ht="16.5" customHeight="1">
      <c r="B65" s="315"/>
      <c r="C65" s="309"/>
      <c r="D65" s="341" t="s">
        <v>186</v>
      </c>
      <c r="E65" s="339"/>
      <c r="F65" s="311"/>
      <c r="G65" s="298"/>
      <c r="H65" s="297"/>
      <c r="I65" s="297"/>
      <c r="N65" s="312"/>
      <c r="O65" s="313"/>
      <c r="P65" s="312"/>
      <c r="Q65" s="312"/>
      <c r="R65" s="329"/>
      <c r="S65" s="329"/>
      <c r="T65" s="329"/>
      <c r="U65" s="330"/>
      <c r="AC65" s="330"/>
      <c r="AD65" s="326"/>
    </row>
    <row r="66" spans="2:30" ht="16.5" customHeight="1" thickBot="1">
      <c r="B66" s="315"/>
      <c r="C66" s="309"/>
      <c r="D66" s="341"/>
      <c r="E66" s="339"/>
      <c r="F66" s="311"/>
      <c r="G66" s="298"/>
      <c r="H66" s="297"/>
      <c r="I66" s="297"/>
      <c r="N66" s="312"/>
      <c r="O66" s="313"/>
      <c r="P66" s="312"/>
      <c r="Q66" s="312"/>
      <c r="R66" s="329"/>
      <c r="S66" s="329"/>
      <c r="T66" s="329"/>
      <c r="U66" s="330"/>
      <c r="AC66" s="330"/>
      <c r="AD66" s="326"/>
    </row>
    <row r="67" spans="2:30" s="616" customFormat="1" ht="21" thickBot="1" thickTop="1">
      <c r="B67" s="610"/>
      <c r="C67" s="611"/>
      <c r="D67" s="612"/>
      <c r="E67" s="613"/>
      <c r="F67" s="614"/>
      <c r="G67" s="615"/>
      <c r="I67"/>
      <c r="J67" s="617" t="s">
        <v>187</v>
      </c>
      <c r="K67" s="618">
        <f>IF(E63&gt;3*K26,K26*3,E63)</f>
        <v>2402.99649128</v>
      </c>
      <c r="M67" s="619"/>
      <c r="N67" s="619"/>
      <c r="O67" s="620"/>
      <c r="P67" s="619"/>
      <c r="Q67" s="619"/>
      <c r="R67" s="621"/>
      <c r="S67" s="621"/>
      <c r="T67" s="621"/>
      <c r="U67" s="622"/>
      <c r="V67"/>
      <c r="W67"/>
      <c r="AC67" s="622"/>
      <c r="AD67" s="623"/>
    </row>
    <row r="68" spans="2:30" ht="16.5" customHeight="1" thickBot="1" thickTop="1">
      <c r="B68" s="132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345"/>
      <c r="W68" s="345"/>
      <c r="X68" s="345"/>
      <c r="Y68" s="345"/>
      <c r="Z68" s="345"/>
      <c r="AA68" s="345"/>
      <c r="AB68" s="345"/>
      <c r="AC68" s="134"/>
      <c r="AD68" s="342"/>
    </row>
    <row r="69" spans="2:23" ht="16.5" customHeight="1" thickTop="1">
      <c r="B69" s="12"/>
      <c r="C69" s="708"/>
      <c r="W69" s="12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8"/>
  <sheetViews>
    <sheetView zoomScale="75" zoomScaleNormal="75" workbookViewId="0" topLeftCell="B1">
      <selection activeCell="J42" sqref="J42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754"/>
      <c r="AD1" s="635"/>
    </row>
    <row r="2" spans="1:23" ht="27" customHeight="1">
      <c r="A2" s="6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9" customFormat="1" ht="30.75">
      <c r="A3" s="636"/>
      <c r="B3" s="637" t="str">
        <f>+'tot-0312'!B2</f>
        <v>ANEXO I -1 a la Resolución ENRE N°  403 /2008.-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AB3" s="638"/>
      <c r="AC3" s="638"/>
      <c r="AD3" s="638"/>
    </row>
    <row r="4" spans="1:2" s="100" customFormat="1" ht="11.25">
      <c r="A4" s="712" t="s">
        <v>71</v>
      </c>
      <c r="B4" s="724"/>
    </row>
    <row r="5" spans="1:2" s="100" customFormat="1" ht="12" thickBot="1">
      <c r="A5" s="712" t="s">
        <v>72</v>
      </c>
      <c r="B5" s="712"/>
    </row>
    <row r="6" spans="1:23" ht="16.5" customHeight="1" thickTop="1">
      <c r="A6" s="16"/>
      <c r="B6" s="144"/>
      <c r="C6" s="145"/>
      <c r="D6" s="145"/>
      <c r="E6" s="146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7"/>
    </row>
    <row r="7" spans="1:23" ht="20.25">
      <c r="A7" s="16"/>
      <c r="B7" s="125"/>
      <c r="C7" s="14"/>
      <c r="D7" s="7" t="s">
        <v>142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4"/>
      <c r="Q7" s="294"/>
      <c r="R7" s="14"/>
      <c r="S7" s="14"/>
      <c r="T7" s="14"/>
      <c r="U7" s="14"/>
      <c r="V7" s="14"/>
      <c r="W7" s="148"/>
    </row>
    <row r="8" spans="1:23" ht="16.5" customHeight="1">
      <c r="A8" s="16"/>
      <c r="B8" s="12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8"/>
    </row>
    <row r="9" spans="2:23" s="15" customFormat="1" ht="20.25">
      <c r="B9" s="120"/>
      <c r="C9" s="119"/>
      <c r="D9" s="7" t="s">
        <v>143</v>
      </c>
      <c r="E9" s="119"/>
      <c r="F9" s="119"/>
      <c r="G9" s="119"/>
      <c r="H9" s="119"/>
      <c r="N9" s="119"/>
      <c r="O9" s="119"/>
      <c r="P9" s="363"/>
      <c r="Q9" s="363"/>
      <c r="R9" s="119"/>
      <c r="S9" s="119"/>
      <c r="T9" s="119"/>
      <c r="U9" s="119"/>
      <c r="V9" s="119"/>
      <c r="W9" s="364"/>
    </row>
    <row r="10" spans="1:23" ht="16.5" customHeight="1">
      <c r="A10" s="16"/>
      <c r="B10" s="12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8"/>
    </row>
    <row r="11" spans="2:23" s="15" customFormat="1" ht="20.25">
      <c r="B11" s="120"/>
      <c r="C11" s="119"/>
      <c r="D11" s="7" t="s">
        <v>192</v>
      </c>
      <c r="E11" s="119"/>
      <c r="F11" s="119"/>
      <c r="G11" s="119"/>
      <c r="H11" s="119"/>
      <c r="N11" s="119"/>
      <c r="O11" s="119"/>
      <c r="P11" s="363"/>
      <c r="Q11" s="363"/>
      <c r="R11" s="119"/>
      <c r="S11" s="119"/>
      <c r="T11" s="119"/>
      <c r="U11" s="119"/>
      <c r="V11" s="119"/>
      <c r="W11" s="364"/>
    </row>
    <row r="12" spans="1:23" ht="16.5" customHeight="1">
      <c r="A12" s="16"/>
      <c r="B12" s="125"/>
      <c r="C12" s="14"/>
      <c r="D12" s="14"/>
      <c r="E12" s="16"/>
      <c r="F12" s="16"/>
      <c r="G12" s="16"/>
      <c r="H12" s="16"/>
      <c r="I12" s="149"/>
      <c r="J12" s="149"/>
      <c r="K12" s="149"/>
      <c r="L12" s="149"/>
      <c r="M12" s="149"/>
      <c r="N12" s="149"/>
      <c r="O12" s="149"/>
      <c r="P12" s="149"/>
      <c r="Q12" s="149"/>
      <c r="R12" s="14"/>
      <c r="S12" s="14"/>
      <c r="T12" s="14"/>
      <c r="U12" s="14"/>
      <c r="V12" s="14"/>
      <c r="W12" s="148"/>
    </row>
    <row r="13" spans="2:23" s="15" customFormat="1" ht="19.5">
      <c r="B13" s="113" t="str">
        <f>+'tot-0312'!B14</f>
        <v>Desde el 01 al 31 de diciembre de 2003</v>
      </c>
      <c r="C13" s="114"/>
      <c r="D13" s="116"/>
      <c r="E13" s="116"/>
      <c r="F13" s="116"/>
      <c r="G13" s="116"/>
      <c r="H13" s="116"/>
      <c r="I13" s="117"/>
      <c r="J13" s="4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366"/>
      <c r="V13" s="366"/>
      <c r="W13" s="118"/>
    </row>
    <row r="14" spans="1:23" ht="16.5" customHeight="1">
      <c r="A14" s="16"/>
      <c r="B14" s="125"/>
      <c r="C14" s="14"/>
      <c r="D14" s="14"/>
      <c r="E14" s="2"/>
      <c r="F14" s="2"/>
      <c r="G14" s="14"/>
      <c r="H14" s="14"/>
      <c r="I14" s="14"/>
      <c r="J14" s="295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48"/>
    </row>
    <row r="15" spans="1:23" ht="16.5" customHeight="1">
      <c r="A15" s="16"/>
      <c r="B15" s="125"/>
      <c r="C15" s="14"/>
      <c r="D15" s="14"/>
      <c r="E15" s="2"/>
      <c r="F15" s="2"/>
      <c r="G15" s="14"/>
      <c r="H15" s="14"/>
      <c r="I15" s="296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48"/>
    </row>
    <row r="16" spans="1:23" ht="16.5" customHeight="1">
      <c r="A16" s="16"/>
      <c r="B16" s="125"/>
      <c r="C16" s="14"/>
      <c r="D16" s="14"/>
      <c r="E16" s="2"/>
      <c r="F16" s="2"/>
      <c r="G16" s="14"/>
      <c r="H16" s="14"/>
      <c r="I16" s="296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48"/>
    </row>
    <row r="17" spans="1:23" ht="16.5" customHeight="1" thickBot="1">
      <c r="A17" s="16"/>
      <c r="B17" s="125"/>
      <c r="C17" s="606" t="s">
        <v>144</v>
      </c>
      <c r="D17" s="13" t="s">
        <v>145</v>
      </c>
      <c r="E17" s="2"/>
      <c r="F17" s="2"/>
      <c r="G17" s="14"/>
      <c r="H17" s="14"/>
      <c r="I17" s="14"/>
      <c r="J17" s="295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48"/>
    </row>
    <row r="18" spans="2:23" s="107" customFormat="1" ht="16.5" customHeight="1" thickBot="1">
      <c r="B18" s="315"/>
      <c r="C18" s="109"/>
      <c r="D18" s="575"/>
      <c r="E18" s="576"/>
      <c r="F18" s="309"/>
      <c r="G18" s="109"/>
      <c r="H18" s="109"/>
      <c r="I18" s="109"/>
      <c r="J18" s="596"/>
      <c r="K18" s="109"/>
      <c r="L18" s="109"/>
      <c r="M18" s="109"/>
      <c r="N18" s="725" t="s">
        <v>97</v>
      </c>
      <c r="P18" s="109"/>
      <c r="Q18" s="109"/>
      <c r="R18" s="109"/>
      <c r="S18" s="109"/>
      <c r="T18" s="109"/>
      <c r="U18" s="109"/>
      <c r="V18" s="109"/>
      <c r="W18" s="597"/>
    </row>
    <row r="19" spans="2:23" s="107" customFormat="1" ht="16.5" customHeight="1">
      <c r="B19" s="315"/>
      <c r="C19" s="109"/>
      <c r="E19" s="579" t="s">
        <v>148</v>
      </c>
      <c r="F19" s="580">
        <v>0.025</v>
      </c>
      <c r="G19" s="628"/>
      <c r="H19" s="109"/>
      <c r="I19" s="757"/>
      <c r="J19" s="758"/>
      <c r="K19" s="719" t="s">
        <v>216</v>
      </c>
      <c r="L19" s="720"/>
      <c r="M19" s="766">
        <v>30.733</v>
      </c>
      <c r="N19" s="767">
        <v>200</v>
      </c>
      <c r="R19" s="109"/>
      <c r="S19" s="109"/>
      <c r="T19" s="109"/>
      <c r="U19" s="109"/>
      <c r="V19" s="109"/>
      <c r="W19" s="597"/>
    </row>
    <row r="20" spans="2:23" s="107" customFormat="1" ht="16.5" customHeight="1">
      <c r="B20" s="315"/>
      <c r="C20" s="109"/>
      <c r="E20" s="575" t="s">
        <v>151</v>
      </c>
      <c r="F20" s="109">
        <f>MID(B13,16,2)*24</f>
        <v>744</v>
      </c>
      <c r="G20" s="109" t="s">
        <v>152</v>
      </c>
      <c r="H20" s="109"/>
      <c r="I20" s="109"/>
      <c r="J20" s="109"/>
      <c r="K20" s="714" t="s">
        <v>134</v>
      </c>
      <c r="L20" s="713"/>
      <c r="M20" s="715">
        <v>27.658</v>
      </c>
      <c r="N20" s="726">
        <v>100</v>
      </c>
      <c r="O20" s="109"/>
      <c r="P20" s="598"/>
      <c r="Q20" s="109"/>
      <c r="R20" s="109"/>
      <c r="S20" s="109"/>
      <c r="T20" s="109"/>
      <c r="U20" s="109"/>
      <c r="V20" s="109"/>
      <c r="W20" s="597"/>
    </row>
    <row r="21" spans="2:23" s="107" customFormat="1" ht="16.5" customHeight="1" thickBot="1">
      <c r="B21" s="315"/>
      <c r="C21" s="109"/>
      <c r="E21" s="575" t="s">
        <v>193</v>
      </c>
      <c r="F21" s="109">
        <v>0.154</v>
      </c>
      <c r="G21" s="107" t="s">
        <v>150</v>
      </c>
      <c r="H21" s="109"/>
      <c r="I21" s="109"/>
      <c r="J21" s="109"/>
      <c r="K21" s="716" t="s">
        <v>217</v>
      </c>
      <c r="L21" s="717"/>
      <c r="M21" s="718">
        <v>24.587</v>
      </c>
      <c r="N21" s="727">
        <v>40</v>
      </c>
      <c r="O21" s="109"/>
      <c r="P21" s="598"/>
      <c r="Q21" s="109"/>
      <c r="R21" s="109"/>
      <c r="S21" s="109"/>
      <c r="T21" s="109"/>
      <c r="U21" s="109"/>
      <c r="V21" s="109"/>
      <c r="W21" s="597"/>
    </row>
    <row r="22" spans="2:23" s="107" customFormat="1" ht="16.5" customHeight="1">
      <c r="B22" s="315"/>
      <c r="C22" s="109"/>
      <c r="D22" s="109"/>
      <c r="E22" s="311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597"/>
    </row>
    <row r="23" spans="1:23" ht="16.5" customHeight="1">
      <c r="A23" s="16"/>
      <c r="B23" s="125"/>
      <c r="C23" s="606" t="s">
        <v>154</v>
      </c>
      <c r="D23" s="108" t="s">
        <v>155</v>
      </c>
      <c r="I23" s="14"/>
      <c r="J23" s="107"/>
      <c r="O23" s="14"/>
      <c r="P23" s="14"/>
      <c r="Q23" s="14"/>
      <c r="R23" s="14"/>
      <c r="S23" s="14"/>
      <c r="T23" s="14"/>
      <c r="V23" s="14"/>
      <c r="W23" s="148"/>
    </row>
    <row r="24" spans="1:23" ht="10.5" customHeight="1" thickBot="1">
      <c r="A24" s="16"/>
      <c r="B24" s="125"/>
      <c r="C24" s="2"/>
      <c r="D24" s="108"/>
      <c r="I24" s="14"/>
      <c r="J24" s="107"/>
      <c r="O24" s="14"/>
      <c r="P24" s="14"/>
      <c r="Q24" s="14"/>
      <c r="R24" s="14"/>
      <c r="S24" s="14"/>
      <c r="T24" s="14"/>
      <c r="V24" s="14"/>
      <c r="W24" s="148"/>
    </row>
    <row r="25" spans="2:23" s="107" customFormat="1" ht="16.5" customHeight="1" thickBot="1" thickTop="1">
      <c r="B25" s="315"/>
      <c r="C25" s="309"/>
      <c r="D25"/>
      <c r="E25"/>
      <c r="F25"/>
      <c r="G25"/>
      <c r="H25"/>
      <c r="I25" s="640" t="s">
        <v>156</v>
      </c>
      <c r="J25" s="728">
        <f>+J69*F19</f>
        <v>15871.2498</v>
      </c>
      <c r="L25"/>
      <c r="S25"/>
      <c r="T25"/>
      <c r="U25"/>
      <c r="W25" s="597"/>
    </row>
    <row r="26" spans="2:23" s="107" customFormat="1" ht="11.25" customHeight="1" thickTop="1">
      <c r="B26" s="315"/>
      <c r="C26" s="309"/>
      <c r="D26" s="109"/>
      <c r="E26" s="311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/>
      <c r="W26" s="597"/>
    </row>
    <row r="27" spans="1:23" ht="16.5" customHeight="1">
      <c r="A27" s="16"/>
      <c r="B27" s="125"/>
      <c r="C27" s="606" t="s">
        <v>157</v>
      </c>
      <c r="D27" s="108" t="s">
        <v>158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8"/>
    </row>
    <row r="28" spans="1:23" ht="13.5" customHeight="1" thickBot="1">
      <c r="A28" s="107"/>
      <c r="B28" s="125"/>
      <c r="C28" s="309"/>
      <c r="D28" s="309"/>
      <c r="E28" s="310"/>
      <c r="F28" s="311"/>
      <c r="G28" s="298"/>
      <c r="H28" s="298"/>
      <c r="I28" s="312"/>
      <c r="J28" s="312"/>
      <c r="K28" s="312"/>
      <c r="L28" s="312"/>
      <c r="M28" s="312"/>
      <c r="N28" s="312"/>
      <c r="O28" s="313"/>
      <c r="P28" s="312"/>
      <c r="Q28" s="312"/>
      <c r="R28" s="729"/>
      <c r="S28" s="730"/>
      <c r="T28" s="731"/>
      <c r="U28" s="731"/>
      <c r="V28" s="731"/>
      <c r="W28" s="153"/>
    </row>
    <row r="29" spans="1:26" s="16" customFormat="1" ht="33.75" customHeight="1" thickBot="1" thickTop="1">
      <c r="A29" s="64"/>
      <c r="B29" s="181"/>
      <c r="C29" s="204" t="s">
        <v>93</v>
      </c>
      <c r="D29" s="207" t="s">
        <v>124</v>
      </c>
      <c r="E29" s="205" t="s">
        <v>59</v>
      </c>
      <c r="F29" s="208" t="s">
        <v>125</v>
      </c>
      <c r="G29" s="209" t="s">
        <v>94</v>
      </c>
      <c r="H29" s="349" t="s">
        <v>98</v>
      </c>
      <c r="I29" s="205" t="s">
        <v>99</v>
      </c>
      <c r="J29" s="205" t="s">
        <v>100</v>
      </c>
      <c r="K29" s="207" t="s">
        <v>126</v>
      </c>
      <c r="L29" s="207" t="s">
        <v>102</v>
      </c>
      <c r="M29" s="172" t="s">
        <v>141</v>
      </c>
      <c r="N29" s="205" t="s">
        <v>106</v>
      </c>
      <c r="O29" s="680" t="s">
        <v>127</v>
      </c>
      <c r="P29" s="349" t="s">
        <v>161</v>
      </c>
      <c r="Q29" s="589" t="s">
        <v>107</v>
      </c>
      <c r="R29" s="581" t="s">
        <v>162</v>
      </c>
      <c r="S29" s="582"/>
      <c r="T29" s="592" t="s">
        <v>111</v>
      </c>
      <c r="U29" s="175" t="s">
        <v>113</v>
      </c>
      <c r="V29" s="209" t="s">
        <v>114</v>
      </c>
      <c r="W29" s="148"/>
      <c r="Y29"/>
      <c r="Z29"/>
    </row>
    <row r="30" spans="1:23" ht="16.5" customHeight="1" thickTop="1">
      <c r="A30" s="16"/>
      <c r="B30" s="125"/>
      <c r="C30" s="47"/>
      <c r="D30" s="47"/>
      <c r="E30" s="47"/>
      <c r="F30" s="47"/>
      <c r="G30" s="368"/>
      <c r="H30" s="562"/>
      <c r="I30" s="47"/>
      <c r="J30" s="47"/>
      <c r="K30" s="47"/>
      <c r="L30" s="47"/>
      <c r="M30" s="47"/>
      <c r="N30" s="369"/>
      <c r="O30" s="732"/>
      <c r="P30" s="593"/>
      <c r="Q30" s="594"/>
      <c r="R30" s="583"/>
      <c r="S30" s="584"/>
      <c r="T30" s="595"/>
      <c r="U30" s="369"/>
      <c r="V30" s="370"/>
      <c r="W30" s="148"/>
    </row>
    <row r="31" spans="1:23" ht="16.5" customHeight="1">
      <c r="A31" s="16"/>
      <c r="B31" s="125"/>
      <c r="C31" s="47" t="s">
        <v>247</v>
      </c>
      <c r="D31" s="48" t="s">
        <v>33</v>
      </c>
      <c r="E31" s="49" t="s">
        <v>225</v>
      </c>
      <c r="F31" s="50">
        <v>300</v>
      </c>
      <c r="G31" s="51" t="s">
        <v>34</v>
      </c>
      <c r="H31" s="563">
        <f>F31*$F$21</f>
        <v>46.2</v>
      </c>
      <c r="I31" s="54">
        <v>37976.222916666666</v>
      </c>
      <c r="J31" s="54">
        <v>37976.436111111114</v>
      </c>
      <c r="K31" s="55">
        <f>IF(D31="","",(J31-I31)*24)</f>
        <v>5.116666666755918</v>
      </c>
      <c r="L31" s="56">
        <f>IF(D31="","",(J31-I31)*24*60)</f>
        <v>307.0000000053551</v>
      </c>
      <c r="M31" s="52" t="s">
        <v>238</v>
      </c>
      <c r="N31" s="57" t="str">
        <f>IF(D31="","",IF(OR(M31="P",M31="RP"),"--","NO"))</f>
        <v>--</v>
      </c>
      <c r="O31" s="733" t="str">
        <f>IF(D31="","","NO")</f>
        <v>NO</v>
      </c>
      <c r="P31" s="530">
        <f>200*IF(O31="SI",1,0.1)*IF(M31="P",0.1,1)</f>
        <v>2</v>
      </c>
      <c r="Q31" s="590">
        <f>IF(M31="P",H31*P31*ROUND(L31/60,2),"--")</f>
        <v>473.088</v>
      </c>
      <c r="R31" s="585" t="str">
        <f>IF(AND(M31="F",N31="NO"),H31*P31,"--")</f>
        <v>--</v>
      </c>
      <c r="S31" s="586" t="str">
        <f>IF(M31="F",H31*P31*ROUND(L31/60,2),"--")</f>
        <v>--</v>
      </c>
      <c r="T31" s="509" t="str">
        <f>IF(M31="RF",H31*P31*ROUND(L31/60,2),"--")</f>
        <v>--</v>
      </c>
      <c r="U31" s="58" t="str">
        <f>IF(D31="","","SI")</f>
        <v>SI</v>
      </c>
      <c r="V31" s="211">
        <f>IF(D31="","",SUM(Q31:T31)*IF(U31="SI",1,2))</f>
        <v>473.088</v>
      </c>
      <c r="W31" s="153"/>
    </row>
    <row r="32" spans="1:23" ht="16.5" customHeight="1">
      <c r="A32" s="16"/>
      <c r="B32" s="125"/>
      <c r="C32" s="47" t="s">
        <v>248</v>
      </c>
      <c r="D32" s="48" t="s">
        <v>35</v>
      </c>
      <c r="E32" s="49" t="s">
        <v>27</v>
      </c>
      <c r="F32" s="50">
        <v>300</v>
      </c>
      <c r="G32" s="51" t="s">
        <v>34</v>
      </c>
      <c r="H32" s="563">
        <f>F32*$F$21</f>
        <v>46.2</v>
      </c>
      <c r="I32" s="53">
        <v>37979.09444444445</v>
      </c>
      <c r="J32" s="54">
        <v>37979.163194444445</v>
      </c>
      <c r="K32" s="55">
        <f>IF(D32="","",(J32-I32)*24)</f>
        <v>1.6499999999650754</v>
      </c>
      <c r="L32" s="56">
        <f>IF(D32="","",(J32-I32)*24*60)</f>
        <v>98.99999999790452</v>
      </c>
      <c r="M32" s="52" t="s">
        <v>238</v>
      </c>
      <c r="N32" s="57" t="str">
        <f>IF(D32="","",IF(OR(M32="P",M32="RP"),"--","NO"))</f>
        <v>--</v>
      </c>
      <c r="O32" s="733" t="str">
        <f>IF(D32="","","NO")</f>
        <v>NO</v>
      </c>
      <c r="P32" s="530">
        <f>200*IF(O32="SI",1,0.1)*IF(M32="P",0.1,1)</f>
        <v>2</v>
      </c>
      <c r="Q32" s="590">
        <f>IF(M32="P",H32*P32*ROUND(L32/60,2),"--")</f>
        <v>152.46</v>
      </c>
      <c r="R32" s="585" t="str">
        <f>IF(AND(M32="F",N32="NO"),H32*P32,"--")</f>
        <v>--</v>
      </c>
      <c r="S32" s="586" t="str">
        <f>IF(M32="F",H32*P32*ROUND(L32/60,2),"--")</f>
        <v>--</v>
      </c>
      <c r="T32" s="509" t="str">
        <f>IF(M32="RF",H32*P32*ROUND(L32/60,2),"--")</f>
        <v>--</v>
      </c>
      <c r="U32" s="58" t="str">
        <f>IF(D32="","","SI")</f>
        <v>SI</v>
      </c>
      <c r="V32" s="211">
        <f>IF(D32="","",SUM(Q32:T32)*IF(U32="SI",1,2))</f>
        <v>152.46</v>
      </c>
      <c r="W32" s="153"/>
    </row>
    <row r="33" spans="1:23" ht="16.5" customHeight="1">
      <c r="A33" s="16"/>
      <c r="B33" s="125"/>
      <c r="C33" s="47" t="s">
        <v>249</v>
      </c>
      <c r="D33" s="48" t="s">
        <v>35</v>
      </c>
      <c r="E33" s="49" t="s">
        <v>225</v>
      </c>
      <c r="F33" s="50">
        <v>300</v>
      </c>
      <c r="G33" s="51" t="s">
        <v>34</v>
      </c>
      <c r="H33" s="563">
        <f>F33*$F$21</f>
        <v>46.2</v>
      </c>
      <c r="I33" s="53">
        <v>37979.174305555556</v>
      </c>
      <c r="J33" s="54">
        <v>37979.21875</v>
      </c>
      <c r="K33" s="55">
        <f>IF(D33="","",(J33-I33)*24)</f>
        <v>1.0666666666511446</v>
      </c>
      <c r="L33" s="56">
        <f>IF(D33="","",(J33-I33)*24*60)</f>
        <v>63.99999999906868</v>
      </c>
      <c r="M33" s="52" t="s">
        <v>238</v>
      </c>
      <c r="N33" s="57" t="str">
        <f>IF(D33="","",IF(OR(M33="P",M33="RP"),"--","NO"))</f>
        <v>--</v>
      </c>
      <c r="O33" s="733" t="str">
        <f>IF(D33="","","NO")</f>
        <v>NO</v>
      </c>
      <c r="P33" s="530">
        <f>200*IF(O33="SI",1,0.1)*IF(M33="P",0.1,1)</f>
        <v>2</v>
      </c>
      <c r="Q33" s="590">
        <f>IF(M33="P",H33*P33*ROUND(L33/60,2),"--")</f>
        <v>98.86800000000001</v>
      </c>
      <c r="R33" s="585" t="str">
        <f>IF(AND(M33="F",N33="NO"),H33*P33,"--")</f>
        <v>--</v>
      </c>
      <c r="S33" s="586" t="str">
        <f>IF(M33="F",H33*P33*ROUND(L33/60,2),"--")</f>
        <v>--</v>
      </c>
      <c r="T33" s="509" t="str">
        <f>IF(M33="RF",H33*P33*ROUND(L33/60,2),"--")</f>
        <v>--</v>
      </c>
      <c r="U33" s="58" t="str">
        <f>IF(D33="","","SI")</f>
        <v>SI</v>
      </c>
      <c r="V33" s="211">
        <f>IF(D33="","",SUM(Q33:T33)*IF(U33="SI",1,2))</f>
        <v>98.86800000000001</v>
      </c>
      <c r="W33" s="153"/>
    </row>
    <row r="34" spans="1:23" ht="16.5" customHeight="1" thickBot="1">
      <c r="A34" s="107"/>
      <c r="B34" s="125"/>
      <c r="C34" s="59"/>
      <c r="D34" s="371"/>
      <c r="E34" s="372"/>
      <c r="F34" s="373"/>
      <c r="G34" s="374"/>
      <c r="H34" s="564"/>
      <c r="I34" s="375"/>
      <c r="J34" s="376"/>
      <c r="K34" s="377"/>
      <c r="L34" s="378"/>
      <c r="M34" s="60"/>
      <c r="N34" s="33"/>
      <c r="O34" s="734"/>
      <c r="P34" s="531"/>
      <c r="Q34" s="591"/>
      <c r="R34" s="587"/>
      <c r="S34" s="588"/>
      <c r="T34" s="535"/>
      <c r="U34" s="379"/>
      <c r="V34" s="380"/>
      <c r="W34" s="153"/>
    </row>
    <row r="35" spans="1:23" ht="16.5" customHeight="1" thickBot="1" thickTop="1">
      <c r="A35" s="107"/>
      <c r="B35" s="125"/>
      <c r="C35" s="182"/>
      <c r="D35" s="1"/>
      <c r="E35" s="1"/>
      <c r="F35" s="244"/>
      <c r="G35" s="381"/>
      <c r="H35" s="382"/>
      <c r="I35" s="383"/>
      <c r="J35" s="384"/>
      <c r="K35" s="385"/>
      <c r="L35" s="386"/>
      <c r="M35" s="382"/>
      <c r="N35" s="387"/>
      <c r="O35" s="39"/>
      <c r="P35" s="388"/>
      <c r="Q35" s="389"/>
      <c r="R35" s="390"/>
      <c r="S35" s="390"/>
      <c r="T35" s="390"/>
      <c r="U35" s="344"/>
      <c r="V35" s="391">
        <f>SUM(V30:V34)</f>
        <v>724.416</v>
      </c>
      <c r="W35" s="153"/>
    </row>
    <row r="36" spans="1:23" ht="16.5" customHeight="1" thickBot="1" thickTop="1">
      <c r="A36" s="107"/>
      <c r="B36" s="125"/>
      <c r="C36" s="182"/>
      <c r="D36" s="1"/>
      <c r="E36" s="1"/>
      <c r="F36" s="244"/>
      <c r="G36" s="381"/>
      <c r="H36" s="382"/>
      <c r="I36" s="383"/>
      <c r="L36" s="386"/>
      <c r="M36" s="382"/>
      <c r="N36" s="703"/>
      <c r="O36" s="704"/>
      <c r="P36" s="388"/>
      <c r="Q36" s="389"/>
      <c r="R36" s="390"/>
      <c r="S36" s="390"/>
      <c r="T36" s="390"/>
      <c r="U36" s="344"/>
      <c r="V36" s="344"/>
      <c r="W36" s="153"/>
    </row>
    <row r="37" spans="2:23" s="16" customFormat="1" ht="33.75" customHeight="1" thickBot="1" thickTop="1">
      <c r="B37" s="125"/>
      <c r="C37" s="165" t="s">
        <v>93</v>
      </c>
      <c r="D37" s="173" t="s">
        <v>124</v>
      </c>
      <c r="E37" s="939" t="s">
        <v>59</v>
      </c>
      <c r="F37" s="940"/>
      <c r="G37" s="175" t="s">
        <v>94</v>
      </c>
      <c r="H37" s="349" t="s">
        <v>98</v>
      </c>
      <c r="I37" s="167" t="s">
        <v>99</v>
      </c>
      <c r="J37" s="169" t="s">
        <v>100</v>
      </c>
      <c r="K37" s="236" t="s">
        <v>101</v>
      </c>
      <c r="L37" s="236" t="s">
        <v>102</v>
      </c>
      <c r="M37" s="172" t="s">
        <v>103</v>
      </c>
      <c r="N37" s="939" t="s">
        <v>106</v>
      </c>
      <c r="O37" s="943"/>
      <c r="P37" s="494" t="s">
        <v>97</v>
      </c>
      <c r="Q37" s="482" t="s">
        <v>117</v>
      </c>
      <c r="R37" s="501" t="s">
        <v>136</v>
      </c>
      <c r="S37" s="502"/>
      <c r="T37" s="511" t="s">
        <v>111</v>
      </c>
      <c r="U37" s="175" t="s">
        <v>113</v>
      </c>
      <c r="V37" s="209" t="s">
        <v>114</v>
      </c>
      <c r="W37" s="129"/>
    </row>
    <row r="38" spans="2:23" s="16" customFormat="1" ht="16.5" customHeight="1" thickTop="1">
      <c r="B38" s="125"/>
      <c r="C38" s="20"/>
      <c r="D38" s="70"/>
      <c r="E38" s="941"/>
      <c r="F38" s="942"/>
      <c r="G38" s="70"/>
      <c r="H38" s="359"/>
      <c r="I38" s="70"/>
      <c r="J38" s="70"/>
      <c r="K38" s="70"/>
      <c r="L38" s="70"/>
      <c r="M38" s="70"/>
      <c r="N38" s="70"/>
      <c r="O38" s="735"/>
      <c r="P38" s="493"/>
      <c r="Q38" s="497"/>
      <c r="R38" s="505"/>
      <c r="S38" s="506"/>
      <c r="T38" s="509"/>
      <c r="U38" s="70"/>
      <c r="V38" s="237"/>
      <c r="W38" s="129"/>
    </row>
    <row r="39" spans="2:23" s="16" customFormat="1" ht="16.5" customHeight="1">
      <c r="B39" s="125"/>
      <c r="C39" s="20" t="s">
        <v>251</v>
      </c>
      <c r="D39" s="70" t="s">
        <v>33</v>
      </c>
      <c r="E39" s="935" t="s">
        <v>54</v>
      </c>
      <c r="F39" s="936"/>
      <c r="G39" s="863">
        <v>132</v>
      </c>
      <c r="H39" s="350">
        <f aca="true" t="shared" si="0" ref="H39:H54">IF(G39=500,$M$19,IF(G39=220,$M$20,$M$21))</f>
        <v>24.587</v>
      </c>
      <c r="I39" s="72">
        <v>37956.40138888889</v>
      </c>
      <c r="J39" s="73">
        <v>37956.67638888889</v>
      </c>
      <c r="K39" s="74">
        <f aca="true" t="shared" si="1" ref="K39:K54">IF(D39="","",(J39-I39)*24)</f>
        <v>6.600000000034925</v>
      </c>
      <c r="L39" s="31">
        <f aca="true" t="shared" si="2" ref="L39:L54">IF(D39="","",ROUND((J39-I39)*24*60,0))</f>
        <v>396</v>
      </c>
      <c r="M39" s="789" t="s">
        <v>238</v>
      </c>
      <c r="N39" s="933" t="str">
        <f aca="true" t="shared" si="3" ref="N39:N54">IF(D39="","",IF(OR(M39="P",M39="RP"),"--","NO"))</f>
        <v>--</v>
      </c>
      <c r="O39" s="934"/>
      <c r="P39" s="495">
        <f aca="true" t="shared" si="4" ref="P39:P54">IF(G39=500,$N$19,IF(G39=220,$N$20,$N$21))</f>
        <v>40</v>
      </c>
      <c r="Q39" s="498">
        <f aca="true" t="shared" si="5" ref="Q39:Q54">IF(M39="P",H39*P39*ROUND(L39/60,2)*0.1,"--")</f>
        <v>649.0968</v>
      </c>
      <c r="R39" s="505" t="str">
        <f aca="true" t="shared" si="6" ref="R39:R54">IF(AND(M39="F",N39="NO"),H39*P39,"--")</f>
        <v>--</v>
      </c>
      <c r="S39" s="506" t="str">
        <f aca="true" t="shared" si="7" ref="S39:S54">IF(M39="F",H39*P39*ROUND(L39/60,2),"--")</f>
        <v>--</v>
      </c>
      <c r="T39" s="509" t="str">
        <f aca="true" t="shared" si="8" ref="T39:T54">IF(M39="RF",H39*P39*ROUND(L39/60,2),"--")</f>
        <v>--</v>
      </c>
      <c r="U39" s="76" t="str">
        <f aca="true" t="shared" si="9" ref="U39:U54">IF(D39="","","SI")</f>
        <v>SI</v>
      </c>
      <c r="V39" s="77">
        <f aca="true" t="shared" si="10" ref="V39:V54">IF(D39="","",SUM(Q39:T39)*IF(U39="SI",1,2))</f>
        <v>649.0968</v>
      </c>
      <c r="W39" s="129"/>
    </row>
    <row r="40" spans="2:23" s="16" customFormat="1" ht="16.5" customHeight="1">
      <c r="B40" s="125"/>
      <c r="C40" s="20" t="s">
        <v>252</v>
      </c>
      <c r="D40" s="70" t="s">
        <v>33</v>
      </c>
      <c r="E40" s="935" t="s">
        <v>54</v>
      </c>
      <c r="F40" s="936"/>
      <c r="G40" s="863">
        <v>132</v>
      </c>
      <c r="H40" s="350">
        <f t="shared" si="0"/>
        <v>24.587</v>
      </c>
      <c r="I40" s="72">
        <v>37957.36111111111</v>
      </c>
      <c r="J40" s="73">
        <v>37957.70347222222</v>
      </c>
      <c r="K40" s="74">
        <f t="shared" si="1"/>
        <v>8.216666666732635</v>
      </c>
      <c r="L40" s="31">
        <f t="shared" si="2"/>
        <v>493</v>
      </c>
      <c r="M40" s="789" t="s">
        <v>238</v>
      </c>
      <c r="N40" s="933" t="str">
        <f t="shared" si="3"/>
        <v>--</v>
      </c>
      <c r="O40" s="934"/>
      <c r="P40" s="495">
        <f t="shared" si="4"/>
        <v>40</v>
      </c>
      <c r="Q40" s="498">
        <f t="shared" si="5"/>
        <v>808.4205600000001</v>
      </c>
      <c r="R40" s="505" t="str">
        <f t="shared" si="6"/>
        <v>--</v>
      </c>
      <c r="S40" s="506" t="str">
        <f t="shared" si="7"/>
        <v>--</v>
      </c>
      <c r="T40" s="509" t="str">
        <f t="shared" si="8"/>
        <v>--</v>
      </c>
      <c r="U40" s="76" t="str">
        <f t="shared" si="9"/>
        <v>SI</v>
      </c>
      <c r="V40" s="77">
        <f t="shared" si="10"/>
        <v>808.4205600000001</v>
      </c>
      <c r="W40" s="129"/>
    </row>
    <row r="41" spans="2:23" s="16" customFormat="1" ht="16.5" customHeight="1">
      <c r="B41" s="125"/>
      <c r="C41" s="20" t="s">
        <v>253</v>
      </c>
      <c r="D41" s="70" t="s">
        <v>33</v>
      </c>
      <c r="E41" s="935" t="s">
        <v>52</v>
      </c>
      <c r="F41" s="936"/>
      <c r="G41" s="863">
        <v>132</v>
      </c>
      <c r="H41" s="350">
        <f t="shared" si="0"/>
        <v>24.587</v>
      </c>
      <c r="I41" s="72">
        <v>37959.29722222222</v>
      </c>
      <c r="J41" s="73">
        <v>37959.47638888889</v>
      </c>
      <c r="K41" s="74">
        <f t="shared" si="1"/>
        <v>4.300000000046566</v>
      </c>
      <c r="L41" s="31">
        <f t="shared" si="2"/>
        <v>258</v>
      </c>
      <c r="M41" s="789" t="s">
        <v>238</v>
      </c>
      <c r="N41" s="933" t="str">
        <f t="shared" si="3"/>
        <v>--</v>
      </c>
      <c r="O41" s="934"/>
      <c r="P41" s="495">
        <f t="shared" si="4"/>
        <v>40</v>
      </c>
      <c r="Q41" s="498">
        <f t="shared" si="5"/>
        <v>422.8964</v>
      </c>
      <c r="R41" s="505" t="str">
        <f t="shared" si="6"/>
        <v>--</v>
      </c>
      <c r="S41" s="506" t="str">
        <f t="shared" si="7"/>
        <v>--</v>
      </c>
      <c r="T41" s="509" t="str">
        <f t="shared" si="8"/>
        <v>--</v>
      </c>
      <c r="U41" s="76" t="str">
        <f t="shared" si="9"/>
        <v>SI</v>
      </c>
      <c r="V41" s="77">
        <f t="shared" si="10"/>
        <v>422.8964</v>
      </c>
      <c r="W41" s="129"/>
    </row>
    <row r="42" spans="2:23" s="16" customFormat="1" ht="16.5" customHeight="1">
      <c r="B42" s="125"/>
      <c r="C42" s="20" t="s">
        <v>254</v>
      </c>
      <c r="D42" s="70" t="s">
        <v>36</v>
      </c>
      <c r="E42" s="935" t="s">
        <v>58</v>
      </c>
      <c r="F42" s="936"/>
      <c r="G42" s="863">
        <v>132</v>
      </c>
      <c r="H42" s="350">
        <f t="shared" si="0"/>
        <v>24.587</v>
      </c>
      <c r="I42" s="72">
        <v>37962.23402777778</v>
      </c>
      <c r="J42" s="73">
        <v>37963.697916666664</v>
      </c>
      <c r="K42" s="74">
        <f t="shared" si="1"/>
        <v>35.13333333330229</v>
      </c>
      <c r="L42" s="31">
        <f t="shared" si="2"/>
        <v>2108</v>
      </c>
      <c r="M42" s="789" t="s">
        <v>238</v>
      </c>
      <c r="N42" s="933" t="str">
        <f t="shared" si="3"/>
        <v>--</v>
      </c>
      <c r="O42" s="934"/>
      <c r="P42" s="495">
        <f t="shared" si="4"/>
        <v>40</v>
      </c>
      <c r="Q42" s="498">
        <f t="shared" si="5"/>
        <v>3454.965240000001</v>
      </c>
      <c r="R42" s="505" t="str">
        <f t="shared" si="6"/>
        <v>--</v>
      </c>
      <c r="S42" s="506" t="str">
        <f t="shared" si="7"/>
        <v>--</v>
      </c>
      <c r="T42" s="509" t="str">
        <f t="shared" si="8"/>
        <v>--</v>
      </c>
      <c r="U42" s="76" t="str">
        <f t="shared" si="9"/>
        <v>SI</v>
      </c>
      <c r="V42" s="77">
        <f t="shared" si="10"/>
        <v>3454.965240000001</v>
      </c>
      <c r="W42" s="129"/>
    </row>
    <row r="43" spans="2:23" s="16" customFormat="1" ht="16.5" customHeight="1">
      <c r="B43" s="125"/>
      <c r="C43" s="20" t="s">
        <v>255</v>
      </c>
      <c r="D43" s="70" t="s">
        <v>35</v>
      </c>
      <c r="E43" s="935" t="s">
        <v>57</v>
      </c>
      <c r="F43" s="936"/>
      <c r="G43" s="863">
        <v>132</v>
      </c>
      <c r="H43" s="350">
        <f t="shared" si="0"/>
        <v>24.587</v>
      </c>
      <c r="I43" s="72">
        <v>37964.364583333336</v>
      </c>
      <c r="J43" s="73">
        <v>37964.65625</v>
      </c>
      <c r="K43" s="74">
        <f t="shared" si="1"/>
        <v>6.999999999941792</v>
      </c>
      <c r="L43" s="31">
        <f t="shared" si="2"/>
        <v>420</v>
      </c>
      <c r="M43" s="789" t="s">
        <v>238</v>
      </c>
      <c r="N43" s="933" t="str">
        <f t="shared" si="3"/>
        <v>--</v>
      </c>
      <c r="O43" s="934"/>
      <c r="P43" s="495">
        <f t="shared" si="4"/>
        <v>40</v>
      </c>
      <c r="Q43" s="498">
        <f t="shared" si="5"/>
        <v>688.4360000000001</v>
      </c>
      <c r="R43" s="505" t="str">
        <f t="shared" si="6"/>
        <v>--</v>
      </c>
      <c r="S43" s="506" t="str">
        <f t="shared" si="7"/>
        <v>--</v>
      </c>
      <c r="T43" s="509" t="str">
        <f t="shared" si="8"/>
        <v>--</v>
      </c>
      <c r="U43" s="76" t="str">
        <f t="shared" si="9"/>
        <v>SI</v>
      </c>
      <c r="V43" s="77">
        <f t="shared" si="10"/>
        <v>688.4360000000001</v>
      </c>
      <c r="W43" s="129"/>
    </row>
    <row r="44" spans="2:23" s="16" customFormat="1" ht="16.5" customHeight="1">
      <c r="B44" s="125"/>
      <c r="C44" s="20" t="s">
        <v>256</v>
      </c>
      <c r="D44" s="70" t="s">
        <v>35</v>
      </c>
      <c r="E44" s="935" t="s">
        <v>57</v>
      </c>
      <c r="F44" s="936"/>
      <c r="G44" s="863">
        <v>132</v>
      </c>
      <c r="H44" s="350">
        <f t="shared" si="0"/>
        <v>24.587</v>
      </c>
      <c r="I44" s="72">
        <v>37965.49930555555</v>
      </c>
      <c r="J44" s="73">
        <v>37965.65138888889</v>
      </c>
      <c r="K44" s="74">
        <f t="shared" si="1"/>
        <v>3.650000000023283</v>
      </c>
      <c r="L44" s="31">
        <f t="shared" si="2"/>
        <v>219</v>
      </c>
      <c r="M44" s="789" t="s">
        <v>238</v>
      </c>
      <c r="N44" s="933" t="str">
        <f t="shared" si="3"/>
        <v>--</v>
      </c>
      <c r="O44" s="934"/>
      <c r="P44" s="495">
        <f t="shared" si="4"/>
        <v>40</v>
      </c>
      <c r="Q44" s="498">
        <f t="shared" si="5"/>
        <v>358.9702</v>
      </c>
      <c r="R44" s="505" t="str">
        <f t="shared" si="6"/>
        <v>--</v>
      </c>
      <c r="S44" s="506" t="str">
        <f t="shared" si="7"/>
        <v>--</v>
      </c>
      <c r="T44" s="509" t="str">
        <f t="shared" si="8"/>
        <v>--</v>
      </c>
      <c r="U44" s="76" t="str">
        <f t="shared" si="9"/>
        <v>SI</v>
      </c>
      <c r="V44" s="77">
        <f t="shared" si="10"/>
        <v>358.9702</v>
      </c>
      <c r="W44" s="129"/>
    </row>
    <row r="45" spans="2:23" s="16" customFormat="1" ht="16.5" customHeight="1">
      <c r="B45" s="125"/>
      <c r="C45" s="20" t="s">
        <v>257</v>
      </c>
      <c r="D45" s="70" t="s">
        <v>35</v>
      </c>
      <c r="E45" s="935" t="s">
        <v>56</v>
      </c>
      <c r="F45" s="936"/>
      <c r="G45" s="863">
        <v>132</v>
      </c>
      <c r="H45" s="350">
        <f t="shared" si="0"/>
        <v>24.587</v>
      </c>
      <c r="I45" s="72">
        <v>37966.22222222222</v>
      </c>
      <c r="J45" s="73">
        <v>37966.834027777775</v>
      </c>
      <c r="K45" s="74">
        <f t="shared" si="1"/>
        <v>14.683333333348855</v>
      </c>
      <c r="L45" s="31">
        <f t="shared" si="2"/>
        <v>881</v>
      </c>
      <c r="M45" s="789" t="s">
        <v>238</v>
      </c>
      <c r="N45" s="933" t="str">
        <f t="shared" si="3"/>
        <v>--</v>
      </c>
      <c r="O45" s="934"/>
      <c r="P45" s="495">
        <f t="shared" si="4"/>
        <v>40</v>
      </c>
      <c r="Q45" s="498">
        <f t="shared" si="5"/>
        <v>1443.74864</v>
      </c>
      <c r="R45" s="505" t="str">
        <f t="shared" si="6"/>
        <v>--</v>
      </c>
      <c r="S45" s="506" t="str">
        <f t="shared" si="7"/>
        <v>--</v>
      </c>
      <c r="T45" s="509" t="str">
        <f t="shared" si="8"/>
        <v>--</v>
      </c>
      <c r="U45" s="76" t="str">
        <f t="shared" si="9"/>
        <v>SI</v>
      </c>
      <c r="V45" s="77">
        <f t="shared" si="10"/>
        <v>1443.74864</v>
      </c>
      <c r="W45" s="129"/>
    </row>
    <row r="46" spans="2:23" s="16" customFormat="1" ht="16.5" customHeight="1">
      <c r="B46" s="125"/>
      <c r="C46" s="20" t="s">
        <v>258</v>
      </c>
      <c r="D46" s="70" t="s">
        <v>35</v>
      </c>
      <c r="E46" s="935" t="s">
        <v>56</v>
      </c>
      <c r="F46" s="936"/>
      <c r="G46" s="863">
        <v>132</v>
      </c>
      <c r="H46" s="350">
        <f t="shared" si="0"/>
        <v>24.587</v>
      </c>
      <c r="I46" s="72">
        <v>37967.22777777778</v>
      </c>
      <c r="J46" s="73">
        <v>37967.83263888889</v>
      </c>
      <c r="K46" s="74">
        <f t="shared" si="1"/>
        <v>14.516666666662786</v>
      </c>
      <c r="L46" s="31">
        <f t="shared" si="2"/>
        <v>871</v>
      </c>
      <c r="M46" s="789" t="s">
        <v>238</v>
      </c>
      <c r="N46" s="933" t="str">
        <f t="shared" si="3"/>
        <v>--</v>
      </c>
      <c r="O46" s="934"/>
      <c r="P46" s="495">
        <f t="shared" si="4"/>
        <v>40</v>
      </c>
      <c r="Q46" s="498">
        <f t="shared" si="5"/>
        <v>1428.01296</v>
      </c>
      <c r="R46" s="505" t="str">
        <f t="shared" si="6"/>
        <v>--</v>
      </c>
      <c r="S46" s="506" t="str">
        <f t="shared" si="7"/>
        <v>--</v>
      </c>
      <c r="T46" s="509" t="str">
        <f t="shared" si="8"/>
        <v>--</v>
      </c>
      <c r="U46" s="76" t="str">
        <f t="shared" si="9"/>
        <v>SI</v>
      </c>
      <c r="V46" s="77">
        <f t="shared" si="10"/>
        <v>1428.01296</v>
      </c>
      <c r="W46" s="129"/>
    </row>
    <row r="47" spans="2:23" s="16" customFormat="1" ht="16.5" customHeight="1">
      <c r="B47" s="125"/>
      <c r="C47" s="20" t="s">
        <v>259</v>
      </c>
      <c r="D47" s="70" t="s">
        <v>33</v>
      </c>
      <c r="E47" s="935" t="s">
        <v>226</v>
      </c>
      <c r="F47" s="936"/>
      <c r="G47" s="863">
        <v>132</v>
      </c>
      <c r="H47" s="350">
        <f t="shared" si="0"/>
        <v>24.587</v>
      </c>
      <c r="I47" s="72">
        <v>37970.353472222225</v>
      </c>
      <c r="J47" s="73">
        <v>37970.65</v>
      </c>
      <c r="K47" s="74">
        <f t="shared" si="1"/>
        <v>7.116666666639503</v>
      </c>
      <c r="L47" s="31">
        <f t="shared" si="2"/>
        <v>427</v>
      </c>
      <c r="M47" s="789" t="s">
        <v>238</v>
      </c>
      <c r="N47" s="933" t="str">
        <f t="shared" si="3"/>
        <v>--</v>
      </c>
      <c r="O47" s="934"/>
      <c r="P47" s="495">
        <f t="shared" si="4"/>
        <v>40</v>
      </c>
      <c r="Q47" s="498">
        <f t="shared" si="5"/>
        <v>700.23776</v>
      </c>
      <c r="R47" s="505" t="str">
        <f t="shared" si="6"/>
        <v>--</v>
      </c>
      <c r="S47" s="506" t="str">
        <f t="shared" si="7"/>
        <v>--</v>
      </c>
      <c r="T47" s="509" t="str">
        <f t="shared" si="8"/>
        <v>--</v>
      </c>
      <c r="U47" s="76" t="str">
        <f t="shared" si="9"/>
        <v>SI</v>
      </c>
      <c r="V47" s="77">
        <f t="shared" si="10"/>
        <v>700.23776</v>
      </c>
      <c r="W47" s="129"/>
    </row>
    <row r="48" spans="2:23" s="16" customFormat="1" ht="16.5" customHeight="1">
      <c r="B48" s="125"/>
      <c r="C48" s="20" t="s">
        <v>260</v>
      </c>
      <c r="D48" s="70" t="s">
        <v>33</v>
      </c>
      <c r="E48" s="935" t="s">
        <v>227</v>
      </c>
      <c r="F48" s="936"/>
      <c r="G48" s="863">
        <v>132</v>
      </c>
      <c r="H48" s="350">
        <f t="shared" si="0"/>
        <v>24.587</v>
      </c>
      <c r="I48" s="72">
        <v>37971.34444444445</v>
      </c>
      <c r="J48" s="73">
        <v>37971.74652777778</v>
      </c>
      <c r="K48" s="74">
        <f t="shared" si="1"/>
        <v>9.650000000023283</v>
      </c>
      <c r="L48" s="31">
        <f t="shared" si="2"/>
        <v>579</v>
      </c>
      <c r="M48" s="789" t="s">
        <v>238</v>
      </c>
      <c r="N48" s="933" t="str">
        <f t="shared" si="3"/>
        <v>--</v>
      </c>
      <c r="O48" s="934"/>
      <c r="P48" s="495">
        <f t="shared" si="4"/>
        <v>40</v>
      </c>
      <c r="Q48" s="498">
        <f t="shared" si="5"/>
        <v>949.0582</v>
      </c>
      <c r="R48" s="505" t="str">
        <f t="shared" si="6"/>
        <v>--</v>
      </c>
      <c r="S48" s="506" t="str">
        <f t="shared" si="7"/>
        <v>--</v>
      </c>
      <c r="T48" s="509" t="str">
        <f t="shared" si="8"/>
        <v>--</v>
      </c>
      <c r="U48" s="76" t="str">
        <f t="shared" si="9"/>
        <v>SI</v>
      </c>
      <c r="V48" s="77">
        <f t="shared" si="10"/>
        <v>949.0582</v>
      </c>
      <c r="W48" s="129"/>
    </row>
    <row r="49" spans="2:23" s="16" customFormat="1" ht="16.5" customHeight="1">
      <c r="B49" s="125"/>
      <c r="C49" s="20" t="s">
        <v>261</v>
      </c>
      <c r="D49" s="70" t="s">
        <v>33</v>
      </c>
      <c r="E49" s="935" t="s">
        <v>227</v>
      </c>
      <c r="F49" s="936"/>
      <c r="G49" s="863">
        <v>132</v>
      </c>
      <c r="H49" s="350">
        <f t="shared" si="0"/>
        <v>24.587</v>
      </c>
      <c r="I49" s="72">
        <v>37972.35555555556</v>
      </c>
      <c r="J49" s="73">
        <v>37972.73819444444</v>
      </c>
      <c r="K49" s="74">
        <f t="shared" si="1"/>
        <v>9.18333333323244</v>
      </c>
      <c r="L49" s="31">
        <f t="shared" si="2"/>
        <v>551</v>
      </c>
      <c r="M49" s="789" t="s">
        <v>238</v>
      </c>
      <c r="N49" s="933" t="str">
        <f t="shared" si="3"/>
        <v>--</v>
      </c>
      <c r="O49" s="934"/>
      <c r="P49" s="495">
        <f t="shared" si="4"/>
        <v>40</v>
      </c>
      <c r="Q49" s="498">
        <f t="shared" si="5"/>
        <v>902.83464</v>
      </c>
      <c r="R49" s="505" t="str">
        <f t="shared" si="6"/>
        <v>--</v>
      </c>
      <c r="S49" s="506" t="str">
        <f t="shared" si="7"/>
        <v>--</v>
      </c>
      <c r="T49" s="509" t="str">
        <f t="shared" si="8"/>
        <v>--</v>
      </c>
      <c r="U49" s="76" t="str">
        <f t="shared" si="9"/>
        <v>SI</v>
      </c>
      <c r="V49" s="77">
        <f t="shared" si="10"/>
        <v>902.83464</v>
      </c>
      <c r="W49" s="129"/>
    </row>
    <row r="50" spans="2:23" s="16" customFormat="1" ht="16.5" customHeight="1">
      <c r="B50" s="125"/>
      <c r="C50" s="20" t="s">
        <v>262</v>
      </c>
      <c r="D50" s="70" t="s">
        <v>33</v>
      </c>
      <c r="E50" s="935" t="s">
        <v>227</v>
      </c>
      <c r="F50" s="936"/>
      <c r="G50" s="863">
        <v>132</v>
      </c>
      <c r="H50" s="350">
        <f t="shared" si="0"/>
        <v>24.587</v>
      </c>
      <c r="I50" s="72">
        <v>37973.345138888886</v>
      </c>
      <c r="J50" s="73">
        <v>37973.74444444444</v>
      </c>
      <c r="K50" s="74">
        <f t="shared" si="1"/>
        <v>9.58333333331393</v>
      </c>
      <c r="L50" s="31">
        <f t="shared" si="2"/>
        <v>575</v>
      </c>
      <c r="M50" s="789" t="s">
        <v>238</v>
      </c>
      <c r="N50" s="933" t="str">
        <f t="shared" si="3"/>
        <v>--</v>
      </c>
      <c r="O50" s="934"/>
      <c r="P50" s="495">
        <f t="shared" si="4"/>
        <v>40</v>
      </c>
      <c r="Q50" s="498">
        <f t="shared" si="5"/>
        <v>942.17384</v>
      </c>
      <c r="R50" s="505" t="str">
        <f t="shared" si="6"/>
        <v>--</v>
      </c>
      <c r="S50" s="506" t="str">
        <f t="shared" si="7"/>
        <v>--</v>
      </c>
      <c r="T50" s="509" t="str">
        <f t="shared" si="8"/>
        <v>--</v>
      </c>
      <c r="U50" s="76" t="str">
        <f t="shared" si="9"/>
        <v>SI</v>
      </c>
      <c r="V50" s="77">
        <f t="shared" si="10"/>
        <v>942.17384</v>
      </c>
      <c r="W50" s="129"/>
    </row>
    <row r="51" spans="2:23" s="16" customFormat="1" ht="16.5" customHeight="1">
      <c r="B51" s="125"/>
      <c r="C51" s="20" t="s">
        <v>263</v>
      </c>
      <c r="D51" s="70" t="s">
        <v>33</v>
      </c>
      <c r="E51" s="935" t="s">
        <v>227</v>
      </c>
      <c r="F51" s="936"/>
      <c r="G51" s="863">
        <v>132</v>
      </c>
      <c r="H51" s="350">
        <f t="shared" si="0"/>
        <v>24.587</v>
      </c>
      <c r="I51" s="72">
        <v>37974.375</v>
      </c>
      <c r="J51" s="73">
        <v>37974.73333333333</v>
      </c>
      <c r="K51" s="74">
        <f t="shared" si="1"/>
        <v>8.59999999991851</v>
      </c>
      <c r="L51" s="31">
        <f t="shared" si="2"/>
        <v>516</v>
      </c>
      <c r="M51" s="789" t="s">
        <v>238</v>
      </c>
      <c r="N51" s="933" t="str">
        <f t="shared" si="3"/>
        <v>--</v>
      </c>
      <c r="O51" s="934"/>
      <c r="P51" s="495">
        <f t="shared" si="4"/>
        <v>40</v>
      </c>
      <c r="Q51" s="498">
        <f t="shared" si="5"/>
        <v>845.7928</v>
      </c>
      <c r="R51" s="505" t="str">
        <f t="shared" si="6"/>
        <v>--</v>
      </c>
      <c r="S51" s="506" t="str">
        <f t="shared" si="7"/>
        <v>--</v>
      </c>
      <c r="T51" s="509" t="str">
        <f t="shared" si="8"/>
        <v>--</v>
      </c>
      <c r="U51" s="76" t="str">
        <f t="shared" si="9"/>
        <v>SI</v>
      </c>
      <c r="V51" s="77">
        <f t="shared" si="10"/>
        <v>845.7928</v>
      </c>
      <c r="W51" s="129"/>
    </row>
    <row r="52" spans="2:23" s="16" customFormat="1" ht="16.5" customHeight="1">
      <c r="B52" s="125"/>
      <c r="C52" s="20" t="s">
        <v>264</v>
      </c>
      <c r="D52" s="70" t="s">
        <v>33</v>
      </c>
      <c r="E52" s="935" t="s">
        <v>53</v>
      </c>
      <c r="F52" s="936"/>
      <c r="G52" s="863">
        <v>132</v>
      </c>
      <c r="H52" s="350">
        <f t="shared" si="0"/>
        <v>24.587</v>
      </c>
      <c r="I52" s="72">
        <v>37977.402083333334</v>
      </c>
      <c r="J52" s="73">
        <v>37977.62291666667</v>
      </c>
      <c r="K52" s="74">
        <f t="shared" si="1"/>
        <v>5.2999999999883585</v>
      </c>
      <c r="L52" s="31">
        <f t="shared" si="2"/>
        <v>318</v>
      </c>
      <c r="M52" s="789" t="s">
        <v>238</v>
      </c>
      <c r="N52" s="933" t="str">
        <f t="shared" si="3"/>
        <v>--</v>
      </c>
      <c r="O52" s="934"/>
      <c r="P52" s="495">
        <f t="shared" si="4"/>
        <v>40</v>
      </c>
      <c r="Q52" s="498">
        <f t="shared" si="5"/>
        <v>521.2443999999999</v>
      </c>
      <c r="R52" s="505" t="str">
        <f t="shared" si="6"/>
        <v>--</v>
      </c>
      <c r="S52" s="506" t="str">
        <f t="shared" si="7"/>
        <v>--</v>
      </c>
      <c r="T52" s="509" t="str">
        <f t="shared" si="8"/>
        <v>--</v>
      </c>
      <c r="U52" s="76" t="str">
        <f t="shared" si="9"/>
        <v>SI</v>
      </c>
      <c r="V52" s="77">
        <f t="shared" si="10"/>
        <v>521.2443999999999</v>
      </c>
      <c r="W52" s="129"/>
    </row>
    <row r="53" spans="2:23" s="16" customFormat="1" ht="16.5" customHeight="1">
      <c r="B53" s="125"/>
      <c r="C53" s="20" t="s">
        <v>265</v>
      </c>
      <c r="D53" s="70" t="s">
        <v>33</v>
      </c>
      <c r="E53" s="935" t="s">
        <v>55</v>
      </c>
      <c r="F53" s="936"/>
      <c r="G53" s="863">
        <v>132</v>
      </c>
      <c r="H53" s="350">
        <f t="shared" si="0"/>
        <v>24.587</v>
      </c>
      <c r="I53" s="72">
        <v>37984.39861111111</v>
      </c>
      <c r="J53" s="73">
        <v>37984.686111111114</v>
      </c>
      <c r="K53" s="74">
        <f t="shared" si="1"/>
        <v>6.900000000139698</v>
      </c>
      <c r="L53" s="31">
        <f t="shared" si="2"/>
        <v>414</v>
      </c>
      <c r="M53" s="789" t="s">
        <v>238</v>
      </c>
      <c r="N53" s="933" t="str">
        <f t="shared" si="3"/>
        <v>--</v>
      </c>
      <c r="O53" s="934"/>
      <c r="P53" s="495">
        <f t="shared" si="4"/>
        <v>40</v>
      </c>
      <c r="Q53" s="498">
        <f t="shared" si="5"/>
        <v>678.6012000000001</v>
      </c>
      <c r="R53" s="505" t="str">
        <f t="shared" si="6"/>
        <v>--</v>
      </c>
      <c r="S53" s="506" t="str">
        <f t="shared" si="7"/>
        <v>--</v>
      </c>
      <c r="T53" s="509" t="str">
        <f t="shared" si="8"/>
        <v>--</v>
      </c>
      <c r="U53" s="76" t="str">
        <f t="shared" si="9"/>
        <v>SI</v>
      </c>
      <c r="V53" s="77">
        <f t="shared" si="10"/>
        <v>678.6012000000001</v>
      </c>
      <c r="W53" s="129"/>
    </row>
    <row r="54" spans="2:23" s="16" customFormat="1" ht="16.5" customHeight="1">
      <c r="B54" s="125"/>
      <c r="C54" s="20" t="s">
        <v>266</v>
      </c>
      <c r="D54" s="70" t="s">
        <v>33</v>
      </c>
      <c r="E54" s="935" t="s">
        <v>55</v>
      </c>
      <c r="F54" s="936"/>
      <c r="G54" s="863">
        <v>132</v>
      </c>
      <c r="H54" s="350">
        <f t="shared" si="0"/>
        <v>24.587</v>
      </c>
      <c r="I54" s="72">
        <v>37985.388194444444</v>
      </c>
      <c r="J54" s="73">
        <v>37985.60208333333</v>
      </c>
      <c r="K54" s="74">
        <f t="shared" si="1"/>
        <v>5.133333333302289</v>
      </c>
      <c r="L54" s="31">
        <f t="shared" si="2"/>
        <v>308</v>
      </c>
      <c r="M54" s="789" t="s">
        <v>238</v>
      </c>
      <c r="N54" s="933" t="str">
        <f t="shared" si="3"/>
        <v>--</v>
      </c>
      <c r="O54" s="934"/>
      <c r="P54" s="495">
        <f t="shared" si="4"/>
        <v>40</v>
      </c>
      <c r="Q54" s="498">
        <f t="shared" si="5"/>
        <v>504.52524000000005</v>
      </c>
      <c r="R54" s="505" t="str">
        <f t="shared" si="6"/>
        <v>--</v>
      </c>
      <c r="S54" s="506" t="str">
        <f t="shared" si="7"/>
        <v>--</v>
      </c>
      <c r="T54" s="509" t="str">
        <f t="shared" si="8"/>
        <v>--</v>
      </c>
      <c r="U54" s="76" t="str">
        <f t="shared" si="9"/>
        <v>SI</v>
      </c>
      <c r="V54" s="77">
        <f t="shared" si="10"/>
        <v>504.52524000000005</v>
      </c>
      <c r="W54" s="129"/>
    </row>
    <row r="55" spans="2:28" s="16" customFormat="1" ht="16.5" customHeight="1" thickBot="1">
      <c r="B55" s="125"/>
      <c r="C55" s="736"/>
      <c r="D55" s="737"/>
      <c r="E55" s="737"/>
      <c r="F55" s="738"/>
      <c r="G55" s="739"/>
      <c r="H55" s="740"/>
      <c r="I55" s="741"/>
      <c r="J55" s="742"/>
      <c r="K55" s="743"/>
      <c r="L55" s="744"/>
      <c r="M55" s="745"/>
      <c r="N55" s="746"/>
      <c r="O55" s="745"/>
      <c r="P55" s="747"/>
      <c r="Q55" s="748"/>
      <c r="R55" s="749"/>
      <c r="S55" s="750"/>
      <c r="T55" s="751"/>
      <c r="U55" s="752"/>
      <c r="V55" s="753"/>
      <c r="W55" s="129"/>
      <c r="X55"/>
      <c r="Y55"/>
      <c r="Z55"/>
      <c r="AA55"/>
      <c r="AB55"/>
    </row>
    <row r="56" spans="1:23" ht="17.25" thickBot="1" thickTop="1">
      <c r="A56" s="107"/>
      <c r="B56" s="315"/>
      <c r="C56" s="309"/>
      <c r="D56" s="316"/>
      <c r="E56" s="317"/>
      <c r="F56" s="318"/>
      <c r="G56" s="319"/>
      <c r="H56" s="319"/>
      <c r="I56" s="317"/>
      <c r="J56" s="297"/>
      <c r="K56" s="297"/>
      <c r="L56" s="317"/>
      <c r="M56" s="317"/>
      <c r="N56" s="317"/>
      <c r="O56" s="320"/>
      <c r="P56" s="317"/>
      <c r="Q56" s="317"/>
      <c r="R56" s="321"/>
      <c r="S56" s="322"/>
      <c r="T56" s="322"/>
      <c r="U56" s="323"/>
      <c r="V56" s="391">
        <f>SUM(V39:V55)</f>
        <v>15299.01488</v>
      </c>
      <c r="W56" s="326"/>
    </row>
    <row r="57" spans="1:23" ht="17.25" thickBot="1" thickTop="1">
      <c r="A57" s="107"/>
      <c r="B57" s="315"/>
      <c r="C57" s="309"/>
      <c r="D57" s="316"/>
      <c r="E57" s="317"/>
      <c r="F57" s="318"/>
      <c r="G57" s="319"/>
      <c r="H57" s="319"/>
      <c r="I57" s="640" t="s">
        <v>163</v>
      </c>
      <c r="J57" s="728">
        <f>+V56+V35</f>
        <v>16023.43088</v>
      </c>
      <c r="L57" s="317"/>
      <c r="M57" s="317"/>
      <c r="N57" s="317"/>
      <c r="O57" s="320"/>
      <c r="P57" s="317"/>
      <c r="Q57" s="317"/>
      <c r="R57" s="321"/>
      <c r="S57" s="322"/>
      <c r="T57" s="322"/>
      <c r="U57" s="323"/>
      <c r="W57" s="326"/>
    </row>
    <row r="58" spans="1:23" ht="13.5" customHeight="1" thickTop="1">
      <c r="A58" s="107"/>
      <c r="B58" s="315"/>
      <c r="C58" s="309"/>
      <c r="D58" s="316"/>
      <c r="E58" s="317"/>
      <c r="F58" s="318"/>
      <c r="G58" s="319"/>
      <c r="H58" s="319"/>
      <c r="I58" s="317"/>
      <c r="J58" s="297"/>
      <c r="K58" s="297"/>
      <c r="L58" s="317"/>
      <c r="M58" s="317"/>
      <c r="N58" s="317"/>
      <c r="O58" s="320"/>
      <c r="P58" s="317"/>
      <c r="Q58" s="317"/>
      <c r="R58" s="321"/>
      <c r="S58" s="322"/>
      <c r="T58" s="322"/>
      <c r="U58" s="323"/>
      <c r="W58" s="326"/>
    </row>
    <row r="59" spans="1:23" ht="16.5" customHeight="1">
      <c r="A59" s="107"/>
      <c r="B59" s="315"/>
      <c r="C59" s="327" t="s">
        <v>164</v>
      </c>
      <c r="D59" s="328" t="s">
        <v>165</v>
      </c>
      <c r="E59" s="317"/>
      <c r="F59" s="318"/>
      <c r="G59" s="319"/>
      <c r="H59" s="319"/>
      <c r="I59" s="317"/>
      <c r="J59" s="297"/>
      <c r="K59" s="297"/>
      <c r="L59" s="317"/>
      <c r="M59" s="317"/>
      <c r="N59" s="317"/>
      <c r="O59" s="320"/>
      <c r="P59" s="317"/>
      <c r="Q59" s="317"/>
      <c r="R59" s="321"/>
      <c r="S59" s="322"/>
      <c r="T59" s="322"/>
      <c r="U59" s="323"/>
      <c r="W59" s="326"/>
    </row>
    <row r="60" spans="1:23" ht="16.5" customHeight="1">
      <c r="A60" s="107"/>
      <c r="B60" s="315"/>
      <c r="C60" s="327"/>
      <c r="D60" s="316"/>
      <c r="E60" s="317"/>
      <c r="F60" s="318"/>
      <c r="G60" s="319"/>
      <c r="H60" s="319"/>
      <c r="I60" s="317"/>
      <c r="J60" s="297"/>
      <c r="K60" s="297"/>
      <c r="L60" s="317"/>
      <c r="M60" s="317"/>
      <c r="N60" s="317"/>
      <c r="O60" s="320"/>
      <c r="P60" s="317"/>
      <c r="Q60" s="317"/>
      <c r="R60" s="317"/>
      <c r="S60" s="321"/>
      <c r="T60" s="322"/>
      <c r="W60" s="326"/>
    </row>
    <row r="61" spans="2:23" s="107" customFormat="1" ht="16.5" customHeight="1">
      <c r="B61" s="315"/>
      <c r="C61" s="309"/>
      <c r="D61" s="337" t="s">
        <v>173</v>
      </c>
      <c r="E61" s="312" t="s">
        <v>174</v>
      </c>
      <c r="F61" s="312" t="s">
        <v>167</v>
      </c>
      <c r="G61" s="609" t="s">
        <v>175</v>
      </c>
      <c r="H61"/>
      <c r="I61" s="631"/>
      <c r="J61" s="333" t="s">
        <v>178</v>
      </c>
      <c r="K61" s="333"/>
      <c r="L61" s="312" t="s">
        <v>167</v>
      </c>
      <c r="M61" t="s">
        <v>194</v>
      </c>
      <c r="O61" s="609" t="s">
        <v>195</v>
      </c>
      <c r="P61"/>
      <c r="Q61" s="331"/>
      <c r="R61" s="331"/>
      <c r="S61" s="109"/>
      <c r="T61"/>
      <c r="U61"/>
      <c r="V61"/>
      <c r="W61" s="326"/>
    </row>
    <row r="62" spans="2:23" s="107" customFormat="1" ht="16.5" customHeight="1">
      <c r="B62" s="315"/>
      <c r="C62" s="309"/>
      <c r="D62" s="632" t="s">
        <v>196</v>
      </c>
      <c r="E62" s="632">
        <v>300</v>
      </c>
      <c r="F62" s="721">
        <v>500</v>
      </c>
      <c r="G62" s="938">
        <f>+E62*$F$20*$F$21</f>
        <v>34372.8</v>
      </c>
      <c r="H62" s="938"/>
      <c r="I62" s="938"/>
      <c r="J62" s="722" t="s">
        <v>197</v>
      </c>
      <c r="K62" s="722"/>
      <c r="L62" s="632">
        <v>500</v>
      </c>
      <c r="M62" s="632">
        <v>2</v>
      </c>
      <c r="O62" s="938">
        <f>+M62*$F$20*$M$19</f>
        <v>45730.704</v>
      </c>
      <c r="P62" s="938"/>
      <c r="Q62" s="938"/>
      <c r="R62" s="938"/>
      <c r="S62" s="938"/>
      <c r="T62" s="938"/>
      <c r="U62" s="938"/>
      <c r="V62"/>
      <c r="W62" s="326"/>
    </row>
    <row r="63" spans="2:23" s="107" customFormat="1" ht="16.5" customHeight="1">
      <c r="B63" s="315"/>
      <c r="C63" s="309"/>
      <c r="D63" s="632" t="s">
        <v>198</v>
      </c>
      <c r="E63" s="634">
        <v>150</v>
      </c>
      <c r="F63" s="721">
        <v>500</v>
      </c>
      <c r="G63" s="938">
        <f>+E63*$F$20*$F$21</f>
        <v>17186.4</v>
      </c>
      <c r="H63" s="938"/>
      <c r="I63" s="938"/>
      <c r="J63" s="722" t="s">
        <v>197</v>
      </c>
      <c r="K63" s="722"/>
      <c r="L63" s="632">
        <v>132</v>
      </c>
      <c r="M63" s="632">
        <v>7</v>
      </c>
      <c r="O63" s="938">
        <f>+M63*$F$20*$M$19</f>
        <v>160057.464</v>
      </c>
      <c r="P63" s="938"/>
      <c r="Q63" s="938"/>
      <c r="R63" s="938"/>
      <c r="S63" s="938"/>
      <c r="T63" s="938"/>
      <c r="U63" s="938"/>
      <c r="V63"/>
      <c r="W63" s="326"/>
    </row>
    <row r="64" spans="2:23" s="107" customFormat="1" ht="16.5" customHeight="1">
      <c r="B64" s="315"/>
      <c r="C64" s="309"/>
      <c r="D64" s="633" t="s">
        <v>199</v>
      </c>
      <c r="E64" s="634">
        <v>300</v>
      </c>
      <c r="F64" s="721">
        <v>500</v>
      </c>
      <c r="G64" s="938">
        <f>+E64*$F$20*$F$21</f>
        <v>34372.8</v>
      </c>
      <c r="H64" s="938"/>
      <c r="I64" s="938"/>
      <c r="J64" s="722" t="s">
        <v>200</v>
      </c>
      <c r="K64" s="722"/>
      <c r="L64" s="632">
        <v>132</v>
      </c>
      <c r="M64" s="632">
        <v>7</v>
      </c>
      <c r="O64" s="938">
        <f>+M64*$F$20*$M$19</f>
        <v>160057.464</v>
      </c>
      <c r="P64" s="938"/>
      <c r="Q64" s="938"/>
      <c r="R64" s="938"/>
      <c r="S64" s="938"/>
      <c r="T64" s="938"/>
      <c r="U64" s="938"/>
      <c r="V64"/>
      <c r="W64" s="326"/>
    </row>
    <row r="65" spans="1:23" ht="16.5" customHeight="1">
      <c r="A65" s="107"/>
      <c r="B65" s="315"/>
      <c r="C65" s="309"/>
      <c r="D65" s="633" t="s">
        <v>201</v>
      </c>
      <c r="E65" s="634">
        <v>300</v>
      </c>
      <c r="F65" s="721">
        <v>500</v>
      </c>
      <c r="G65" s="938">
        <f>+E65*$F$20*$F$21</f>
        <v>34372.8</v>
      </c>
      <c r="H65" s="938"/>
      <c r="I65" s="938"/>
      <c r="J65" s="722" t="s">
        <v>202</v>
      </c>
      <c r="K65" s="722"/>
      <c r="L65" s="632">
        <v>132</v>
      </c>
      <c r="M65" s="632">
        <v>5</v>
      </c>
      <c r="O65" s="937">
        <f>+M65*$F$20*$M$19</f>
        <v>114326.76</v>
      </c>
      <c r="P65" s="937"/>
      <c r="Q65" s="937"/>
      <c r="R65" s="937"/>
      <c r="S65" s="937"/>
      <c r="T65" s="937"/>
      <c r="U65" s="937"/>
      <c r="W65" s="326"/>
    </row>
    <row r="66" spans="1:23" ht="16.5" customHeight="1">
      <c r="A66" s="107"/>
      <c r="B66" s="315"/>
      <c r="C66" s="309"/>
      <c r="D66" s="633" t="s">
        <v>203</v>
      </c>
      <c r="E66" s="634">
        <v>300</v>
      </c>
      <c r="F66" s="721">
        <v>500</v>
      </c>
      <c r="G66" s="937">
        <f>+E66*$F$20*$F$21</f>
        <v>34372.8</v>
      </c>
      <c r="H66" s="937"/>
      <c r="I66" s="937"/>
      <c r="M66" s="632"/>
      <c r="O66" s="938">
        <f>SUM(O62:P65)</f>
        <v>480172.392</v>
      </c>
      <c r="P66" s="938"/>
      <c r="Q66" s="938"/>
      <c r="R66" s="938"/>
      <c r="S66" s="938"/>
      <c r="T66" s="938"/>
      <c r="U66" s="938"/>
      <c r="W66" s="326"/>
    </row>
    <row r="67" spans="1:23" ht="16.5" customHeight="1">
      <c r="A67" s="107"/>
      <c r="B67" s="315"/>
      <c r="C67" s="309"/>
      <c r="D67" s="633"/>
      <c r="E67" s="634"/>
      <c r="F67" s="721"/>
      <c r="G67" s="938">
        <f>SUM(G62:G66)</f>
        <v>154677.6</v>
      </c>
      <c r="H67" s="938"/>
      <c r="I67" s="938"/>
      <c r="M67" s="632"/>
      <c r="N67" s="631"/>
      <c r="O67" s="631"/>
      <c r="P67" s="324"/>
      <c r="Q67" s="324"/>
      <c r="R67" s="324"/>
      <c r="S67" s="324"/>
      <c r="W67" s="326"/>
    </row>
    <row r="68" spans="1:23" ht="16.5" customHeight="1" thickBot="1">
      <c r="A68" s="107"/>
      <c r="B68" s="315"/>
      <c r="C68" s="309"/>
      <c r="D68" s="337"/>
      <c r="E68" s="561"/>
      <c r="F68" s="561"/>
      <c r="G68" s="312"/>
      <c r="I68" s="329"/>
      <c r="J68" s="609"/>
      <c r="L68" s="608"/>
      <c r="M68" s="329"/>
      <c r="N68" s="330"/>
      <c r="O68" s="331"/>
      <c r="P68" s="331"/>
      <c r="Q68" s="331"/>
      <c r="R68" s="331"/>
      <c r="S68" s="331"/>
      <c r="W68" s="326"/>
    </row>
    <row r="69" spans="1:23" ht="16.5" customHeight="1" thickBot="1" thickTop="1">
      <c r="A69" s="107"/>
      <c r="B69" s="315"/>
      <c r="C69" s="309"/>
      <c r="D69" s="312"/>
      <c r="E69" s="723"/>
      <c r="F69" s="723"/>
      <c r="G69" s="392"/>
      <c r="H69" s="4"/>
      <c r="I69" s="640" t="s">
        <v>204</v>
      </c>
      <c r="J69" s="728">
        <f>+G67+O66</f>
        <v>634849.992</v>
      </c>
      <c r="L69" s="604"/>
      <c r="M69" s="4"/>
      <c r="N69" s="607"/>
      <c r="O69" s="324"/>
      <c r="P69" s="324"/>
      <c r="Q69" s="324"/>
      <c r="R69" s="324"/>
      <c r="S69" s="324"/>
      <c r="W69" s="326"/>
    </row>
    <row r="70" spans="1:23" ht="16.5" customHeight="1" thickTop="1">
      <c r="A70" s="107"/>
      <c r="B70" s="315"/>
      <c r="C70" s="309"/>
      <c r="D70" s="297"/>
      <c r="E70" s="299"/>
      <c r="F70" s="312"/>
      <c r="G70" s="312"/>
      <c r="H70" s="313"/>
      <c r="J70" s="312"/>
      <c r="L70" s="334"/>
      <c r="M70" s="330"/>
      <c r="N70" s="330"/>
      <c r="O70" s="331"/>
      <c r="P70" s="331"/>
      <c r="Q70" s="331"/>
      <c r="R70" s="331"/>
      <c r="S70" s="331"/>
      <c r="W70" s="326"/>
    </row>
    <row r="71" spans="2:23" ht="16.5" customHeight="1">
      <c r="B71" s="315"/>
      <c r="C71" s="327" t="s">
        <v>183</v>
      </c>
      <c r="D71" s="335" t="s">
        <v>184</v>
      </c>
      <c r="E71" s="312"/>
      <c r="F71" s="336"/>
      <c r="G71" s="298"/>
      <c r="H71" s="297"/>
      <c r="I71" s="297"/>
      <c r="J71" s="297"/>
      <c r="K71" s="312"/>
      <c r="L71" s="312"/>
      <c r="M71" s="297"/>
      <c r="N71" s="312"/>
      <c r="O71" s="297"/>
      <c r="P71" s="297"/>
      <c r="Q71" s="297"/>
      <c r="R71" s="297"/>
      <c r="S71" s="297"/>
      <c r="T71" s="297"/>
      <c r="U71" s="297"/>
      <c r="W71" s="326"/>
    </row>
    <row r="72" spans="2:23" s="107" customFormat="1" ht="16.5" customHeight="1">
      <c r="B72" s="315"/>
      <c r="C72" s="309"/>
      <c r="D72" s="337" t="s">
        <v>185</v>
      </c>
      <c r="E72" s="338">
        <f>10*J57*J25/J69</f>
        <v>4005.85772</v>
      </c>
      <c r="G72" s="298"/>
      <c r="L72" s="312"/>
      <c r="N72" s="312"/>
      <c r="O72" s="313"/>
      <c r="V72"/>
      <c r="W72" s="326"/>
    </row>
    <row r="73" spans="2:23" s="107" customFormat="1" ht="12.75" customHeight="1">
      <c r="B73" s="315"/>
      <c r="C73" s="309"/>
      <c r="E73" s="601"/>
      <c r="F73" s="311"/>
      <c r="G73" s="298"/>
      <c r="J73" s="298"/>
      <c r="K73" s="340"/>
      <c r="L73" s="312"/>
      <c r="M73" s="312"/>
      <c r="N73" s="312"/>
      <c r="O73" s="313"/>
      <c r="P73" s="312"/>
      <c r="Q73" s="312"/>
      <c r="R73" s="599"/>
      <c r="S73" s="599"/>
      <c r="T73" s="599"/>
      <c r="U73" s="600"/>
      <c r="V73"/>
      <c r="W73" s="326"/>
    </row>
    <row r="74" spans="2:23" ht="16.5" customHeight="1">
      <c r="B74" s="315"/>
      <c r="C74" s="309"/>
      <c r="D74" s="341" t="s">
        <v>218</v>
      </c>
      <c r="E74" s="339"/>
      <c r="F74" s="311"/>
      <c r="G74" s="298"/>
      <c r="H74" s="297"/>
      <c r="I74" s="297"/>
      <c r="N74" s="312"/>
      <c r="O74" s="313"/>
      <c r="P74" s="312"/>
      <c r="Q74" s="312"/>
      <c r="R74" s="329"/>
      <c r="S74" s="329"/>
      <c r="T74" s="329"/>
      <c r="U74" s="330"/>
      <c r="W74" s="326"/>
    </row>
    <row r="75" spans="2:23" ht="13.5" customHeight="1" thickBot="1">
      <c r="B75" s="315"/>
      <c r="C75" s="309"/>
      <c r="D75" s="341"/>
      <c r="E75" s="339"/>
      <c r="F75" s="311"/>
      <c r="G75" s="298"/>
      <c r="H75" s="297"/>
      <c r="I75" s="297"/>
      <c r="N75" s="312"/>
      <c r="O75" s="313"/>
      <c r="P75" s="312"/>
      <c r="Q75" s="312"/>
      <c r="R75" s="329"/>
      <c r="S75" s="329"/>
      <c r="T75" s="329"/>
      <c r="U75" s="330"/>
      <c r="W75" s="326"/>
    </row>
    <row r="76" spans="2:23" s="616" customFormat="1" ht="21" thickBot="1" thickTop="1">
      <c r="B76" s="610"/>
      <c r="C76" s="611"/>
      <c r="D76" s="612"/>
      <c r="E76" s="613"/>
      <c r="F76" s="614"/>
      <c r="G76" s="615"/>
      <c r="I76" s="617" t="s">
        <v>187</v>
      </c>
      <c r="J76" s="618">
        <f>IF(E72&gt;3*J25,J25*3,E72)</f>
        <v>4005.85772</v>
      </c>
      <c r="M76" s="619"/>
      <c r="N76" s="619"/>
      <c r="O76" s="620"/>
      <c r="P76" s="619"/>
      <c r="Q76" s="619"/>
      <c r="R76" s="621"/>
      <c r="S76" s="621"/>
      <c r="T76" s="621"/>
      <c r="U76" s="622"/>
      <c r="V76"/>
      <c r="W76" s="623"/>
    </row>
    <row r="77" spans="2:23" ht="16.5" customHeight="1" thickBot="1" thickTop="1">
      <c r="B77" s="132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345"/>
      <c r="W77" s="342"/>
    </row>
    <row r="78" spans="2:23" ht="16.5" customHeight="1" thickTop="1">
      <c r="B78" s="12"/>
      <c r="C78" s="708"/>
      <c r="W78" s="12"/>
    </row>
  </sheetData>
  <sheetProtection password="CC12"/>
  <mergeCells count="46">
    <mergeCell ref="E37:F37"/>
    <mergeCell ref="E38:F38"/>
    <mergeCell ref="N37:O37"/>
    <mergeCell ref="N39:O39"/>
    <mergeCell ref="N40:O40"/>
    <mergeCell ref="N41:O41"/>
    <mergeCell ref="N42:O42"/>
    <mergeCell ref="E43:F43"/>
    <mergeCell ref="N43:O43"/>
    <mergeCell ref="E44:F44"/>
    <mergeCell ref="G67:I67"/>
    <mergeCell ref="G62:I62"/>
    <mergeCell ref="G63:I63"/>
    <mergeCell ref="G64:I64"/>
    <mergeCell ref="G65:I65"/>
    <mergeCell ref="E47:F47"/>
    <mergeCell ref="E48:F48"/>
    <mergeCell ref="E51:F51"/>
    <mergeCell ref="E54:F54"/>
    <mergeCell ref="N44:O44"/>
    <mergeCell ref="N45:O45"/>
    <mergeCell ref="N46:O46"/>
    <mergeCell ref="G66:I66"/>
    <mergeCell ref="O65:U65"/>
    <mergeCell ref="O66:U66"/>
    <mergeCell ref="O63:U63"/>
    <mergeCell ref="O64:U64"/>
    <mergeCell ref="O62:U62"/>
    <mergeCell ref="N47:O47"/>
    <mergeCell ref="E53:F53"/>
    <mergeCell ref="N53:O53"/>
    <mergeCell ref="N48:O48"/>
    <mergeCell ref="E49:F49"/>
    <mergeCell ref="N49:O49"/>
    <mergeCell ref="E50:F50"/>
    <mergeCell ref="N50:O50"/>
    <mergeCell ref="N54:O54"/>
    <mergeCell ref="E39:F39"/>
    <mergeCell ref="E40:F40"/>
    <mergeCell ref="E45:F45"/>
    <mergeCell ref="E46:F46"/>
    <mergeCell ref="E41:F41"/>
    <mergeCell ref="E42:F42"/>
    <mergeCell ref="N51:O51"/>
    <mergeCell ref="E52:F52"/>
    <mergeCell ref="N52:O52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211">
    <pageSetUpPr fitToPage="1"/>
  </sheetPr>
  <dimension ref="A1:AD58"/>
  <sheetViews>
    <sheetView zoomScale="75" zoomScaleNormal="75" workbookViewId="0" topLeftCell="G1">
      <selection activeCell="F21" sqref="F21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0.5742187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64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754"/>
      <c r="AD1" s="635"/>
    </row>
    <row r="2" spans="1:23" ht="27" customHeight="1">
      <c r="A2" s="6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30" s="639" customFormat="1" ht="30.75">
      <c r="A3" s="636"/>
      <c r="B3" s="637" t="str">
        <f>+'tot-0312'!B2</f>
        <v>ANEXO I -1 a la Resolución ENRE N°  403 /2008.-</v>
      </c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AB3" s="638"/>
      <c r="AC3" s="638"/>
      <c r="AD3" s="638"/>
    </row>
    <row r="4" spans="1:2" s="100" customFormat="1" ht="11.25">
      <c r="A4" s="712" t="s">
        <v>71</v>
      </c>
      <c r="B4" s="724"/>
    </row>
    <row r="5" spans="1:2" s="100" customFormat="1" ht="12" thickBot="1">
      <c r="A5" s="712" t="s">
        <v>72</v>
      </c>
      <c r="B5" s="712"/>
    </row>
    <row r="6" spans="1:23" ht="16.5" customHeight="1" thickTop="1">
      <c r="A6" s="16"/>
      <c r="B6" s="144"/>
      <c r="C6" s="145"/>
      <c r="D6" s="145"/>
      <c r="E6" s="146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7"/>
    </row>
    <row r="7" spans="1:23" ht="20.25">
      <c r="A7" s="16"/>
      <c r="B7" s="125"/>
      <c r="C7" s="14"/>
      <c r="D7" s="7" t="s">
        <v>142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294"/>
      <c r="Q7" s="294"/>
      <c r="R7" s="14"/>
      <c r="S7" s="14"/>
      <c r="T7" s="14"/>
      <c r="U7" s="14"/>
      <c r="V7" s="14"/>
      <c r="W7" s="148"/>
    </row>
    <row r="8" spans="1:23" ht="16.5" customHeight="1">
      <c r="A8" s="16"/>
      <c r="B8" s="12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8"/>
    </row>
    <row r="9" spans="2:23" s="15" customFormat="1" ht="20.25">
      <c r="B9" s="120"/>
      <c r="C9" s="119"/>
      <c r="D9" s="7" t="s">
        <v>143</v>
      </c>
      <c r="E9" s="119"/>
      <c r="F9" s="119"/>
      <c r="G9" s="119"/>
      <c r="H9" s="119"/>
      <c r="N9" s="119"/>
      <c r="O9" s="119"/>
      <c r="P9" s="363"/>
      <c r="Q9" s="363"/>
      <c r="R9" s="119"/>
      <c r="S9" s="119"/>
      <c r="T9" s="119"/>
      <c r="U9" s="119"/>
      <c r="V9" s="119"/>
      <c r="W9" s="364"/>
    </row>
    <row r="10" spans="1:23" ht="16.5" customHeight="1">
      <c r="A10" s="16"/>
      <c r="B10" s="12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8"/>
    </row>
    <row r="11" spans="2:23" s="15" customFormat="1" ht="20.25">
      <c r="B11" s="120"/>
      <c r="C11" s="119"/>
      <c r="D11" s="7" t="s">
        <v>219</v>
      </c>
      <c r="E11" s="119"/>
      <c r="F11" s="119"/>
      <c r="G11" s="119"/>
      <c r="H11" s="119"/>
      <c r="N11" s="119"/>
      <c r="O11" s="119"/>
      <c r="P11" s="363"/>
      <c r="Q11" s="363"/>
      <c r="R11" s="119"/>
      <c r="S11" s="119"/>
      <c r="T11" s="119"/>
      <c r="U11" s="119"/>
      <c r="V11" s="119"/>
      <c r="W11" s="364"/>
    </row>
    <row r="12" spans="1:23" ht="16.5" customHeight="1">
      <c r="A12" s="16"/>
      <c r="B12" s="125"/>
      <c r="C12" s="14"/>
      <c r="D12" s="14"/>
      <c r="E12" s="16"/>
      <c r="F12" s="16"/>
      <c r="G12" s="16"/>
      <c r="H12" s="16"/>
      <c r="I12" s="149"/>
      <c r="J12" s="149"/>
      <c r="K12" s="149"/>
      <c r="L12" s="149"/>
      <c r="M12" s="149"/>
      <c r="N12" s="149"/>
      <c r="O12" s="149"/>
      <c r="P12" s="149"/>
      <c r="Q12" s="149"/>
      <c r="R12" s="14"/>
      <c r="S12" s="14"/>
      <c r="T12" s="14"/>
      <c r="U12" s="14"/>
      <c r="V12" s="14"/>
      <c r="W12" s="148"/>
    </row>
    <row r="13" spans="2:23" s="15" customFormat="1" ht="19.5">
      <c r="B13" s="113" t="str">
        <f>+'tot-0312'!B14</f>
        <v>Desde el 01 al 31 de diciembre de 2003</v>
      </c>
      <c r="C13" s="114"/>
      <c r="D13" s="116"/>
      <c r="E13" s="116"/>
      <c r="F13" s="116"/>
      <c r="G13" s="116"/>
      <c r="H13" s="116"/>
      <c r="I13" s="117"/>
      <c r="J13" s="4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366"/>
      <c r="V13" s="366"/>
      <c r="W13" s="118"/>
    </row>
    <row r="14" spans="1:23" ht="16.5" customHeight="1">
      <c r="A14" s="16"/>
      <c r="B14" s="125"/>
      <c r="C14" s="14"/>
      <c r="D14" s="14"/>
      <c r="E14" s="2"/>
      <c r="F14" s="2"/>
      <c r="G14" s="14"/>
      <c r="H14" s="14"/>
      <c r="I14" s="14"/>
      <c r="J14" s="295"/>
      <c r="K14" s="14"/>
      <c r="L14" s="14"/>
      <c r="M14" s="14"/>
      <c r="N14" s="16"/>
      <c r="O14" s="16"/>
      <c r="P14" s="14"/>
      <c r="Q14" s="14"/>
      <c r="R14" s="14"/>
      <c r="S14" s="14"/>
      <c r="T14" s="14"/>
      <c r="U14" s="14"/>
      <c r="V14" s="14"/>
      <c r="W14" s="148"/>
    </row>
    <row r="15" spans="1:23" ht="16.5" customHeight="1">
      <c r="A15" s="16"/>
      <c r="B15" s="125"/>
      <c r="C15" s="14"/>
      <c r="D15" s="14"/>
      <c r="E15" s="2"/>
      <c r="F15" s="2"/>
      <c r="G15" s="14"/>
      <c r="H15" s="14"/>
      <c r="I15" s="296"/>
      <c r="J15" s="14"/>
      <c r="K15" s="12"/>
      <c r="M15" s="14"/>
      <c r="N15" s="16"/>
      <c r="O15" s="16"/>
      <c r="P15" s="14"/>
      <c r="Q15" s="14"/>
      <c r="R15" s="14"/>
      <c r="S15" s="14"/>
      <c r="T15" s="14"/>
      <c r="U15" s="14"/>
      <c r="V15" s="14"/>
      <c r="W15" s="148"/>
    </row>
    <row r="16" spans="1:23" ht="16.5" customHeight="1">
      <c r="A16" s="16"/>
      <c r="B16" s="125"/>
      <c r="C16" s="14"/>
      <c r="D16" s="14"/>
      <c r="E16" s="2"/>
      <c r="F16" s="2"/>
      <c r="G16" s="14"/>
      <c r="H16" s="14"/>
      <c r="I16" s="296"/>
      <c r="J16" s="14"/>
      <c r="K16" s="12"/>
      <c r="M16" s="14"/>
      <c r="N16" s="16"/>
      <c r="O16" s="16"/>
      <c r="P16" s="14"/>
      <c r="Q16" s="14"/>
      <c r="R16" s="14"/>
      <c r="S16" s="14"/>
      <c r="T16" s="14"/>
      <c r="U16" s="14"/>
      <c r="V16" s="14"/>
      <c r="W16" s="148"/>
    </row>
    <row r="17" spans="1:23" ht="16.5" customHeight="1" thickBot="1">
      <c r="A17" s="16"/>
      <c r="B17" s="125"/>
      <c r="C17" s="606" t="s">
        <v>144</v>
      </c>
      <c r="D17" s="13" t="s">
        <v>145</v>
      </c>
      <c r="E17" s="2"/>
      <c r="F17" s="2"/>
      <c r="G17" s="14"/>
      <c r="H17" s="14"/>
      <c r="I17" s="14"/>
      <c r="J17" s="295"/>
      <c r="K17" s="14"/>
      <c r="L17" s="14"/>
      <c r="M17" s="14"/>
      <c r="N17" s="16"/>
      <c r="O17" s="16"/>
      <c r="P17" s="14"/>
      <c r="Q17" s="14"/>
      <c r="R17" s="14"/>
      <c r="S17" s="14"/>
      <c r="T17" s="14"/>
      <c r="U17" s="14"/>
      <c r="V17" s="14"/>
      <c r="W17" s="148"/>
    </row>
    <row r="18" spans="2:23" s="107" customFormat="1" ht="16.5" customHeight="1" thickBot="1">
      <c r="B18" s="315"/>
      <c r="C18" s="109"/>
      <c r="D18" s="575"/>
      <c r="E18" s="576"/>
      <c r="F18" s="309"/>
      <c r="G18" s="109"/>
      <c r="H18" s="109"/>
      <c r="I18" s="109"/>
      <c r="J18" s="596"/>
      <c r="K18" s="109"/>
      <c r="L18" s="109"/>
      <c r="M18" s="109"/>
      <c r="N18" s="725" t="s">
        <v>97</v>
      </c>
      <c r="P18" s="109"/>
      <c r="Q18" s="109"/>
      <c r="R18" s="109"/>
      <c r="S18" s="109"/>
      <c r="T18" s="109"/>
      <c r="U18" s="109"/>
      <c r="V18" s="109"/>
      <c r="W18" s="597"/>
    </row>
    <row r="19" spans="2:23" s="107" customFormat="1" ht="16.5" customHeight="1">
      <c r="B19" s="315"/>
      <c r="C19" s="109"/>
      <c r="E19" s="579" t="s">
        <v>148</v>
      </c>
      <c r="F19" s="580">
        <v>0.04</v>
      </c>
      <c r="G19" s="628"/>
      <c r="H19" s="109"/>
      <c r="I19" s="757" t="s">
        <v>223</v>
      </c>
      <c r="J19" s="758"/>
      <c r="K19" s="719" t="s">
        <v>216</v>
      </c>
      <c r="L19" s="720"/>
      <c r="M19" s="766">
        <v>30.733</v>
      </c>
      <c r="N19" s="767">
        <v>200</v>
      </c>
      <c r="R19" s="109"/>
      <c r="S19" s="109"/>
      <c r="T19" s="109"/>
      <c r="U19" s="109"/>
      <c r="V19" s="109"/>
      <c r="W19" s="597"/>
    </row>
    <row r="20" spans="2:23" s="107" customFormat="1" ht="16.5" customHeight="1">
      <c r="B20" s="315"/>
      <c r="C20" s="109"/>
      <c r="E20" s="575" t="s">
        <v>151</v>
      </c>
      <c r="F20" s="109">
        <f>MID(B13,16,2)*24</f>
        <v>744</v>
      </c>
      <c r="G20" s="109" t="s">
        <v>152</v>
      </c>
      <c r="H20" s="109"/>
      <c r="I20" s="109"/>
      <c r="J20" s="109"/>
      <c r="K20" s="714" t="s">
        <v>134</v>
      </c>
      <c r="L20" s="713"/>
      <c r="M20" s="715">
        <v>27.658</v>
      </c>
      <c r="N20" s="726">
        <v>100</v>
      </c>
      <c r="O20" s="109"/>
      <c r="P20" s="598"/>
      <c r="Q20" s="109"/>
      <c r="R20" s="109"/>
      <c r="S20" s="109"/>
      <c r="T20" s="109"/>
      <c r="U20" s="109"/>
      <c r="V20" s="109"/>
      <c r="W20" s="597"/>
    </row>
    <row r="21" spans="2:23" s="107" customFormat="1" ht="16.5" customHeight="1" thickBot="1">
      <c r="B21" s="315"/>
      <c r="C21" s="109"/>
      <c r="E21" s="575" t="s">
        <v>193</v>
      </c>
      <c r="F21" s="109">
        <v>0.154</v>
      </c>
      <c r="G21" s="107" t="s">
        <v>150</v>
      </c>
      <c r="H21" s="109"/>
      <c r="I21" s="109"/>
      <c r="J21" s="109"/>
      <c r="K21" s="716" t="s">
        <v>217</v>
      </c>
      <c r="L21" s="717"/>
      <c r="M21" s="718">
        <v>24.587</v>
      </c>
      <c r="N21" s="727">
        <v>40</v>
      </c>
      <c r="O21" s="109"/>
      <c r="P21" s="598"/>
      <c r="Q21" s="109"/>
      <c r="R21" s="109"/>
      <c r="S21" s="109"/>
      <c r="T21" s="109"/>
      <c r="U21" s="109"/>
      <c r="V21" s="109"/>
      <c r="W21" s="597"/>
    </row>
    <row r="22" spans="2:23" s="107" customFormat="1" ht="16.5" customHeight="1">
      <c r="B22" s="315"/>
      <c r="C22" s="109"/>
      <c r="D22" s="109"/>
      <c r="E22" s="311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597"/>
    </row>
    <row r="23" spans="1:23" ht="16.5" customHeight="1">
      <c r="A23" s="16"/>
      <c r="B23" s="125"/>
      <c r="C23" s="606" t="s">
        <v>154</v>
      </c>
      <c r="D23" s="108" t="s">
        <v>155</v>
      </c>
      <c r="I23" s="14"/>
      <c r="J23" s="107"/>
      <c r="O23" s="14"/>
      <c r="P23" s="14"/>
      <c r="Q23" s="14"/>
      <c r="R23" s="14"/>
      <c r="S23" s="14"/>
      <c r="T23" s="14"/>
      <c r="V23" s="14"/>
      <c r="W23" s="148"/>
    </row>
    <row r="24" spans="1:23" ht="10.5" customHeight="1" thickBot="1">
      <c r="A24" s="16"/>
      <c r="B24" s="125"/>
      <c r="C24" s="2"/>
      <c r="D24" s="108"/>
      <c r="I24" s="14"/>
      <c r="J24" s="107"/>
      <c r="O24" s="14"/>
      <c r="P24" s="14"/>
      <c r="Q24" s="14"/>
      <c r="R24" s="14"/>
      <c r="S24" s="14"/>
      <c r="T24" s="14"/>
      <c r="V24" s="14"/>
      <c r="W24" s="148"/>
    </row>
    <row r="25" spans="2:23" s="107" customFormat="1" ht="16.5" customHeight="1" thickBot="1" thickTop="1">
      <c r="B25" s="315"/>
      <c r="C25" s="309"/>
      <c r="D25"/>
      <c r="E25"/>
      <c r="F25"/>
      <c r="G25"/>
      <c r="H25"/>
      <c r="I25" s="640" t="s">
        <v>156</v>
      </c>
      <c r="J25" s="728">
        <f>+J49*F19</f>
        <v>2838.33024</v>
      </c>
      <c r="L25"/>
      <c r="S25"/>
      <c r="T25"/>
      <c r="U25"/>
      <c r="W25" s="597"/>
    </row>
    <row r="26" spans="2:23" s="107" customFormat="1" ht="11.25" customHeight="1" thickTop="1">
      <c r="B26" s="315"/>
      <c r="C26" s="309"/>
      <c r="D26" s="109"/>
      <c r="E26" s="311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/>
      <c r="W26" s="597"/>
    </row>
    <row r="27" spans="1:23" ht="16.5" customHeight="1">
      <c r="A27" s="16"/>
      <c r="B27" s="125"/>
      <c r="C27" s="606" t="s">
        <v>157</v>
      </c>
      <c r="D27" s="108" t="s">
        <v>158</v>
      </c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8"/>
    </row>
    <row r="28" spans="1:23" ht="13.5" customHeight="1" thickBot="1">
      <c r="A28" s="107"/>
      <c r="B28" s="125"/>
      <c r="C28" s="309"/>
      <c r="D28" s="309"/>
      <c r="E28" s="310"/>
      <c r="F28" s="311"/>
      <c r="G28" s="298"/>
      <c r="H28" s="298"/>
      <c r="I28" s="312"/>
      <c r="J28" s="312"/>
      <c r="K28" s="312"/>
      <c r="L28" s="312"/>
      <c r="M28" s="312"/>
      <c r="N28" s="312"/>
      <c r="O28" s="313"/>
      <c r="P28" s="312"/>
      <c r="Q28" s="312"/>
      <c r="R28" s="729"/>
      <c r="S28" s="730"/>
      <c r="T28" s="731"/>
      <c r="U28" s="731"/>
      <c r="V28" s="731"/>
      <c r="W28" s="153"/>
    </row>
    <row r="29" spans="1:26" s="16" customFormat="1" ht="33.75" customHeight="1" thickBot="1" thickTop="1">
      <c r="A29" s="64"/>
      <c r="B29" s="181"/>
      <c r="C29" s="204" t="s">
        <v>93</v>
      </c>
      <c r="D29" s="207" t="s">
        <v>124</v>
      </c>
      <c r="E29" s="205" t="s">
        <v>59</v>
      </c>
      <c r="F29" s="208" t="s">
        <v>125</v>
      </c>
      <c r="G29" s="209" t="s">
        <v>94</v>
      </c>
      <c r="H29" s="349" t="s">
        <v>98</v>
      </c>
      <c r="I29" s="205" t="s">
        <v>99</v>
      </c>
      <c r="J29" s="205" t="s">
        <v>100</v>
      </c>
      <c r="K29" s="207" t="s">
        <v>126</v>
      </c>
      <c r="L29" s="207" t="s">
        <v>102</v>
      </c>
      <c r="M29" s="172" t="s">
        <v>141</v>
      </c>
      <c r="N29" s="205" t="s">
        <v>106</v>
      </c>
      <c r="O29" s="680" t="s">
        <v>127</v>
      </c>
      <c r="P29" s="349" t="s">
        <v>161</v>
      </c>
      <c r="Q29" s="589" t="s">
        <v>107</v>
      </c>
      <c r="R29" s="581" t="s">
        <v>162</v>
      </c>
      <c r="S29" s="582"/>
      <c r="T29" s="592" t="s">
        <v>111</v>
      </c>
      <c r="U29" s="175" t="s">
        <v>113</v>
      </c>
      <c r="V29" s="209" t="s">
        <v>114</v>
      </c>
      <c r="W29" s="148"/>
      <c r="Y29"/>
      <c r="Z29"/>
    </row>
    <row r="30" spans="1:23" ht="16.5" customHeight="1" thickTop="1">
      <c r="A30" s="16"/>
      <c r="B30" s="125"/>
      <c r="C30" s="47"/>
      <c r="D30" s="47"/>
      <c r="E30" s="47"/>
      <c r="F30" s="47"/>
      <c r="G30" s="368"/>
      <c r="H30" s="562"/>
      <c r="I30" s="47"/>
      <c r="J30" s="47"/>
      <c r="K30" s="47"/>
      <c r="L30" s="47"/>
      <c r="M30" s="47"/>
      <c r="N30" s="369"/>
      <c r="O30" s="732"/>
      <c r="P30" s="593"/>
      <c r="Q30" s="594"/>
      <c r="R30" s="583"/>
      <c r="S30" s="584"/>
      <c r="T30" s="595"/>
      <c r="U30" s="369"/>
      <c r="V30" s="370"/>
      <c r="W30" s="148"/>
    </row>
    <row r="31" spans="1:23" ht="16.5" customHeight="1">
      <c r="A31" s="16"/>
      <c r="B31" s="125"/>
      <c r="C31" s="47" t="s">
        <v>250</v>
      </c>
      <c r="D31" s="48" t="s">
        <v>208</v>
      </c>
      <c r="E31" s="49" t="s">
        <v>18</v>
      </c>
      <c r="F31" s="50">
        <v>300</v>
      </c>
      <c r="G31" s="51" t="s">
        <v>239</v>
      </c>
      <c r="H31" s="563">
        <f>F31*$F$21</f>
        <v>46.2</v>
      </c>
      <c r="I31" s="54">
        <v>37985.736805555556</v>
      </c>
      <c r="J31" s="54">
        <v>37985.73888888889</v>
      </c>
      <c r="K31" s="55">
        <f>IF(D31="","",(J31-I31)*24)</f>
        <v>0.04999999998835847</v>
      </c>
      <c r="L31" s="56">
        <f>IF(D31="","",(J31-I31)*24*60)</f>
        <v>2.999999999301508</v>
      </c>
      <c r="M31" s="52" t="s">
        <v>231</v>
      </c>
      <c r="N31" s="57" t="str">
        <f>IF(D31="","",IF(OR(M31="P",M31="RP"),"--","NO"))</f>
        <v>NO</v>
      </c>
      <c r="O31" s="733" t="str">
        <f>IF(D31="","","NO")</f>
        <v>NO</v>
      </c>
      <c r="P31" s="530">
        <f>200*IF(O31="SI",1,0.1)*IF(M31="P",0.1,1)</f>
        <v>20</v>
      </c>
      <c r="Q31" s="590" t="str">
        <f>IF(M31="P",H31*P31*ROUND(L31/60,2),"--")</f>
        <v>--</v>
      </c>
      <c r="R31" s="585">
        <f>IF(AND(M31="F",N31="NO"),H31*P31,"--")</f>
        <v>924</v>
      </c>
      <c r="S31" s="586">
        <f>IF(M31="F",H31*P31*ROUND(L31/60,2),"--")</f>
        <v>46.2</v>
      </c>
      <c r="T31" s="509" t="str">
        <f>IF(M31="RF",H31*P31*ROUND(L31/60,2),"--")</f>
        <v>--</v>
      </c>
      <c r="U31" s="58" t="str">
        <f>IF(D31="","","SI")</f>
        <v>SI</v>
      </c>
      <c r="V31" s="211">
        <f>IF(D31="","",SUM(Q31:T31)*IF(U31="SI",1,2))</f>
        <v>970.2</v>
      </c>
      <c r="W31" s="153"/>
    </row>
    <row r="32" spans="1:23" ht="16.5" customHeight="1" thickBot="1">
      <c r="A32" s="107"/>
      <c r="B32" s="125"/>
      <c r="C32" s="59"/>
      <c r="D32" s="371"/>
      <c r="E32" s="372"/>
      <c r="F32" s="373"/>
      <c r="G32" s="374"/>
      <c r="H32" s="564"/>
      <c r="I32" s="375"/>
      <c r="J32" s="376"/>
      <c r="K32" s="377"/>
      <c r="L32" s="378"/>
      <c r="M32" s="60"/>
      <c r="N32" s="33"/>
      <c r="O32" s="734"/>
      <c r="P32" s="531"/>
      <c r="Q32" s="591"/>
      <c r="R32" s="587"/>
      <c r="S32" s="588"/>
      <c r="T32" s="535"/>
      <c r="U32" s="379"/>
      <c r="V32" s="380"/>
      <c r="W32" s="153"/>
    </row>
    <row r="33" spans="1:23" ht="16.5" customHeight="1" thickBot="1" thickTop="1">
      <c r="A33" s="107"/>
      <c r="B33" s="125"/>
      <c r="C33" s="182"/>
      <c r="D33" s="1"/>
      <c r="E33" s="1"/>
      <c r="F33" s="244"/>
      <c r="G33" s="381"/>
      <c r="H33" s="382"/>
      <c r="I33" s="383"/>
      <c r="J33" s="384"/>
      <c r="K33" s="385"/>
      <c r="L33" s="386"/>
      <c r="M33" s="382"/>
      <c r="N33" s="387"/>
      <c r="O33" s="39"/>
      <c r="P33" s="388"/>
      <c r="Q33" s="389"/>
      <c r="R33" s="390"/>
      <c r="S33" s="390"/>
      <c r="T33" s="390"/>
      <c r="U33" s="344"/>
      <c r="V33" s="391">
        <f>SUM(V30:V32)</f>
        <v>970.2</v>
      </c>
      <c r="W33" s="153"/>
    </row>
    <row r="34" spans="1:23" ht="16.5" customHeight="1" thickBot="1" thickTop="1">
      <c r="A34" s="107"/>
      <c r="B34" s="125"/>
      <c r="C34" s="182"/>
      <c r="D34" s="1"/>
      <c r="E34" s="1"/>
      <c r="F34" s="244"/>
      <c r="G34" s="381"/>
      <c r="H34" s="382"/>
      <c r="I34" s="383"/>
      <c r="L34" s="386"/>
      <c r="M34" s="382"/>
      <c r="N34" s="703"/>
      <c r="O34" s="704"/>
      <c r="P34" s="388"/>
      <c r="Q34" s="389"/>
      <c r="R34" s="390"/>
      <c r="S34" s="390"/>
      <c r="T34" s="390"/>
      <c r="U34" s="344"/>
      <c r="V34" s="344"/>
      <c r="W34" s="153"/>
    </row>
    <row r="35" spans="2:23" s="16" customFormat="1" ht="33.75" customHeight="1" thickBot="1" thickTop="1">
      <c r="B35" s="125"/>
      <c r="C35" s="165" t="s">
        <v>93</v>
      </c>
      <c r="D35" s="173" t="s">
        <v>124</v>
      </c>
      <c r="E35" s="939" t="s">
        <v>59</v>
      </c>
      <c r="F35" s="940"/>
      <c r="G35" s="175" t="s">
        <v>94</v>
      </c>
      <c r="H35" s="349" t="s">
        <v>98</v>
      </c>
      <c r="I35" s="167" t="s">
        <v>99</v>
      </c>
      <c r="J35" s="169" t="s">
        <v>100</v>
      </c>
      <c r="K35" s="236" t="s">
        <v>101</v>
      </c>
      <c r="L35" s="236" t="s">
        <v>102</v>
      </c>
      <c r="M35" s="172" t="s">
        <v>103</v>
      </c>
      <c r="N35" s="939" t="s">
        <v>106</v>
      </c>
      <c r="O35" s="943"/>
      <c r="P35" s="494" t="s">
        <v>97</v>
      </c>
      <c r="Q35" s="482" t="s">
        <v>117</v>
      </c>
      <c r="R35" s="501" t="s">
        <v>136</v>
      </c>
      <c r="S35" s="502"/>
      <c r="T35" s="511" t="s">
        <v>111</v>
      </c>
      <c r="U35" s="175" t="s">
        <v>113</v>
      </c>
      <c r="V35" s="209" t="s">
        <v>114</v>
      </c>
      <c r="W35" s="129"/>
    </row>
    <row r="36" spans="2:23" s="16" customFormat="1" ht="16.5" customHeight="1" thickTop="1">
      <c r="B36" s="125"/>
      <c r="C36" s="20"/>
      <c r="D36" s="70"/>
      <c r="E36" s="941"/>
      <c r="F36" s="942"/>
      <c r="G36" s="70"/>
      <c r="H36" s="359"/>
      <c r="I36" s="70"/>
      <c r="J36" s="70"/>
      <c r="K36" s="70"/>
      <c r="L36" s="70"/>
      <c r="M36" s="70"/>
      <c r="N36" s="70"/>
      <c r="O36" s="735"/>
      <c r="P36" s="493"/>
      <c r="Q36" s="497"/>
      <c r="R36" s="505"/>
      <c r="S36" s="506"/>
      <c r="T36" s="509"/>
      <c r="U36" s="70"/>
      <c r="V36" s="237"/>
      <c r="W36" s="129"/>
    </row>
    <row r="37" spans="2:23" s="16" customFormat="1" ht="16.5" customHeight="1">
      <c r="B37" s="125"/>
      <c r="C37" s="20"/>
      <c r="D37" s="70"/>
      <c r="E37" s="941"/>
      <c r="F37" s="942"/>
      <c r="G37" s="71"/>
      <c r="H37" s="350">
        <f>IF(G37=500,$M$19,IF(G37=220,$M$20,$M$21))</f>
        <v>24.587</v>
      </c>
      <c r="I37" s="72"/>
      <c r="J37" s="73"/>
      <c r="K37" s="74">
        <f>IF(D37="","",(J37-I37)*24)</f>
      </c>
      <c r="L37" s="31">
        <f>IF(D37="","",ROUND((J37-I37)*24*60,0))</f>
      </c>
      <c r="M37" s="28"/>
      <c r="N37" s="933">
        <f>IF(D37="","",IF(OR(M37="P",M37="RP"),"--","NO"))</f>
      </c>
      <c r="O37" s="934"/>
      <c r="P37" s="495">
        <f>IF(G37=500,$N$19,IF(G37=220,$N$20,$N$21))</f>
        <v>40</v>
      </c>
      <c r="Q37" s="498" t="str">
        <f>IF(M37="P",H37*P37*ROUND(L37/60,2)*0.1,"--")</f>
        <v>--</v>
      </c>
      <c r="R37" s="505" t="str">
        <f>IF(AND(M37="F",N37="NO"),H37*P37,"--")</f>
        <v>--</v>
      </c>
      <c r="S37" s="506" t="str">
        <f>IF(M37="F",H37*P37*ROUND(L37/60,2),"--")</f>
        <v>--</v>
      </c>
      <c r="T37" s="509" t="str">
        <f>IF(M37="RF",H37*P37*ROUND(L37/60,2),"--")</f>
        <v>--</v>
      </c>
      <c r="U37" s="76">
        <f>IF(D37="","","SI")</f>
      </c>
      <c r="V37" s="77">
        <f>IF(D37="","",SUM(Q37:T37)*IF(U37="SI",1,2))</f>
      </c>
      <c r="W37" s="129"/>
    </row>
    <row r="38" spans="2:28" s="16" customFormat="1" ht="16.5" customHeight="1" thickBot="1">
      <c r="B38" s="125"/>
      <c r="C38" s="736"/>
      <c r="D38" s="737"/>
      <c r="E38" s="737"/>
      <c r="F38" s="738"/>
      <c r="G38" s="739"/>
      <c r="H38" s="740"/>
      <c r="I38" s="741"/>
      <c r="J38" s="742"/>
      <c r="K38" s="743"/>
      <c r="L38" s="744"/>
      <c r="M38" s="745"/>
      <c r="N38" s="746"/>
      <c r="O38" s="745"/>
      <c r="P38" s="747"/>
      <c r="Q38" s="748"/>
      <c r="R38" s="749"/>
      <c r="S38" s="750"/>
      <c r="T38" s="751"/>
      <c r="U38" s="752"/>
      <c r="V38" s="753"/>
      <c r="W38" s="129"/>
      <c r="X38"/>
      <c r="Y38"/>
      <c r="Z38"/>
      <c r="AA38"/>
      <c r="AB38"/>
    </row>
    <row r="39" spans="1:23" ht="17.25" thickBot="1" thickTop="1">
      <c r="A39" s="107"/>
      <c r="B39" s="315"/>
      <c r="C39" s="309"/>
      <c r="D39" s="316"/>
      <c r="E39" s="317"/>
      <c r="F39" s="318"/>
      <c r="G39" s="319"/>
      <c r="H39" s="319"/>
      <c r="I39" s="317"/>
      <c r="J39" s="297"/>
      <c r="K39" s="297"/>
      <c r="L39" s="317"/>
      <c r="M39" s="317"/>
      <c r="N39" s="317"/>
      <c r="O39" s="320"/>
      <c r="P39" s="317"/>
      <c r="Q39" s="317"/>
      <c r="R39" s="321"/>
      <c r="S39" s="322"/>
      <c r="T39" s="322"/>
      <c r="U39" s="323"/>
      <c r="V39" s="391">
        <f>SUM(V37:V38)</f>
        <v>0</v>
      </c>
      <c r="W39" s="326"/>
    </row>
    <row r="40" spans="1:23" ht="17.25" thickBot="1" thickTop="1">
      <c r="A40" s="107"/>
      <c r="B40" s="315"/>
      <c r="C40" s="309"/>
      <c r="D40" s="316"/>
      <c r="E40" s="317"/>
      <c r="F40" s="318"/>
      <c r="G40" s="319"/>
      <c r="H40" s="319"/>
      <c r="I40" s="640" t="s">
        <v>163</v>
      </c>
      <c r="J40" s="728">
        <f>+V39+V33</f>
        <v>970.2</v>
      </c>
      <c r="L40" s="317"/>
      <c r="M40" s="317"/>
      <c r="N40" s="317"/>
      <c r="O40" s="320"/>
      <c r="P40" s="317"/>
      <c r="Q40" s="317"/>
      <c r="R40" s="321"/>
      <c r="S40" s="322"/>
      <c r="T40" s="322"/>
      <c r="U40" s="323"/>
      <c r="W40" s="326"/>
    </row>
    <row r="41" spans="1:23" ht="13.5" customHeight="1" thickTop="1">
      <c r="A41" s="107"/>
      <c r="B41" s="315"/>
      <c r="C41" s="309"/>
      <c r="D41" s="316"/>
      <c r="E41" s="317"/>
      <c r="F41" s="318"/>
      <c r="G41" s="319"/>
      <c r="H41" s="319"/>
      <c r="I41" s="317"/>
      <c r="J41" s="297"/>
      <c r="K41" s="297"/>
      <c r="L41" s="317"/>
      <c r="M41" s="317"/>
      <c r="N41" s="317"/>
      <c r="O41" s="320"/>
      <c r="P41" s="317"/>
      <c r="Q41" s="317"/>
      <c r="R41" s="321"/>
      <c r="S41" s="322"/>
      <c r="T41" s="322"/>
      <c r="U41" s="323"/>
      <c r="W41" s="326"/>
    </row>
    <row r="42" spans="1:23" ht="16.5" customHeight="1">
      <c r="A42" s="107"/>
      <c r="B42" s="315"/>
      <c r="C42" s="327" t="s">
        <v>164</v>
      </c>
      <c r="D42" s="328" t="s">
        <v>165</v>
      </c>
      <c r="E42" s="317"/>
      <c r="F42" s="318"/>
      <c r="G42" s="319"/>
      <c r="H42" s="319"/>
      <c r="I42" s="317"/>
      <c r="J42" s="297"/>
      <c r="K42" s="297"/>
      <c r="L42" s="317"/>
      <c r="M42" s="317"/>
      <c r="N42" s="317"/>
      <c r="O42" s="320"/>
      <c r="P42" s="317"/>
      <c r="Q42" s="317"/>
      <c r="R42" s="321"/>
      <c r="S42" s="322"/>
      <c r="T42" s="322"/>
      <c r="U42" s="323"/>
      <c r="W42" s="326"/>
    </row>
    <row r="43" spans="1:23" ht="16.5" customHeight="1">
      <c r="A43" s="107"/>
      <c r="B43" s="315"/>
      <c r="C43" s="327"/>
      <c r="D43" s="316"/>
      <c r="E43" s="317"/>
      <c r="F43" s="318"/>
      <c r="G43" s="319"/>
      <c r="H43" s="319"/>
      <c r="I43" s="317"/>
      <c r="J43" s="297"/>
      <c r="K43" s="297"/>
      <c r="L43" s="317"/>
      <c r="M43" s="317"/>
      <c r="N43" s="317"/>
      <c r="O43" s="320"/>
      <c r="P43" s="317"/>
      <c r="Q43" s="317"/>
      <c r="R43" s="317"/>
      <c r="S43" s="321"/>
      <c r="T43" s="322"/>
      <c r="W43" s="326"/>
    </row>
    <row r="44" spans="2:23" s="107" customFormat="1" ht="16.5" customHeight="1">
      <c r="B44" s="315"/>
      <c r="C44" s="309"/>
      <c r="D44" s="337" t="s">
        <v>173</v>
      </c>
      <c r="E44" s="312" t="s">
        <v>174</v>
      </c>
      <c r="F44" s="312" t="s">
        <v>167</v>
      </c>
      <c r="G44" s="609" t="s">
        <v>175</v>
      </c>
      <c r="H44"/>
      <c r="I44" s="631"/>
      <c r="J44" s="333" t="s">
        <v>178</v>
      </c>
      <c r="K44" s="333"/>
      <c r="L44" s="312" t="s">
        <v>167</v>
      </c>
      <c r="M44" t="s">
        <v>194</v>
      </c>
      <c r="O44" s="609" t="s">
        <v>195</v>
      </c>
      <c r="P44"/>
      <c r="Q44" s="331"/>
      <c r="R44" s="331"/>
      <c r="S44" s="109"/>
      <c r="T44"/>
      <c r="U44"/>
      <c r="V44"/>
      <c r="W44" s="326"/>
    </row>
    <row r="45" spans="2:23" s="107" customFormat="1" ht="16.5" customHeight="1">
      <c r="B45" s="315"/>
      <c r="C45" s="309"/>
      <c r="D45" s="632" t="s">
        <v>221</v>
      </c>
      <c r="E45" s="632">
        <v>300</v>
      </c>
      <c r="F45" s="756" t="s">
        <v>32</v>
      </c>
      <c r="G45" s="937">
        <f>+E45*$F$20*$F$21</f>
        <v>34372.8</v>
      </c>
      <c r="H45" s="937"/>
      <c r="I45" s="937"/>
      <c r="J45" s="722" t="s">
        <v>222</v>
      </c>
      <c r="K45" s="722"/>
      <c r="L45" s="632">
        <v>132</v>
      </c>
      <c r="M45" s="632">
        <v>2</v>
      </c>
      <c r="O45" s="937">
        <f>+M45*$F$20*$M$21</f>
        <v>36585.456</v>
      </c>
      <c r="P45" s="937"/>
      <c r="Q45" s="937"/>
      <c r="R45" s="937"/>
      <c r="S45" s="937"/>
      <c r="T45" s="937"/>
      <c r="U45" s="937"/>
      <c r="V45"/>
      <c r="W45" s="326"/>
    </row>
    <row r="46" spans="1:23" ht="16.5" customHeight="1">
      <c r="A46" s="107"/>
      <c r="B46" s="315"/>
      <c r="C46" s="309"/>
      <c r="D46" s="633"/>
      <c r="E46" s="634"/>
      <c r="F46" s="721"/>
      <c r="G46" s="938">
        <f>+G45</f>
        <v>34372.8</v>
      </c>
      <c r="H46" s="938"/>
      <c r="I46" s="938"/>
      <c r="M46" s="632"/>
      <c r="O46" s="938">
        <f>SUM(O45:P45)</f>
        <v>36585.456</v>
      </c>
      <c r="P46" s="938"/>
      <c r="Q46" s="938"/>
      <c r="R46" s="938"/>
      <c r="S46" s="938"/>
      <c r="T46" s="938"/>
      <c r="U46" s="938"/>
      <c r="W46" s="326"/>
    </row>
    <row r="47" spans="1:23" ht="16.5" customHeight="1">
      <c r="A47" s="107"/>
      <c r="B47" s="315"/>
      <c r="C47" s="309"/>
      <c r="D47" s="633"/>
      <c r="E47" s="634"/>
      <c r="F47" s="721"/>
      <c r="M47" s="632"/>
      <c r="N47" s="631"/>
      <c r="O47" s="631"/>
      <c r="P47" s="324"/>
      <c r="Q47" s="324"/>
      <c r="R47" s="324"/>
      <c r="S47" s="324"/>
      <c r="W47" s="326"/>
    </row>
    <row r="48" spans="1:23" ht="16.5" customHeight="1" thickBot="1">
      <c r="A48" s="107"/>
      <c r="B48" s="315"/>
      <c r="C48" s="309"/>
      <c r="D48" s="337"/>
      <c r="E48" s="561"/>
      <c r="F48" s="561"/>
      <c r="G48" s="312"/>
      <c r="I48" s="329"/>
      <c r="J48" s="609"/>
      <c r="L48" s="608"/>
      <c r="M48" s="329"/>
      <c r="N48" s="330"/>
      <c r="O48" s="331"/>
      <c r="P48" s="331"/>
      <c r="Q48" s="331"/>
      <c r="R48" s="331"/>
      <c r="S48" s="331"/>
      <c r="W48" s="326"/>
    </row>
    <row r="49" spans="1:23" ht="16.5" customHeight="1" thickBot="1" thickTop="1">
      <c r="A49" s="107"/>
      <c r="B49" s="315"/>
      <c r="C49" s="309"/>
      <c r="D49" s="312"/>
      <c r="E49" s="723"/>
      <c r="F49" s="723"/>
      <c r="G49" s="392"/>
      <c r="H49" s="4"/>
      <c r="I49" s="640" t="s">
        <v>204</v>
      </c>
      <c r="J49" s="728">
        <f>+G46+O46</f>
        <v>70958.256</v>
      </c>
      <c r="L49" s="604"/>
      <c r="M49" s="4"/>
      <c r="N49" s="607"/>
      <c r="O49" s="324"/>
      <c r="P49" s="324"/>
      <c r="Q49" s="324"/>
      <c r="R49" s="324"/>
      <c r="S49" s="324"/>
      <c r="W49" s="326"/>
    </row>
    <row r="50" spans="1:23" ht="16.5" customHeight="1" thickTop="1">
      <c r="A50" s="107"/>
      <c r="B50" s="315"/>
      <c r="C50" s="309"/>
      <c r="D50" s="297"/>
      <c r="E50" s="299"/>
      <c r="F50" s="312"/>
      <c r="G50" s="312"/>
      <c r="H50" s="313"/>
      <c r="J50" s="312"/>
      <c r="L50" s="334"/>
      <c r="M50" s="330"/>
      <c r="N50" s="330"/>
      <c r="O50" s="331"/>
      <c r="P50" s="331"/>
      <c r="Q50" s="331"/>
      <c r="R50" s="331"/>
      <c r="S50" s="331"/>
      <c r="W50" s="326"/>
    </row>
    <row r="51" spans="2:23" ht="16.5" customHeight="1">
      <c r="B51" s="315"/>
      <c r="C51" s="327" t="s">
        <v>183</v>
      </c>
      <c r="D51" s="335" t="s">
        <v>184</v>
      </c>
      <c r="E51" s="312"/>
      <c r="F51" s="336"/>
      <c r="G51" s="298"/>
      <c r="H51" s="297"/>
      <c r="I51" s="297"/>
      <c r="J51" s="297"/>
      <c r="K51" s="312"/>
      <c r="L51" s="312"/>
      <c r="M51" s="297"/>
      <c r="N51" s="312"/>
      <c r="O51" s="297"/>
      <c r="P51" s="297"/>
      <c r="Q51" s="297"/>
      <c r="R51" s="297"/>
      <c r="S51" s="297"/>
      <c r="T51" s="297"/>
      <c r="U51" s="297"/>
      <c r="W51" s="326"/>
    </row>
    <row r="52" spans="2:23" s="107" customFormat="1" ht="16.5" customHeight="1">
      <c r="B52" s="315"/>
      <c r="C52" s="309"/>
      <c r="D52" s="337" t="s">
        <v>185</v>
      </c>
      <c r="E52" s="338">
        <f>10*J40*J25/J49</f>
        <v>388.08</v>
      </c>
      <c r="G52" s="298"/>
      <c r="L52" s="312"/>
      <c r="N52" s="312"/>
      <c r="O52" s="313"/>
      <c r="V52"/>
      <c r="W52" s="326"/>
    </row>
    <row r="53" spans="2:23" s="107" customFormat="1" ht="12.75" customHeight="1">
      <c r="B53" s="315"/>
      <c r="C53" s="309"/>
      <c r="E53" s="601"/>
      <c r="F53" s="311"/>
      <c r="G53" s="298"/>
      <c r="J53" s="298"/>
      <c r="K53" s="340"/>
      <c r="L53" s="312"/>
      <c r="M53" s="312"/>
      <c r="N53" s="312"/>
      <c r="O53" s="313"/>
      <c r="P53" s="312"/>
      <c r="Q53" s="312"/>
      <c r="R53" s="599"/>
      <c r="S53" s="599"/>
      <c r="T53" s="599"/>
      <c r="U53" s="600"/>
      <c r="V53"/>
      <c r="W53" s="326"/>
    </row>
    <row r="54" spans="2:23" ht="16.5" customHeight="1">
      <c r="B54" s="315"/>
      <c r="C54" s="309"/>
      <c r="D54" s="341" t="s">
        <v>220</v>
      </c>
      <c r="E54" s="339"/>
      <c r="F54" s="311"/>
      <c r="G54" s="298"/>
      <c r="H54" s="297"/>
      <c r="I54" s="297"/>
      <c r="N54" s="312"/>
      <c r="O54" s="313"/>
      <c r="P54" s="312"/>
      <c r="Q54" s="312"/>
      <c r="R54" s="329"/>
      <c r="S54" s="329"/>
      <c r="T54" s="329"/>
      <c r="U54" s="330"/>
      <c r="W54" s="326"/>
    </row>
    <row r="55" spans="2:23" ht="13.5" customHeight="1" thickBot="1">
      <c r="B55" s="315"/>
      <c r="C55" s="309"/>
      <c r="D55" s="341"/>
      <c r="E55" s="339"/>
      <c r="F55" s="311"/>
      <c r="G55" s="298"/>
      <c r="H55" s="297"/>
      <c r="I55" s="297"/>
      <c r="N55" s="312"/>
      <c r="O55" s="313"/>
      <c r="P55" s="312"/>
      <c r="Q55" s="312"/>
      <c r="R55" s="329"/>
      <c r="S55" s="329"/>
      <c r="T55" s="329"/>
      <c r="U55" s="330"/>
      <c r="W55" s="326"/>
    </row>
    <row r="56" spans="2:23" s="616" customFormat="1" ht="21" thickBot="1" thickTop="1">
      <c r="B56" s="610"/>
      <c r="C56" s="611"/>
      <c r="D56" s="612"/>
      <c r="E56" s="613"/>
      <c r="F56" s="614"/>
      <c r="G56" s="615"/>
      <c r="I56" s="617" t="s">
        <v>187</v>
      </c>
      <c r="J56" s="618">
        <f>IF(E52&gt;3*J25,J25*3,E52)</f>
        <v>388.08</v>
      </c>
      <c r="M56" s="619"/>
      <c r="N56" s="619"/>
      <c r="O56" s="620"/>
      <c r="P56" s="619"/>
      <c r="Q56" s="619"/>
      <c r="R56" s="621"/>
      <c r="S56" s="621"/>
      <c r="T56" s="621"/>
      <c r="U56" s="622"/>
      <c r="V56"/>
      <c r="W56" s="623"/>
    </row>
    <row r="57" spans="2:23" ht="16.5" customHeight="1" thickBot="1" thickTop="1">
      <c r="B57" s="132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345"/>
      <c r="W57" s="342"/>
    </row>
    <row r="58" spans="2:23" ht="16.5" customHeight="1" thickTop="1">
      <c r="B58" s="12"/>
      <c r="C58" s="708"/>
      <c r="W58" s="12"/>
    </row>
  </sheetData>
  <sheetProtection password="CC12"/>
  <mergeCells count="9">
    <mergeCell ref="E35:F35"/>
    <mergeCell ref="E36:F36"/>
    <mergeCell ref="E37:F37"/>
    <mergeCell ref="O46:U46"/>
    <mergeCell ref="G46:I46"/>
    <mergeCell ref="G45:I45"/>
    <mergeCell ref="O45:U45"/>
    <mergeCell ref="N35:O35"/>
    <mergeCell ref="N37:O37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ccaravelli</cp:lastModifiedBy>
  <cp:lastPrinted>2008-05-29T15:11:12Z</cp:lastPrinted>
  <dcterms:created xsi:type="dcterms:W3CDTF">1998-04-21T14:28:46Z</dcterms:created>
  <dcterms:modified xsi:type="dcterms:W3CDTF">2008-08-26T17:33:23Z</dcterms:modified>
  <cp:category/>
  <cp:version/>
  <cp:contentType/>
  <cp:contentStatus/>
</cp:coreProperties>
</file>