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810" sheetId="1" r:id="rId1"/>
    <sheet name="LI-08 (1)" sheetId="2" r:id="rId2"/>
    <sheet name="LI-TRANSACUE-08 (1)" sheetId="3" r:id="rId3"/>
    <sheet name="TR-08 (1)" sheetId="4" r:id="rId4"/>
    <sheet name="SUP-TRANSACUE" sheetId="5" r:id="rId5"/>
    <sheet name="TASA FALLA" sheetId="6" r:id="rId6"/>
  </sheets>
  <externalReferences>
    <externalReference r:id="rId9"/>
    <externalReference r:id="rId10"/>
  </externalReferences>
  <definedNames>
    <definedName name="_xlnm.Print_Area" localSheetId="5">'TASA FALLA'!$A$1:$T$57</definedName>
    <definedName name="DD" localSheetId="5">'TASA FALLA'!DD</definedName>
    <definedName name="DD">[0]!DD</definedName>
    <definedName name="DDD" localSheetId="5">'TASA FALLA'!DDD</definedName>
    <definedName name="DDD">[0]!DDD</definedName>
    <definedName name="DISTROCUYO" localSheetId="5">'TASA FALLA'!DISTROCUYO</definedName>
    <definedName name="DISTROCUYO">[0]!DISTROCUYO</definedName>
    <definedName name="INICIO" localSheetId="5">'TASA FALLA'!INICIO</definedName>
    <definedName name="INICIO">[0]!INICIO</definedName>
    <definedName name="INICIOTI" localSheetId="5">'TASA FALLA'!INICIOTI</definedName>
    <definedName name="INICIOTI">[0]!INICIOTI</definedName>
    <definedName name="LINEAS" localSheetId="5">'TASA FALLA'!LINEAS</definedName>
    <definedName name="LINEAS">[0]!LINEAS</definedName>
    <definedName name="NAME_L" localSheetId="5">'TASA FALLA'!NAME_L</definedName>
    <definedName name="NAME_L">[0]!NAME_L</definedName>
    <definedName name="NAME_L_TI" localSheetId="5">'TASA FALLA'!NAME_L_TI</definedName>
    <definedName name="NAME_L_TI">[0]!NAME_L_TI</definedName>
    <definedName name="TRAN" localSheetId="5">'TASA FALLA'!TRAN</definedName>
    <definedName name="TRAN">[0]!TRAN</definedName>
    <definedName name="TRANSNOA" localSheetId="5">'TASA FALLA'!TRANSNOA</definedName>
    <definedName name="TRANSNOA">[0]!TRANSNOA</definedName>
    <definedName name="x" localSheetId="5">'TASA FALLA'!x</definedName>
    <definedName name="x">[0]!x</definedName>
    <definedName name="XX" localSheetId="5">'TASA FALLA'!XX</definedName>
    <definedName name="XX">[0]!XX</definedName>
  </definedNames>
  <calcPr fullCalcOnLoad="1"/>
</workbook>
</file>

<file path=xl/comments5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<sst xmlns="http://schemas.openxmlformats.org/spreadsheetml/2006/main" count="233" uniqueCount="148">
  <si>
    <t>SISTEMA DE TRANSPORTE DE ENERGÍA ELÉCTRICA POR DISTRIBUCIÓN TRONCAL</t>
  </si>
  <si>
    <t>TRANSPA S.A.</t>
  </si>
  <si>
    <t>TOTAL</t>
  </si>
  <si>
    <t>SALIDAS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</si>
  <si>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</si>
  <si>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</si>
  <si>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</si>
  <si>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</si>
  <si>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</si>
  <si>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</si>
  <si>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</si>
  <si>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</si>
  <si>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2.-</t>
  </si>
  <si>
    <t>CONEXIÓN</t>
  </si>
  <si>
    <t>2.1.-</t>
  </si>
  <si>
    <t>Transformación</t>
  </si>
  <si>
    <t>2.1.1.-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</si>
  <si>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</si>
  <si>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</si>
  <si>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</si>
  <si>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</si>
  <si>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</si>
  <si>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</si>
  <si>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</si>
  <si>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</si>
  <si>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</si>
  <si>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</si>
  <si>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</si>
  <si>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</si>
  <si>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</si>
  <si>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</si>
  <si>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</si>
  <si>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</si>
  <si>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</si>
  <si>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</si>
  <si>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</si>
  <si>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</si>
  <si>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</si>
  <si>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</si>
  <si>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</si>
  <si>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</si>
  <si>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</si>
  <si>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</si>
  <si>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</si>
  <si>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</si>
  <si>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</si>
  <si>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</si>
  <si>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</si>
  <si>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</si>
  <si>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</si>
  <si>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</si>
  <si>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</si>
  <si>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</si>
  <si>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</si>
  <si>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</si>
  <si>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</si>
  <si>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</si>
  <si>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</si>
  <si>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</si>
  <si>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</si>
  <si>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</si>
  <si>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</si>
  <si>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</si>
  <si>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</si>
  <si>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</si>
  <si>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</si>
  <si>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</si>
  <si>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</si>
  <si>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</si>
  <si>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</si>
  <si>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</si>
  <si>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</si>
  <si>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</si>
  <si>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</si>
  <si>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</si>
  <si>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</si>
  <si>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</si>
  <si>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</si>
  <si>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</si>
  <si>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</si>
  <si>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</si>
  <si>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</si>
  <si>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</si>
  <si>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</si>
  <si>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</si>
  <si>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</si>
  <si>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</si>
  <si>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</si>
  <si>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</si>
  <si>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</si>
  <si>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</si>
  <si>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</si>
  <si>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</si>
  <si>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</si>
  <si>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</si>
  <si>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</si>
  <si>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</si>
  <si>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</si>
  <si>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</si>
  <si>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</si>
  <si>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</si>
  <si>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</si>
  <si>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</si>
  <si>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</si>
  <si>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4.3.- SUPERVISIÓN - Transportista Independiente TRANSACUE S.A.</t>
  </si>
  <si>
    <t>SEGÚN 1.4.</t>
  </si>
  <si>
    <t>SEGÚN 2.2.4.</t>
  </si>
  <si>
    <t>SALIDA ALIM Coop. C. RIVADAVIA</t>
  </si>
  <si>
    <t>SALIDA LIN PAMPA CASTILLO - EL TORDILLO</t>
  </si>
  <si>
    <t>ID EQUIPO</t>
  </si>
  <si>
    <t>INDISP</t>
  </si>
  <si>
    <t xml:space="preserve">        DE LA ELECTRICIDAD</t>
  </si>
  <si>
    <t xml:space="preserve">           ENTE NACIONAL REGULADOR </t>
  </si>
  <si>
    <t>(DTE 0609)</t>
  </si>
  <si>
    <t>-</t>
  </si>
  <si>
    <t>Desde el 01 al 31 de agosto de 2010</t>
  </si>
  <si>
    <t>PTO. MADRYN - SIERRA GRANDE</t>
  </si>
  <si>
    <t>F</t>
  </si>
  <si>
    <t>SI</t>
  </si>
  <si>
    <t>P</t>
  </si>
  <si>
    <t>TRELEW</t>
  </si>
  <si>
    <t>TRAFO 6</t>
  </si>
  <si>
    <t>132/33/13,2</t>
  </si>
  <si>
    <t>PLANTA DE ALUMINIO DGPA</t>
  </si>
  <si>
    <t>TRAFO 4</t>
  </si>
  <si>
    <t>TRELEW - RAWSON</t>
  </si>
  <si>
    <t>P - PROGRAMADA  ; 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</si>
  <si>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</si>
  <si>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F - FORZADA</t>
  </si>
  <si>
    <t>ESQUEL - EL COIHUE</t>
  </si>
  <si>
    <t xml:space="preserve"> - </t>
  </si>
  <si>
    <t>Valores remuneratorios según  -  Res. ENRE N° 331/08 -  Res. ENRE N° 645/08</t>
  </si>
  <si>
    <t xml:space="preserve">                  DE LA ELECTRICIDAD</t>
  </si>
  <si>
    <t xml:space="preserve">SISTEMA DE TRANSPORTE DE ENERGÍA ELÉCTRICA POR DISTRIBUCIÓN TRONCAL </t>
  </si>
  <si>
    <t>INDISPONIBILIDADES FORZADAS DE LÍNEAS - TASA DE FALLA</t>
  </si>
  <si>
    <t>Tasa de falla correspondiente al mes de agosto de 2010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</si>
  <si>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</si>
  <si>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</si>
  <si>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</si>
  <si>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</si>
  <si>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</si>
  <si>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</si>
  <si>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</si>
  <si>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</si>
  <si>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1.2.-</t>
  </si>
  <si>
    <t>1.2.- Transportista Independiente TRANSACUE S.A.</t>
  </si>
  <si>
    <t>TOTAL DE PENALIZACIONES</t>
  </si>
  <si>
    <t>ANEXO II al Memorandum  D.T.E.E.  N°   271 / 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</si>
</sst>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10"/>
      <color indexed="48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7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15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3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4" fillId="0" borderId="1" xfId="0" applyFont="1" applyBorder="1" applyAlignment="1" applyProtection="1">
      <alignment horizontal="centerContinuous"/>
      <protection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2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16" fillId="0" borderId="2" xfId="0" applyFont="1" applyBorder="1" applyAlignment="1">
      <alignment horizontal="centerContinuous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28" fillId="0" borderId="0" xfId="0" applyFont="1" applyFill="1" applyBorder="1" applyAlignment="1" applyProtection="1">
      <alignment horizontal="centerContinuous"/>
      <protection/>
    </xf>
    <xf numFmtId="0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3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7" fontId="8" fillId="0" borderId="17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7" fontId="19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Continuous"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 quotePrefix="1">
      <alignment horizontal="center" vertical="center" wrapText="1"/>
      <protection/>
    </xf>
    <xf numFmtId="0" fontId="25" fillId="0" borderId="14" xfId="0" applyFont="1" applyFill="1" applyBorder="1" applyAlignment="1" applyProtection="1" quotePrefix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16" xfId="0" applyFont="1" applyFill="1" applyBorder="1" applyAlignment="1">
      <alignment horizontal="center"/>
    </xf>
    <xf numFmtId="0" fontId="14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38" fillId="0" borderId="18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5" fillId="2" borderId="14" xfId="0" applyFont="1" applyFill="1" applyBorder="1" applyAlignment="1" applyProtection="1">
      <alignment horizontal="center" vertical="center"/>
      <protection/>
    </xf>
    <xf numFmtId="168" fontId="46" fillId="2" borderId="3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7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50" fillId="3" borderId="14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/>
    </xf>
    <xf numFmtId="0" fontId="50" fillId="4" borderId="14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/>
    </xf>
    <xf numFmtId="0" fontId="26" fillId="5" borderId="14" xfId="0" applyFont="1" applyFill="1" applyBorder="1" applyAlignment="1" applyProtection="1">
      <alignment horizontal="centerContinuous" vertical="center" wrapText="1"/>
      <protection/>
    </xf>
    <xf numFmtId="0" fontId="24" fillId="5" borderId="15" xfId="0" applyFont="1" applyFill="1" applyBorder="1" applyAlignment="1">
      <alignment horizontal="centerContinuous"/>
    </xf>
    <xf numFmtId="0" fontId="26" fillId="5" borderId="17" xfId="0" applyFont="1" applyFill="1" applyBorder="1" applyAlignment="1">
      <alignment horizontal="centerContinuous" vertical="center"/>
    </xf>
    <xf numFmtId="0" fontId="53" fillId="5" borderId="19" xfId="0" applyFont="1" applyFill="1" applyBorder="1" applyAlignment="1">
      <alignment horizontal="center"/>
    </xf>
    <xf numFmtId="0" fontId="53" fillId="5" borderId="20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0" fillId="0" borderId="12" xfId="0" applyFont="1" applyBorder="1" applyAlignment="1">
      <alignment/>
    </xf>
    <xf numFmtId="0" fontId="26" fillId="6" borderId="14" xfId="0" applyFont="1" applyFill="1" applyBorder="1" applyAlignment="1" applyProtection="1">
      <alignment horizontal="centerContinuous" vertical="center" wrapText="1"/>
      <protection/>
    </xf>
    <xf numFmtId="0" fontId="24" fillId="6" borderId="15" xfId="0" applyFont="1" applyFill="1" applyBorder="1" applyAlignment="1">
      <alignment horizontal="centerContinuous"/>
    </xf>
    <xf numFmtId="0" fontId="26" fillId="6" borderId="17" xfId="0" applyFont="1" applyFill="1" applyBorder="1" applyAlignment="1">
      <alignment horizontal="centerContinuous" vertical="center"/>
    </xf>
    <xf numFmtId="0" fontId="53" fillId="6" borderId="19" xfId="0" applyFont="1" applyFill="1" applyBorder="1" applyAlignment="1">
      <alignment horizontal="center"/>
    </xf>
    <xf numFmtId="0" fontId="53" fillId="6" borderId="20" xfId="0" applyFont="1" applyFill="1" applyBorder="1" applyAlignment="1">
      <alignment/>
    </xf>
    <xf numFmtId="0" fontId="53" fillId="6" borderId="21" xfId="0" applyFont="1" applyFill="1" applyBorder="1" applyAlignment="1">
      <alignment/>
    </xf>
    <xf numFmtId="0" fontId="26" fillId="7" borderId="14" xfId="0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/>
    </xf>
    <xf numFmtId="0" fontId="50" fillId="8" borderId="14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/>
    </xf>
    <xf numFmtId="2" fontId="49" fillId="3" borderId="14" xfId="0" applyNumberFormat="1" applyFont="1" applyFill="1" applyBorder="1" applyAlignment="1">
      <alignment horizontal="center"/>
    </xf>
    <xf numFmtId="2" fontId="49" fillId="4" borderId="14" xfId="0" applyNumberFormat="1" applyFont="1" applyFill="1" applyBorder="1" applyAlignment="1">
      <alignment horizontal="center"/>
    </xf>
    <xf numFmtId="168" fontId="54" fillId="5" borderId="14" xfId="0" applyNumberFormat="1" applyFont="1" applyFill="1" applyBorder="1" applyAlignment="1" applyProtection="1" quotePrefix="1">
      <alignment horizontal="center"/>
      <protection/>
    </xf>
    <xf numFmtId="4" fontId="54" fillId="5" borderId="14" xfId="0" applyNumberFormat="1" applyFont="1" applyFill="1" applyBorder="1" applyAlignment="1">
      <alignment horizontal="center"/>
    </xf>
    <xf numFmtId="168" fontId="54" fillId="6" borderId="14" xfId="0" applyNumberFormat="1" applyFont="1" applyFill="1" applyBorder="1" applyAlignment="1" applyProtection="1" quotePrefix="1">
      <alignment horizontal="center"/>
      <protection/>
    </xf>
    <xf numFmtId="4" fontId="54" fillId="6" borderId="14" xfId="0" applyNumberFormat="1" applyFont="1" applyFill="1" applyBorder="1" applyAlignment="1">
      <alignment horizontal="center"/>
    </xf>
    <xf numFmtId="168" fontId="54" fillId="7" borderId="14" xfId="0" applyNumberFormat="1" applyFont="1" applyFill="1" applyBorder="1" applyAlignment="1" applyProtection="1" quotePrefix="1">
      <alignment horizontal="center"/>
      <protection/>
    </xf>
    <xf numFmtId="4" fontId="49" fillId="8" borderId="14" xfId="0" applyNumberFormat="1" applyFont="1" applyFill="1" applyBorder="1" applyAlignment="1">
      <alignment horizontal="center"/>
    </xf>
    <xf numFmtId="0" fontId="50" fillId="8" borderId="14" xfId="0" applyFont="1" applyFill="1" applyBorder="1" applyAlignment="1" applyProtection="1">
      <alignment horizontal="center" vertical="center"/>
      <protection/>
    </xf>
    <xf numFmtId="4" fontId="49" fillId="8" borderId="3" xfId="0" applyNumberFormat="1" applyFont="1" applyFill="1" applyBorder="1" applyAlignment="1" applyProtection="1">
      <alignment horizontal="center"/>
      <protection/>
    </xf>
    <xf numFmtId="0" fontId="50" fillId="9" borderId="16" xfId="0" applyFont="1" applyFill="1" applyBorder="1" applyAlignment="1" applyProtection="1">
      <alignment horizontal="centerContinuous" vertical="center" wrapText="1"/>
      <protection/>
    </xf>
    <xf numFmtId="168" fontId="49" fillId="9" borderId="22" xfId="0" applyNumberFormat="1" applyFont="1" applyFill="1" applyBorder="1" applyAlignment="1" applyProtection="1" quotePrefix="1">
      <alignment horizontal="center"/>
      <protection/>
    </xf>
    <xf numFmtId="168" fontId="49" fillId="9" borderId="23" xfId="0" applyNumberFormat="1" applyFont="1" applyFill="1" applyBorder="1" applyAlignment="1" applyProtection="1" quotePrefix="1">
      <alignment horizontal="center"/>
      <protection/>
    </xf>
    <xf numFmtId="0" fontId="50" fillId="3" borderId="16" xfId="0" applyFont="1" applyFill="1" applyBorder="1" applyAlignment="1" applyProtection="1">
      <alignment horizontal="centerContinuous" vertical="center" wrapText="1"/>
      <protection/>
    </xf>
    <xf numFmtId="168" fontId="49" fillId="3" borderId="22" xfId="0" applyNumberFormat="1" applyFont="1" applyFill="1" applyBorder="1" applyAlignment="1" applyProtection="1" quotePrefix="1">
      <alignment horizontal="center"/>
      <protection/>
    </xf>
    <xf numFmtId="168" fontId="49" fillId="3" borderId="23" xfId="0" applyNumberFormat="1" applyFont="1" applyFill="1" applyBorder="1" applyAlignment="1" applyProtection="1" quotePrefix="1">
      <alignment horizontal="center"/>
      <protection/>
    </xf>
    <xf numFmtId="168" fontId="48" fillId="5" borderId="3" xfId="0" applyNumberFormat="1" applyFont="1" applyFill="1" applyBorder="1" applyAlignment="1" applyProtection="1" quotePrefix="1">
      <alignment horizontal="center"/>
      <protection/>
    </xf>
    <xf numFmtId="168" fontId="54" fillId="6" borderId="3" xfId="0" applyNumberFormat="1" applyFont="1" applyFill="1" applyBorder="1" applyAlignment="1" applyProtection="1" quotePrefix="1">
      <alignment horizontal="center"/>
      <protection/>
    </xf>
    <xf numFmtId="0" fontId="55" fillId="0" borderId="5" xfId="0" applyFont="1" applyBorder="1" applyAlignment="1">
      <alignment/>
    </xf>
    <xf numFmtId="0" fontId="56" fillId="2" borderId="12" xfId="0" applyFont="1" applyFill="1" applyBorder="1" applyAlignment="1">
      <alignment/>
    </xf>
    <xf numFmtId="0" fontId="56" fillId="2" borderId="3" xfId="0" applyFont="1" applyFill="1" applyBorder="1" applyAlignment="1">
      <alignment/>
    </xf>
    <xf numFmtId="168" fontId="57" fillId="2" borderId="3" xfId="0" applyNumberFormat="1" applyFont="1" applyFill="1" applyBorder="1" applyAlignment="1" applyProtection="1">
      <alignment horizontal="center"/>
      <protection/>
    </xf>
    <xf numFmtId="168" fontId="57" fillId="2" borderId="4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5" fillId="0" borderId="6" xfId="0" applyFont="1" applyBorder="1" applyAlignment="1">
      <alignment/>
    </xf>
    <xf numFmtId="0" fontId="0" fillId="0" borderId="11" xfId="0" applyBorder="1" applyAlignment="1">
      <alignment horizontal="center"/>
    </xf>
    <xf numFmtId="7" fontId="0" fillId="0" borderId="12" xfId="0" applyNumberFormat="1" applyBorder="1" applyAlignment="1">
      <alignment/>
    </xf>
    <xf numFmtId="0" fontId="58" fillId="0" borderId="0" xfId="0" applyFont="1" applyAlignment="1">
      <alignment horizontal="right" vertical="top"/>
    </xf>
    <xf numFmtId="0" fontId="18" fillId="0" borderId="0" xfId="0" applyFont="1" applyBorder="1" applyAlignment="1">
      <alignment/>
    </xf>
    <xf numFmtId="0" fontId="15" fillId="0" borderId="1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2" xfId="0" applyFont="1" applyFill="1" applyBorder="1" applyAlignment="1">
      <alignment horizontal="centerContinuous"/>
    </xf>
    <xf numFmtId="0" fontId="14" fillId="0" borderId="2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4" xfId="0" applyFont="1" applyBorder="1" applyAlignment="1" applyProtection="1">
      <alignment horizontal="left"/>
      <protection/>
    </xf>
    <xf numFmtId="171" fontId="0" fillId="0" borderId="25" xfId="0" applyNumberFormat="1" applyFont="1" applyBorder="1" applyAlignment="1" applyProtection="1">
      <alignment horizontal="centerContinuous"/>
      <protection/>
    </xf>
    <xf numFmtId="0" fontId="10" fillId="0" borderId="26" xfId="0" applyFont="1" applyBorder="1" applyAlignment="1">
      <alignment horizontal="centerContinuous"/>
    </xf>
    <xf numFmtId="0" fontId="10" fillId="0" borderId="27" xfId="0" applyFont="1" applyFill="1" applyBorder="1" applyAlignment="1">
      <alignment/>
    </xf>
    <xf numFmtId="0" fontId="10" fillId="0" borderId="28" xfId="0" applyFont="1" applyBorder="1" applyAlignment="1" applyProtection="1">
      <alignment horizontal="right"/>
      <protection/>
    </xf>
    <xf numFmtId="173" fontId="1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171" fontId="24" fillId="0" borderId="31" xfId="0" applyNumberFormat="1" applyFont="1" applyBorder="1" applyAlignment="1">
      <alignment horizontal="centerContinuous"/>
    </xf>
    <xf numFmtId="0" fontId="10" fillId="0" borderId="32" xfId="0" applyFont="1" applyBorder="1" applyAlignment="1">
      <alignment horizontal="centerContinuous"/>
    </xf>
    <xf numFmtId="0" fontId="10" fillId="0" borderId="33" xfId="0" applyFont="1" applyFill="1" applyBorder="1" applyAlignment="1">
      <alignment/>
    </xf>
    <xf numFmtId="168" fontId="10" fillId="0" borderId="34" xfId="0" applyNumberFormat="1" applyFont="1" applyBorder="1" applyAlignment="1" applyProtection="1">
      <alignment horizontal="right"/>
      <protection/>
    </xf>
    <xf numFmtId="171" fontId="10" fillId="0" borderId="35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171" fontId="24" fillId="0" borderId="34" xfId="0" applyNumberFormat="1" applyFont="1" applyBorder="1" applyAlignment="1">
      <alignment horizontal="centerContinuous"/>
    </xf>
    <xf numFmtId="0" fontId="10" fillId="0" borderId="37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left"/>
      <protection/>
    </xf>
    <xf numFmtId="7" fontId="10" fillId="0" borderId="38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2" fontId="10" fillId="0" borderId="31" xfId="0" applyNumberFormat="1" applyFont="1" applyBorder="1" applyAlignment="1" applyProtection="1">
      <alignment horizontal="center"/>
      <protection/>
    </xf>
    <xf numFmtId="168" fontId="10" fillId="0" borderId="31" xfId="0" applyNumberFormat="1" applyFont="1" applyBorder="1" applyAlignment="1" applyProtection="1">
      <alignment horizontal="center"/>
      <protection/>
    </xf>
    <xf numFmtId="7" fontId="18" fillId="0" borderId="40" xfId="0" applyNumberFormat="1" applyFont="1" applyBorder="1" applyAlignment="1">
      <alignment horizontal="center"/>
    </xf>
    <xf numFmtId="0" fontId="10" fillId="0" borderId="41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2" fontId="10" fillId="0" borderId="42" xfId="0" applyNumberFormat="1" applyFont="1" applyBorder="1" applyAlignment="1" applyProtection="1">
      <alignment horizontal="center"/>
      <protection/>
    </xf>
    <xf numFmtId="168" fontId="10" fillId="0" borderId="42" xfId="0" applyNumberFormat="1" applyFont="1" applyBorder="1" applyAlignment="1" applyProtection="1">
      <alignment horizontal="center"/>
      <protection/>
    </xf>
    <xf numFmtId="7" fontId="10" fillId="0" borderId="42" xfId="0" applyNumberFormat="1" applyFont="1" applyBorder="1" applyAlignment="1" applyProtection="1">
      <alignment horizontal="center"/>
      <protection/>
    </xf>
    <xf numFmtId="7" fontId="10" fillId="0" borderId="42" xfId="0" applyNumberFormat="1" applyFont="1" applyBorder="1" applyAlignment="1" applyProtection="1">
      <alignment horizontal="centerContinuous"/>
      <protection/>
    </xf>
    <xf numFmtId="0" fontId="10" fillId="0" borderId="42" xfId="0" applyFont="1" applyBorder="1" applyAlignment="1" applyProtection="1">
      <alignment horizontal="right"/>
      <protection/>
    </xf>
    <xf numFmtId="7" fontId="10" fillId="0" borderId="43" xfId="0" applyNumberFormat="1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2" fontId="10" fillId="0" borderId="38" xfId="0" applyNumberFormat="1" applyFont="1" applyBorder="1" applyAlignment="1" applyProtection="1">
      <alignment horizontal="center"/>
      <protection/>
    </xf>
    <xf numFmtId="168" fontId="10" fillId="0" borderId="38" xfId="0" applyNumberFormat="1" applyFont="1" applyBorder="1" applyAlignment="1" applyProtection="1">
      <alignment horizontal="center"/>
      <protection/>
    </xf>
    <xf numFmtId="7" fontId="10" fillId="0" borderId="38" xfId="0" applyNumberFormat="1" applyFont="1" applyBorder="1" applyAlignment="1" applyProtection="1">
      <alignment horizontal="center"/>
      <protection/>
    </xf>
    <xf numFmtId="7" fontId="10" fillId="0" borderId="38" xfId="0" applyNumberFormat="1" applyFont="1" applyBorder="1" applyAlignment="1" applyProtection="1">
      <alignment horizontal="centerContinuous"/>
      <protection/>
    </xf>
    <xf numFmtId="0" fontId="10" fillId="0" borderId="38" xfId="0" applyFont="1" applyBorder="1" applyAlignment="1" applyProtection="1">
      <alignment horizontal="right"/>
      <protection/>
    </xf>
    <xf numFmtId="7" fontId="10" fillId="0" borderId="40" xfId="0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 horizontal="centerContinuous"/>
    </xf>
    <xf numFmtId="0" fontId="10" fillId="0" borderId="31" xfId="0" applyFont="1" applyBorder="1" applyAlignment="1" applyProtection="1">
      <alignment horizontal="centerContinuous"/>
      <protection/>
    </xf>
    <xf numFmtId="0" fontId="0" fillId="0" borderId="31" xfId="0" applyBorder="1" applyAlignment="1">
      <alignment horizontal="center"/>
    </xf>
    <xf numFmtId="168" fontId="10" fillId="0" borderId="39" xfId="0" applyNumberFormat="1" applyFont="1" applyBorder="1" applyAlignment="1" applyProtection="1">
      <alignment horizontal="centerContinuous"/>
      <protection/>
    </xf>
    <xf numFmtId="2" fontId="21" fillId="0" borderId="45" xfId="0" applyNumberFormat="1" applyFont="1" applyBorder="1" applyAlignment="1">
      <alignment horizontal="centerContinuous"/>
    </xf>
    <xf numFmtId="168" fontId="10" fillId="0" borderId="42" xfId="0" applyNumberFormat="1" applyFont="1" applyBorder="1" applyAlignment="1" applyProtection="1" quotePrefix="1">
      <alignment horizontal="center"/>
      <protection/>
    </xf>
    <xf numFmtId="7" fontId="10" fillId="0" borderId="41" xfId="0" applyNumberFormat="1" applyFont="1" applyBorder="1" applyAlignment="1" applyProtection="1">
      <alignment horizontal="centerContinuous"/>
      <protection/>
    </xf>
    <xf numFmtId="2" fontId="21" fillId="0" borderId="46" xfId="0" applyNumberFormat="1" applyFont="1" applyBorder="1" applyAlignment="1">
      <alignment horizontal="centerContinuous"/>
    </xf>
    <xf numFmtId="0" fontId="10" fillId="0" borderId="47" xfId="0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2" fontId="21" fillId="0" borderId="49" xfId="0" applyNumberFormat="1" applyFont="1" applyBorder="1" applyAlignment="1">
      <alignment horizontal="centerContinuous"/>
    </xf>
    <xf numFmtId="168" fontId="10" fillId="0" borderId="38" xfId="0" applyNumberFormat="1" applyFont="1" applyBorder="1" applyAlignment="1" applyProtection="1" quotePrefix="1">
      <alignment horizontal="center"/>
      <protection/>
    </xf>
    <xf numFmtId="7" fontId="10" fillId="0" borderId="44" xfId="0" applyNumberFormat="1" applyFont="1" applyBorder="1" applyAlignment="1" applyProtection="1">
      <alignment horizontal="centerContinuous"/>
      <protection/>
    </xf>
    <xf numFmtId="2" fontId="21" fillId="0" borderId="50" xfId="0" applyNumberFormat="1" applyFont="1" applyBorder="1" applyAlignment="1">
      <alignment horizontal="centerContinuous"/>
    </xf>
    <xf numFmtId="7" fontId="10" fillId="0" borderId="39" xfId="0" applyNumberFormat="1" applyFont="1" applyBorder="1" applyAlignment="1" applyProtection="1">
      <alignment horizontal="centerContinuous"/>
      <protection/>
    </xf>
    <xf numFmtId="5" fontId="8" fillId="0" borderId="16" xfId="0" applyNumberFormat="1" applyFont="1" applyBorder="1" applyAlignment="1" applyProtection="1">
      <alignment horizontal="center"/>
      <protection/>
    </xf>
    <xf numFmtId="7" fontId="8" fillId="0" borderId="17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2" fillId="0" borderId="17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17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31" xfId="0" applyNumberFormat="1" applyFont="1" applyBorder="1" applyAlignment="1" applyProtection="1">
      <alignment horizontal="centerContinuous"/>
      <protection/>
    </xf>
    <xf numFmtId="2" fontId="10" fillId="0" borderId="45" xfId="0" applyNumberFormat="1" applyFont="1" applyBorder="1" applyAlignment="1" applyProtection="1">
      <alignment horizontal="centerContinuous"/>
      <protection/>
    </xf>
    <xf numFmtId="2" fontId="10" fillId="0" borderId="42" xfId="0" applyNumberFormat="1" applyFont="1" applyBorder="1" applyAlignment="1" applyProtection="1">
      <alignment horizontal="centerContinuous"/>
      <protection/>
    </xf>
    <xf numFmtId="2" fontId="10" fillId="0" borderId="4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 horizontal="center" vertical="center"/>
      <protection/>
    </xf>
    <xf numFmtId="173" fontId="0" fillId="0" borderId="16" xfId="0" applyNumberFormat="1" applyFont="1" applyBorder="1" applyAlignment="1">
      <alignment horizontal="centerContinuous" vertical="center"/>
    </xf>
    <xf numFmtId="0" fontId="1" fillId="0" borderId="17" xfId="0" applyFont="1" applyBorder="1" applyAlignment="1" applyProtection="1">
      <alignment horizontal="centerContinuous" vertical="center"/>
      <protection/>
    </xf>
    <xf numFmtId="167" fontId="0" fillId="0" borderId="17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55" xfId="0" applyFont="1" applyBorder="1" applyAlignment="1" applyProtection="1">
      <alignment horizontal="center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49" fillId="3" borderId="4" xfId="0" applyNumberFormat="1" applyFont="1" applyFill="1" applyBorder="1" applyAlignment="1" applyProtection="1" quotePrefix="1">
      <alignment horizontal="center"/>
      <protection locked="0"/>
    </xf>
    <xf numFmtId="168" fontId="49" fillId="4" borderId="4" xfId="0" applyNumberFormat="1" applyFont="1" applyFill="1" applyBorder="1" applyAlignment="1" applyProtection="1" quotePrefix="1">
      <alignment horizontal="center"/>
      <protection locked="0"/>
    </xf>
    <xf numFmtId="168" fontId="54" fillId="5" borderId="56" xfId="0" applyNumberFormat="1" applyFont="1" applyFill="1" applyBorder="1" applyAlignment="1" applyProtection="1" quotePrefix="1">
      <alignment horizontal="center"/>
      <protection locked="0"/>
    </xf>
    <xf numFmtId="4" fontId="54" fillId="5" borderId="57" xfId="0" applyNumberFormat="1" applyFont="1" applyFill="1" applyBorder="1" applyAlignment="1" applyProtection="1">
      <alignment horizontal="center"/>
      <protection locked="0"/>
    </xf>
    <xf numFmtId="4" fontId="54" fillId="5" borderId="58" xfId="0" applyNumberFormat="1" applyFont="1" applyFill="1" applyBorder="1" applyAlignment="1" applyProtection="1">
      <alignment horizontal="center"/>
      <protection locked="0"/>
    </xf>
    <xf numFmtId="168" fontId="54" fillId="6" borderId="56" xfId="0" applyNumberFormat="1" applyFont="1" applyFill="1" applyBorder="1" applyAlignment="1" applyProtection="1" quotePrefix="1">
      <alignment horizontal="center"/>
      <protection locked="0"/>
    </xf>
    <xf numFmtId="4" fontId="54" fillId="6" borderId="57" xfId="0" applyNumberFormat="1" applyFont="1" applyFill="1" applyBorder="1" applyAlignment="1" applyProtection="1">
      <alignment horizontal="center"/>
      <protection locked="0"/>
    </xf>
    <xf numFmtId="4" fontId="54" fillId="6" borderId="58" xfId="0" applyNumberFormat="1" applyFont="1" applyFill="1" applyBorder="1" applyAlignment="1" applyProtection="1">
      <alignment horizontal="center"/>
      <protection locked="0"/>
    </xf>
    <xf numFmtId="4" fontId="54" fillId="7" borderId="4" xfId="0" applyNumberFormat="1" applyFont="1" applyFill="1" applyBorder="1" applyAlignment="1" applyProtection="1">
      <alignment horizontal="center"/>
      <protection locked="0"/>
    </xf>
    <xf numFmtId="4" fontId="49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/>
      <protection locked="0"/>
    </xf>
    <xf numFmtId="0" fontId="51" fillId="3" borderId="3" xfId="0" applyFont="1" applyFill="1" applyBorder="1" applyAlignment="1" applyProtection="1">
      <alignment/>
      <protection locked="0"/>
    </xf>
    <xf numFmtId="0" fontId="51" fillId="4" borderId="3" xfId="0" applyFont="1" applyFill="1" applyBorder="1" applyAlignment="1" applyProtection="1">
      <alignment/>
      <protection locked="0"/>
    </xf>
    <xf numFmtId="0" fontId="53" fillId="5" borderId="22" xfId="0" applyFont="1" applyFill="1" applyBorder="1" applyAlignment="1" applyProtection="1">
      <alignment horizontal="center"/>
      <protection locked="0"/>
    </xf>
    <xf numFmtId="0" fontId="53" fillId="5" borderId="50" xfId="0" applyFont="1" applyFill="1" applyBorder="1" applyAlignment="1" applyProtection="1">
      <alignment/>
      <protection locked="0"/>
    </xf>
    <xf numFmtId="0" fontId="53" fillId="5" borderId="59" xfId="0" applyFont="1" applyFill="1" applyBorder="1" applyAlignment="1" applyProtection="1">
      <alignment/>
      <protection locked="0"/>
    </xf>
    <xf numFmtId="0" fontId="53" fillId="6" borderId="22" xfId="0" applyFont="1" applyFill="1" applyBorder="1" applyAlignment="1" applyProtection="1">
      <alignment horizontal="center"/>
      <protection locked="0"/>
    </xf>
    <xf numFmtId="0" fontId="53" fillId="6" borderId="50" xfId="0" applyFont="1" applyFill="1" applyBorder="1" applyAlignment="1" applyProtection="1">
      <alignment/>
      <protection locked="0"/>
    </xf>
    <xf numFmtId="0" fontId="53" fillId="6" borderId="59" xfId="0" applyFont="1" applyFill="1" applyBorder="1" applyAlignment="1" applyProtection="1">
      <alignment/>
      <protection locked="0"/>
    </xf>
    <xf numFmtId="0" fontId="53" fillId="7" borderId="3" xfId="0" applyFont="1" applyFill="1" applyBorder="1" applyAlignment="1" applyProtection="1">
      <alignment/>
      <protection locked="0"/>
    </xf>
    <xf numFmtId="0" fontId="51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right" vertical="top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2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" xfId="0" applyFont="1" applyFill="1" applyBorder="1" applyAlignment="1" applyProtection="1">
      <alignment/>
      <protection/>
    </xf>
    <xf numFmtId="0" fontId="26" fillId="7" borderId="14" xfId="0" applyFont="1" applyFill="1" applyBorder="1" applyAlignment="1" applyProtection="1">
      <alignment horizontal="center" vertical="center" wrapText="1"/>
      <protection/>
    </xf>
    <xf numFmtId="0" fontId="26" fillId="10" borderId="14" xfId="0" applyFont="1" applyFill="1" applyBorder="1" applyAlignment="1" applyProtection="1">
      <alignment horizontal="center" vertical="center" wrapText="1"/>
      <protection/>
    </xf>
    <xf numFmtId="0" fontId="50" fillId="9" borderId="17" xfId="0" applyFont="1" applyFill="1" applyBorder="1" applyAlignment="1" applyProtection="1">
      <alignment horizontal="centerContinuous" vertical="center"/>
      <protection/>
    </xf>
    <xf numFmtId="0" fontId="50" fillId="3" borderId="17" xfId="0" applyFont="1" applyFill="1" applyBorder="1" applyAlignment="1" applyProtection="1">
      <alignment horizontal="centerContinuous" vertical="center"/>
      <protection/>
    </xf>
    <xf numFmtId="0" fontId="47" fillId="5" borderId="14" xfId="0" applyFont="1" applyFill="1" applyBorder="1" applyAlignment="1" applyProtection="1">
      <alignment horizontal="center" vertical="center" wrapText="1"/>
      <protection/>
    </xf>
    <xf numFmtId="0" fontId="26" fillId="6" borderId="14" xfId="0" applyFont="1" applyFill="1" applyBorder="1" applyAlignment="1" applyProtection="1">
      <alignment horizontal="center" vertical="center" wrapText="1"/>
      <protection/>
    </xf>
    <xf numFmtId="0" fontId="25" fillId="0" borderId="2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/>
    </xf>
    <xf numFmtId="0" fontId="46" fillId="2" borderId="12" xfId="0" applyFont="1" applyFill="1" applyBorder="1" applyAlignment="1" applyProtection="1">
      <alignment/>
      <protection/>
    </xf>
    <xf numFmtId="0" fontId="49" fillId="8" borderId="12" xfId="0" applyFont="1" applyFill="1" applyBorder="1" applyAlignment="1" applyProtection="1">
      <alignment/>
      <protection/>
    </xf>
    <xf numFmtId="0" fontId="54" fillId="7" borderId="12" xfId="0" applyFont="1" applyFill="1" applyBorder="1" applyAlignment="1" applyProtection="1">
      <alignment/>
      <protection/>
    </xf>
    <xf numFmtId="0" fontId="54" fillId="10" borderId="12" xfId="0" applyFont="1" applyFill="1" applyBorder="1" applyAlignment="1" applyProtection="1">
      <alignment/>
      <protection/>
    </xf>
    <xf numFmtId="0" fontId="49" fillId="9" borderId="19" xfId="0" applyFont="1" applyFill="1" applyBorder="1" applyAlignment="1" applyProtection="1">
      <alignment horizontal="center"/>
      <protection/>
    </xf>
    <xf numFmtId="0" fontId="49" fillId="9" borderId="21" xfId="0" applyFont="1" applyFill="1" applyBorder="1" applyAlignment="1" applyProtection="1">
      <alignment/>
      <protection/>
    </xf>
    <xf numFmtId="0" fontId="49" fillId="3" borderId="19" xfId="0" applyFont="1" applyFill="1" applyBorder="1" applyAlignment="1" applyProtection="1">
      <alignment horizontal="center"/>
      <protection/>
    </xf>
    <xf numFmtId="0" fontId="49" fillId="3" borderId="21" xfId="0" applyFont="1" applyFill="1" applyBorder="1" applyAlignment="1" applyProtection="1">
      <alignment/>
      <protection/>
    </xf>
    <xf numFmtId="0" fontId="48" fillId="5" borderId="12" xfId="0" applyFont="1" applyFill="1" applyBorder="1" applyAlignment="1" applyProtection="1">
      <alignment/>
      <protection/>
    </xf>
    <xf numFmtId="0" fontId="54" fillId="6" borderId="12" xfId="0" applyFont="1" applyFill="1" applyBorder="1" applyAlignment="1" applyProtection="1">
      <alignment/>
      <protection/>
    </xf>
    <xf numFmtId="7" fontId="10" fillId="0" borderId="12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6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49" fillId="8" borderId="3" xfId="0" applyFont="1" applyFill="1" applyBorder="1" applyAlignment="1" applyProtection="1">
      <alignment/>
      <protection/>
    </xf>
    <xf numFmtId="0" fontId="54" fillId="7" borderId="3" xfId="0" applyFont="1" applyFill="1" applyBorder="1" applyAlignment="1" applyProtection="1">
      <alignment/>
      <protection/>
    </xf>
    <xf numFmtId="0" fontId="54" fillId="10" borderId="3" xfId="0" applyFont="1" applyFill="1" applyBorder="1" applyAlignment="1" applyProtection="1">
      <alignment/>
      <protection/>
    </xf>
    <xf numFmtId="0" fontId="49" fillId="9" borderId="22" xfId="0" applyFont="1" applyFill="1" applyBorder="1" applyAlignment="1" applyProtection="1">
      <alignment horizontal="center"/>
      <protection/>
    </xf>
    <xf numFmtId="0" fontId="49" fillId="9" borderId="59" xfId="0" applyFont="1" applyFill="1" applyBorder="1" applyAlignment="1" applyProtection="1">
      <alignment/>
      <protection/>
    </xf>
    <xf numFmtId="0" fontId="49" fillId="3" borderId="22" xfId="0" applyFont="1" applyFill="1" applyBorder="1" applyAlignment="1" applyProtection="1">
      <alignment horizontal="center"/>
      <protection/>
    </xf>
    <xf numFmtId="0" fontId="49" fillId="3" borderId="59" xfId="0" applyFont="1" applyFill="1" applyBorder="1" applyAlignment="1" applyProtection="1">
      <alignment/>
      <protection/>
    </xf>
    <xf numFmtId="0" fontId="48" fillId="5" borderId="3" xfId="0" applyFont="1" applyFill="1" applyBorder="1" applyAlignment="1" applyProtection="1">
      <alignment/>
      <protection/>
    </xf>
    <xf numFmtId="0" fontId="54" fillId="6" borderId="3" xfId="0" applyFont="1" applyFill="1" applyBorder="1" applyAlignment="1" applyProtection="1">
      <alignment/>
      <protection/>
    </xf>
    <xf numFmtId="0" fontId="10" fillId="0" borderId="59" xfId="0" applyFont="1" applyFill="1" applyBorder="1" applyAlignment="1" applyProtection="1">
      <alignment/>
      <protection/>
    </xf>
    <xf numFmtId="168" fontId="10" fillId="0" borderId="59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6" fillId="2" borderId="4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7" fontId="54" fillId="7" borderId="14" xfId="0" applyNumberFormat="1" applyFont="1" applyFill="1" applyBorder="1" applyAlignment="1" applyProtection="1">
      <alignment horizontal="center"/>
      <protection/>
    </xf>
    <xf numFmtId="7" fontId="54" fillId="10" borderId="14" xfId="0" applyNumberFormat="1" applyFont="1" applyFill="1" applyBorder="1" applyAlignment="1" applyProtection="1">
      <alignment horizontal="center"/>
      <protection/>
    </xf>
    <xf numFmtId="7" fontId="49" fillId="9" borderId="14" xfId="0" applyNumberFormat="1" applyFont="1" applyFill="1" applyBorder="1" applyAlignment="1" applyProtection="1">
      <alignment horizontal="center"/>
      <protection/>
    </xf>
    <xf numFmtId="7" fontId="49" fillId="3" borderId="14" xfId="0" applyNumberFormat="1" applyFont="1" applyFill="1" applyBorder="1" applyAlignment="1" applyProtection="1">
      <alignment horizontal="center"/>
      <protection/>
    </xf>
    <xf numFmtId="7" fontId="48" fillId="5" borderId="14" xfId="0" applyNumberFormat="1" applyFont="1" applyFill="1" applyBorder="1" applyAlignment="1" applyProtection="1">
      <alignment horizontal="center"/>
      <protection/>
    </xf>
    <xf numFmtId="7" fontId="54" fillId="6" borderId="14" xfId="0" applyNumberFormat="1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/>
      <protection/>
    </xf>
    <xf numFmtId="7" fontId="11" fillId="0" borderId="14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2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60" xfId="0" applyFont="1" applyFill="1" applyBorder="1" applyAlignment="1" applyProtection="1">
      <alignment horizontal="center"/>
      <protection locked="0"/>
    </xf>
    <xf numFmtId="165" fontId="7" fillId="0" borderId="51" xfId="0" applyNumberFormat="1" applyFont="1" applyBorder="1" applyAlignment="1" applyProtection="1" quotePrefix="1">
      <alignment horizontal="center"/>
      <protection locked="0"/>
    </xf>
    <xf numFmtId="2" fontId="7" fillId="0" borderId="51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49" fillId="8" borderId="4" xfId="0" applyFont="1" applyFill="1" applyBorder="1" applyAlignment="1" applyProtection="1">
      <alignment/>
      <protection locked="0"/>
    </xf>
    <xf numFmtId="0" fontId="54" fillId="7" borderId="4" xfId="0" applyFont="1" applyFill="1" applyBorder="1" applyAlignment="1" applyProtection="1">
      <alignment/>
      <protection locked="0"/>
    </xf>
    <xf numFmtId="0" fontId="54" fillId="10" borderId="4" xfId="0" applyFont="1" applyFill="1" applyBorder="1" applyAlignment="1" applyProtection="1">
      <alignment/>
      <protection locked="0"/>
    </xf>
    <xf numFmtId="0" fontId="49" fillId="9" borderId="56" xfId="0" applyFont="1" applyFill="1" applyBorder="1" applyAlignment="1" applyProtection="1">
      <alignment/>
      <protection locked="0"/>
    </xf>
    <xf numFmtId="0" fontId="49" fillId="9" borderId="62" xfId="0" applyFont="1" applyFill="1" applyBorder="1" applyAlignment="1" applyProtection="1">
      <alignment/>
      <protection locked="0"/>
    </xf>
    <xf numFmtId="0" fontId="49" fillId="3" borderId="56" xfId="0" applyFont="1" applyFill="1" applyBorder="1" applyAlignment="1" applyProtection="1">
      <alignment/>
      <protection locked="0"/>
    </xf>
    <xf numFmtId="0" fontId="49" fillId="3" borderId="62" xfId="0" applyFont="1" applyFill="1" applyBorder="1" applyAlignment="1" applyProtection="1">
      <alignment/>
      <protection locked="0"/>
    </xf>
    <xf numFmtId="0" fontId="48" fillId="5" borderId="4" xfId="0" applyFont="1" applyFill="1" applyBorder="1" applyAlignment="1" applyProtection="1">
      <alignment/>
      <protection locked="0"/>
    </xf>
    <xf numFmtId="0" fontId="54" fillId="6" borderId="4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168" fontId="11" fillId="0" borderId="31" xfId="0" applyNumberFormat="1" applyFont="1" applyBorder="1" applyAlignment="1" applyProtection="1">
      <alignment horizontal="center"/>
      <protection/>
    </xf>
    <xf numFmtId="168" fontId="61" fillId="0" borderId="0" xfId="0" applyNumberFormat="1" applyFont="1" applyBorder="1" applyAlignment="1" applyProtection="1" quotePrefix="1">
      <alignment horizontal="left"/>
      <protection/>
    </xf>
    <xf numFmtId="168" fontId="61" fillId="0" borderId="42" xfId="0" applyNumberFormat="1" applyFont="1" applyBorder="1" applyAlignment="1" applyProtection="1" quotePrefix="1">
      <alignment horizontal="left"/>
      <protection/>
    </xf>
    <xf numFmtId="168" fontId="61" fillId="0" borderId="38" xfId="0" applyNumberFormat="1" applyFont="1" applyBorder="1" applyAlignment="1" applyProtection="1" quotePrefix="1">
      <alignment horizontal="left"/>
      <protection/>
    </xf>
    <xf numFmtId="168" fontId="11" fillId="0" borderId="31" xfId="0" applyNumberFormat="1" applyFont="1" applyBorder="1" applyAlignment="1" applyProtection="1">
      <alignment horizontal="left"/>
      <protection/>
    </xf>
    <xf numFmtId="177" fontId="11" fillId="0" borderId="31" xfId="0" applyNumberFormat="1" applyFont="1" applyBorder="1" applyAlignment="1" applyProtection="1">
      <alignment horizontal="right"/>
      <protection/>
    </xf>
    <xf numFmtId="177" fontId="11" fillId="0" borderId="40" xfId="0" applyNumberFormat="1" applyFont="1" applyBorder="1" applyAlignment="1" applyProtection="1">
      <alignment horizontal="right"/>
      <protection/>
    </xf>
    <xf numFmtId="7" fontId="29" fillId="0" borderId="41" xfId="0" applyNumberFormat="1" applyFont="1" applyBorder="1" applyAlignment="1">
      <alignment horizontal="left"/>
    </xf>
    <xf numFmtId="0" fontId="29" fillId="0" borderId="42" xfId="0" applyFont="1" applyBorder="1" applyAlignment="1" applyProtection="1">
      <alignment horizontal="centerContinuous"/>
      <protection/>
    </xf>
    <xf numFmtId="168" fontId="29" fillId="0" borderId="42" xfId="0" applyNumberFormat="1" applyFont="1" applyBorder="1" applyAlignment="1" applyProtection="1">
      <alignment horizontal="left"/>
      <protection/>
    </xf>
    <xf numFmtId="7" fontId="29" fillId="0" borderId="47" xfId="0" applyNumberFormat="1" applyFont="1" applyBorder="1" applyAlignment="1">
      <alignment horizontal="left"/>
    </xf>
    <xf numFmtId="0" fontId="29" fillId="0" borderId="0" xfId="0" applyFont="1" applyBorder="1" applyAlignment="1" applyProtection="1">
      <alignment horizontal="centerContinuous"/>
      <protection/>
    </xf>
    <xf numFmtId="168" fontId="29" fillId="0" borderId="0" xfId="0" applyNumberFormat="1" applyFont="1" applyBorder="1" applyAlignment="1" applyProtection="1">
      <alignment horizontal="left"/>
      <protection/>
    </xf>
    <xf numFmtId="7" fontId="29" fillId="0" borderId="44" xfId="0" applyNumberFormat="1" applyFont="1" applyBorder="1" applyAlignment="1">
      <alignment horizontal="left"/>
    </xf>
    <xf numFmtId="0" fontId="29" fillId="0" borderId="38" xfId="0" applyFont="1" applyBorder="1" applyAlignment="1" applyProtection="1">
      <alignment horizontal="centerContinuous"/>
      <protection/>
    </xf>
    <xf numFmtId="168" fontId="29" fillId="0" borderId="38" xfId="0" applyNumberFormat="1" applyFont="1" applyBorder="1" applyAlignment="1" applyProtection="1">
      <alignment horizontal="left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Continuous"/>
    </xf>
    <xf numFmtId="0" fontId="7" fillId="0" borderId="51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8" fontId="11" fillId="0" borderId="14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49" fillId="3" borderId="3" xfId="0" applyNumberFormat="1" applyFont="1" applyFill="1" applyBorder="1" applyAlignment="1" applyProtection="1">
      <alignment horizontal="center"/>
      <protection/>
    </xf>
    <xf numFmtId="2" fontId="49" fillId="4" borderId="3" xfId="0" applyNumberFormat="1" applyFont="1" applyFill="1" applyBorder="1" applyAlignment="1" applyProtection="1">
      <alignment horizontal="center"/>
      <protection/>
    </xf>
    <xf numFmtId="168" fontId="54" fillId="5" borderId="22" xfId="0" applyNumberFormat="1" applyFont="1" applyFill="1" applyBorder="1" applyAlignment="1" applyProtection="1" quotePrefix="1">
      <alignment horizontal="center"/>
      <protection/>
    </xf>
    <xf numFmtId="168" fontId="54" fillId="5" borderId="50" xfId="0" applyNumberFormat="1" applyFont="1" applyFill="1" applyBorder="1" applyAlignment="1" applyProtection="1" quotePrefix="1">
      <alignment horizontal="center"/>
      <protection/>
    </xf>
    <xf numFmtId="4" fontId="54" fillId="5" borderId="59" xfId="0" applyNumberFormat="1" applyFont="1" applyFill="1" applyBorder="1" applyAlignment="1" applyProtection="1">
      <alignment horizontal="center"/>
      <protection/>
    </xf>
    <xf numFmtId="168" fontId="54" fillId="6" borderId="22" xfId="0" applyNumberFormat="1" applyFont="1" applyFill="1" applyBorder="1" applyAlignment="1" applyProtection="1" quotePrefix="1">
      <alignment horizontal="center"/>
      <protection/>
    </xf>
    <xf numFmtId="168" fontId="54" fillId="6" borderId="50" xfId="0" applyNumberFormat="1" applyFont="1" applyFill="1" applyBorder="1" applyAlignment="1" applyProtection="1" quotePrefix="1">
      <alignment horizontal="center"/>
      <protection/>
    </xf>
    <xf numFmtId="4" fontId="54" fillId="6" borderId="59" xfId="0" applyNumberFormat="1" applyFont="1" applyFill="1" applyBorder="1" applyAlignment="1" applyProtection="1">
      <alignment horizontal="center"/>
      <protection/>
    </xf>
    <xf numFmtId="4" fontId="54" fillId="7" borderId="3" xfId="0" applyNumberFormat="1" applyFont="1" applyFill="1" applyBorder="1" applyAlignment="1" applyProtection="1">
      <alignment horizontal="center"/>
      <protection/>
    </xf>
    <xf numFmtId="4" fontId="49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4" fillId="7" borderId="3" xfId="0" applyNumberFormat="1" applyFont="1" applyFill="1" applyBorder="1" applyAlignment="1" applyProtection="1">
      <alignment horizontal="center"/>
      <protection/>
    </xf>
    <xf numFmtId="2" fontId="54" fillId="10" borderId="3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1" xfId="0" applyFont="1" applyBorder="1" applyAlignment="1">
      <alignment/>
    </xf>
    <xf numFmtId="0" fontId="52" fillId="0" borderId="63" xfId="0" applyFont="1" applyBorder="1" applyAlignment="1">
      <alignment/>
    </xf>
    <xf numFmtId="0" fontId="52" fillId="0" borderId="2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 applyProtection="1">
      <alignment/>
      <protection/>
    </xf>
    <xf numFmtId="0" fontId="52" fillId="0" borderId="1" xfId="0" applyFont="1" applyFill="1" applyBorder="1" applyAlignment="1" applyProtection="1">
      <alignment/>
      <protection/>
    </xf>
    <xf numFmtId="0" fontId="52" fillId="0" borderId="63" xfId="0" applyFont="1" applyFill="1" applyBorder="1" applyAlignment="1" applyProtection="1">
      <alignment/>
      <protection/>
    </xf>
    <xf numFmtId="0" fontId="52" fillId="0" borderId="2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68" fillId="0" borderId="0" xfId="0" applyFont="1" applyBorder="1" applyAlignment="1">
      <alignment horizontal="left"/>
    </xf>
    <xf numFmtId="0" fontId="68" fillId="0" borderId="18" xfId="0" applyFont="1" applyBorder="1" applyAlignment="1" applyProtection="1">
      <alignment horizontal="center"/>
      <protection/>
    </xf>
    <xf numFmtId="0" fontId="68" fillId="0" borderId="18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Continuous"/>
      <protection/>
    </xf>
    <xf numFmtId="167" fontId="0" fillId="0" borderId="17" xfId="0" applyNumberFormat="1" applyFont="1" applyBorder="1" applyAlignment="1">
      <alignment horizontal="centerContinuous"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0" fontId="0" fillId="0" borderId="60" xfId="0" applyBorder="1" applyAlignment="1">
      <alignment/>
    </xf>
    <xf numFmtId="0" fontId="70" fillId="2" borderId="12" xfId="0" applyFont="1" applyFill="1" applyBorder="1" applyAlignment="1">
      <alignment/>
    </xf>
    <xf numFmtId="0" fontId="0" fillId="0" borderId="59" xfId="0" applyBorder="1" applyAlignment="1">
      <alignment/>
    </xf>
    <xf numFmtId="0" fontId="70" fillId="2" borderId="3" xfId="0" applyFont="1" applyFill="1" applyBorder="1" applyAlignment="1">
      <alignment/>
    </xf>
    <xf numFmtId="0" fontId="51" fillId="3" borderId="3" xfId="0" applyFont="1" applyFill="1" applyBorder="1" applyAlignment="1">
      <alignment/>
    </xf>
    <xf numFmtId="0" fontId="51" fillId="4" borderId="3" xfId="0" applyFont="1" applyFill="1" applyBorder="1" applyAlignment="1">
      <alignment/>
    </xf>
    <xf numFmtId="0" fontId="53" fillId="5" borderId="22" xfId="0" applyFont="1" applyFill="1" applyBorder="1" applyAlignment="1">
      <alignment horizontal="center"/>
    </xf>
    <xf numFmtId="0" fontId="53" fillId="5" borderId="50" xfId="0" applyFont="1" applyFill="1" applyBorder="1" applyAlignment="1">
      <alignment/>
    </xf>
    <xf numFmtId="0" fontId="53" fillId="5" borderId="59" xfId="0" applyFont="1" applyFill="1" applyBorder="1" applyAlignment="1">
      <alignment/>
    </xf>
    <xf numFmtId="0" fontId="53" fillId="6" borderId="22" xfId="0" applyFont="1" applyFill="1" applyBorder="1" applyAlignment="1">
      <alignment horizontal="center"/>
    </xf>
    <xf numFmtId="0" fontId="53" fillId="6" borderId="50" xfId="0" applyFont="1" applyFill="1" applyBorder="1" applyAlignment="1">
      <alignment/>
    </xf>
    <xf numFmtId="0" fontId="53" fillId="6" borderId="59" xfId="0" applyFont="1" applyFill="1" applyBorder="1" applyAlignment="1">
      <alignment/>
    </xf>
    <xf numFmtId="0" fontId="53" fillId="7" borderId="3" xfId="0" applyFont="1" applyFill="1" applyBorder="1" applyAlignment="1">
      <alignment/>
    </xf>
    <xf numFmtId="0" fontId="51" fillId="8" borderId="3" xfId="0" applyFont="1" applyFill="1" applyBorder="1" applyAlignment="1">
      <alignment/>
    </xf>
    <xf numFmtId="0" fontId="0" fillId="0" borderId="3" xfId="0" applyFont="1" applyBorder="1" applyAlignment="1">
      <alignment/>
    </xf>
    <xf numFmtId="168" fontId="46" fillId="2" borderId="4" xfId="0" applyNumberFormat="1" applyFont="1" applyFill="1" applyBorder="1" applyAlignment="1" applyProtection="1">
      <alignment horizontal="center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2" fillId="0" borderId="0" xfId="0" applyFont="1" applyBorder="1" applyAlignment="1">
      <alignment horizontal="centerContinuous"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Continuous"/>
      <protection/>
    </xf>
    <xf numFmtId="0" fontId="74" fillId="0" borderId="0" xfId="0" applyFont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5" fillId="0" borderId="6" xfId="0" applyFont="1" applyBorder="1" applyAlignment="1">
      <alignment/>
    </xf>
    <xf numFmtId="0" fontId="0" fillId="0" borderId="7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3" xfId="0" applyBorder="1" applyAlignment="1">
      <alignment/>
    </xf>
    <xf numFmtId="0" fontId="75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54" xfId="0" applyFont="1" applyFill="1" applyBorder="1" applyAlignment="1">
      <alignment horizontal="centerContinuous" vertical="center"/>
    </xf>
    <xf numFmtId="0" fontId="76" fillId="11" borderId="64" xfId="0" applyFont="1" applyFill="1" applyBorder="1" applyAlignment="1" applyProtection="1">
      <alignment horizontal="centerContinuous" vertical="center"/>
      <protection/>
    </xf>
    <xf numFmtId="0" fontId="76" fillId="11" borderId="64" xfId="0" applyFont="1" applyFill="1" applyBorder="1" applyAlignment="1" applyProtection="1">
      <alignment horizontal="centerContinuous" vertical="center" wrapText="1"/>
      <protection/>
    </xf>
    <xf numFmtId="168" fontId="76" fillId="11" borderId="14" xfId="0" applyNumberFormat="1" applyFont="1" applyFill="1" applyBorder="1" applyAlignment="1" applyProtection="1">
      <alignment horizontal="centerContinuous" vertical="center" wrapText="1"/>
      <protection/>
    </xf>
    <xf numFmtId="17" fontId="76" fillId="11" borderId="1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60" xfId="0" applyFont="1" applyFill="1" applyBorder="1" applyAlignment="1">
      <alignment/>
    </xf>
    <xf numFmtId="0" fontId="75" fillId="12" borderId="65" xfId="0" applyFont="1" applyFill="1" applyBorder="1" applyAlignment="1">
      <alignment/>
    </xf>
    <xf numFmtId="0" fontId="75" fillId="12" borderId="66" xfId="0" applyFont="1" applyFill="1" applyBorder="1" applyAlignment="1">
      <alignment/>
    </xf>
    <xf numFmtId="0" fontId="0" fillId="13" borderId="67" xfId="0" applyFont="1" applyFill="1" applyBorder="1" applyAlignment="1">
      <alignment/>
    </xf>
    <xf numFmtId="0" fontId="0" fillId="0" borderId="67" xfId="0" applyBorder="1" applyAlignment="1">
      <alignment/>
    </xf>
    <xf numFmtId="0" fontId="7" fillId="12" borderId="60" xfId="0" applyFont="1" applyFill="1" applyBorder="1" applyAlignment="1">
      <alignment horizontal="center"/>
    </xf>
    <xf numFmtId="0" fontId="7" fillId="12" borderId="68" xfId="0" applyFont="1" applyFill="1" applyBorder="1" applyAlignment="1" applyProtection="1">
      <alignment horizontal="center"/>
      <protection/>
    </xf>
    <xf numFmtId="2" fontId="7" fillId="12" borderId="51" xfId="0" applyNumberFormat="1" applyFont="1" applyFill="1" applyBorder="1" applyAlignment="1" applyProtection="1">
      <alignment horizontal="center"/>
      <protection/>
    </xf>
    <xf numFmtId="1" fontId="7" fillId="13" borderId="69" xfId="0" applyNumberFormat="1" applyFont="1" applyFill="1" applyBorder="1" applyAlignment="1">
      <alignment horizontal="center"/>
    </xf>
    <xf numFmtId="0" fontId="0" fillId="0" borderId="66" xfId="0" applyBorder="1" applyAlignment="1">
      <alignment/>
    </xf>
    <xf numFmtId="0" fontId="7" fillId="14" borderId="60" xfId="0" applyFont="1" applyFill="1" applyBorder="1" applyAlignment="1">
      <alignment horizontal="center"/>
    </xf>
    <xf numFmtId="0" fontId="7" fillId="14" borderId="68" xfId="0" applyFont="1" applyFill="1" applyBorder="1" applyAlignment="1" applyProtection="1">
      <alignment horizontal="center"/>
      <protection/>
    </xf>
    <xf numFmtId="2" fontId="7" fillId="14" borderId="51" xfId="0" applyNumberFormat="1" applyFont="1" applyFill="1" applyBorder="1" applyAlignment="1" applyProtection="1">
      <alignment horizontal="center"/>
      <protection/>
    </xf>
    <xf numFmtId="0" fontId="7" fillId="12" borderId="54" xfId="0" applyFont="1" applyFill="1" applyBorder="1" applyAlignment="1">
      <alignment horizontal="center"/>
    </xf>
    <xf numFmtId="0" fontId="7" fillId="12" borderId="70" xfId="0" applyFont="1" applyFill="1" applyBorder="1" applyAlignment="1" applyProtection="1">
      <alignment horizontal="left"/>
      <protection/>
    </xf>
    <xf numFmtId="0" fontId="7" fillId="12" borderId="70" xfId="0" applyFont="1" applyFill="1" applyBorder="1" applyAlignment="1" applyProtection="1">
      <alignment horizontal="center"/>
      <protection/>
    </xf>
    <xf numFmtId="2" fontId="7" fillId="12" borderId="55" xfId="0" applyNumberFormat="1" applyFont="1" applyFill="1" applyBorder="1" applyAlignment="1" applyProtection="1">
      <alignment horizontal="center"/>
      <protection/>
    </xf>
    <xf numFmtId="1" fontId="7" fillId="13" borderId="5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right"/>
      <protection/>
    </xf>
    <xf numFmtId="168" fontId="5" fillId="0" borderId="55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1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14" xfId="0" applyNumberFormat="1" applyFont="1" applyFill="1" applyBorder="1" applyAlignment="1">
      <alignment horizontal="center"/>
    </xf>
    <xf numFmtId="0" fontId="7" fillId="12" borderId="7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7" fillId="0" borderId="1" xfId="0" applyFont="1" applyBorder="1" applyAlignment="1">
      <alignment/>
    </xf>
    <xf numFmtId="0" fontId="0" fillId="13" borderId="7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2" fontId="78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77" fillId="0" borderId="8" xfId="0" applyFont="1" applyBorder="1" applyAlignment="1">
      <alignment/>
    </xf>
    <xf numFmtId="0" fontId="5" fillId="0" borderId="9" xfId="0" applyFont="1" applyBorder="1" applyAlignment="1" applyProtection="1">
      <alignment horizontal="left"/>
      <protection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142875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209550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9560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723900</xdr:colOff>
      <xdr:row>0</xdr:row>
      <xdr:rowOff>38100</xdr:rowOff>
    </xdr:from>
    <xdr:to>
      <xdr:col>1</xdr:col>
      <xdr:colOff>171450</xdr:colOff>
      <xdr:row>1</xdr:row>
      <xdr:rowOff>371475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810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110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110"/>
      <sheetName val="LI-01 (1)"/>
      <sheetName val="LI-EDERSA-01 (1)"/>
      <sheetName val="LI-TRANSACUE-01 (1)"/>
      <sheetName val="TR-01 (1)"/>
      <sheetName val="TR-EDERSA-01 (1)"/>
      <sheetName val="CAUSAS-VST-01 (1)"/>
      <sheetName val="CAUSAS-VST-01 (2)"/>
      <sheetName val="SUP-EDERSA"/>
      <sheetName val="SUP-TRANSACUE"/>
      <sheetName val="TASA FALLA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CY17" t="str">
            <v>XXXX</v>
          </cell>
          <cell r="CZ17" t="str">
            <v>XXXX</v>
          </cell>
          <cell r="DA17" t="str">
            <v>XXXX</v>
          </cell>
          <cell r="DB17" t="str">
            <v>XXXX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D18">
            <v>1</v>
          </cell>
          <cell r="GL18">
            <v>3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I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E26">
            <v>1</v>
          </cell>
          <cell r="GL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B33">
            <v>1</v>
          </cell>
          <cell r="GK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B34" t="str">
            <v>XXXX</v>
          </cell>
          <cell r="GC34" t="str">
            <v>XXXX</v>
          </cell>
          <cell r="GD34" t="str">
            <v>XXXX</v>
          </cell>
          <cell r="GE34" t="str">
            <v>XXXX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B38" t="str">
            <v>XXXX</v>
          </cell>
          <cell r="GC38" t="str">
            <v>XXXX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  <cell r="GH39">
            <v>2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H41">
            <v>1</v>
          </cell>
          <cell r="GI41">
            <v>2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B44" t="str">
            <v>XXXX</v>
          </cell>
          <cell r="GC44" t="str">
            <v>XXXX</v>
          </cell>
          <cell r="GD44" t="str">
            <v>XXXX</v>
          </cell>
          <cell r="GE44" t="str">
            <v>XXXX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B47" t="str">
            <v>XXXX</v>
          </cell>
          <cell r="GC47" t="str">
            <v>XXXX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</row>
        <row r="50">
          <cell r="C50">
            <v>22</v>
          </cell>
          <cell r="D50" t="str">
            <v>SAN ANTONIO OESTE -VIEDMA</v>
          </cell>
          <cell r="E50">
            <v>132</v>
          </cell>
          <cell r="F50">
            <v>185.6</v>
          </cell>
        </row>
        <row r="72">
          <cell r="GB72">
            <v>1.29</v>
          </cell>
          <cell r="GC72">
            <v>1.22</v>
          </cell>
          <cell r="GD72">
            <v>1.05</v>
          </cell>
          <cell r="GE72">
            <v>0.94</v>
          </cell>
          <cell r="GF72">
            <v>0.84</v>
          </cell>
          <cell r="GG72">
            <v>0.56</v>
          </cell>
          <cell r="GH72">
            <v>0.49</v>
          </cell>
          <cell r="GI72">
            <v>0.63</v>
          </cell>
          <cell r="GJ72">
            <v>0.7</v>
          </cell>
          <cell r="GK72">
            <v>0.7</v>
          </cell>
          <cell r="GL72">
            <v>0.66</v>
          </cell>
          <cell r="GM72">
            <v>0.7</v>
          </cell>
          <cell r="GN72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48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9.8515625" style="8" customWidth="1"/>
    <col min="4" max="4" width="10.7109375" style="8" customWidth="1"/>
    <col min="5" max="5" width="10.57421875" style="8" customWidth="1"/>
    <col min="6" max="6" width="15.7109375" style="8" customWidth="1"/>
    <col min="7" max="7" width="24.28125" style="8" customWidth="1"/>
    <col min="8" max="8" width="11.00390625" style="8" customWidth="1"/>
    <col min="9" max="9" width="15.7109375" style="8" customWidth="1"/>
    <col min="10" max="10" width="15.003906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84" customFormat="1" ht="26.25">
      <c r="B1" s="85"/>
      <c r="K1" s="256"/>
    </row>
    <row r="2" spans="2:10" s="84" customFormat="1" ht="26.25">
      <c r="B2" s="85" t="s">
        <v>147</v>
      </c>
      <c r="C2" s="102"/>
      <c r="D2" s="86"/>
      <c r="E2" s="86"/>
      <c r="F2" s="86"/>
      <c r="G2" s="86"/>
      <c r="H2" s="86"/>
      <c r="I2" s="86"/>
      <c r="J2" s="86"/>
    </row>
    <row r="3" spans="3:19" ht="15.75" customHeight="1">
      <c r="C3"/>
      <c r="D3" s="24"/>
      <c r="E3" s="24"/>
      <c r="F3" s="24"/>
      <c r="G3" s="24"/>
      <c r="H3" s="24"/>
      <c r="I3" s="24"/>
      <c r="J3" s="24"/>
      <c r="P3" s="6"/>
      <c r="Q3" s="6"/>
      <c r="R3" s="6"/>
      <c r="S3" s="6"/>
    </row>
    <row r="4" spans="1:19" s="87" customFormat="1" ht="11.25">
      <c r="A4" s="103" t="s">
        <v>6</v>
      </c>
      <c r="B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s="87" customFormat="1" ht="11.25">
      <c r="A5" s="103" t="s">
        <v>7</v>
      </c>
      <c r="B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2:19" s="84" customFormat="1" ht="26.25">
      <c r="B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2:19" s="89" customFormat="1" ht="21">
      <c r="B7" s="141" t="s">
        <v>0</v>
      </c>
      <c r="C7" s="108"/>
      <c r="D7" s="109"/>
      <c r="E7" s="109"/>
      <c r="F7" s="110"/>
      <c r="G7" s="110"/>
      <c r="H7" s="110"/>
      <c r="I7" s="110"/>
      <c r="J7" s="110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s="89" customFormat="1" ht="21">
      <c r="B9" s="141" t="s">
        <v>1</v>
      </c>
      <c r="C9" s="108"/>
      <c r="D9" s="109"/>
      <c r="E9" s="109"/>
      <c r="F9" s="109"/>
      <c r="G9" s="109"/>
      <c r="H9" s="109"/>
      <c r="I9" s="110"/>
      <c r="J9" s="110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111"/>
      <c r="E10" s="11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s="89" customFormat="1" ht="20.25">
      <c r="B11" s="141" t="s">
        <v>146</v>
      </c>
      <c r="C11" s="64"/>
      <c r="D11" s="25"/>
      <c r="E11" s="25"/>
      <c r="F11" s="109"/>
      <c r="G11" s="109"/>
      <c r="H11" s="109"/>
      <c r="I11" s="110"/>
      <c r="J11" s="110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112" customFormat="1" ht="16.5" thickBot="1">
      <c r="D12" s="5"/>
      <c r="E12" s="5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2:19" s="112" customFormat="1" ht="16.5" thickTop="1">
      <c r="B13" s="247">
        <v>1</v>
      </c>
      <c r="C13" s="253"/>
      <c r="D13" s="114"/>
      <c r="E13" s="114"/>
      <c r="F13" s="114"/>
      <c r="G13" s="114"/>
      <c r="H13" s="114"/>
      <c r="I13" s="114"/>
      <c r="J13" s="115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2:19" s="96" customFormat="1" ht="19.5">
      <c r="B14" s="167" t="s">
        <v>115</v>
      </c>
      <c r="C14" s="116"/>
      <c r="D14" s="117"/>
      <c r="E14" s="118"/>
      <c r="F14" s="118"/>
      <c r="G14" s="118"/>
      <c r="H14" s="118"/>
      <c r="I14" s="92"/>
      <c r="J14" s="95"/>
      <c r="K14" s="32"/>
      <c r="L14" s="32"/>
      <c r="M14" s="32"/>
      <c r="N14" s="32"/>
      <c r="O14" s="32"/>
      <c r="P14" s="32"/>
      <c r="Q14" s="32"/>
      <c r="R14" s="32"/>
      <c r="S14" s="32"/>
    </row>
    <row r="15" spans="2:19" s="96" customFormat="1" ht="9" customHeight="1">
      <c r="B15" s="119"/>
      <c r="C15" s="120"/>
      <c r="D15" s="120"/>
      <c r="E15" s="32"/>
      <c r="F15" s="121"/>
      <c r="G15" s="121"/>
      <c r="H15" s="121"/>
      <c r="I15" s="32"/>
      <c r="J15" s="122"/>
      <c r="K15" s="32"/>
      <c r="L15" s="32"/>
      <c r="M15" s="32"/>
      <c r="N15" s="32"/>
      <c r="O15" s="32"/>
      <c r="P15" s="32"/>
      <c r="Q15" s="32"/>
      <c r="R15" s="32"/>
      <c r="S15" s="32"/>
    </row>
    <row r="16" spans="2:18" s="96" customFormat="1" ht="9" customHeight="1">
      <c r="B16" s="167">
        <f>IF(B13=2,"Sanciones duplicadas por tasa de falla &gt; 4 Sal. x año/100km.","")</f>
      </c>
      <c r="C16" s="170"/>
      <c r="D16" s="170"/>
      <c r="E16" s="92"/>
      <c r="F16" s="118"/>
      <c r="G16" s="118"/>
      <c r="H16" s="92"/>
      <c r="I16" s="64"/>
      <c r="J16" s="95"/>
      <c r="K16" s="32"/>
      <c r="L16" s="32"/>
      <c r="M16" s="32"/>
      <c r="N16" s="32"/>
      <c r="O16" s="32"/>
      <c r="P16" s="32"/>
      <c r="Q16" s="32"/>
      <c r="R16" s="32"/>
    </row>
    <row r="17" spans="2:18" s="96" customFormat="1" ht="9" customHeight="1">
      <c r="B17" s="119"/>
      <c r="C17" s="120"/>
      <c r="D17" s="120"/>
      <c r="E17" s="32"/>
      <c r="F17" s="121"/>
      <c r="G17" s="121"/>
      <c r="H17" s="32"/>
      <c r="I17"/>
      <c r="J17" s="122"/>
      <c r="K17" s="32"/>
      <c r="L17" s="32"/>
      <c r="M17" s="32"/>
      <c r="N17" s="32"/>
      <c r="O17" s="32"/>
      <c r="P17" s="32"/>
      <c r="Q17" s="32"/>
      <c r="R17" s="32"/>
    </row>
    <row r="18" spans="2:19" s="96" customFormat="1" ht="18.75">
      <c r="B18" s="119"/>
      <c r="J18" s="122"/>
      <c r="K18" s="32"/>
      <c r="L18" s="32"/>
      <c r="M18" s="32"/>
      <c r="N18" s="32"/>
      <c r="O18" s="32"/>
      <c r="P18" s="32"/>
      <c r="Q18" s="32"/>
      <c r="R18" s="32"/>
      <c r="S18" s="32"/>
    </row>
    <row r="19" spans="2:19" s="96" customFormat="1" ht="19.5">
      <c r="B19" s="119"/>
      <c r="C19" s="123" t="s">
        <v>8</v>
      </c>
      <c r="D19" s="124" t="s">
        <v>9</v>
      </c>
      <c r="E19" s="32"/>
      <c r="F19" s="121"/>
      <c r="G19" s="121"/>
      <c r="H19" s="121"/>
      <c r="I19" s="31"/>
      <c r="J19" s="122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96" customFormat="1" ht="19.5">
      <c r="B20" s="119"/>
      <c r="C20"/>
      <c r="D20" s="123" t="s">
        <v>10</v>
      </c>
      <c r="E20" s="124" t="s">
        <v>11</v>
      </c>
      <c r="F20" s="121"/>
      <c r="G20" s="121"/>
      <c r="H20" s="121"/>
      <c r="I20" s="31">
        <f>'LI-08 (1)'!AA43</f>
        <v>11970.38</v>
      </c>
      <c r="J20" s="122"/>
      <c r="K20" s="32"/>
      <c r="L20" s="32"/>
      <c r="M20" s="32"/>
      <c r="N20" s="32"/>
      <c r="O20" s="32"/>
      <c r="P20" s="32"/>
      <c r="Q20" s="32"/>
      <c r="R20" s="32"/>
      <c r="S20" s="32"/>
    </row>
    <row r="21" spans="2:19" s="96" customFormat="1" ht="19.5">
      <c r="B21" s="119"/>
      <c r="C21"/>
      <c r="D21" s="123" t="s">
        <v>144</v>
      </c>
      <c r="E21" s="124" t="s">
        <v>103</v>
      </c>
      <c r="F21" s="121"/>
      <c r="G21" s="121"/>
      <c r="H21" s="121"/>
      <c r="I21" s="31">
        <f>'LI-TRANSACUE-08 (1)'!AA43</f>
        <v>10120.29</v>
      </c>
      <c r="J21" s="122"/>
      <c r="K21" s="32"/>
      <c r="L21" s="32"/>
      <c r="M21" s="32"/>
      <c r="N21" s="32"/>
      <c r="O21" s="32"/>
      <c r="P21" s="32"/>
      <c r="Q21" s="32"/>
      <c r="R21" s="32"/>
      <c r="S21" s="32"/>
    </row>
    <row r="22" spans="2:19" ht="18" customHeight="1">
      <c r="B22" s="29"/>
      <c r="C22" s="125"/>
      <c r="D22" s="126"/>
      <c r="E22" s="6"/>
      <c r="F22" s="127"/>
      <c r="G22" s="127"/>
      <c r="H22" s="127"/>
      <c r="I22" s="128"/>
      <c r="J22" s="9"/>
      <c r="K22" s="6"/>
      <c r="L22" s="6"/>
      <c r="M22" s="6"/>
      <c r="N22" s="6"/>
      <c r="O22" s="6"/>
      <c r="P22" s="6"/>
      <c r="Q22" s="6"/>
      <c r="R22" s="6"/>
      <c r="S22" s="6"/>
    </row>
    <row r="23" spans="2:19" s="96" customFormat="1" ht="19.5">
      <c r="B23" s="119"/>
      <c r="C23" s="123" t="s">
        <v>12</v>
      </c>
      <c r="D23" s="124" t="s">
        <v>13</v>
      </c>
      <c r="E23" s="32"/>
      <c r="F23" s="121"/>
      <c r="G23" s="121"/>
      <c r="H23" s="121"/>
      <c r="I23" s="31"/>
      <c r="J23" s="122"/>
      <c r="K23" s="32"/>
      <c r="L23" s="32"/>
      <c r="M23" s="32"/>
      <c r="N23" s="32"/>
      <c r="O23" s="32"/>
      <c r="P23" s="32"/>
      <c r="Q23" s="32"/>
      <c r="R23" s="32"/>
      <c r="S23" s="32"/>
    </row>
    <row r="24" spans="2:19" s="96" customFormat="1" ht="19.5">
      <c r="B24" s="119"/>
      <c r="C24" s="123"/>
      <c r="D24" s="123" t="s">
        <v>14</v>
      </c>
      <c r="E24" s="7" t="s">
        <v>15</v>
      </c>
      <c r="F24" s="121"/>
      <c r="G24" s="121"/>
      <c r="H24" s="121"/>
      <c r="I24" s="31"/>
      <c r="J24" s="122"/>
      <c r="K24" s="32"/>
      <c r="L24" s="32"/>
      <c r="M24" s="32"/>
      <c r="N24" s="32"/>
      <c r="O24" s="32"/>
      <c r="P24" s="32"/>
      <c r="Q24" s="32"/>
      <c r="R24" s="32"/>
      <c r="S24" s="32"/>
    </row>
    <row r="25" spans="2:19" s="96" customFormat="1" ht="19.5">
      <c r="B25" s="119"/>
      <c r="C25" s="123"/>
      <c r="D25" s="123"/>
      <c r="E25" s="123" t="s">
        <v>16</v>
      </c>
      <c r="F25" s="124" t="s">
        <v>11</v>
      </c>
      <c r="G25" s="121"/>
      <c r="H25" s="121"/>
      <c r="I25" s="31">
        <f>'TR-08 (1)'!AC45</f>
        <v>359.82</v>
      </c>
      <c r="J25" s="122"/>
      <c r="K25" s="32"/>
      <c r="L25" s="32"/>
      <c r="M25" s="32"/>
      <c r="N25" s="32"/>
      <c r="O25" s="32"/>
      <c r="P25" s="32"/>
      <c r="Q25" s="32"/>
      <c r="R25" s="32"/>
      <c r="S25" s="32"/>
    </row>
    <row r="26" spans="2:19" s="96" customFormat="1" ht="19.5">
      <c r="B26" s="119"/>
      <c r="C26" s="123"/>
      <c r="D26" s="123"/>
      <c r="E26" s="123"/>
      <c r="F26" s="124"/>
      <c r="G26" s="121"/>
      <c r="H26" s="121"/>
      <c r="I26" s="31"/>
      <c r="J26" s="122"/>
      <c r="K26" s="32"/>
      <c r="L26" s="32"/>
      <c r="M26" s="32"/>
      <c r="N26" s="32"/>
      <c r="O26" s="32"/>
      <c r="P26" s="32"/>
      <c r="Q26" s="32"/>
      <c r="R26" s="32"/>
      <c r="S26" s="32"/>
    </row>
    <row r="27" spans="2:19" s="96" customFormat="1" ht="19.5">
      <c r="B27" s="119"/>
      <c r="C27" s="123"/>
      <c r="D27" s="123"/>
      <c r="E27" s="123"/>
      <c r="F27" s="124"/>
      <c r="G27" s="121"/>
      <c r="H27" s="121"/>
      <c r="I27" s="31"/>
      <c r="J27" s="122"/>
      <c r="K27" s="32"/>
      <c r="L27" s="32"/>
      <c r="M27" s="32"/>
      <c r="N27" s="32"/>
      <c r="O27" s="32"/>
      <c r="P27" s="32"/>
      <c r="Q27" s="32"/>
      <c r="R27" s="32"/>
      <c r="S27" s="32"/>
    </row>
    <row r="28" spans="2:19" s="96" customFormat="1" ht="19.5">
      <c r="B28" s="119"/>
      <c r="C28" s="123" t="s">
        <v>17</v>
      </c>
      <c r="D28" s="7" t="s">
        <v>18</v>
      </c>
      <c r="E28" s="121"/>
      <c r="F28"/>
      <c r="G28" s="121"/>
      <c r="H28" s="121"/>
      <c r="I28" s="31"/>
      <c r="J28" s="122"/>
      <c r="K28" s="32"/>
      <c r="L28" s="32"/>
      <c r="M28" s="32"/>
      <c r="N28" s="32"/>
      <c r="O28" s="32"/>
      <c r="P28" s="32"/>
      <c r="Q28" s="32"/>
      <c r="R28" s="32"/>
      <c r="S28" s="32"/>
    </row>
    <row r="29" spans="2:19" s="96" customFormat="1" ht="19.5">
      <c r="B29" s="119"/>
      <c r="C29" s="123"/>
      <c r="D29" s="123" t="s">
        <v>19</v>
      </c>
      <c r="E29" s="124" t="s">
        <v>103</v>
      </c>
      <c r="F29"/>
      <c r="G29" s="121"/>
      <c r="H29" s="121"/>
      <c r="I29" s="31">
        <f>'SUP-TRANSACUE'!I57</f>
        <v>2530.0725000000007</v>
      </c>
      <c r="J29" s="122"/>
      <c r="K29" s="32"/>
      <c r="L29" s="32"/>
      <c r="M29" s="32"/>
      <c r="N29" s="32"/>
      <c r="O29" s="32"/>
      <c r="P29" s="32"/>
      <c r="Q29" s="32"/>
      <c r="R29" s="32"/>
      <c r="S29" s="32"/>
    </row>
    <row r="30" spans="2:19" s="96" customFormat="1" ht="19.5">
      <c r="B30" s="119"/>
      <c r="C30" s="123"/>
      <c r="D30" s="123"/>
      <c r="E30" s="123"/>
      <c r="F30" s="124"/>
      <c r="G30" s="121"/>
      <c r="H30" s="121"/>
      <c r="I30" s="31"/>
      <c r="J30" s="122"/>
      <c r="K30" s="32"/>
      <c r="L30" s="32"/>
      <c r="M30" s="32"/>
      <c r="N30" s="32"/>
      <c r="O30" s="32"/>
      <c r="P30" s="32"/>
      <c r="Q30" s="32"/>
      <c r="R30" s="32"/>
      <c r="S30" s="32"/>
    </row>
    <row r="31" spans="2:19" s="96" customFormat="1" ht="20.25" thickBot="1">
      <c r="B31" s="119"/>
      <c r="C31" s="120"/>
      <c r="D31" s="120"/>
      <c r="E31" s="32"/>
      <c r="F31" s="121"/>
      <c r="G31" s="121"/>
      <c r="H31" s="121"/>
      <c r="I31" s="32"/>
      <c r="J31" s="122"/>
      <c r="K31" s="32"/>
      <c r="L31" s="32"/>
      <c r="M31" s="32"/>
      <c r="N31" s="32"/>
      <c r="O31" s="32"/>
      <c r="P31" s="32"/>
      <c r="Q31" s="32"/>
      <c r="R31" s="32"/>
      <c r="S31" s="32"/>
    </row>
    <row r="32" spans="2:19" s="96" customFormat="1" ht="20.25" thickBot="1" thickTop="1">
      <c r="B32" s="119"/>
      <c r="C32" s="123"/>
      <c r="D32" s="123"/>
      <c r="F32" s="129" t="s">
        <v>20</v>
      </c>
      <c r="G32" s="130">
        <f>SUM(I20:I29)</f>
        <v>24980.5625</v>
      </c>
      <c r="H32" s="169"/>
      <c r="J32" s="122"/>
      <c r="K32" s="32"/>
      <c r="L32" s="32"/>
      <c r="M32" s="32"/>
      <c r="N32" s="32"/>
      <c r="O32" s="32"/>
      <c r="P32" s="32"/>
      <c r="Q32" s="32"/>
      <c r="R32" s="32"/>
      <c r="S32" s="32"/>
    </row>
    <row r="33" spans="2:19" s="96" customFormat="1" ht="19.5" thickTop="1">
      <c r="B33" s="119"/>
      <c r="C33" s="123"/>
      <c r="D33" s="123"/>
      <c r="F33" s="494"/>
      <c r="G33" s="169"/>
      <c r="H33" s="169"/>
      <c r="J33" s="122"/>
      <c r="K33" s="32"/>
      <c r="L33" s="32"/>
      <c r="M33" s="32"/>
      <c r="N33" s="32"/>
      <c r="O33" s="32"/>
      <c r="P33" s="32"/>
      <c r="Q33" s="32"/>
      <c r="R33" s="32"/>
      <c r="S33" s="32"/>
    </row>
    <row r="34" spans="2:19" s="96" customFormat="1" ht="18.75">
      <c r="B34" s="119"/>
      <c r="C34" s="495" t="s">
        <v>131</v>
      </c>
      <c r="D34" s="123"/>
      <c r="F34" s="494"/>
      <c r="G34" s="169"/>
      <c r="H34" s="169"/>
      <c r="J34" s="122"/>
      <c r="K34" s="32"/>
      <c r="L34" s="32"/>
      <c r="M34" s="32"/>
      <c r="N34" s="32"/>
      <c r="O34" s="32"/>
      <c r="P34" s="32"/>
      <c r="Q34" s="32"/>
      <c r="R34" s="32"/>
      <c r="S34" s="32"/>
    </row>
    <row r="35" spans="2:19" s="96" customFormat="1" ht="8.25" customHeight="1">
      <c r="B35" s="119"/>
      <c r="J35" s="122"/>
      <c r="K35" s="32"/>
      <c r="L35" s="32"/>
      <c r="M35" s="32"/>
      <c r="N35" s="32"/>
      <c r="O35" s="32"/>
      <c r="P35" s="32"/>
      <c r="Q35" s="32"/>
      <c r="R35" s="32"/>
      <c r="S35" s="32"/>
    </row>
    <row r="36" spans="2:19" s="96" customFormat="1" ht="18.75">
      <c r="B36" s="119"/>
      <c r="J36" s="122"/>
      <c r="K36" s="32"/>
      <c r="L36" s="32"/>
      <c r="M36" s="32"/>
      <c r="N36" s="32"/>
      <c r="O36" s="32"/>
      <c r="P36" s="32"/>
      <c r="Q36" s="32"/>
      <c r="R36" s="32"/>
      <c r="S36" s="32"/>
    </row>
    <row r="37" spans="2:19" s="112" customFormat="1" ht="6.75" customHeight="1" thickBot="1">
      <c r="B37" s="131"/>
      <c r="C37" s="132"/>
      <c r="D37" s="132"/>
      <c r="E37" s="133"/>
      <c r="F37" s="133"/>
      <c r="G37" s="133"/>
      <c r="H37" s="133"/>
      <c r="I37" s="133"/>
      <c r="J37" s="134"/>
      <c r="K37" s="113"/>
      <c r="L37" s="113"/>
      <c r="M37" s="63"/>
      <c r="N37" s="135"/>
      <c r="O37" s="135"/>
      <c r="P37" s="136"/>
      <c r="Q37" s="137"/>
      <c r="R37" s="113"/>
      <c r="S37" s="113"/>
    </row>
    <row r="38" spans="4:19" ht="13.5" thickTop="1">
      <c r="D38" s="6"/>
      <c r="F38" s="6"/>
      <c r="G38" s="6"/>
      <c r="H38" s="6"/>
      <c r="I38" s="6"/>
      <c r="J38" s="6"/>
      <c r="K38" s="6"/>
      <c r="L38" s="6"/>
      <c r="M38" s="20"/>
      <c r="N38" s="138"/>
      <c r="O38" s="138"/>
      <c r="P38" s="6"/>
      <c r="Q38" s="21"/>
      <c r="R38" s="6"/>
      <c r="S38" s="6"/>
    </row>
    <row r="39" spans="4:19" ht="12.75">
      <c r="D39" s="6"/>
      <c r="F39" s="6"/>
      <c r="G39" s="6"/>
      <c r="H39" s="6"/>
      <c r="I39" s="6"/>
      <c r="J39" s="6"/>
      <c r="K39" s="6"/>
      <c r="L39" s="6"/>
      <c r="M39" s="6"/>
      <c r="N39" s="139"/>
      <c r="O39" s="139"/>
      <c r="P39" s="140"/>
      <c r="Q39" s="21"/>
      <c r="R39" s="6"/>
      <c r="S39" s="6"/>
    </row>
    <row r="40" spans="4:19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139"/>
      <c r="O40" s="139"/>
      <c r="P40" s="140"/>
      <c r="Q40" s="21"/>
      <c r="R40" s="6"/>
      <c r="S40" s="6"/>
    </row>
    <row r="41" spans="4:19" ht="12.75">
      <c r="D41" s="6"/>
      <c r="E41" s="6"/>
      <c r="L41" s="6"/>
      <c r="M41" s="6"/>
      <c r="N41" s="6"/>
      <c r="O41" s="6"/>
      <c r="P41" s="6"/>
      <c r="Q41" s="6"/>
      <c r="R41" s="6"/>
      <c r="S41" s="6"/>
    </row>
    <row r="42" spans="4:19" ht="12.75">
      <c r="D42" s="6"/>
      <c r="E42" s="6"/>
      <c r="P42" s="6"/>
      <c r="Q42" s="6"/>
      <c r="R42" s="6"/>
      <c r="S42" s="6"/>
    </row>
    <row r="43" spans="4:19" ht="12.75">
      <c r="D43" s="6"/>
      <c r="E43" s="6"/>
      <c r="P43" s="6"/>
      <c r="Q43" s="6"/>
      <c r="R43" s="6"/>
      <c r="S43" s="6"/>
    </row>
    <row r="44" spans="4:19" ht="12.75">
      <c r="D44" s="6"/>
      <c r="E44" s="6"/>
      <c r="P44" s="6"/>
      <c r="Q44" s="6"/>
      <c r="R44" s="6"/>
      <c r="S44" s="6"/>
    </row>
    <row r="45" spans="4:19" ht="12.75">
      <c r="D45" s="6"/>
      <c r="E45" s="6"/>
      <c r="P45" s="6"/>
      <c r="Q45" s="6"/>
      <c r="R45" s="6"/>
      <c r="S45" s="6"/>
    </row>
    <row r="46" spans="4:19" ht="12.75">
      <c r="D46" s="6"/>
      <c r="E46" s="6"/>
      <c r="P46" s="6"/>
      <c r="Q46" s="6"/>
      <c r="R46" s="6"/>
      <c r="S46" s="6"/>
    </row>
    <row r="47" spans="16:19" ht="12.75">
      <c r="P47" s="6"/>
      <c r="Q47" s="6"/>
      <c r="R47" s="6"/>
      <c r="S47" s="6"/>
    </row>
    <row r="48" spans="16:19" ht="12.75">
      <c r="P48" s="6"/>
      <c r="Q48" s="6"/>
      <c r="R48" s="6"/>
      <c r="S48" s="6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7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I34" sqref="I34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84" customFormat="1" ht="26.25">
      <c r="AB1" s="256"/>
    </row>
    <row r="2" spans="2:28" s="84" customFormat="1" ht="26.25">
      <c r="B2" s="85" t="str">
        <f>+'TOT-0810'!B2</f>
        <v>ANEXO II al Memorandum  D.T.E.E.  N°   271 / 2012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="8" customFormat="1" ht="12.75"/>
    <row r="4" spans="1:3" s="87" customFormat="1" ht="11.25">
      <c r="A4" s="518" t="s">
        <v>6</v>
      </c>
      <c r="C4" s="517"/>
    </row>
    <row r="5" spans="1:3" s="87" customFormat="1" ht="11.25">
      <c r="A5" s="518" t="s">
        <v>111</v>
      </c>
      <c r="C5" s="517"/>
    </row>
    <row r="6" s="8" customFormat="1" ht="13.5" thickBot="1"/>
    <row r="7" spans="1:28" s="8" customFormat="1" ht="13.5" thickTop="1">
      <c r="A7" s="6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</row>
    <row r="8" spans="1:28" s="89" customFormat="1" ht="20.25">
      <c r="A8" s="30"/>
      <c r="B8" s="88"/>
      <c r="C8" s="30"/>
      <c r="D8" s="30"/>
      <c r="E8" s="30"/>
      <c r="F8" s="15" t="s">
        <v>21</v>
      </c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90"/>
    </row>
    <row r="9" spans="1:28" s="8" customFormat="1" ht="12.75">
      <c r="A9" s="6"/>
      <c r="B9" s="29"/>
      <c r="C9" s="6"/>
      <c r="D9" s="6"/>
      <c r="E9" s="6"/>
      <c r="F9" s="101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89" customFormat="1" ht="20.25">
      <c r="A10" s="30"/>
      <c r="B10" s="88"/>
      <c r="C10" s="30"/>
      <c r="D10" s="30"/>
      <c r="E10" s="30"/>
      <c r="F10" s="15" t="s">
        <v>22</v>
      </c>
      <c r="G10" s="15"/>
      <c r="H10" s="30"/>
      <c r="I10" s="91"/>
      <c r="J10" s="91"/>
      <c r="K10" s="91"/>
      <c r="L10" s="91"/>
      <c r="M10" s="91"/>
      <c r="N10" s="91"/>
      <c r="O10" s="91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90"/>
    </row>
    <row r="11" spans="1:28" s="8" customFormat="1" ht="12.75">
      <c r="A11" s="6"/>
      <c r="B11" s="29"/>
      <c r="C11" s="6"/>
      <c r="D11" s="6"/>
      <c r="E11" s="6"/>
      <c r="F11" s="100"/>
      <c r="G11" s="98"/>
      <c r="H11" s="6"/>
      <c r="I11" s="97"/>
      <c r="J11" s="97"/>
      <c r="K11" s="97"/>
      <c r="L11" s="97"/>
      <c r="M11" s="97"/>
      <c r="N11" s="97"/>
      <c r="O11" s="9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89" customFormat="1" ht="20.25">
      <c r="A12" s="30"/>
      <c r="B12" s="88"/>
      <c r="C12" s="30"/>
      <c r="D12" s="30"/>
      <c r="E12" s="30"/>
      <c r="F12" s="15" t="s">
        <v>23</v>
      </c>
      <c r="G12" s="15"/>
      <c r="H12" s="30"/>
      <c r="I12" s="91"/>
      <c r="J12" s="91"/>
      <c r="K12" s="91"/>
      <c r="L12" s="91"/>
      <c r="M12" s="91"/>
      <c r="N12" s="91"/>
      <c r="O12" s="9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90"/>
    </row>
    <row r="13" spans="1:28" s="8" customFormat="1" ht="12.75">
      <c r="A13" s="6"/>
      <c r="B13" s="29"/>
      <c r="C13" s="6"/>
      <c r="D13" s="6"/>
      <c r="E13" s="6"/>
      <c r="F13" s="100"/>
      <c r="G13" s="98"/>
      <c r="H13" s="6"/>
      <c r="I13" s="97"/>
      <c r="J13" s="97"/>
      <c r="K13" s="97"/>
      <c r="L13" s="97"/>
      <c r="M13" s="97"/>
      <c r="N13" s="97"/>
      <c r="O13" s="9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s="96" customFormat="1" ht="19.5">
      <c r="A14" s="32"/>
      <c r="B14" s="65" t="str">
        <f>+'TOT-0810'!B14</f>
        <v>Desde el 01 al 31 de agosto de 2010</v>
      </c>
      <c r="C14" s="92"/>
      <c r="D14" s="92"/>
      <c r="E14" s="92"/>
      <c r="F14" s="92"/>
      <c r="G14" s="93"/>
      <c r="H14" s="93"/>
      <c r="I14" s="94"/>
      <c r="J14" s="94"/>
      <c r="K14" s="94"/>
      <c r="L14" s="94"/>
      <c r="M14" s="94"/>
      <c r="N14" s="94"/>
      <c r="O14" s="94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5"/>
    </row>
    <row r="15" spans="1:28" s="8" customFormat="1" ht="13.5" thickBot="1">
      <c r="A15" s="6"/>
      <c r="B15" s="29"/>
      <c r="C15" s="6"/>
      <c r="D15" s="6"/>
      <c r="E15" s="6"/>
      <c r="F15" s="6"/>
      <c r="G15" s="98"/>
      <c r="H15" s="99"/>
      <c r="I15" s="97"/>
      <c r="J15" s="97"/>
      <c r="K15" s="97"/>
      <c r="L15" s="97"/>
      <c r="M15" s="97"/>
      <c r="N15" s="97"/>
      <c r="O15" s="9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1:28" s="70" customFormat="1" ht="16.5" customHeight="1" thickBot="1" thickTop="1">
      <c r="A16" s="67"/>
      <c r="B16" s="68"/>
      <c r="C16" s="67"/>
      <c r="D16" s="67"/>
      <c r="E16" s="67"/>
      <c r="F16" s="340" t="s">
        <v>24</v>
      </c>
      <c r="G16" s="341">
        <v>72.965</v>
      </c>
      <c r="H16" s="342"/>
      <c r="I16" s="71"/>
      <c r="J16" s="71"/>
      <c r="K16" s="71"/>
      <c r="L16" s="71"/>
      <c r="M16" s="71"/>
      <c r="N16" s="71"/>
      <c r="O16" s="7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9"/>
    </row>
    <row r="17" spans="1:28" s="70" customFormat="1" ht="16.5" customHeight="1" thickBot="1" thickTop="1">
      <c r="A17" s="67"/>
      <c r="B17" s="68"/>
      <c r="C17" s="67"/>
      <c r="D17" s="67"/>
      <c r="E17" s="67"/>
      <c r="F17" s="340" t="s">
        <v>25</v>
      </c>
      <c r="G17" s="341">
        <v>69.722</v>
      </c>
      <c r="H17" s="343"/>
      <c r="I17" s="67"/>
      <c r="K17" s="72" t="s">
        <v>26</v>
      </c>
      <c r="L17" s="73">
        <f>30*'TOT-0810'!B13</f>
        <v>30</v>
      </c>
      <c r="M17" s="168" t="str">
        <f>IF(L17=30," ",IF(L17=60,"Coeficiente duplicado por tasa de falla &gt;4 Sal. x año/100 km.","REVISAR COEFICIENTE"))</f>
        <v> 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9"/>
    </row>
    <row r="18" spans="1:28" s="540" customFormat="1" ht="14.25" thickBot="1" thickTop="1">
      <c r="A18" s="536"/>
      <c r="B18" s="537"/>
      <c r="C18" s="538">
        <v>3</v>
      </c>
      <c r="D18" s="538">
        <v>4</v>
      </c>
      <c r="E18" s="538">
        <v>5</v>
      </c>
      <c r="F18" s="538">
        <v>6</v>
      </c>
      <c r="G18" s="538">
        <v>7</v>
      </c>
      <c r="H18" s="538">
        <v>8</v>
      </c>
      <c r="I18" s="538">
        <v>9</v>
      </c>
      <c r="J18" s="538">
        <v>10</v>
      </c>
      <c r="K18" s="538">
        <v>11</v>
      </c>
      <c r="L18" s="538">
        <v>12</v>
      </c>
      <c r="M18" s="538">
        <v>13</v>
      </c>
      <c r="N18" s="538">
        <v>14</v>
      </c>
      <c r="O18" s="538">
        <v>15</v>
      </c>
      <c r="P18" s="538">
        <v>16</v>
      </c>
      <c r="Q18" s="538">
        <v>17</v>
      </c>
      <c r="R18" s="538">
        <v>18</v>
      </c>
      <c r="S18" s="538">
        <v>19</v>
      </c>
      <c r="T18" s="538">
        <v>20</v>
      </c>
      <c r="U18" s="538">
        <v>21</v>
      </c>
      <c r="V18" s="538">
        <v>22</v>
      </c>
      <c r="W18" s="538">
        <v>23</v>
      </c>
      <c r="X18" s="538">
        <v>24</v>
      </c>
      <c r="Y18" s="538">
        <v>25</v>
      </c>
      <c r="Z18" s="538">
        <v>26</v>
      </c>
      <c r="AA18" s="538">
        <v>27</v>
      </c>
      <c r="AB18" s="539"/>
    </row>
    <row r="19" spans="1:28" s="83" customFormat="1" ht="33.75" customHeight="1" thickBot="1" thickTop="1">
      <c r="A19" s="74"/>
      <c r="B19" s="75"/>
      <c r="C19" s="76" t="s">
        <v>27</v>
      </c>
      <c r="D19" s="76" t="s">
        <v>110</v>
      </c>
      <c r="E19" s="76" t="s">
        <v>109</v>
      </c>
      <c r="F19" s="77" t="s">
        <v>9</v>
      </c>
      <c r="G19" s="78" t="s">
        <v>28</v>
      </c>
      <c r="H19" s="79" t="s">
        <v>29</v>
      </c>
      <c r="I19" s="187" t="s">
        <v>30</v>
      </c>
      <c r="J19" s="77" t="s">
        <v>31</v>
      </c>
      <c r="K19" s="77" t="s">
        <v>32</v>
      </c>
      <c r="L19" s="78" t="s">
        <v>33</v>
      </c>
      <c r="M19" s="78" t="s">
        <v>34</v>
      </c>
      <c r="N19" s="80" t="s">
        <v>35</v>
      </c>
      <c r="O19" s="78" t="s">
        <v>36</v>
      </c>
      <c r="P19" s="208" t="s">
        <v>37</v>
      </c>
      <c r="Q19" s="210" t="s">
        <v>38</v>
      </c>
      <c r="R19" s="212" t="s">
        <v>39</v>
      </c>
      <c r="S19" s="213"/>
      <c r="T19" s="214"/>
      <c r="U19" s="219" t="s">
        <v>40</v>
      </c>
      <c r="V19" s="220"/>
      <c r="W19" s="221"/>
      <c r="X19" s="225" t="s">
        <v>41</v>
      </c>
      <c r="Y19" s="227" t="s">
        <v>42</v>
      </c>
      <c r="Z19" s="81" t="s">
        <v>43</v>
      </c>
      <c r="AA19" s="81" t="s">
        <v>44</v>
      </c>
      <c r="AB19" s="82"/>
    </row>
    <row r="20" spans="1:28" ht="16.5" customHeight="1" thickTop="1">
      <c r="A20" s="1"/>
      <c r="B20" s="2"/>
      <c r="C20" s="36"/>
      <c r="D20" s="516"/>
      <c r="E20" s="516"/>
      <c r="F20" s="254"/>
      <c r="G20" s="38"/>
      <c r="H20" s="38"/>
      <c r="I20" s="248"/>
      <c r="J20" s="38"/>
      <c r="K20" s="39"/>
      <c r="L20" s="39"/>
      <c r="M20" s="39"/>
      <c r="N20" s="37"/>
      <c r="O20" s="38"/>
      <c r="P20" s="209"/>
      <c r="Q20" s="211"/>
      <c r="R20" s="215"/>
      <c r="S20" s="216"/>
      <c r="T20" s="217"/>
      <c r="U20" s="222"/>
      <c r="V20" s="223"/>
      <c r="W20" s="224"/>
      <c r="X20" s="226"/>
      <c r="Y20" s="228"/>
      <c r="Z20" s="218"/>
      <c r="AA20" s="255"/>
      <c r="AB20" s="3"/>
    </row>
    <row r="21" spans="1:28" ht="16.5" customHeight="1">
      <c r="A21" s="1"/>
      <c r="B21" s="2"/>
      <c r="C21" s="366"/>
      <c r="D21" s="514"/>
      <c r="E21" s="514"/>
      <c r="F21" s="366"/>
      <c r="G21" s="367"/>
      <c r="H21" s="367"/>
      <c r="I21" s="249"/>
      <c r="J21" s="366"/>
      <c r="K21" s="368"/>
      <c r="L21" s="66"/>
      <c r="M21" s="66"/>
      <c r="N21" s="369"/>
      <c r="O21" s="366"/>
      <c r="P21" s="370"/>
      <c r="Q21" s="371"/>
      <c r="R21" s="372"/>
      <c r="S21" s="373"/>
      <c r="T21" s="374"/>
      <c r="U21" s="375"/>
      <c r="V21" s="376"/>
      <c r="W21" s="377"/>
      <c r="X21" s="378"/>
      <c r="Y21" s="379"/>
      <c r="Z21" s="380"/>
      <c r="AA21" s="66"/>
      <c r="AB21" s="3"/>
    </row>
    <row r="22" spans="1:28" ht="16.5" customHeight="1">
      <c r="A22" s="1"/>
      <c r="B22" s="2"/>
      <c r="C22" s="344">
        <v>1</v>
      </c>
      <c r="D22" s="344">
        <v>225040</v>
      </c>
      <c r="E22" s="344">
        <v>1631</v>
      </c>
      <c r="F22" s="345" t="s">
        <v>116</v>
      </c>
      <c r="G22" s="346">
        <v>132</v>
      </c>
      <c r="H22" s="347">
        <v>121.5</v>
      </c>
      <c r="I22" s="250">
        <f aca="true" t="shared" si="0" ref="I22:I41">IF(H22&gt;25,H22,25)*IF(G22=330,$G$16,$G$17)/100</f>
        <v>84.71223</v>
      </c>
      <c r="J22" s="352">
        <v>40404.05138888889</v>
      </c>
      <c r="K22" s="352">
        <v>40404.05416666667</v>
      </c>
      <c r="L22" s="10">
        <f aca="true" t="shared" si="1" ref="L22:L41">IF(F22="","",(K22-J22)*24)</f>
        <v>0.06666666670935228</v>
      </c>
      <c r="M22" s="11">
        <f aca="true" t="shared" si="2" ref="M22:M41">IF(F22="","",ROUND((K22-J22)*24*60,0))</f>
        <v>4</v>
      </c>
      <c r="N22" s="353" t="s">
        <v>117</v>
      </c>
      <c r="O22" s="520" t="str">
        <f aca="true" t="shared" si="3" ref="O22:O27">IF(F22="","","--")</f>
        <v>--</v>
      </c>
      <c r="P22" s="521" t="str">
        <f aca="true" t="shared" si="4" ref="P22:P41">IF(N22="P",ROUND(M22/60,2)*I22*$L$17*0.01,"--")</f>
        <v>--</v>
      </c>
      <c r="Q22" s="522" t="str">
        <f aca="true" t="shared" si="5" ref="Q22:Q41">IF(N22="RP",ROUND(M22/60,2)*I22*$L$17*0.01*O22/100,"--")</f>
        <v>--</v>
      </c>
      <c r="R22" s="523">
        <f aca="true" t="shared" si="6" ref="R22:R41">IF(N22="F",I22*$L$17,"--")</f>
        <v>2541.3669</v>
      </c>
      <c r="S22" s="524" t="str">
        <f aca="true" t="shared" si="7" ref="S22:S41">IF(AND(M22&gt;10,N22="F"),I22*$L$17*IF(M22&gt;180,3,ROUND(M22/60,2)),"--")</f>
        <v>--</v>
      </c>
      <c r="T22" s="525" t="str">
        <f aca="true" t="shared" si="8" ref="T22:T41">IF(AND(M22&gt;180,N22="F"),(ROUND(M22/60,2)-3)*I22*$L$17*0.1,"--")</f>
        <v>--</v>
      </c>
      <c r="U22" s="526" t="str">
        <f aca="true" t="shared" si="9" ref="U22:U41">IF(N22="R",I22*$L$17*O22/100,"--")</f>
        <v>--</v>
      </c>
      <c r="V22" s="527" t="str">
        <f aca="true" t="shared" si="10" ref="V22:V41">IF(AND(M22&gt;10,N22="R"),I22*$L$17*O22/100*IF(M22&gt;180,3,ROUND(M22/60,2)),"--")</f>
        <v>--</v>
      </c>
      <c r="W22" s="528" t="str">
        <f aca="true" t="shared" si="11" ref="W22:W41">IF(AND(M22&gt;180,N22="R"),(ROUND(M22/60,2)-3)*O22/100*I22*$L$17*0.1,"--")</f>
        <v>--</v>
      </c>
      <c r="X22" s="529" t="str">
        <f aca="true" t="shared" si="12" ref="X22:X41">IF(N22="RF",ROUND(M22/60,2)*I22*$L$17*0.1,"--")</f>
        <v>--</v>
      </c>
      <c r="Y22" s="530" t="str">
        <f aca="true" t="shared" si="13" ref="Y22:Y41">IF(N22="RR",ROUND(M22/60,2)*O22/100*I22*$L$17*0.1,"--")</f>
        <v>--</v>
      </c>
      <c r="Z22" s="531" t="s">
        <v>118</v>
      </c>
      <c r="AA22" s="40">
        <f aca="true" t="shared" si="14" ref="AA22:AA41">IF(F22="","",SUM(P22:Y22)*IF(Z22="SI",1,2))</f>
        <v>2541.3669</v>
      </c>
      <c r="AB22" s="3"/>
    </row>
    <row r="23" spans="1:28" ht="16.5" customHeight="1">
      <c r="A23" s="1"/>
      <c r="B23" s="2"/>
      <c r="C23" s="344">
        <v>2</v>
      </c>
      <c r="D23" s="344">
        <v>225247</v>
      </c>
      <c r="E23" s="344">
        <v>1631</v>
      </c>
      <c r="F23" s="345" t="s">
        <v>116</v>
      </c>
      <c r="G23" s="346">
        <v>132</v>
      </c>
      <c r="H23" s="347">
        <v>121.5</v>
      </c>
      <c r="I23" s="250">
        <f t="shared" si="0"/>
        <v>84.71223</v>
      </c>
      <c r="J23" s="352">
        <v>40412.15069444444</v>
      </c>
      <c r="K23" s="352">
        <v>40412.15138888889</v>
      </c>
      <c r="L23" s="10">
        <f t="shared" si="1"/>
        <v>0.016666666720993817</v>
      </c>
      <c r="M23" s="11">
        <f t="shared" si="2"/>
        <v>1</v>
      </c>
      <c r="N23" s="353" t="s">
        <v>117</v>
      </c>
      <c r="O23" s="520" t="str">
        <f t="shared" si="3"/>
        <v>--</v>
      </c>
      <c r="P23" s="521" t="str">
        <f t="shared" si="4"/>
        <v>--</v>
      </c>
      <c r="Q23" s="522" t="str">
        <f t="shared" si="5"/>
        <v>--</v>
      </c>
      <c r="R23" s="523">
        <f t="shared" si="6"/>
        <v>2541.3669</v>
      </c>
      <c r="S23" s="524" t="str">
        <f t="shared" si="7"/>
        <v>--</v>
      </c>
      <c r="T23" s="525" t="str">
        <f t="shared" si="8"/>
        <v>--</v>
      </c>
      <c r="U23" s="526" t="str">
        <f t="shared" si="9"/>
        <v>--</v>
      </c>
      <c r="V23" s="527" t="str">
        <f t="shared" si="10"/>
        <v>--</v>
      </c>
      <c r="W23" s="528" t="str">
        <f t="shared" si="11"/>
        <v>--</v>
      </c>
      <c r="X23" s="529" t="str">
        <f t="shared" si="12"/>
        <v>--</v>
      </c>
      <c r="Y23" s="530" t="str">
        <f t="shared" si="13"/>
        <v>--</v>
      </c>
      <c r="Z23" s="531" t="s">
        <v>118</v>
      </c>
      <c r="AA23" s="40">
        <f t="shared" si="14"/>
        <v>2541.3669</v>
      </c>
      <c r="AB23" s="3"/>
    </row>
    <row r="24" spans="1:28" ht="16.5" customHeight="1">
      <c r="A24" s="1"/>
      <c r="B24" s="2"/>
      <c r="C24" s="344">
        <v>3</v>
      </c>
      <c r="D24" s="344">
        <v>225524</v>
      </c>
      <c r="E24" s="344">
        <v>4748</v>
      </c>
      <c r="F24" s="345" t="s">
        <v>125</v>
      </c>
      <c r="G24" s="346">
        <v>132</v>
      </c>
      <c r="H24" s="347">
        <v>21.8</v>
      </c>
      <c r="I24" s="250">
        <f t="shared" si="0"/>
        <v>17.4305</v>
      </c>
      <c r="J24" s="352">
        <v>40413.45416666667</v>
      </c>
      <c r="K24" s="352">
        <v>40413.4625</v>
      </c>
      <c r="L24" s="10">
        <f t="shared" si="1"/>
        <v>0.19999999995343387</v>
      </c>
      <c r="M24" s="11">
        <f t="shared" si="2"/>
        <v>12</v>
      </c>
      <c r="N24" s="353" t="s">
        <v>117</v>
      </c>
      <c r="O24" s="520" t="str">
        <f t="shared" si="3"/>
        <v>--</v>
      </c>
      <c r="P24" s="521" t="str">
        <f t="shared" si="4"/>
        <v>--</v>
      </c>
      <c r="Q24" s="522" t="str">
        <f t="shared" si="5"/>
        <v>--</v>
      </c>
      <c r="R24" s="523">
        <f t="shared" si="6"/>
        <v>522.915</v>
      </c>
      <c r="S24" s="524">
        <f t="shared" si="7"/>
        <v>104.583</v>
      </c>
      <c r="T24" s="525" t="str">
        <f t="shared" si="8"/>
        <v>--</v>
      </c>
      <c r="U24" s="526" t="str">
        <f t="shared" si="9"/>
        <v>--</v>
      </c>
      <c r="V24" s="527" t="str">
        <f t="shared" si="10"/>
        <v>--</v>
      </c>
      <c r="W24" s="528" t="str">
        <f t="shared" si="11"/>
        <v>--</v>
      </c>
      <c r="X24" s="529" t="str">
        <f t="shared" si="12"/>
        <v>--</v>
      </c>
      <c r="Y24" s="530" t="str">
        <f t="shared" si="13"/>
        <v>--</v>
      </c>
      <c r="Z24" s="531" t="s">
        <v>118</v>
      </c>
      <c r="AA24" s="40">
        <f t="shared" si="14"/>
        <v>627.4979999999999</v>
      </c>
      <c r="AB24" s="3"/>
    </row>
    <row r="25" spans="1:28" ht="16.5" customHeight="1">
      <c r="A25" s="1"/>
      <c r="B25" s="2"/>
      <c r="C25" s="344">
        <v>4</v>
      </c>
      <c r="D25" s="344">
        <v>225532</v>
      </c>
      <c r="E25" s="344">
        <v>1631</v>
      </c>
      <c r="F25" s="345" t="s">
        <v>116</v>
      </c>
      <c r="G25" s="346">
        <v>132</v>
      </c>
      <c r="H25" s="347">
        <v>121.5</v>
      </c>
      <c r="I25" s="250">
        <f t="shared" si="0"/>
        <v>84.71223</v>
      </c>
      <c r="J25" s="352">
        <v>40421.42013888889</v>
      </c>
      <c r="K25" s="352">
        <v>40421.76736111111</v>
      </c>
      <c r="L25" s="10">
        <f t="shared" si="1"/>
        <v>8.333333333255723</v>
      </c>
      <c r="M25" s="11">
        <f t="shared" si="2"/>
        <v>500</v>
      </c>
      <c r="N25" s="353" t="s">
        <v>119</v>
      </c>
      <c r="O25" s="520" t="str">
        <f t="shared" si="3"/>
        <v>--</v>
      </c>
      <c r="P25" s="521">
        <f t="shared" si="4"/>
        <v>211.69586277000002</v>
      </c>
      <c r="Q25" s="522" t="str">
        <f t="shared" si="5"/>
        <v>--</v>
      </c>
      <c r="R25" s="523" t="str">
        <f t="shared" si="6"/>
        <v>--</v>
      </c>
      <c r="S25" s="524" t="str">
        <f t="shared" si="7"/>
        <v>--</v>
      </c>
      <c r="T25" s="525" t="str">
        <f t="shared" si="8"/>
        <v>--</v>
      </c>
      <c r="U25" s="526" t="str">
        <f t="shared" si="9"/>
        <v>--</v>
      </c>
      <c r="V25" s="527" t="str">
        <f t="shared" si="10"/>
        <v>--</v>
      </c>
      <c r="W25" s="528" t="str">
        <f t="shared" si="11"/>
        <v>--</v>
      </c>
      <c r="X25" s="529" t="str">
        <f t="shared" si="12"/>
        <v>--</v>
      </c>
      <c r="Y25" s="530" t="str">
        <f t="shared" si="13"/>
        <v>--</v>
      </c>
      <c r="Z25" s="531" t="s">
        <v>118</v>
      </c>
      <c r="AA25" s="40">
        <f t="shared" si="14"/>
        <v>211.69586277000002</v>
      </c>
      <c r="AB25" s="3"/>
    </row>
    <row r="26" spans="1:28" ht="16.5" customHeight="1">
      <c r="A26" s="1"/>
      <c r="B26" s="2"/>
      <c r="C26" s="344">
        <v>5</v>
      </c>
      <c r="D26" s="344">
        <v>225533</v>
      </c>
      <c r="E26" s="344">
        <v>1631</v>
      </c>
      <c r="F26" s="345" t="s">
        <v>116</v>
      </c>
      <c r="G26" s="346">
        <v>132</v>
      </c>
      <c r="H26" s="347">
        <v>121.5</v>
      </c>
      <c r="I26" s="250">
        <f t="shared" si="0"/>
        <v>84.71223</v>
      </c>
      <c r="J26" s="352">
        <v>40421.941666666666</v>
      </c>
      <c r="K26" s="352">
        <v>40421.99930555555</v>
      </c>
      <c r="L26" s="10">
        <f t="shared" si="1"/>
        <v>1.3833333333022892</v>
      </c>
      <c r="M26" s="11">
        <f t="shared" si="2"/>
        <v>83</v>
      </c>
      <c r="N26" s="353" t="s">
        <v>117</v>
      </c>
      <c r="O26" s="520" t="str">
        <f t="shared" si="3"/>
        <v>--</v>
      </c>
      <c r="P26" s="521" t="str">
        <f t="shared" si="4"/>
        <v>--</v>
      </c>
      <c r="Q26" s="522" t="str">
        <f t="shared" si="5"/>
        <v>--</v>
      </c>
      <c r="R26" s="523">
        <f t="shared" si="6"/>
        <v>2541.3669</v>
      </c>
      <c r="S26" s="524">
        <f t="shared" si="7"/>
        <v>3507.0863219999997</v>
      </c>
      <c r="T26" s="525" t="str">
        <f t="shared" si="8"/>
        <v>--</v>
      </c>
      <c r="U26" s="526" t="str">
        <f t="shared" si="9"/>
        <v>--</v>
      </c>
      <c r="V26" s="527" t="str">
        <f t="shared" si="10"/>
        <v>--</v>
      </c>
      <c r="W26" s="528" t="str">
        <f t="shared" si="11"/>
        <v>--</v>
      </c>
      <c r="X26" s="529" t="str">
        <f t="shared" si="12"/>
        <v>--</v>
      </c>
      <c r="Y26" s="530" t="str">
        <f t="shared" si="13"/>
        <v>--</v>
      </c>
      <c r="Z26" s="531" t="s">
        <v>118</v>
      </c>
      <c r="AA26" s="40">
        <f t="shared" si="14"/>
        <v>6048.453222</v>
      </c>
      <c r="AB26" s="3"/>
    </row>
    <row r="27" spans="1:28" ht="16.5" customHeight="1">
      <c r="A27" s="1"/>
      <c r="B27" s="2"/>
      <c r="C27" s="344"/>
      <c r="D27" s="344"/>
      <c r="E27" s="344"/>
      <c r="F27" s="345"/>
      <c r="G27" s="346"/>
      <c r="H27" s="347"/>
      <c r="I27" s="250">
        <f t="shared" si="0"/>
        <v>17.4305</v>
      </c>
      <c r="J27" s="352"/>
      <c r="K27" s="352"/>
      <c r="L27" s="10">
        <f t="shared" si="1"/>
      </c>
      <c r="M27" s="11">
        <f t="shared" si="2"/>
      </c>
      <c r="N27" s="353"/>
      <c r="O27" s="520">
        <f t="shared" si="3"/>
      </c>
      <c r="P27" s="521" t="str">
        <f t="shared" si="4"/>
        <v>--</v>
      </c>
      <c r="Q27" s="522" t="str">
        <f t="shared" si="5"/>
        <v>--</v>
      </c>
      <c r="R27" s="523" t="str">
        <f t="shared" si="6"/>
        <v>--</v>
      </c>
      <c r="S27" s="524" t="str">
        <f t="shared" si="7"/>
        <v>--</v>
      </c>
      <c r="T27" s="525" t="str">
        <f t="shared" si="8"/>
        <v>--</v>
      </c>
      <c r="U27" s="526" t="str">
        <f t="shared" si="9"/>
        <v>--</v>
      </c>
      <c r="V27" s="527" t="str">
        <f t="shared" si="10"/>
        <v>--</v>
      </c>
      <c r="W27" s="528" t="str">
        <f t="shared" si="11"/>
        <v>--</v>
      </c>
      <c r="X27" s="529" t="str">
        <f t="shared" si="12"/>
        <v>--</v>
      </c>
      <c r="Y27" s="530" t="str">
        <f t="shared" si="13"/>
        <v>--</v>
      </c>
      <c r="Z27" s="531">
        <f aca="true" t="shared" si="15" ref="Z27:Z41">IF(F27="","","SI")</f>
      </c>
      <c r="AA27" s="40">
        <f t="shared" si="14"/>
      </c>
      <c r="AB27" s="3"/>
    </row>
    <row r="28" spans="1:28" ht="16.5" customHeight="1">
      <c r="A28" s="1"/>
      <c r="B28" s="2"/>
      <c r="C28" s="344"/>
      <c r="D28" s="344"/>
      <c r="E28" s="344"/>
      <c r="F28" s="345"/>
      <c r="G28" s="346"/>
      <c r="H28" s="347"/>
      <c r="I28" s="250">
        <f t="shared" si="0"/>
        <v>17.4305</v>
      </c>
      <c r="J28" s="352"/>
      <c r="K28" s="352"/>
      <c r="L28" s="10">
        <f t="shared" si="1"/>
      </c>
      <c r="M28" s="11">
        <f t="shared" si="2"/>
      </c>
      <c r="N28" s="353"/>
      <c r="O28" s="520">
        <f aca="true" t="shared" si="16" ref="O28:O41">IF(F28="","","--")</f>
      </c>
      <c r="P28" s="521" t="str">
        <f t="shared" si="4"/>
        <v>--</v>
      </c>
      <c r="Q28" s="522" t="str">
        <f t="shared" si="5"/>
        <v>--</v>
      </c>
      <c r="R28" s="523" t="str">
        <f t="shared" si="6"/>
        <v>--</v>
      </c>
      <c r="S28" s="524" t="str">
        <f t="shared" si="7"/>
        <v>--</v>
      </c>
      <c r="T28" s="525" t="str">
        <f t="shared" si="8"/>
        <v>--</v>
      </c>
      <c r="U28" s="526" t="str">
        <f t="shared" si="9"/>
        <v>--</v>
      </c>
      <c r="V28" s="527" t="str">
        <f t="shared" si="10"/>
        <v>--</v>
      </c>
      <c r="W28" s="528" t="str">
        <f t="shared" si="11"/>
        <v>--</v>
      </c>
      <c r="X28" s="529" t="str">
        <f t="shared" si="12"/>
        <v>--</v>
      </c>
      <c r="Y28" s="530" t="str">
        <f t="shared" si="13"/>
        <v>--</v>
      </c>
      <c r="Z28" s="531">
        <f t="shared" si="15"/>
      </c>
      <c r="AA28" s="40">
        <f t="shared" si="14"/>
      </c>
      <c r="AB28" s="3"/>
    </row>
    <row r="29" spans="1:28" ht="16.5" customHeight="1">
      <c r="A29" s="1"/>
      <c r="B29" s="2"/>
      <c r="C29" s="344"/>
      <c r="D29" s="344"/>
      <c r="E29" s="344"/>
      <c r="F29" s="345"/>
      <c r="G29" s="346"/>
      <c r="H29" s="347"/>
      <c r="I29" s="250">
        <f t="shared" si="0"/>
        <v>17.4305</v>
      </c>
      <c r="J29" s="352"/>
      <c r="K29" s="352"/>
      <c r="L29" s="10">
        <f t="shared" si="1"/>
      </c>
      <c r="M29" s="11">
        <f t="shared" si="2"/>
      </c>
      <c r="N29" s="353"/>
      <c r="O29" s="520"/>
      <c r="P29" s="521" t="str">
        <f t="shared" si="4"/>
        <v>--</v>
      </c>
      <c r="Q29" s="522" t="str">
        <f t="shared" si="5"/>
        <v>--</v>
      </c>
      <c r="R29" s="523" t="str">
        <f t="shared" si="6"/>
        <v>--</v>
      </c>
      <c r="S29" s="524" t="str">
        <f t="shared" si="7"/>
        <v>--</v>
      </c>
      <c r="T29" s="525" t="str">
        <f t="shared" si="8"/>
        <v>--</v>
      </c>
      <c r="U29" s="526" t="str">
        <f t="shared" si="9"/>
        <v>--</v>
      </c>
      <c r="V29" s="527" t="str">
        <f t="shared" si="10"/>
        <v>--</v>
      </c>
      <c r="W29" s="528" t="str">
        <f t="shared" si="11"/>
        <v>--</v>
      </c>
      <c r="X29" s="529" t="str">
        <f t="shared" si="12"/>
        <v>--</v>
      </c>
      <c r="Y29" s="530" t="str">
        <f t="shared" si="13"/>
        <v>--</v>
      </c>
      <c r="Z29" s="531">
        <f t="shared" si="15"/>
      </c>
      <c r="AA29" s="40">
        <f t="shared" si="14"/>
      </c>
      <c r="AB29" s="3"/>
    </row>
    <row r="30" spans="1:28" ht="16.5" customHeight="1">
      <c r="A30" s="1"/>
      <c r="B30" s="2"/>
      <c r="C30" s="344"/>
      <c r="D30" s="344"/>
      <c r="E30" s="344"/>
      <c r="F30" s="345"/>
      <c r="G30" s="346"/>
      <c r="H30" s="347"/>
      <c r="I30" s="250">
        <f t="shared" si="0"/>
        <v>17.4305</v>
      </c>
      <c r="J30" s="352"/>
      <c r="K30" s="352"/>
      <c r="L30" s="10">
        <f t="shared" si="1"/>
      </c>
      <c r="M30" s="11">
        <f t="shared" si="2"/>
      </c>
      <c r="N30" s="353"/>
      <c r="O30" s="520">
        <f t="shared" si="16"/>
      </c>
      <c r="P30" s="521" t="str">
        <f t="shared" si="4"/>
        <v>--</v>
      </c>
      <c r="Q30" s="522" t="str">
        <f t="shared" si="5"/>
        <v>--</v>
      </c>
      <c r="R30" s="523" t="str">
        <f t="shared" si="6"/>
        <v>--</v>
      </c>
      <c r="S30" s="524" t="str">
        <f t="shared" si="7"/>
        <v>--</v>
      </c>
      <c r="T30" s="525" t="str">
        <f t="shared" si="8"/>
        <v>--</v>
      </c>
      <c r="U30" s="526" t="str">
        <f t="shared" si="9"/>
        <v>--</v>
      </c>
      <c r="V30" s="527" t="str">
        <f t="shared" si="10"/>
        <v>--</v>
      </c>
      <c r="W30" s="528" t="str">
        <f t="shared" si="11"/>
        <v>--</v>
      </c>
      <c r="X30" s="529" t="str">
        <f t="shared" si="12"/>
        <v>--</v>
      </c>
      <c r="Y30" s="530" t="str">
        <f t="shared" si="13"/>
        <v>--</v>
      </c>
      <c r="Z30" s="531">
        <f t="shared" si="15"/>
      </c>
      <c r="AA30" s="40">
        <f t="shared" si="14"/>
      </c>
      <c r="AB30" s="3"/>
    </row>
    <row r="31" spans="1:28" ht="16.5" customHeight="1">
      <c r="A31" s="1"/>
      <c r="B31" s="2"/>
      <c r="C31" s="344"/>
      <c r="D31" s="344"/>
      <c r="E31" s="344"/>
      <c r="F31" s="345"/>
      <c r="G31" s="346"/>
      <c r="H31" s="347"/>
      <c r="I31" s="250">
        <f t="shared" si="0"/>
        <v>17.4305</v>
      </c>
      <c r="J31" s="352"/>
      <c r="K31" s="352"/>
      <c r="L31" s="10">
        <f t="shared" si="1"/>
      </c>
      <c r="M31" s="11">
        <f t="shared" si="2"/>
      </c>
      <c r="N31" s="353"/>
      <c r="O31" s="520">
        <f t="shared" si="16"/>
      </c>
      <c r="P31" s="521" t="str">
        <f t="shared" si="4"/>
        <v>--</v>
      </c>
      <c r="Q31" s="522" t="str">
        <f t="shared" si="5"/>
        <v>--</v>
      </c>
      <c r="R31" s="523" t="str">
        <f t="shared" si="6"/>
        <v>--</v>
      </c>
      <c r="S31" s="524" t="str">
        <f t="shared" si="7"/>
        <v>--</v>
      </c>
      <c r="T31" s="525" t="str">
        <f t="shared" si="8"/>
        <v>--</v>
      </c>
      <c r="U31" s="526" t="str">
        <f t="shared" si="9"/>
        <v>--</v>
      </c>
      <c r="V31" s="527" t="str">
        <f t="shared" si="10"/>
        <v>--</v>
      </c>
      <c r="W31" s="528" t="str">
        <f t="shared" si="11"/>
        <v>--</v>
      </c>
      <c r="X31" s="529" t="str">
        <f t="shared" si="12"/>
        <v>--</v>
      </c>
      <c r="Y31" s="530" t="str">
        <f t="shared" si="13"/>
        <v>--</v>
      </c>
      <c r="Z31" s="531">
        <f t="shared" si="15"/>
      </c>
      <c r="AA31" s="40">
        <f t="shared" si="14"/>
      </c>
      <c r="AB31" s="3"/>
    </row>
    <row r="32" spans="1:28" ht="16.5" customHeight="1">
      <c r="A32" s="1"/>
      <c r="B32" s="2"/>
      <c r="C32" s="344"/>
      <c r="D32" s="344"/>
      <c r="E32" s="344"/>
      <c r="F32" s="345"/>
      <c r="G32" s="346"/>
      <c r="H32" s="347"/>
      <c r="I32" s="250">
        <f t="shared" si="0"/>
        <v>17.4305</v>
      </c>
      <c r="J32" s="352"/>
      <c r="K32" s="352"/>
      <c r="L32" s="10">
        <f t="shared" si="1"/>
      </c>
      <c r="M32" s="11">
        <f t="shared" si="2"/>
      </c>
      <c r="N32" s="353"/>
      <c r="O32" s="520">
        <f t="shared" si="16"/>
      </c>
      <c r="P32" s="521" t="str">
        <f t="shared" si="4"/>
        <v>--</v>
      </c>
      <c r="Q32" s="522" t="str">
        <f t="shared" si="5"/>
        <v>--</v>
      </c>
      <c r="R32" s="523" t="str">
        <f t="shared" si="6"/>
        <v>--</v>
      </c>
      <c r="S32" s="524" t="str">
        <f t="shared" si="7"/>
        <v>--</v>
      </c>
      <c r="T32" s="525" t="str">
        <f t="shared" si="8"/>
        <v>--</v>
      </c>
      <c r="U32" s="526" t="str">
        <f t="shared" si="9"/>
        <v>--</v>
      </c>
      <c r="V32" s="527" t="str">
        <f t="shared" si="10"/>
        <v>--</v>
      </c>
      <c r="W32" s="528" t="str">
        <f t="shared" si="11"/>
        <v>--</v>
      </c>
      <c r="X32" s="529" t="str">
        <f t="shared" si="12"/>
        <v>--</v>
      </c>
      <c r="Y32" s="530" t="str">
        <f t="shared" si="13"/>
        <v>--</v>
      </c>
      <c r="Z32" s="531">
        <f t="shared" si="15"/>
      </c>
      <c r="AA32" s="40">
        <f t="shared" si="14"/>
      </c>
      <c r="AB32" s="3"/>
    </row>
    <row r="33" spans="1:28" ht="16.5" customHeight="1">
      <c r="A33" s="1"/>
      <c r="B33" s="2"/>
      <c r="C33" s="344"/>
      <c r="D33" s="344"/>
      <c r="E33" s="344"/>
      <c r="F33" s="345"/>
      <c r="G33" s="346"/>
      <c r="H33" s="347"/>
      <c r="I33" s="250">
        <f t="shared" si="0"/>
        <v>17.4305</v>
      </c>
      <c r="J33" s="352"/>
      <c r="K33" s="352"/>
      <c r="L33" s="10">
        <f t="shared" si="1"/>
      </c>
      <c r="M33" s="11">
        <f t="shared" si="2"/>
      </c>
      <c r="N33" s="353"/>
      <c r="O33" s="520">
        <f t="shared" si="16"/>
      </c>
      <c r="P33" s="521" t="str">
        <f t="shared" si="4"/>
        <v>--</v>
      </c>
      <c r="Q33" s="522" t="str">
        <f t="shared" si="5"/>
        <v>--</v>
      </c>
      <c r="R33" s="523" t="str">
        <f t="shared" si="6"/>
        <v>--</v>
      </c>
      <c r="S33" s="524" t="str">
        <f t="shared" si="7"/>
        <v>--</v>
      </c>
      <c r="T33" s="525" t="str">
        <f t="shared" si="8"/>
        <v>--</v>
      </c>
      <c r="U33" s="526" t="str">
        <f t="shared" si="9"/>
        <v>--</v>
      </c>
      <c r="V33" s="527" t="str">
        <f t="shared" si="10"/>
        <v>--</v>
      </c>
      <c r="W33" s="528" t="str">
        <f t="shared" si="11"/>
        <v>--</v>
      </c>
      <c r="X33" s="529" t="str">
        <f t="shared" si="12"/>
        <v>--</v>
      </c>
      <c r="Y33" s="530" t="str">
        <f t="shared" si="13"/>
        <v>--</v>
      </c>
      <c r="Z33" s="531">
        <f t="shared" si="15"/>
      </c>
      <c r="AA33" s="40">
        <f t="shared" si="14"/>
      </c>
      <c r="AB33" s="3"/>
    </row>
    <row r="34" spans="1:28" ht="16.5" customHeight="1">
      <c r="A34" s="1"/>
      <c r="B34" s="2"/>
      <c r="C34" s="344"/>
      <c r="D34" s="344"/>
      <c r="E34" s="344"/>
      <c r="F34" s="345"/>
      <c r="G34" s="346"/>
      <c r="H34" s="347"/>
      <c r="I34" s="250">
        <f t="shared" si="0"/>
        <v>17.4305</v>
      </c>
      <c r="J34" s="352"/>
      <c r="K34" s="352"/>
      <c r="L34" s="10">
        <f t="shared" si="1"/>
      </c>
      <c r="M34" s="11">
        <f t="shared" si="2"/>
      </c>
      <c r="N34" s="353"/>
      <c r="O34" s="520">
        <f t="shared" si="16"/>
      </c>
      <c r="P34" s="521" t="str">
        <f t="shared" si="4"/>
        <v>--</v>
      </c>
      <c r="Q34" s="522" t="str">
        <f t="shared" si="5"/>
        <v>--</v>
      </c>
      <c r="R34" s="523" t="str">
        <f t="shared" si="6"/>
        <v>--</v>
      </c>
      <c r="S34" s="524" t="str">
        <f t="shared" si="7"/>
        <v>--</v>
      </c>
      <c r="T34" s="525" t="str">
        <f t="shared" si="8"/>
        <v>--</v>
      </c>
      <c r="U34" s="526" t="str">
        <f t="shared" si="9"/>
        <v>--</v>
      </c>
      <c r="V34" s="527" t="str">
        <f t="shared" si="10"/>
        <v>--</v>
      </c>
      <c r="W34" s="528" t="str">
        <f t="shared" si="11"/>
        <v>--</v>
      </c>
      <c r="X34" s="529" t="str">
        <f t="shared" si="12"/>
        <v>--</v>
      </c>
      <c r="Y34" s="530" t="str">
        <f t="shared" si="13"/>
        <v>--</v>
      </c>
      <c r="Z34" s="531">
        <f t="shared" si="15"/>
      </c>
      <c r="AA34" s="40">
        <f t="shared" si="14"/>
      </c>
      <c r="AB34" s="3"/>
    </row>
    <row r="35" spans="1:28" ht="16.5" customHeight="1">
      <c r="A35" s="1"/>
      <c r="B35" s="2"/>
      <c r="C35" s="344"/>
      <c r="D35" s="344"/>
      <c r="E35" s="344"/>
      <c r="F35" s="345"/>
      <c r="G35" s="346"/>
      <c r="H35" s="347"/>
      <c r="I35" s="250">
        <f t="shared" si="0"/>
        <v>17.4305</v>
      </c>
      <c r="J35" s="352"/>
      <c r="K35" s="352"/>
      <c r="L35" s="10">
        <f t="shared" si="1"/>
      </c>
      <c r="M35" s="11">
        <f t="shared" si="2"/>
      </c>
      <c r="N35" s="353"/>
      <c r="O35" s="520">
        <f t="shared" si="16"/>
      </c>
      <c r="P35" s="521" t="str">
        <f t="shared" si="4"/>
        <v>--</v>
      </c>
      <c r="Q35" s="522" t="str">
        <f t="shared" si="5"/>
        <v>--</v>
      </c>
      <c r="R35" s="523" t="str">
        <f t="shared" si="6"/>
        <v>--</v>
      </c>
      <c r="S35" s="524" t="str">
        <f t="shared" si="7"/>
        <v>--</v>
      </c>
      <c r="T35" s="525" t="str">
        <f t="shared" si="8"/>
        <v>--</v>
      </c>
      <c r="U35" s="526" t="str">
        <f t="shared" si="9"/>
        <v>--</v>
      </c>
      <c r="V35" s="527" t="str">
        <f t="shared" si="10"/>
        <v>--</v>
      </c>
      <c r="W35" s="528" t="str">
        <f t="shared" si="11"/>
        <v>--</v>
      </c>
      <c r="X35" s="529" t="str">
        <f t="shared" si="12"/>
        <v>--</v>
      </c>
      <c r="Y35" s="530" t="str">
        <f t="shared" si="13"/>
        <v>--</v>
      </c>
      <c r="Z35" s="531">
        <f t="shared" si="15"/>
      </c>
      <c r="AA35" s="40">
        <f t="shared" si="14"/>
      </c>
      <c r="AB35" s="3"/>
    </row>
    <row r="36" spans="1:28" ht="16.5" customHeight="1">
      <c r="A36" s="1"/>
      <c r="B36" s="2"/>
      <c r="C36" s="344"/>
      <c r="D36" s="344"/>
      <c r="E36" s="344"/>
      <c r="F36" s="345"/>
      <c r="G36" s="346"/>
      <c r="H36" s="347"/>
      <c r="I36" s="250">
        <f t="shared" si="0"/>
        <v>17.4305</v>
      </c>
      <c r="J36" s="352"/>
      <c r="K36" s="352"/>
      <c r="L36" s="10">
        <f t="shared" si="1"/>
      </c>
      <c r="M36" s="11">
        <f t="shared" si="2"/>
      </c>
      <c r="N36" s="353"/>
      <c r="O36" s="520">
        <f t="shared" si="16"/>
      </c>
      <c r="P36" s="521" t="str">
        <f t="shared" si="4"/>
        <v>--</v>
      </c>
      <c r="Q36" s="522" t="str">
        <f t="shared" si="5"/>
        <v>--</v>
      </c>
      <c r="R36" s="523" t="str">
        <f t="shared" si="6"/>
        <v>--</v>
      </c>
      <c r="S36" s="524" t="str">
        <f t="shared" si="7"/>
        <v>--</v>
      </c>
      <c r="T36" s="525" t="str">
        <f t="shared" si="8"/>
        <v>--</v>
      </c>
      <c r="U36" s="526" t="str">
        <f t="shared" si="9"/>
        <v>--</v>
      </c>
      <c r="V36" s="527" t="str">
        <f t="shared" si="10"/>
        <v>--</v>
      </c>
      <c r="W36" s="528" t="str">
        <f t="shared" si="11"/>
        <v>--</v>
      </c>
      <c r="X36" s="529" t="str">
        <f t="shared" si="12"/>
        <v>--</v>
      </c>
      <c r="Y36" s="530" t="str">
        <f t="shared" si="13"/>
        <v>--</v>
      </c>
      <c r="Z36" s="531">
        <f t="shared" si="15"/>
      </c>
      <c r="AA36" s="40">
        <f t="shared" si="14"/>
      </c>
      <c r="AB36" s="3"/>
    </row>
    <row r="37" spans="1:28" ht="16.5" customHeight="1">
      <c r="A37" s="1"/>
      <c r="B37" s="2"/>
      <c r="C37" s="344"/>
      <c r="D37" s="344"/>
      <c r="E37" s="344"/>
      <c r="F37" s="345"/>
      <c r="G37" s="346"/>
      <c r="H37" s="347"/>
      <c r="I37" s="250">
        <f t="shared" si="0"/>
        <v>17.4305</v>
      </c>
      <c r="J37" s="352"/>
      <c r="K37" s="352"/>
      <c r="L37" s="10">
        <f t="shared" si="1"/>
      </c>
      <c r="M37" s="11">
        <f t="shared" si="2"/>
      </c>
      <c r="N37" s="353"/>
      <c r="O37" s="520">
        <f t="shared" si="16"/>
      </c>
      <c r="P37" s="521" t="str">
        <f t="shared" si="4"/>
        <v>--</v>
      </c>
      <c r="Q37" s="522" t="str">
        <f t="shared" si="5"/>
        <v>--</v>
      </c>
      <c r="R37" s="523" t="str">
        <f t="shared" si="6"/>
        <v>--</v>
      </c>
      <c r="S37" s="524" t="str">
        <f t="shared" si="7"/>
        <v>--</v>
      </c>
      <c r="T37" s="525" t="str">
        <f t="shared" si="8"/>
        <v>--</v>
      </c>
      <c r="U37" s="526" t="str">
        <f t="shared" si="9"/>
        <v>--</v>
      </c>
      <c r="V37" s="527" t="str">
        <f t="shared" si="10"/>
        <v>--</v>
      </c>
      <c r="W37" s="528" t="str">
        <f t="shared" si="11"/>
        <v>--</v>
      </c>
      <c r="X37" s="529" t="str">
        <f t="shared" si="12"/>
        <v>--</v>
      </c>
      <c r="Y37" s="530" t="str">
        <f t="shared" si="13"/>
        <v>--</v>
      </c>
      <c r="Z37" s="531">
        <f t="shared" si="15"/>
      </c>
      <c r="AA37" s="40">
        <f t="shared" si="14"/>
      </c>
      <c r="AB37" s="3"/>
    </row>
    <row r="38" spans="2:28" ht="16.5" customHeight="1">
      <c r="B38" s="41"/>
      <c r="C38" s="344"/>
      <c r="D38" s="344"/>
      <c r="E38" s="344"/>
      <c r="F38" s="345"/>
      <c r="G38" s="346"/>
      <c r="H38" s="347"/>
      <c r="I38" s="250">
        <f t="shared" si="0"/>
        <v>17.4305</v>
      </c>
      <c r="J38" s="352"/>
      <c r="K38" s="352"/>
      <c r="L38" s="10">
        <f t="shared" si="1"/>
      </c>
      <c r="M38" s="11">
        <f t="shared" si="2"/>
      </c>
      <c r="N38" s="353"/>
      <c r="O38" s="520">
        <f t="shared" si="16"/>
      </c>
      <c r="P38" s="521" t="str">
        <f t="shared" si="4"/>
        <v>--</v>
      </c>
      <c r="Q38" s="522" t="str">
        <f t="shared" si="5"/>
        <v>--</v>
      </c>
      <c r="R38" s="523" t="str">
        <f t="shared" si="6"/>
        <v>--</v>
      </c>
      <c r="S38" s="524" t="str">
        <f t="shared" si="7"/>
        <v>--</v>
      </c>
      <c r="T38" s="525" t="str">
        <f t="shared" si="8"/>
        <v>--</v>
      </c>
      <c r="U38" s="526" t="str">
        <f t="shared" si="9"/>
        <v>--</v>
      </c>
      <c r="V38" s="527" t="str">
        <f t="shared" si="10"/>
        <v>--</v>
      </c>
      <c r="W38" s="528" t="str">
        <f t="shared" si="11"/>
        <v>--</v>
      </c>
      <c r="X38" s="529" t="str">
        <f t="shared" si="12"/>
        <v>--</v>
      </c>
      <c r="Y38" s="530" t="str">
        <f t="shared" si="13"/>
        <v>--</v>
      </c>
      <c r="Z38" s="531">
        <f t="shared" si="15"/>
      </c>
      <c r="AA38" s="40">
        <f t="shared" si="14"/>
      </c>
      <c r="AB38" s="3"/>
    </row>
    <row r="39" spans="2:28" ht="16.5" customHeight="1">
      <c r="B39" s="41"/>
      <c r="C39" s="344"/>
      <c r="D39" s="344"/>
      <c r="E39" s="344"/>
      <c r="F39" s="345"/>
      <c r="G39" s="346"/>
      <c r="H39" s="347"/>
      <c r="I39" s="250">
        <f t="shared" si="0"/>
        <v>17.4305</v>
      </c>
      <c r="J39" s="352"/>
      <c r="K39" s="352"/>
      <c r="L39" s="10">
        <f t="shared" si="1"/>
      </c>
      <c r="M39" s="11">
        <f t="shared" si="2"/>
      </c>
      <c r="N39" s="353"/>
      <c r="O39" s="520">
        <f t="shared" si="16"/>
      </c>
      <c r="P39" s="521" t="str">
        <f t="shared" si="4"/>
        <v>--</v>
      </c>
      <c r="Q39" s="522" t="str">
        <f t="shared" si="5"/>
        <v>--</v>
      </c>
      <c r="R39" s="523" t="str">
        <f t="shared" si="6"/>
        <v>--</v>
      </c>
      <c r="S39" s="524" t="str">
        <f t="shared" si="7"/>
        <v>--</v>
      </c>
      <c r="T39" s="525" t="str">
        <f t="shared" si="8"/>
        <v>--</v>
      </c>
      <c r="U39" s="526" t="str">
        <f t="shared" si="9"/>
        <v>--</v>
      </c>
      <c r="V39" s="527" t="str">
        <f t="shared" si="10"/>
        <v>--</v>
      </c>
      <c r="W39" s="528" t="str">
        <f t="shared" si="11"/>
        <v>--</v>
      </c>
      <c r="X39" s="529" t="str">
        <f t="shared" si="12"/>
        <v>--</v>
      </c>
      <c r="Y39" s="530" t="str">
        <f t="shared" si="13"/>
        <v>--</v>
      </c>
      <c r="Z39" s="531">
        <f t="shared" si="15"/>
      </c>
      <c r="AA39" s="40">
        <f t="shared" si="14"/>
      </c>
      <c r="AB39" s="3"/>
    </row>
    <row r="40" spans="2:28" ht="16.5" customHeight="1">
      <c r="B40" s="41"/>
      <c r="C40" s="344"/>
      <c r="D40" s="344"/>
      <c r="E40" s="344"/>
      <c r="F40" s="345"/>
      <c r="G40" s="346"/>
      <c r="H40" s="347"/>
      <c r="I40" s="250">
        <f t="shared" si="0"/>
        <v>17.4305</v>
      </c>
      <c r="J40" s="352"/>
      <c r="K40" s="352"/>
      <c r="L40" s="10">
        <f t="shared" si="1"/>
      </c>
      <c r="M40" s="11">
        <f t="shared" si="2"/>
      </c>
      <c r="N40" s="353"/>
      <c r="O40" s="520">
        <f t="shared" si="16"/>
      </c>
      <c r="P40" s="521" t="str">
        <f t="shared" si="4"/>
        <v>--</v>
      </c>
      <c r="Q40" s="522" t="str">
        <f t="shared" si="5"/>
        <v>--</v>
      </c>
      <c r="R40" s="523" t="str">
        <f t="shared" si="6"/>
        <v>--</v>
      </c>
      <c r="S40" s="524" t="str">
        <f t="shared" si="7"/>
        <v>--</v>
      </c>
      <c r="T40" s="525" t="str">
        <f t="shared" si="8"/>
        <v>--</v>
      </c>
      <c r="U40" s="526" t="str">
        <f t="shared" si="9"/>
        <v>--</v>
      </c>
      <c r="V40" s="527" t="str">
        <f t="shared" si="10"/>
        <v>--</v>
      </c>
      <c r="W40" s="528" t="str">
        <f t="shared" si="11"/>
        <v>--</v>
      </c>
      <c r="X40" s="529" t="str">
        <f t="shared" si="12"/>
        <v>--</v>
      </c>
      <c r="Y40" s="530" t="str">
        <f t="shared" si="13"/>
        <v>--</v>
      </c>
      <c r="Z40" s="531">
        <f t="shared" si="15"/>
      </c>
      <c r="AA40" s="40">
        <f t="shared" si="14"/>
      </c>
      <c r="AB40" s="3"/>
    </row>
    <row r="41" spans="2:28" ht="16.5" customHeight="1">
      <c r="B41" s="41"/>
      <c r="C41" s="344"/>
      <c r="D41" s="344"/>
      <c r="E41" s="344"/>
      <c r="F41" s="345"/>
      <c r="G41" s="346"/>
      <c r="H41" s="347"/>
      <c r="I41" s="250">
        <f t="shared" si="0"/>
        <v>17.4305</v>
      </c>
      <c r="J41" s="352"/>
      <c r="K41" s="352"/>
      <c r="L41" s="10">
        <f t="shared" si="1"/>
      </c>
      <c r="M41" s="11">
        <f t="shared" si="2"/>
      </c>
      <c r="N41" s="353"/>
      <c r="O41" s="520">
        <f t="shared" si="16"/>
      </c>
      <c r="P41" s="521" t="str">
        <f t="shared" si="4"/>
        <v>--</v>
      </c>
      <c r="Q41" s="522" t="str">
        <f t="shared" si="5"/>
        <v>--</v>
      </c>
      <c r="R41" s="523" t="str">
        <f t="shared" si="6"/>
        <v>--</v>
      </c>
      <c r="S41" s="524" t="str">
        <f t="shared" si="7"/>
        <v>--</v>
      </c>
      <c r="T41" s="525" t="str">
        <f t="shared" si="8"/>
        <v>--</v>
      </c>
      <c r="U41" s="526" t="str">
        <f t="shared" si="9"/>
        <v>--</v>
      </c>
      <c r="V41" s="527" t="str">
        <f t="shared" si="10"/>
        <v>--</v>
      </c>
      <c r="W41" s="528" t="str">
        <f t="shared" si="11"/>
        <v>--</v>
      </c>
      <c r="X41" s="529" t="str">
        <f t="shared" si="12"/>
        <v>--</v>
      </c>
      <c r="Y41" s="530" t="str">
        <f t="shared" si="13"/>
        <v>--</v>
      </c>
      <c r="Z41" s="531">
        <f t="shared" si="15"/>
      </c>
      <c r="AA41" s="40">
        <f t="shared" si="14"/>
      </c>
      <c r="AB41" s="3"/>
    </row>
    <row r="42" spans="1:28" ht="16.5" customHeight="1" thickBot="1">
      <c r="A42" s="1"/>
      <c r="B42" s="2"/>
      <c r="C42" s="348"/>
      <c r="D42" s="348"/>
      <c r="E42" s="348"/>
      <c r="F42" s="349"/>
      <c r="G42" s="350"/>
      <c r="H42" s="351"/>
      <c r="I42" s="251"/>
      <c r="J42" s="351"/>
      <c r="K42" s="351"/>
      <c r="L42" s="12"/>
      <c r="M42" s="12"/>
      <c r="N42" s="351"/>
      <c r="O42" s="354"/>
      <c r="P42" s="355"/>
      <c r="Q42" s="356"/>
      <c r="R42" s="357"/>
      <c r="S42" s="358"/>
      <c r="T42" s="359"/>
      <c r="U42" s="360"/>
      <c r="V42" s="361"/>
      <c r="W42" s="362"/>
      <c r="X42" s="363"/>
      <c r="Y42" s="364"/>
      <c r="Z42" s="365"/>
      <c r="AA42" s="42"/>
      <c r="AB42" s="3"/>
    </row>
    <row r="43" spans="1:28" ht="16.5" customHeight="1" thickBot="1" thickTop="1">
      <c r="A43" s="1"/>
      <c r="B43" s="2"/>
      <c r="C43" s="548" t="s">
        <v>127</v>
      </c>
      <c r="D43" s="546" t="s">
        <v>126</v>
      </c>
      <c r="E43" s="515"/>
      <c r="F43" s="172"/>
      <c r="G43" s="13"/>
      <c r="H43" s="14"/>
      <c r="I43" s="43"/>
      <c r="J43" s="43"/>
      <c r="K43" s="43"/>
      <c r="L43" s="43"/>
      <c r="M43" s="43"/>
      <c r="N43" s="43"/>
      <c r="O43" s="44"/>
      <c r="P43" s="229">
        <f aca="true" t="shared" si="17" ref="P43:Y43">ROUND(SUM(P20:P42),2)</f>
        <v>211.7</v>
      </c>
      <c r="Q43" s="230">
        <f t="shared" si="17"/>
        <v>0</v>
      </c>
      <c r="R43" s="231">
        <f t="shared" si="17"/>
        <v>8147.02</v>
      </c>
      <c r="S43" s="231">
        <f t="shared" si="17"/>
        <v>3611.67</v>
      </c>
      <c r="T43" s="232">
        <f t="shared" si="17"/>
        <v>0</v>
      </c>
      <c r="U43" s="233">
        <f t="shared" si="17"/>
        <v>0</v>
      </c>
      <c r="V43" s="233">
        <f t="shared" si="17"/>
        <v>0</v>
      </c>
      <c r="W43" s="234">
        <f t="shared" si="17"/>
        <v>0</v>
      </c>
      <c r="X43" s="235">
        <f t="shared" si="17"/>
        <v>0</v>
      </c>
      <c r="Y43" s="236">
        <f t="shared" si="17"/>
        <v>0</v>
      </c>
      <c r="Z43" s="45"/>
      <c r="AA43" s="519">
        <f>ROUND(SUM(AA20:AA42),2)</f>
        <v>11970.38</v>
      </c>
      <c r="AB43" s="46"/>
    </row>
    <row r="44" spans="1:28" s="186" customFormat="1" ht="9.75" thickTop="1">
      <c r="A44" s="175"/>
      <c r="B44" s="176"/>
      <c r="C44" s="173"/>
      <c r="D44" s="173"/>
      <c r="E44" s="173"/>
      <c r="F44" s="174"/>
      <c r="G44" s="177"/>
      <c r="H44" s="178"/>
      <c r="I44" s="179"/>
      <c r="J44" s="179"/>
      <c r="K44" s="179"/>
      <c r="L44" s="179"/>
      <c r="M44" s="179"/>
      <c r="N44" s="179"/>
      <c r="O44" s="180"/>
      <c r="P44" s="181"/>
      <c r="Q44" s="181"/>
      <c r="R44" s="182"/>
      <c r="S44" s="182"/>
      <c r="T44" s="183"/>
      <c r="U44" s="183"/>
      <c r="V44" s="183"/>
      <c r="W44" s="183"/>
      <c r="X44" s="183"/>
      <c r="Y44" s="183"/>
      <c r="Z44" s="183"/>
      <c r="AA44" s="184"/>
      <c r="AB44" s="185"/>
    </row>
    <row r="45" spans="1:28" s="8" customFormat="1" ht="16.5" customHeight="1" thickBot="1">
      <c r="A45" s="6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1"/>
  <sheetViews>
    <sheetView zoomScale="70" zoomScaleNormal="70" workbookViewId="0" topLeftCell="C10">
      <selection activeCell="L16" sqref="L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5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84" customFormat="1" ht="26.25">
      <c r="AB1" s="256"/>
    </row>
    <row r="2" spans="2:28" s="84" customFormat="1" ht="26.25">
      <c r="B2" s="85" t="str">
        <f>'TOT-0810'!B2</f>
        <v>ANEXO II al Memorandum  D.T.E.E.  N°   271 / 2012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="8" customFormat="1" ht="17.25" customHeight="1"/>
    <row r="4" spans="1:4" s="87" customFormat="1" ht="11.25">
      <c r="A4" s="518" t="s">
        <v>6</v>
      </c>
      <c r="C4" s="517"/>
      <c r="D4" s="517"/>
    </row>
    <row r="5" spans="1:4" s="87" customFormat="1" ht="11.25">
      <c r="A5" s="518" t="s">
        <v>111</v>
      </c>
      <c r="C5" s="517"/>
      <c r="D5" s="517"/>
    </row>
    <row r="6" s="8" customFormat="1" ht="13.5" thickBot="1"/>
    <row r="7" spans="1:28" s="8" customFormat="1" ht="13.5" thickTop="1">
      <c r="A7" s="6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</row>
    <row r="8" spans="1:28" s="89" customFormat="1" ht="20.25">
      <c r="A8" s="30"/>
      <c r="B8" s="88"/>
      <c r="C8" s="30"/>
      <c r="D8" s="30"/>
      <c r="E8" s="30"/>
      <c r="F8" s="15" t="s">
        <v>21</v>
      </c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90"/>
    </row>
    <row r="9" spans="1:28" s="8" customFormat="1" ht="12.75">
      <c r="A9" s="6"/>
      <c r="B9" s="29"/>
      <c r="C9" s="6"/>
      <c r="D9" s="6"/>
      <c r="E9" s="6"/>
      <c r="F9" s="101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89" customFormat="1" ht="20.25">
      <c r="A10" s="30"/>
      <c r="B10" s="88"/>
      <c r="C10" s="30"/>
      <c r="D10" s="30"/>
      <c r="E10" s="30"/>
      <c r="F10" s="15" t="s">
        <v>145</v>
      </c>
      <c r="G10" s="15"/>
      <c r="H10" s="30"/>
      <c r="I10" s="91"/>
      <c r="J10" s="91"/>
      <c r="K10" s="91"/>
      <c r="L10" s="91"/>
      <c r="M10" s="91"/>
      <c r="N10" s="91"/>
      <c r="O10" s="91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90"/>
    </row>
    <row r="11" spans="1:28" s="8" customFormat="1" ht="12.75">
      <c r="A11" s="6"/>
      <c r="B11" s="29"/>
      <c r="C11" s="6"/>
      <c r="D11" s="6"/>
      <c r="E11" s="6"/>
      <c r="F11" s="100"/>
      <c r="G11" s="98"/>
      <c r="H11" s="6"/>
      <c r="I11" s="97"/>
      <c r="J11" s="97"/>
      <c r="K11" s="97"/>
      <c r="L11" s="97"/>
      <c r="M11" s="97"/>
      <c r="N11" s="97"/>
      <c r="O11" s="9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96" customFormat="1" ht="19.5">
      <c r="A12" s="32"/>
      <c r="B12" s="65" t="str">
        <f>'TOT-0810'!B14</f>
        <v>Desde el 01 al 31 de agosto de 2010</v>
      </c>
      <c r="C12" s="92"/>
      <c r="D12" s="92"/>
      <c r="E12" s="92"/>
      <c r="F12" s="92"/>
      <c r="G12" s="93"/>
      <c r="H12" s="93"/>
      <c r="I12" s="94"/>
      <c r="J12" s="94"/>
      <c r="K12" s="94"/>
      <c r="L12" s="94"/>
      <c r="M12" s="94"/>
      <c r="N12" s="94"/>
      <c r="O12" s="94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5"/>
    </row>
    <row r="13" spans="1:28" s="96" customFormat="1" ht="7.5" customHeight="1">
      <c r="A13" s="32"/>
      <c r="B13" s="65"/>
      <c r="C13" s="92"/>
      <c r="D13" s="92"/>
      <c r="E13" s="92"/>
      <c r="F13" s="92"/>
      <c r="G13" s="93"/>
      <c r="H13" s="93"/>
      <c r="I13" s="94"/>
      <c r="J13" s="94"/>
      <c r="K13" s="94"/>
      <c r="L13" s="94"/>
      <c r="M13" s="94"/>
      <c r="N13" s="94"/>
      <c r="O13" s="94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5"/>
    </row>
    <row r="14" spans="1:28" s="8" customFormat="1" ht="7.5" customHeight="1" thickBot="1">
      <c r="A14" s="6"/>
      <c r="B14" s="29"/>
      <c r="C14" s="6"/>
      <c r="D14" s="6"/>
      <c r="E14" s="6"/>
      <c r="F14" s="6"/>
      <c r="G14" s="98"/>
      <c r="H14" s="99"/>
      <c r="I14" s="97"/>
      <c r="J14" s="97"/>
      <c r="K14" s="97"/>
      <c r="L14" s="97"/>
      <c r="M14" s="97"/>
      <c r="N14" s="97"/>
      <c r="O14" s="9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9"/>
    </row>
    <row r="15" spans="1:28" s="70" customFormat="1" ht="16.5" customHeight="1" thickBot="1" thickTop="1">
      <c r="A15" s="67"/>
      <c r="B15" s="68"/>
      <c r="C15" s="67"/>
      <c r="D15" s="67"/>
      <c r="E15" s="67"/>
      <c r="F15" s="340" t="s">
        <v>24</v>
      </c>
      <c r="G15" s="341">
        <v>72.965</v>
      </c>
      <c r="H15" s="549"/>
      <c r="I15" s="71"/>
      <c r="J15" s="71"/>
      <c r="K15" s="71"/>
      <c r="L15" s="71"/>
      <c r="M15" s="71"/>
      <c r="N15" s="71"/>
      <c r="O15" s="7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9"/>
    </row>
    <row r="16" spans="1:28" s="70" customFormat="1" ht="16.5" customHeight="1" thickBot="1" thickTop="1">
      <c r="A16" s="67"/>
      <c r="B16" s="68"/>
      <c r="C16" s="67"/>
      <c r="D16" s="67"/>
      <c r="E16" s="67"/>
      <c r="F16" s="340" t="s">
        <v>25</v>
      </c>
      <c r="G16" s="341">
        <v>69.722</v>
      </c>
      <c r="H16" s="550"/>
      <c r="I16" s="67"/>
      <c r="K16" s="72" t="s">
        <v>26</v>
      </c>
      <c r="L16" s="73">
        <f>30*'TOT-0810'!B13</f>
        <v>30</v>
      </c>
      <c r="M16" s="168" t="str">
        <f>IF(L16=30," ",IF(L16=60,"Coeficiente duplicado por tasa de falla &gt;4 Sal. x año/100 km.","REVISAR COEFICIENTE"))</f>
        <v> 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9"/>
    </row>
    <row r="17" spans="1:28" s="70" customFormat="1" ht="7.5" customHeight="1" thickTop="1">
      <c r="A17" s="67"/>
      <c r="B17" s="68"/>
      <c r="C17" s="67"/>
      <c r="D17" s="67"/>
      <c r="E17" s="67"/>
      <c r="F17" s="551"/>
      <c r="G17" s="552"/>
      <c r="H17" s="553"/>
      <c r="I17" s="67"/>
      <c r="K17" s="72"/>
      <c r="L17" s="73"/>
      <c r="M17" s="16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9"/>
    </row>
    <row r="18" spans="1:28" s="540" customFormat="1" ht="15" customHeight="1" thickBot="1">
      <c r="A18" s="536"/>
      <c r="B18" s="537"/>
      <c r="C18" s="538">
        <v>3</v>
      </c>
      <c r="D18" s="538">
        <v>4</v>
      </c>
      <c r="E18" s="538">
        <v>5</v>
      </c>
      <c r="F18" s="538">
        <v>6</v>
      </c>
      <c r="G18" s="538">
        <v>7</v>
      </c>
      <c r="H18" s="538">
        <v>8</v>
      </c>
      <c r="I18" s="538">
        <v>9</v>
      </c>
      <c r="J18" s="538">
        <v>10</v>
      </c>
      <c r="K18" s="538">
        <v>11</v>
      </c>
      <c r="L18" s="538">
        <v>12</v>
      </c>
      <c r="M18" s="538">
        <v>13</v>
      </c>
      <c r="N18" s="538">
        <v>14</v>
      </c>
      <c r="O18" s="538">
        <v>15</v>
      </c>
      <c r="P18" s="538">
        <v>16</v>
      </c>
      <c r="Q18" s="538">
        <v>17</v>
      </c>
      <c r="R18" s="538">
        <v>18</v>
      </c>
      <c r="S18" s="538">
        <v>19</v>
      </c>
      <c r="T18" s="538">
        <v>20</v>
      </c>
      <c r="U18" s="538">
        <v>21</v>
      </c>
      <c r="V18" s="538">
        <v>22</v>
      </c>
      <c r="W18" s="538">
        <v>23</v>
      </c>
      <c r="X18" s="538">
        <v>24</v>
      </c>
      <c r="Y18" s="538">
        <v>25</v>
      </c>
      <c r="Z18" s="538">
        <v>26</v>
      </c>
      <c r="AA18" s="538">
        <v>27</v>
      </c>
      <c r="AB18" s="539"/>
    </row>
    <row r="19" spans="1:28" s="83" customFormat="1" ht="33.75" customHeight="1" thickBot="1" thickTop="1">
      <c r="A19" s="74"/>
      <c r="B19" s="75"/>
      <c r="C19" s="76" t="s">
        <v>27</v>
      </c>
      <c r="D19" s="76" t="s">
        <v>110</v>
      </c>
      <c r="E19" s="76" t="s">
        <v>109</v>
      </c>
      <c r="F19" s="77" t="s">
        <v>9</v>
      </c>
      <c r="G19" s="78" t="s">
        <v>28</v>
      </c>
      <c r="H19" s="79" t="s">
        <v>29</v>
      </c>
      <c r="I19" s="187" t="s">
        <v>30</v>
      </c>
      <c r="J19" s="77" t="s">
        <v>31</v>
      </c>
      <c r="K19" s="77" t="s">
        <v>32</v>
      </c>
      <c r="L19" s="78" t="s">
        <v>33</v>
      </c>
      <c r="M19" s="78" t="s">
        <v>34</v>
      </c>
      <c r="N19" s="80" t="s">
        <v>35</v>
      </c>
      <c r="O19" s="78" t="s">
        <v>36</v>
      </c>
      <c r="P19" s="208" t="s">
        <v>37</v>
      </c>
      <c r="Q19" s="210" t="s">
        <v>38</v>
      </c>
      <c r="R19" s="212" t="s">
        <v>39</v>
      </c>
      <c r="S19" s="213"/>
      <c r="T19" s="214"/>
      <c r="U19" s="219" t="s">
        <v>40</v>
      </c>
      <c r="V19" s="220"/>
      <c r="W19" s="221"/>
      <c r="X19" s="225" t="s">
        <v>41</v>
      </c>
      <c r="Y19" s="227" t="s">
        <v>42</v>
      </c>
      <c r="Z19" s="81" t="s">
        <v>43</v>
      </c>
      <c r="AA19" s="81" t="s">
        <v>44</v>
      </c>
      <c r="AB19" s="82"/>
    </row>
    <row r="20" spans="1:28" ht="16.5" customHeight="1" thickTop="1">
      <c r="A20" s="1"/>
      <c r="B20" s="2"/>
      <c r="C20" s="36"/>
      <c r="D20" s="554"/>
      <c r="E20" s="554"/>
      <c r="F20" s="37"/>
      <c r="G20" s="38"/>
      <c r="H20" s="38"/>
      <c r="I20" s="555"/>
      <c r="J20" s="38"/>
      <c r="K20" s="39"/>
      <c r="L20" s="39"/>
      <c r="M20" s="39"/>
      <c r="N20" s="37"/>
      <c r="O20" s="38"/>
      <c r="P20" s="209"/>
      <c r="Q20" s="211"/>
      <c r="R20" s="215"/>
      <c r="S20" s="216"/>
      <c r="T20" s="217"/>
      <c r="U20" s="222"/>
      <c r="V20" s="223"/>
      <c r="W20" s="224"/>
      <c r="X20" s="226"/>
      <c r="Y20" s="228"/>
      <c r="Z20" s="218"/>
      <c r="AA20" s="39"/>
      <c r="AB20" s="3"/>
    </row>
    <row r="21" spans="1:28" ht="16.5" customHeight="1">
      <c r="A21" s="1"/>
      <c r="B21" s="2"/>
      <c r="C21" s="36"/>
      <c r="D21" s="36"/>
      <c r="E21" s="36"/>
      <c r="F21" s="36"/>
      <c r="G21" s="556"/>
      <c r="H21" s="556"/>
      <c r="I21" s="557"/>
      <c r="J21" s="36"/>
      <c r="K21" s="66"/>
      <c r="L21" s="66"/>
      <c r="M21" s="66"/>
      <c r="N21" s="554"/>
      <c r="O21" s="36"/>
      <c r="P21" s="558"/>
      <c r="Q21" s="559"/>
      <c r="R21" s="560"/>
      <c r="S21" s="561"/>
      <c r="T21" s="562"/>
      <c r="U21" s="563"/>
      <c r="V21" s="564"/>
      <c r="W21" s="565"/>
      <c r="X21" s="566"/>
      <c r="Y21" s="567"/>
      <c r="Z21" s="568"/>
      <c r="AA21" s="66"/>
      <c r="AB21" s="3"/>
    </row>
    <row r="22" spans="1:28" ht="16.5" customHeight="1">
      <c r="A22" s="1"/>
      <c r="B22" s="2"/>
      <c r="C22" s="344">
        <v>6</v>
      </c>
      <c r="D22" s="344">
        <v>225527</v>
      </c>
      <c r="E22" s="344">
        <v>4586</v>
      </c>
      <c r="F22" s="345" t="s">
        <v>129</v>
      </c>
      <c r="G22" s="346">
        <v>132</v>
      </c>
      <c r="H22" s="347">
        <v>128</v>
      </c>
      <c r="I22" s="188">
        <f aca="true" t="shared" si="0" ref="I22:I41">IF(H22&gt;25,H22,25)*IF(G22=330,$G$15,$G$16)/100</f>
        <v>89.24416</v>
      </c>
      <c r="J22" s="352">
        <v>40415.71597222222</v>
      </c>
      <c r="K22" s="352">
        <v>40415.83194444444</v>
      </c>
      <c r="L22" s="10">
        <f aca="true" t="shared" si="1" ref="L22:L41">IF(F22="","",(K22-J22)*24)</f>
        <v>2.7833333333255723</v>
      </c>
      <c r="M22" s="11">
        <f aca="true" t="shared" si="2" ref="M22:M41">IF(F22="","",ROUND((K22-J22)*24*60,0))</f>
        <v>167</v>
      </c>
      <c r="N22" s="353" t="s">
        <v>117</v>
      </c>
      <c r="O22" s="520" t="str">
        <f aca="true" t="shared" si="3" ref="O22:O41">IF(F22="","","--")</f>
        <v>--</v>
      </c>
      <c r="P22" s="521" t="str">
        <f aca="true" t="shared" si="4" ref="P22:P41">IF(N22="P",ROUND(M22/60,2)*I22*$L$16*0.01,"--")</f>
        <v>--</v>
      </c>
      <c r="Q22" s="522" t="str">
        <f aca="true" t="shared" si="5" ref="Q22:Q41">IF(N22="RP",ROUND(M22/60,2)*I22*$L$16*0.01*O22/100,"--")</f>
        <v>--</v>
      </c>
      <c r="R22" s="523">
        <f aca="true" t="shared" si="6" ref="R22:R41">IF(N22="F",I22*$L$16,"--")</f>
        <v>2677.3248</v>
      </c>
      <c r="S22" s="524">
        <f aca="true" t="shared" si="7" ref="S22:S41">IF(AND(M22&gt;10,N22="F"),I22*$L$16*IF(M22&gt;180,3,ROUND(M22/60,2)),"--")</f>
        <v>7442.962943999999</v>
      </c>
      <c r="T22" s="525" t="str">
        <f aca="true" t="shared" si="8" ref="T22:T41">IF(AND(M22&gt;180,N22="F"),(ROUND(M22/60,2)-3)*I22*$L$16*0.1,"--")</f>
        <v>--</v>
      </c>
      <c r="U22" s="526" t="str">
        <f aca="true" t="shared" si="9" ref="U22:U41">IF(N22="R",I22*$L$16*O22/100,"--")</f>
        <v>--</v>
      </c>
      <c r="V22" s="527" t="str">
        <f aca="true" t="shared" si="10" ref="V22:V41">IF(AND(M22&gt;10,N22="R"),I22*$L$16*O22/100*IF(M22&gt;180,3,ROUND(M22/60,2)),"--")</f>
        <v>--</v>
      </c>
      <c r="W22" s="528" t="str">
        <f aca="true" t="shared" si="11" ref="W22:W41">IF(AND(M22&gt;180,N22="R"),(ROUND(M22/60,2)-3)*O22/100*I22*$L$16*0.1,"--")</f>
        <v>--</v>
      </c>
      <c r="X22" s="529" t="str">
        <f aca="true" t="shared" si="12" ref="X22:X41">IF(N22="RF",ROUND(M22/60,2)*I22*$L$16*0.1,"--")</f>
        <v>--</v>
      </c>
      <c r="Y22" s="530" t="str">
        <f aca="true" t="shared" si="13" ref="Y22:Y41">IF(N22="RR",ROUND(M22/60,2)*O22/100*I22*$L$16*0.1,"--")</f>
        <v>--</v>
      </c>
      <c r="Z22" s="531" t="s">
        <v>118</v>
      </c>
      <c r="AA22" s="40">
        <f aca="true" t="shared" si="14" ref="AA22:AA41">IF(F22="","",SUM(P22:Y22)*IF(Z22="SI",1,2))</f>
        <v>10120.287744</v>
      </c>
      <c r="AB22" s="3"/>
    </row>
    <row r="23" spans="1:28" ht="16.5" customHeight="1">
      <c r="A23" s="1"/>
      <c r="B23" s="2"/>
      <c r="C23" s="344"/>
      <c r="D23" s="344"/>
      <c r="E23" s="344"/>
      <c r="F23" s="345"/>
      <c r="G23" s="346"/>
      <c r="H23" s="347"/>
      <c r="I23" s="188">
        <f t="shared" si="0"/>
        <v>17.4305</v>
      </c>
      <c r="J23" s="352"/>
      <c r="K23" s="352"/>
      <c r="L23" s="10">
        <f t="shared" si="1"/>
      </c>
      <c r="M23" s="11">
        <f t="shared" si="2"/>
      </c>
      <c r="N23" s="353"/>
      <c r="O23" s="520">
        <f t="shared" si="3"/>
      </c>
      <c r="P23" s="521" t="str">
        <f t="shared" si="4"/>
        <v>--</v>
      </c>
      <c r="Q23" s="522" t="str">
        <f t="shared" si="5"/>
        <v>--</v>
      </c>
      <c r="R23" s="523" t="str">
        <f t="shared" si="6"/>
        <v>--</v>
      </c>
      <c r="S23" s="524" t="str">
        <f t="shared" si="7"/>
        <v>--</v>
      </c>
      <c r="T23" s="525" t="str">
        <f t="shared" si="8"/>
        <v>--</v>
      </c>
      <c r="U23" s="526" t="str">
        <f t="shared" si="9"/>
        <v>--</v>
      </c>
      <c r="V23" s="527" t="str">
        <f t="shared" si="10"/>
        <v>--</v>
      </c>
      <c r="W23" s="528" t="str">
        <f t="shared" si="11"/>
        <v>--</v>
      </c>
      <c r="X23" s="529" t="str">
        <f t="shared" si="12"/>
        <v>--</v>
      </c>
      <c r="Y23" s="530" t="str">
        <f t="shared" si="13"/>
        <v>--</v>
      </c>
      <c r="Z23" s="531">
        <f aca="true" t="shared" si="15" ref="Z23:Z41">IF(F23="","","SI")</f>
      </c>
      <c r="AA23" s="40">
        <f t="shared" si="14"/>
      </c>
      <c r="AB23" s="3"/>
    </row>
    <row r="24" spans="1:28" ht="16.5" customHeight="1">
      <c r="A24" s="1"/>
      <c r="B24" s="2"/>
      <c r="C24" s="344"/>
      <c r="D24" s="344"/>
      <c r="E24" s="344"/>
      <c r="F24" s="345"/>
      <c r="G24" s="346"/>
      <c r="H24" s="347"/>
      <c r="I24" s="188">
        <f t="shared" si="0"/>
        <v>17.4305</v>
      </c>
      <c r="J24" s="352"/>
      <c r="K24" s="352"/>
      <c r="L24" s="10">
        <f t="shared" si="1"/>
      </c>
      <c r="M24" s="11">
        <f t="shared" si="2"/>
      </c>
      <c r="N24" s="353"/>
      <c r="O24" s="520">
        <f t="shared" si="3"/>
      </c>
      <c r="P24" s="521" t="str">
        <f t="shared" si="4"/>
        <v>--</v>
      </c>
      <c r="Q24" s="522" t="str">
        <f t="shared" si="5"/>
        <v>--</v>
      </c>
      <c r="R24" s="523" t="str">
        <f t="shared" si="6"/>
        <v>--</v>
      </c>
      <c r="S24" s="524" t="str">
        <f t="shared" si="7"/>
        <v>--</v>
      </c>
      <c r="T24" s="525" t="str">
        <f t="shared" si="8"/>
        <v>--</v>
      </c>
      <c r="U24" s="526" t="str">
        <f t="shared" si="9"/>
        <v>--</v>
      </c>
      <c r="V24" s="527" t="str">
        <f t="shared" si="10"/>
        <v>--</v>
      </c>
      <c r="W24" s="528" t="str">
        <f t="shared" si="11"/>
        <v>--</v>
      </c>
      <c r="X24" s="529" t="str">
        <f t="shared" si="12"/>
        <v>--</v>
      </c>
      <c r="Y24" s="530" t="str">
        <f t="shared" si="13"/>
        <v>--</v>
      </c>
      <c r="Z24" s="531">
        <f t="shared" si="15"/>
      </c>
      <c r="AA24" s="40">
        <f t="shared" si="14"/>
      </c>
      <c r="AB24" s="3"/>
    </row>
    <row r="25" spans="1:28" ht="16.5" customHeight="1">
      <c r="A25" s="1"/>
      <c r="B25" s="2"/>
      <c r="C25" s="344"/>
      <c r="D25" s="344"/>
      <c r="E25" s="344"/>
      <c r="F25" s="345"/>
      <c r="G25" s="346"/>
      <c r="H25" s="347"/>
      <c r="I25" s="188">
        <f t="shared" si="0"/>
        <v>17.4305</v>
      </c>
      <c r="J25" s="352"/>
      <c r="K25" s="352"/>
      <c r="L25" s="10">
        <f t="shared" si="1"/>
      </c>
      <c r="M25" s="11">
        <f t="shared" si="2"/>
      </c>
      <c r="N25" s="353"/>
      <c r="O25" s="520">
        <f t="shared" si="3"/>
      </c>
      <c r="P25" s="521" t="str">
        <f t="shared" si="4"/>
        <v>--</v>
      </c>
      <c r="Q25" s="522" t="str">
        <f t="shared" si="5"/>
        <v>--</v>
      </c>
      <c r="R25" s="523" t="str">
        <f t="shared" si="6"/>
        <v>--</v>
      </c>
      <c r="S25" s="524" t="str">
        <f t="shared" si="7"/>
        <v>--</v>
      </c>
      <c r="T25" s="525" t="str">
        <f t="shared" si="8"/>
        <v>--</v>
      </c>
      <c r="U25" s="526" t="str">
        <f t="shared" si="9"/>
        <v>--</v>
      </c>
      <c r="V25" s="527" t="str">
        <f t="shared" si="10"/>
        <v>--</v>
      </c>
      <c r="W25" s="528" t="str">
        <f t="shared" si="11"/>
        <v>--</v>
      </c>
      <c r="X25" s="529" t="str">
        <f t="shared" si="12"/>
        <v>--</v>
      </c>
      <c r="Y25" s="530" t="str">
        <f t="shared" si="13"/>
        <v>--</v>
      </c>
      <c r="Z25" s="531">
        <f t="shared" si="15"/>
      </c>
      <c r="AA25" s="40">
        <f t="shared" si="14"/>
      </c>
      <c r="AB25" s="3"/>
    </row>
    <row r="26" spans="1:28" ht="16.5" customHeight="1">
      <c r="A26" s="1"/>
      <c r="B26" s="2"/>
      <c r="C26" s="344"/>
      <c r="D26" s="344"/>
      <c r="E26" s="344"/>
      <c r="F26" s="345"/>
      <c r="G26" s="346"/>
      <c r="H26" s="347"/>
      <c r="I26" s="188">
        <f t="shared" si="0"/>
        <v>17.4305</v>
      </c>
      <c r="J26" s="352"/>
      <c r="K26" s="352"/>
      <c r="L26" s="10">
        <f t="shared" si="1"/>
      </c>
      <c r="M26" s="11">
        <f t="shared" si="2"/>
      </c>
      <c r="N26" s="353"/>
      <c r="O26" s="520">
        <f t="shared" si="3"/>
      </c>
      <c r="P26" s="521" t="str">
        <f t="shared" si="4"/>
        <v>--</v>
      </c>
      <c r="Q26" s="522" t="str">
        <f t="shared" si="5"/>
        <v>--</v>
      </c>
      <c r="R26" s="523" t="str">
        <f t="shared" si="6"/>
        <v>--</v>
      </c>
      <c r="S26" s="524" t="str">
        <f t="shared" si="7"/>
        <v>--</v>
      </c>
      <c r="T26" s="525" t="str">
        <f t="shared" si="8"/>
        <v>--</v>
      </c>
      <c r="U26" s="526" t="str">
        <f t="shared" si="9"/>
        <v>--</v>
      </c>
      <c r="V26" s="527" t="str">
        <f t="shared" si="10"/>
        <v>--</v>
      </c>
      <c r="W26" s="528" t="str">
        <f t="shared" si="11"/>
        <v>--</v>
      </c>
      <c r="X26" s="529" t="str">
        <f t="shared" si="12"/>
        <v>--</v>
      </c>
      <c r="Y26" s="530" t="str">
        <f t="shared" si="13"/>
        <v>--</v>
      </c>
      <c r="Z26" s="531">
        <f t="shared" si="15"/>
      </c>
      <c r="AA26" s="40">
        <f t="shared" si="14"/>
      </c>
      <c r="AB26" s="3"/>
    </row>
    <row r="27" spans="1:28" ht="16.5" customHeight="1">
      <c r="A27" s="1"/>
      <c r="B27" s="2"/>
      <c r="C27" s="344"/>
      <c r="D27" s="344"/>
      <c r="E27" s="344"/>
      <c r="F27" s="345"/>
      <c r="G27" s="346"/>
      <c r="H27" s="347"/>
      <c r="I27" s="188">
        <f t="shared" si="0"/>
        <v>17.4305</v>
      </c>
      <c r="J27" s="352"/>
      <c r="K27" s="352"/>
      <c r="L27" s="10">
        <f t="shared" si="1"/>
      </c>
      <c r="M27" s="11">
        <f t="shared" si="2"/>
      </c>
      <c r="N27" s="353"/>
      <c r="O27" s="520">
        <f t="shared" si="3"/>
      </c>
      <c r="P27" s="521" t="str">
        <f t="shared" si="4"/>
        <v>--</v>
      </c>
      <c r="Q27" s="522" t="str">
        <f t="shared" si="5"/>
        <v>--</v>
      </c>
      <c r="R27" s="523" t="str">
        <f t="shared" si="6"/>
        <v>--</v>
      </c>
      <c r="S27" s="524" t="str">
        <f t="shared" si="7"/>
        <v>--</v>
      </c>
      <c r="T27" s="525" t="str">
        <f t="shared" si="8"/>
        <v>--</v>
      </c>
      <c r="U27" s="526" t="str">
        <f t="shared" si="9"/>
        <v>--</v>
      </c>
      <c r="V27" s="527" t="str">
        <f t="shared" si="10"/>
        <v>--</v>
      </c>
      <c r="W27" s="528" t="str">
        <f t="shared" si="11"/>
        <v>--</v>
      </c>
      <c r="X27" s="529" t="str">
        <f t="shared" si="12"/>
        <v>--</v>
      </c>
      <c r="Y27" s="530" t="str">
        <f t="shared" si="13"/>
        <v>--</v>
      </c>
      <c r="Z27" s="531">
        <f t="shared" si="15"/>
      </c>
      <c r="AA27" s="40">
        <f t="shared" si="14"/>
      </c>
      <c r="AB27" s="3"/>
    </row>
    <row r="28" spans="1:28" ht="16.5" customHeight="1">
      <c r="A28" s="1"/>
      <c r="B28" s="2"/>
      <c r="C28" s="344"/>
      <c r="D28" s="344"/>
      <c r="E28" s="344"/>
      <c r="F28" s="345"/>
      <c r="G28" s="346"/>
      <c r="H28" s="347"/>
      <c r="I28" s="188">
        <f t="shared" si="0"/>
        <v>17.4305</v>
      </c>
      <c r="J28" s="352"/>
      <c r="K28" s="352"/>
      <c r="L28" s="10">
        <f t="shared" si="1"/>
      </c>
      <c r="M28" s="11">
        <f t="shared" si="2"/>
      </c>
      <c r="N28" s="353"/>
      <c r="O28" s="520">
        <f t="shared" si="3"/>
      </c>
      <c r="P28" s="521" t="str">
        <f t="shared" si="4"/>
        <v>--</v>
      </c>
      <c r="Q28" s="522" t="str">
        <f t="shared" si="5"/>
        <v>--</v>
      </c>
      <c r="R28" s="523" t="str">
        <f t="shared" si="6"/>
        <v>--</v>
      </c>
      <c r="S28" s="524" t="str">
        <f t="shared" si="7"/>
        <v>--</v>
      </c>
      <c r="T28" s="525" t="str">
        <f t="shared" si="8"/>
        <v>--</v>
      </c>
      <c r="U28" s="526" t="str">
        <f t="shared" si="9"/>
        <v>--</v>
      </c>
      <c r="V28" s="527" t="str">
        <f t="shared" si="10"/>
        <v>--</v>
      </c>
      <c r="W28" s="528" t="str">
        <f t="shared" si="11"/>
        <v>--</v>
      </c>
      <c r="X28" s="529" t="str">
        <f t="shared" si="12"/>
        <v>--</v>
      </c>
      <c r="Y28" s="530" t="str">
        <f t="shared" si="13"/>
        <v>--</v>
      </c>
      <c r="Z28" s="531">
        <f t="shared" si="15"/>
      </c>
      <c r="AA28" s="40">
        <f t="shared" si="14"/>
      </c>
      <c r="AB28" s="3"/>
    </row>
    <row r="29" spans="1:28" ht="16.5" customHeight="1">
      <c r="A29" s="1"/>
      <c r="B29" s="2"/>
      <c r="C29" s="344"/>
      <c r="D29" s="344"/>
      <c r="E29" s="344"/>
      <c r="F29" s="345"/>
      <c r="G29" s="346"/>
      <c r="H29" s="347"/>
      <c r="I29" s="188">
        <f t="shared" si="0"/>
        <v>17.4305</v>
      </c>
      <c r="J29" s="352"/>
      <c r="K29" s="352"/>
      <c r="L29" s="10">
        <f t="shared" si="1"/>
      </c>
      <c r="M29" s="11">
        <f t="shared" si="2"/>
      </c>
      <c r="N29" s="353"/>
      <c r="O29" s="520">
        <f t="shared" si="3"/>
      </c>
      <c r="P29" s="521" t="str">
        <f t="shared" si="4"/>
        <v>--</v>
      </c>
      <c r="Q29" s="522" t="str">
        <f t="shared" si="5"/>
        <v>--</v>
      </c>
      <c r="R29" s="523" t="str">
        <f t="shared" si="6"/>
        <v>--</v>
      </c>
      <c r="S29" s="524" t="str">
        <f t="shared" si="7"/>
        <v>--</v>
      </c>
      <c r="T29" s="525" t="str">
        <f t="shared" si="8"/>
        <v>--</v>
      </c>
      <c r="U29" s="526" t="str">
        <f t="shared" si="9"/>
        <v>--</v>
      </c>
      <c r="V29" s="527" t="str">
        <f t="shared" si="10"/>
        <v>--</v>
      </c>
      <c r="W29" s="528" t="str">
        <f t="shared" si="11"/>
        <v>--</v>
      </c>
      <c r="X29" s="529" t="str">
        <f t="shared" si="12"/>
        <v>--</v>
      </c>
      <c r="Y29" s="530" t="str">
        <f t="shared" si="13"/>
        <v>--</v>
      </c>
      <c r="Z29" s="531">
        <f t="shared" si="15"/>
      </c>
      <c r="AA29" s="40">
        <f t="shared" si="14"/>
      </c>
      <c r="AB29" s="3"/>
    </row>
    <row r="30" spans="1:28" ht="16.5" customHeight="1">
      <c r="A30" s="1"/>
      <c r="B30" s="2"/>
      <c r="C30" s="344"/>
      <c r="D30" s="344"/>
      <c r="E30" s="344"/>
      <c r="F30" s="345"/>
      <c r="G30" s="346"/>
      <c r="H30" s="347"/>
      <c r="I30" s="188">
        <f t="shared" si="0"/>
        <v>17.4305</v>
      </c>
      <c r="J30" s="352"/>
      <c r="K30" s="352"/>
      <c r="L30" s="10">
        <f t="shared" si="1"/>
      </c>
      <c r="M30" s="11">
        <f t="shared" si="2"/>
      </c>
      <c r="N30" s="353"/>
      <c r="O30" s="520">
        <f t="shared" si="3"/>
      </c>
      <c r="P30" s="521" t="str">
        <f t="shared" si="4"/>
        <v>--</v>
      </c>
      <c r="Q30" s="522" t="str">
        <f t="shared" si="5"/>
        <v>--</v>
      </c>
      <c r="R30" s="523" t="str">
        <f t="shared" si="6"/>
        <v>--</v>
      </c>
      <c r="S30" s="524" t="str">
        <f t="shared" si="7"/>
        <v>--</v>
      </c>
      <c r="T30" s="525" t="str">
        <f t="shared" si="8"/>
        <v>--</v>
      </c>
      <c r="U30" s="526" t="str">
        <f t="shared" si="9"/>
        <v>--</v>
      </c>
      <c r="V30" s="527" t="str">
        <f t="shared" si="10"/>
        <v>--</v>
      </c>
      <c r="W30" s="528" t="str">
        <f t="shared" si="11"/>
        <v>--</v>
      </c>
      <c r="X30" s="529" t="str">
        <f t="shared" si="12"/>
        <v>--</v>
      </c>
      <c r="Y30" s="530" t="str">
        <f t="shared" si="13"/>
        <v>--</v>
      </c>
      <c r="Z30" s="531">
        <f t="shared" si="15"/>
      </c>
      <c r="AA30" s="40">
        <f t="shared" si="14"/>
      </c>
      <c r="AB30" s="3"/>
    </row>
    <row r="31" spans="1:28" ht="16.5" customHeight="1">
      <c r="A31" s="1"/>
      <c r="B31" s="2"/>
      <c r="C31" s="344"/>
      <c r="D31" s="344"/>
      <c r="E31" s="344"/>
      <c r="F31" s="345"/>
      <c r="G31" s="346"/>
      <c r="H31" s="347"/>
      <c r="I31" s="188">
        <f t="shared" si="0"/>
        <v>17.4305</v>
      </c>
      <c r="J31" s="352"/>
      <c r="K31" s="352"/>
      <c r="L31" s="10">
        <f t="shared" si="1"/>
      </c>
      <c r="M31" s="11">
        <f t="shared" si="2"/>
      </c>
      <c r="N31" s="353"/>
      <c r="O31" s="520">
        <f t="shared" si="3"/>
      </c>
      <c r="P31" s="521" t="str">
        <f t="shared" si="4"/>
        <v>--</v>
      </c>
      <c r="Q31" s="522" t="str">
        <f t="shared" si="5"/>
        <v>--</v>
      </c>
      <c r="R31" s="523" t="str">
        <f t="shared" si="6"/>
        <v>--</v>
      </c>
      <c r="S31" s="524" t="str">
        <f t="shared" si="7"/>
        <v>--</v>
      </c>
      <c r="T31" s="525" t="str">
        <f t="shared" si="8"/>
        <v>--</v>
      </c>
      <c r="U31" s="526" t="str">
        <f t="shared" si="9"/>
        <v>--</v>
      </c>
      <c r="V31" s="527" t="str">
        <f t="shared" si="10"/>
        <v>--</v>
      </c>
      <c r="W31" s="528" t="str">
        <f t="shared" si="11"/>
        <v>--</v>
      </c>
      <c r="X31" s="529" t="str">
        <f t="shared" si="12"/>
        <v>--</v>
      </c>
      <c r="Y31" s="530" t="str">
        <f t="shared" si="13"/>
        <v>--</v>
      </c>
      <c r="Z31" s="531">
        <f t="shared" si="15"/>
      </c>
      <c r="AA31" s="40">
        <f t="shared" si="14"/>
      </c>
      <c r="AB31" s="3"/>
    </row>
    <row r="32" spans="1:28" ht="16.5" customHeight="1">
      <c r="A32" s="1"/>
      <c r="B32" s="2"/>
      <c r="C32" s="344"/>
      <c r="D32" s="344"/>
      <c r="E32" s="344"/>
      <c r="F32" s="345"/>
      <c r="G32" s="346"/>
      <c r="H32" s="347"/>
      <c r="I32" s="188">
        <f t="shared" si="0"/>
        <v>17.4305</v>
      </c>
      <c r="J32" s="352"/>
      <c r="K32" s="352"/>
      <c r="L32" s="10">
        <f t="shared" si="1"/>
      </c>
      <c r="M32" s="11">
        <f t="shared" si="2"/>
      </c>
      <c r="N32" s="353"/>
      <c r="O32" s="520">
        <f t="shared" si="3"/>
      </c>
      <c r="P32" s="521" t="str">
        <f t="shared" si="4"/>
        <v>--</v>
      </c>
      <c r="Q32" s="522" t="str">
        <f t="shared" si="5"/>
        <v>--</v>
      </c>
      <c r="R32" s="523" t="str">
        <f t="shared" si="6"/>
        <v>--</v>
      </c>
      <c r="S32" s="524" t="str">
        <f t="shared" si="7"/>
        <v>--</v>
      </c>
      <c r="T32" s="525" t="str">
        <f t="shared" si="8"/>
        <v>--</v>
      </c>
      <c r="U32" s="526" t="str">
        <f t="shared" si="9"/>
        <v>--</v>
      </c>
      <c r="V32" s="527" t="str">
        <f t="shared" si="10"/>
        <v>--</v>
      </c>
      <c r="W32" s="528" t="str">
        <f t="shared" si="11"/>
        <v>--</v>
      </c>
      <c r="X32" s="529" t="str">
        <f t="shared" si="12"/>
        <v>--</v>
      </c>
      <c r="Y32" s="530" t="str">
        <f t="shared" si="13"/>
        <v>--</v>
      </c>
      <c r="Z32" s="531">
        <f t="shared" si="15"/>
      </c>
      <c r="AA32" s="40">
        <f t="shared" si="14"/>
      </c>
      <c r="AB32" s="3"/>
    </row>
    <row r="33" spans="1:28" ht="16.5" customHeight="1">
      <c r="A33" s="1"/>
      <c r="B33" s="2"/>
      <c r="C33" s="344"/>
      <c r="D33" s="344"/>
      <c r="E33" s="344"/>
      <c r="F33" s="345"/>
      <c r="G33" s="346"/>
      <c r="H33" s="347"/>
      <c r="I33" s="188">
        <f t="shared" si="0"/>
        <v>17.4305</v>
      </c>
      <c r="J33" s="352"/>
      <c r="K33" s="352"/>
      <c r="L33" s="10">
        <f t="shared" si="1"/>
      </c>
      <c r="M33" s="11">
        <f t="shared" si="2"/>
      </c>
      <c r="N33" s="353"/>
      <c r="O33" s="520">
        <f t="shared" si="3"/>
      </c>
      <c r="P33" s="521" t="str">
        <f t="shared" si="4"/>
        <v>--</v>
      </c>
      <c r="Q33" s="522" t="str">
        <f t="shared" si="5"/>
        <v>--</v>
      </c>
      <c r="R33" s="523" t="str">
        <f t="shared" si="6"/>
        <v>--</v>
      </c>
      <c r="S33" s="524" t="str">
        <f t="shared" si="7"/>
        <v>--</v>
      </c>
      <c r="T33" s="525" t="str">
        <f t="shared" si="8"/>
        <v>--</v>
      </c>
      <c r="U33" s="526" t="str">
        <f t="shared" si="9"/>
        <v>--</v>
      </c>
      <c r="V33" s="527" t="str">
        <f t="shared" si="10"/>
        <v>--</v>
      </c>
      <c r="W33" s="528" t="str">
        <f t="shared" si="11"/>
        <v>--</v>
      </c>
      <c r="X33" s="529" t="str">
        <f t="shared" si="12"/>
        <v>--</v>
      </c>
      <c r="Y33" s="530" t="str">
        <f t="shared" si="13"/>
        <v>--</v>
      </c>
      <c r="Z33" s="531">
        <f t="shared" si="15"/>
      </c>
      <c r="AA33" s="40">
        <f t="shared" si="14"/>
      </c>
      <c r="AB33" s="3"/>
    </row>
    <row r="34" spans="1:28" ht="16.5" customHeight="1">
      <c r="A34" s="1"/>
      <c r="B34" s="2"/>
      <c r="C34" s="344"/>
      <c r="D34" s="344"/>
      <c r="E34" s="344"/>
      <c r="F34" s="345"/>
      <c r="G34" s="346"/>
      <c r="H34" s="347"/>
      <c r="I34" s="188">
        <f t="shared" si="0"/>
        <v>17.4305</v>
      </c>
      <c r="J34" s="352"/>
      <c r="K34" s="352"/>
      <c r="L34" s="10">
        <f t="shared" si="1"/>
      </c>
      <c r="M34" s="11">
        <f t="shared" si="2"/>
      </c>
      <c r="N34" s="353"/>
      <c r="O34" s="520">
        <f t="shared" si="3"/>
      </c>
      <c r="P34" s="521" t="str">
        <f t="shared" si="4"/>
        <v>--</v>
      </c>
      <c r="Q34" s="522" t="str">
        <f t="shared" si="5"/>
        <v>--</v>
      </c>
      <c r="R34" s="523" t="str">
        <f t="shared" si="6"/>
        <v>--</v>
      </c>
      <c r="S34" s="524" t="str">
        <f t="shared" si="7"/>
        <v>--</v>
      </c>
      <c r="T34" s="525" t="str">
        <f t="shared" si="8"/>
        <v>--</v>
      </c>
      <c r="U34" s="526" t="str">
        <f t="shared" si="9"/>
        <v>--</v>
      </c>
      <c r="V34" s="527" t="str">
        <f t="shared" si="10"/>
        <v>--</v>
      </c>
      <c r="W34" s="528" t="str">
        <f t="shared" si="11"/>
        <v>--</v>
      </c>
      <c r="X34" s="529" t="str">
        <f t="shared" si="12"/>
        <v>--</v>
      </c>
      <c r="Y34" s="530" t="str">
        <f t="shared" si="13"/>
        <v>--</v>
      </c>
      <c r="Z34" s="531">
        <f t="shared" si="15"/>
      </c>
      <c r="AA34" s="40">
        <f t="shared" si="14"/>
      </c>
      <c r="AB34" s="3"/>
    </row>
    <row r="35" spans="1:28" ht="16.5" customHeight="1">
      <c r="A35" s="1"/>
      <c r="B35" s="2"/>
      <c r="C35" s="344"/>
      <c r="D35" s="344"/>
      <c r="E35" s="344"/>
      <c r="F35" s="345"/>
      <c r="G35" s="346"/>
      <c r="H35" s="347"/>
      <c r="I35" s="188">
        <f t="shared" si="0"/>
        <v>17.4305</v>
      </c>
      <c r="J35" s="352"/>
      <c r="K35" s="352"/>
      <c r="L35" s="10">
        <f t="shared" si="1"/>
      </c>
      <c r="M35" s="11">
        <f t="shared" si="2"/>
      </c>
      <c r="N35" s="353"/>
      <c r="O35" s="520">
        <f t="shared" si="3"/>
      </c>
      <c r="P35" s="521" t="str">
        <f t="shared" si="4"/>
        <v>--</v>
      </c>
      <c r="Q35" s="522" t="str">
        <f t="shared" si="5"/>
        <v>--</v>
      </c>
      <c r="R35" s="523" t="str">
        <f t="shared" si="6"/>
        <v>--</v>
      </c>
      <c r="S35" s="524" t="str">
        <f t="shared" si="7"/>
        <v>--</v>
      </c>
      <c r="T35" s="525" t="str">
        <f t="shared" si="8"/>
        <v>--</v>
      </c>
      <c r="U35" s="526" t="str">
        <f t="shared" si="9"/>
        <v>--</v>
      </c>
      <c r="V35" s="527" t="str">
        <f t="shared" si="10"/>
        <v>--</v>
      </c>
      <c r="W35" s="528" t="str">
        <f t="shared" si="11"/>
        <v>--</v>
      </c>
      <c r="X35" s="529" t="str">
        <f t="shared" si="12"/>
        <v>--</v>
      </c>
      <c r="Y35" s="530" t="str">
        <f t="shared" si="13"/>
        <v>--</v>
      </c>
      <c r="Z35" s="531">
        <f t="shared" si="15"/>
      </c>
      <c r="AA35" s="40">
        <f t="shared" si="14"/>
      </c>
      <c r="AB35" s="3"/>
    </row>
    <row r="36" spans="1:28" ht="16.5" customHeight="1">
      <c r="A36" s="1"/>
      <c r="B36" s="2"/>
      <c r="C36" s="344"/>
      <c r="D36" s="344"/>
      <c r="E36" s="344"/>
      <c r="F36" s="345"/>
      <c r="G36" s="346"/>
      <c r="H36" s="347"/>
      <c r="I36" s="188">
        <f t="shared" si="0"/>
        <v>17.4305</v>
      </c>
      <c r="J36" s="352"/>
      <c r="K36" s="352"/>
      <c r="L36" s="10">
        <f t="shared" si="1"/>
      </c>
      <c r="M36" s="11">
        <f t="shared" si="2"/>
      </c>
      <c r="N36" s="353"/>
      <c r="O36" s="520">
        <f t="shared" si="3"/>
      </c>
      <c r="P36" s="521" t="str">
        <f t="shared" si="4"/>
        <v>--</v>
      </c>
      <c r="Q36" s="522" t="str">
        <f t="shared" si="5"/>
        <v>--</v>
      </c>
      <c r="R36" s="523" t="str">
        <f t="shared" si="6"/>
        <v>--</v>
      </c>
      <c r="S36" s="524" t="str">
        <f t="shared" si="7"/>
        <v>--</v>
      </c>
      <c r="T36" s="525" t="str">
        <f t="shared" si="8"/>
        <v>--</v>
      </c>
      <c r="U36" s="526" t="str">
        <f t="shared" si="9"/>
        <v>--</v>
      </c>
      <c r="V36" s="527" t="str">
        <f t="shared" si="10"/>
        <v>--</v>
      </c>
      <c r="W36" s="528" t="str">
        <f t="shared" si="11"/>
        <v>--</v>
      </c>
      <c r="X36" s="529" t="str">
        <f t="shared" si="12"/>
        <v>--</v>
      </c>
      <c r="Y36" s="530" t="str">
        <f t="shared" si="13"/>
        <v>--</v>
      </c>
      <c r="Z36" s="531">
        <f t="shared" si="15"/>
      </c>
      <c r="AA36" s="40">
        <f t="shared" si="14"/>
      </c>
      <c r="AB36" s="3"/>
    </row>
    <row r="37" spans="1:28" ht="16.5" customHeight="1">
      <c r="A37" s="1"/>
      <c r="B37" s="2"/>
      <c r="C37" s="344"/>
      <c r="D37" s="344"/>
      <c r="E37" s="344"/>
      <c r="F37" s="345"/>
      <c r="G37" s="346"/>
      <c r="H37" s="347"/>
      <c r="I37" s="188">
        <f t="shared" si="0"/>
        <v>17.4305</v>
      </c>
      <c r="J37" s="352"/>
      <c r="K37" s="352"/>
      <c r="L37" s="10">
        <f t="shared" si="1"/>
      </c>
      <c r="M37" s="11">
        <f t="shared" si="2"/>
      </c>
      <c r="N37" s="353"/>
      <c r="O37" s="520">
        <f t="shared" si="3"/>
      </c>
      <c r="P37" s="521" t="str">
        <f t="shared" si="4"/>
        <v>--</v>
      </c>
      <c r="Q37" s="522" t="str">
        <f t="shared" si="5"/>
        <v>--</v>
      </c>
      <c r="R37" s="523" t="str">
        <f t="shared" si="6"/>
        <v>--</v>
      </c>
      <c r="S37" s="524" t="str">
        <f t="shared" si="7"/>
        <v>--</v>
      </c>
      <c r="T37" s="525" t="str">
        <f t="shared" si="8"/>
        <v>--</v>
      </c>
      <c r="U37" s="526" t="str">
        <f t="shared" si="9"/>
        <v>--</v>
      </c>
      <c r="V37" s="527" t="str">
        <f t="shared" si="10"/>
        <v>--</v>
      </c>
      <c r="W37" s="528" t="str">
        <f t="shared" si="11"/>
        <v>--</v>
      </c>
      <c r="X37" s="529" t="str">
        <f t="shared" si="12"/>
        <v>--</v>
      </c>
      <c r="Y37" s="530" t="str">
        <f t="shared" si="13"/>
        <v>--</v>
      </c>
      <c r="Z37" s="531">
        <f t="shared" si="15"/>
      </c>
      <c r="AA37" s="40">
        <f t="shared" si="14"/>
      </c>
      <c r="AB37" s="3"/>
    </row>
    <row r="38" spans="2:28" ht="16.5" customHeight="1">
      <c r="B38" s="41"/>
      <c r="C38" s="344"/>
      <c r="D38" s="344"/>
      <c r="E38" s="344"/>
      <c r="F38" s="345"/>
      <c r="G38" s="346"/>
      <c r="H38" s="347"/>
      <c r="I38" s="188">
        <f t="shared" si="0"/>
        <v>17.4305</v>
      </c>
      <c r="J38" s="352"/>
      <c r="K38" s="352"/>
      <c r="L38" s="10">
        <f t="shared" si="1"/>
      </c>
      <c r="M38" s="11">
        <f t="shared" si="2"/>
      </c>
      <c r="N38" s="353"/>
      <c r="O38" s="520">
        <f t="shared" si="3"/>
      </c>
      <c r="P38" s="521" t="str">
        <f t="shared" si="4"/>
        <v>--</v>
      </c>
      <c r="Q38" s="522" t="str">
        <f t="shared" si="5"/>
        <v>--</v>
      </c>
      <c r="R38" s="523" t="str">
        <f t="shared" si="6"/>
        <v>--</v>
      </c>
      <c r="S38" s="524" t="str">
        <f t="shared" si="7"/>
        <v>--</v>
      </c>
      <c r="T38" s="525" t="str">
        <f t="shared" si="8"/>
        <v>--</v>
      </c>
      <c r="U38" s="526" t="str">
        <f t="shared" si="9"/>
        <v>--</v>
      </c>
      <c r="V38" s="527" t="str">
        <f t="shared" si="10"/>
        <v>--</v>
      </c>
      <c r="W38" s="528" t="str">
        <f t="shared" si="11"/>
        <v>--</v>
      </c>
      <c r="X38" s="529" t="str">
        <f t="shared" si="12"/>
        <v>--</v>
      </c>
      <c r="Y38" s="530" t="str">
        <f t="shared" si="13"/>
        <v>--</v>
      </c>
      <c r="Z38" s="531">
        <f t="shared" si="15"/>
      </c>
      <c r="AA38" s="40">
        <f t="shared" si="14"/>
      </c>
      <c r="AB38" s="3"/>
    </row>
    <row r="39" spans="2:28" ht="16.5" customHeight="1">
      <c r="B39" s="41"/>
      <c r="C39" s="344"/>
      <c r="D39" s="344"/>
      <c r="E39" s="344"/>
      <c r="F39" s="345"/>
      <c r="G39" s="346"/>
      <c r="H39" s="347"/>
      <c r="I39" s="188">
        <f t="shared" si="0"/>
        <v>17.4305</v>
      </c>
      <c r="J39" s="352"/>
      <c r="K39" s="352"/>
      <c r="L39" s="10">
        <f t="shared" si="1"/>
      </c>
      <c r="M39" s="11">
        <f t="shared" si="2"/>
      </c>
      <c r="N39" s="353"/>
      <c r="O39" s="520">
        <f t="shared" si="3"/>
      </c>
      <c r="P39" s="521" t="str">
        <f t="shared" si="4"/>
        <v>--</v>
      </c>
      <c r="Q39" s="522" t="str">
        <f t="shared" si="5"/>
        <v>--</v>
      </c>
      <c r="R39" s="523" t="str">
        <f t="shared" si="6"/>
        <v>--</v>
      </c>
      <c r="S39" s="524" t="str">
        <f t="shared" si="7"/>
        <v>--</v>
      </c>
      <c r="T39" s="525" t="str">
        <f t="shared" si="8"/>
        <v>--</v>
      </c>
      <c r="U39" s="526" t="str">
        <f t="shared" si="9"/>
        <v>--</v>
      </c>
      <c r="V39" s="527" t="str">
        <f t="shared" si="10"/>
        <v>--</v>
      </c>
      <c r="W39" s="528" t="str">
        <f t="shared" si="11"/>
        <v>--</v>
      </c>
      <c r="X39" s="529" t="str">
        <f t="shared" si="12"/>
        <v>--</v>
      </c>
      <c r="Y39" s="530" t="str">
        <f t="shared" si="13"/>
        <v>--</v>
      </c>
      <c r="Z39" s="531">
        <f t="shared" si="15"/>
      </c>
      <c r="AA39" s="40">
        <f t="shared" si="14"/>
      </c>
      <c r="AB39" s="3"/>
    </row>
    <row r="40" spans="2:28" ht="16.5" customHeight="1">
      <c r="B40" s="41"/>
      <c r="C40" s="344"/>
      <c r="D40" s="344"/>
      <c r="E40" s="344"/>
      <c r="F40" s="345"/>
      <c r="G40" s="346"/>
      <c r="H40" s="347"/>
      <c r="I40" s="188">
        <f t="shared" si="0"/>
        <v>17.4305</v>
      </c>
      <c r="J40" s="352"/>
      <c r="K40" s="352"/>
      <c r="L40" s="10">
        <f t="shared" si="1"/>
      </c>
      <c r="M40" s="11">
        <f t="shared" si="2"/>
      </c>
      <c r="N40" s="353"/>
      <c r="O40" s="520">
        <f t="shared" si="3"/>
      </c>
      <c r="P40" s="521" t="str">
        <f t="shared" si="4"/>
        <v>--</v>
      </c>
      <c r="Q40" s="522" t="str">
        <f t="shared" si="5"/>
        <v>--</v>
      </c>
      <c r="R40" s="523" t="str">
        <f t="shared" si="6"/>
        <v>--</v>
      </c>
      <c r="S40" s="524" t="str">
        <f t="shared" si="7"/>
        <v>--</v>
      </c>
      <c r="T40" s="525" t="str">
        <f t="shared" si="8"/>
        <v>--</v>
      </c>
      <c r="U40" s="526" t="str">
        <f t="shared" si="9"/>
        <v>--</v>
      </c>
      <c r="V40" s="527" t="str">
        <f t="shared" si="10"/>
        <v>--</v>
      </c>
      <c r="W40" s="528" t="str">
        <f t="shared" si="11"/>
        <v>--</v>
      </c>
      <c r="X40" s="529" t="str">
        <f t="shared" si="12"/>
        <v>--</v>
      </c>
      <c r="Y40" s="530" t="str">
        <f t="shared" si="13"/>
        <v>--</v>
      </c>
      <c r="Z40" s="531">
        <f t="shared" si="15"/>
      </c>
      <c r="AA40" s="40">
        <f t="shared" si="14"/>
      </c>
      <c r="AB40" s="3"/>
    </row>
    <row r="41" spans="2:28" ht="16.5" customHeight="1">
      <c r="B41" s="41"/>
      <c r="C41" s="344"/>
      <c r="D41" s="344"/>
      <c r="E41" s="344"/>
      <c r="F41" s="345"/>
      <c r="G41" s="346"/>
      <c r="H41" s="347"/>
      <c r="I41" s="188">
        <f t="shared" si="0"/>
        <v>17.4305</v>
      </c>
      <c r="J41" s="352"/>
      <c r="K41" s="352"/>
      <c r="L41" s="10">
        <f t="shared" si="1"/>
      </c>
      <c r="M41" s="11">
        <f t="shared" si="2"/>
      </c>
      <c r="N41" s="353"/>
      <c r="O41" s="520">
        <f t="shared" si="3"/>
      </c>
      <c r="P41" s="521" t="str">
        <f t="shared" si="4"/>
        <v>--</v>
      </c>
      <c r="Q41" s="522" t="str">
        <f t="shared" si="5"/>
        <v>--</v>
      </c>
      <c r="R41" s="523" t="str">
        <f t="shared" si="6"/>
        <v>--</v>
      </c>
      <c r="S41" s="524" t="str">
        <f t="shared" si="7"/>
        <v>--</v>
      </c>
      <c r="T41" s="525" t="str">
        <f t="shared" si="8"/>
        <v>--</v>
      </c>
      <c r="U41" s="526" t="str">
        <f t="shared" si="9"/>
        <v>--</v>
      </c>
      <c r="V41" s="527" t="str">
        <f t="shared" si="10"/>
        <v>--</v>
      </c>
      <c r="W41" s="528" t="str">
        <f t="shared" si="11"/>
        <v>--</v>
      </c>
      <c r="X41" s="529" t="str">
        <f t="shared" si="12"/>
        <v>--</v>
      </c>
      <c r="Y41" s="530" t="str">
        <f t="shared" si="13"/>
        <v>--</v>
      </c>
      <c r="Z41" s="531">
        <f t="shared" si="15"/>
      </c>
      <c r="AA41" s="40">
        <f t="shared" si="14"/>
      </c>
      <c r="AB41" s="3"/>
    </row>
    <row r="42" spans="1:28" ht="16.5" customHeight="1" thickBot="1">
      <c r="A42" s="1"/>
      <c r="B42" s="2"/>
      <c r="C42" s="348"/>
      <c r="D42" s="348"/>
      <c r="E42" s="348"/>
      <c r="F42" s="349"/>
      <c r="G42" s="350"/>
      <c r="H42" s="351"/>
      <c r="I42" s="569"/>
      <c r="J42" s="351"/>
      <c r="K42" s="351"/>
      <c r="L42" s="12"/>
      <c r="M42" s="12"/>
      <c r="N42" s="351"/>
      <c r="O42" s="354"/>
      <c r="P42" s="355"/>
      <c r="Q42" s="356"/>
      <c r="R42" s="357"/>
      <c r="S42" s="358"/>
      <c r="T42" s="359"/>
      <c r="U42" s="360"/>
      <c r="V42" s="361"/>
      <c r="W42" s="362"/>
      <c r="X42" s="363"/>
      <c r="Y42" s="364"/>
      <c r="Z42" s="365"/>
      <c r="AA42" s="42"/>
      <c r="AB42" s="3"/>
    </row>
    <row r="43" spans="1:28" ht="16.5" customHeight="1" thickBot="1" thickTop="1">
      <c r="A43" s="1"/>
      <c r="B43" s="2"/>
      <c r="C43" s="171" t="s">
        <v>45</v>
      </c>
      <c r="D43" s="546" t="s">
        <v>128</v>
      </c>
      <c r="E43" s="515"/>
      <c r="F43" s="172"/>
      <c r="G43" s="13"/>
      <c r="H43" s="14"/>
      <c r="I43" s="43"/>
      <c r="J43" s="43"/>
      <c r="K43" s="43"/>
      <c r="L43" s="43"/>
      <c r="M43" s="43"/>
      <c r="N43" s="43"/>
      <c r="O43" s="44"/>
      <c r="P43" s="229">
        <f aca="true" t="shared" si="16" ref="P43:Y43">ROUND(SUM(P20:P42),2)</f>
        <v>0</v>
      </c>
      <c r="Q43" s="230">
        <f t="shared" si="16"/>
        <v>0</v>
      </c>
      <c r="R43" s="231">
        <f t="shared" si="16"/>
        <v>2677.32</v>
      </c>
      <c r="S43" s="231">
        <f t="shared" si="16"/>
        <v>7442.96</v>
      </c>
      <c r="T43" s="232">
        <f t="shared" si="16"/>
        <v>0</v>
      </c>
      <c r="U43" s="233">
        <f t="shared" si="16"/>
        <v>0</v>
      </c>
      <c r="V43" s="233">
        <f t="shared" si="16"/>
        <v>0</v>
      </c>
      <c r="W43" s="234">
        <f t="shared" si="16"/>
        <v>0</v>
      </c>
      <c r="X43" s="235">
        <f t="shared" si="16"/>
        <v>0</v>
      </c>
      <c r="Y43" s="236">
        <f t="shared" si="16"/>
        <v>0</v>
      </c>
      <c r="Z43" s="45"/>
      <c r="AA43" s="519">
        <f>ROUND(SUM(AA20:AA42),2)</f>
        <v>10120.29</v>
      </c>
      <c r="AB43" s="46"/>
    </row>
    <row r="44" spans="1:28" s="186" customFormat="1" ht="9.75" thickTop="1">
      <c r="A44" s="175"/>
      <c r="B44" s="176"/>
      <c r="C44" s="173"/>
      <c r="D44" s="173"/>
      <c r="E44" s="173"/>
      <c r="F44" s="174"/>
      <c r="G44" s="177"/>
      <c r="H44" s="178"/>
      <c r="I44" s="179"/>
      <c r="J44" s="179"/>
      <c r="K44" s="179"/>
      <c r="L44" s="179"/>
      <c r="M44" s="179"/>
      <c r="N44" s="179"/>
      <c r="O44" s="180"/>
      <c r="P44" s="181"/>
      <c r="Q44" s="181"/>
      <c r="R44" s="182"/>
      <c r="S44" s="182"/>
      <c r="T44" s="183"/>
      <c r="U44" s="183"/>
      <c r="V44" s="183"/>
      <c r="W44" s="183"/>
      <c r="X44" s="183"/>
      <c r="Y44" s="183"/>
      <c r="Z44" s="183"/>
      <c r="AA44" s="184"/>
      <c r="AB44" s="185"/>
    </row>
    <row r="45" spans="1:28" s="8" customFormat="1" ht="16.5" customHeight="1" thickBot="1">
      <c r="A45" s="6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">
      <selection activeCell="I34" sqref="I34"/>
    </sheetView>
  </sheetViews>
  <sheetFormatPr defaultColWidth="11.421875" defaultRowHeight="12.75"/>
  <cols>
    <col min="1" max="2" width="4.140625" style="476" customWidth="1"/>
    <col min="3" max="3" width="5.57421875" style="476" customWidth="1"/>
    <col min="4" max="5" width="13.7109375" style="476" customWidth="1"/>
    <col min="6" max="6" width="30.140625" style="476" customWidth="1"/>
    <col min="7" max="7" width="25.7109375" style="476" customWidth="1"/>
    <col min="8" max="8" width="7.7109375" style="476" customWidth="1"/>
    <col min="9" max="9" width="12.7109375" style="476" customWidth="1"/>
    <col min="10" max="10" width="11.8515625" style="476" hidden="1" customWidth="1"/>
    <col min="11" max="12" width="15.7109375" style="476" customWidth="1"/>
    <col min="13" max="15" width="9.7109375" style="476" customWidth="1"/>
    <col min="16" max="16" width="5.8515625" style="476" customWidth="1"/>
    <col min="17" max="18" width="7.00390625" style="476" customWidth="1"/>
    <col min="19" max="19" width="11.7109375" style="476" hidden="1" customWidth="1"/>
    <col min="20" max="21" width="14.00390625" style="476" hidden="1" customWidth="1"/>
    <col min="22" max="22" width="14.28125" style="476" hidden="1" customWidth="1"/>
    <col min="23" max="27" width="14.140625" style="476" hidden="1" customWidth="1"/>
    <col min="28" max="28" width="9.00390625" style="476" customWidth="1"/>
    <col min="29" max="29" width="15.7109375" style="476" customWidth="1"/>
    <col min="30" max="30" width="4.140625" style="476" customWidth="1"/>
    <col min="31" max="16384" width="11.421875" style="476" customWidth="1"/>
  </cols>
  <sheetData>
    <row r="1" spans="1:30" s="383" customFormat="1" ht="26.25">
      <c r="A1" s="84"/>
      <c r="B1" s="84"/>
      <c r="C1" s="84"/>
      <c r="D1" s="84"/>
      <c r="E1" s="84"/>
      <c r="F1" s="84"/>
      <c r="G1" s="84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2"/>
    </row>
    <row r="2" spans="1:30" s="383" customFormat="1" ht="26.25">
      <c r="A2" s="84"/>
      <c r="B2" s="85" t="str">
        <f>+'TOT-0810'!B2</f>
        <v>ANEXO II al Memorandum  D.T.E.E.  N°   271 / 2012</v>
      </c>
      <c r="C2" s="86"/>
      <c r="D2" s="86"/>
      <c r="E2" s="86"/>
      <c r="F2" s="86"/>
      <c r="G2" s="86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</row>
    <row r="3" spans="1:30" s="386" customFormat="1" ht="12.75">
      <c r="A3" s="8"/>
      <c r="B3" s="8"/>
      <c r="C3" s="8"/>
      <c r="D3" s="8"/>
      <c r="E3" s="8"/>
      <c r="F3" s="8"/>
      <c r="G3" s="8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</row>
    <row r="4" spans="1:30" s="388" customFormat="1" ht="11.25">
      <c r="A4" s="518" t="s">
        <v>6</v>
      </c>
      <c r="B4" s="87"/>
      <c r="C4" s="517"/>
      <c r="D4" s="517"/>
      <c r="E4" s="517"/>
      <c r="F4" s="87"/>
      <c r="G4" s="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</row>
    <row r="5" spans="1:30" s="388" customFormat="1" ht="11.25">
      <c r="A5" s="518" t="s">
        <v>111</v>
      </c>
      <c r="B5" s="87"/>
      <c r="C5" s="517"/>
      <c r="D5" s="517"/>
      <c r="E5" s="517"/>
      <c r="F5" s="87"/>
      <c r="G5" s="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</row>
    <row r="6" spans="1:30" s="386" customFormat="1" ht="13.5" thickBot="1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</row>
    <row r="7" spans="1:30" s="386" customFormat="1" ht="13.5" thickTop="1">
      <c r="A7" s="385"/>
      <c r="B7" s="389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1"/>
    </row>
    <row r="8" spans="1:30" s="395" customFormat="1" ht="20.25">
      <c r="A8" s="392"/>
      <c r="B8" s="393"/>
      <c r="C8" s="149"/>
      <c r="D8" s="149"/>
      <c r="E8" s="149"/>
      <c r="F8" s="394" t="s">
        <v>21</v>
      </c>
      <c r="H8" s="149"/>
      <c r="I8" s="392"/>
      <c r="J8" s="392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396"/>
    </row>
    <row r="9" spans="1:30" s="386" customFormat="1" ht="12.75">
      <c r="A9" s="385"/>
      <c r="B9" s="397"/>
      <c r="C9" s="146"/>
      <c r="D9" s="146"/>
      <c r="E9" s="146"/>
      <c r="F9" s="146"/>
      <c r="G9" s="146"/>
      <c r="H9" s="146"/>
      <c r="I9" s="38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398"/>
    </row>
    <row r="10" spans="1:30" s="395" customFormat="1" ht="20.25">
      <c r="A10" s="392"/>
      <c r="B10" s="393"/>
      <c r="C10" s="149"/>
      <c r="D10" s="149"/>
      <c r="E10" s="149"/>
      <c r="F10" s="394" t="s">
        <v>46</v>
      </c>
      <c r="G10" s="149"/>
      <c r="H10" s="149"/>
      <c r="I10" s="392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396"/>
    </row>
    <row r="11" spans="1:30" s="386" customFormat="1" ht="12.75">
      <c r="A11" s="385"/>
      <c r="B11" s="397"/>
      <c r="C11" s="146"/>
      <c r="D11" s="146"/>
      <c r="E11" s="146"/>
      <c r="F11" s="399"/>
      <c r="G11" s="146"/>
      <c r="H11" s="146"/>
      <c r="I11" s="385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398"/>
    </row>
    <row r="12" spans="1:30" s="395" customFormat="1" ht="20.25">
      <c r="A12" s="392"/>
      <c r="B12" s="393"/>
      <c r="C12" s="149"/>
      <c r="D12" s="149"/>
      <c r="E12" s="149"/>
      <c r="F12" s="394" t="s">
        <v>47</v>
      </c>
      <c r="G12" s="400"/>
      <c r="H12" s="392"/>
      <c r="I12" s="392"/>
      <c r="J12" s="149"/>
      <c r="K12" s="149"/>
      <c r="L12" s="392"/>
      <c r="M12" s="392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396"/>
    </row>
    <row r="13" spans="1:30" s="386" customFormat="1" ht="12.75">
      <c r="A13" s="385"/>
      <c r="B13" s="397"/>
      <c r="C13" s="146"/>
      <c r="D13" s="146"/>
      <c r="E13" s="146"/>
      <c r="F13" s="401"/>
      <c r="G13" s="402"/>
      <c r="H13" s="385"/>
      <c r="I13" s="385"/>
      <c r="J13" s="146"/>
      <c r="K13" s="146"/>
      <c r="L13" s="385"/>
      <c r="M13" s="385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398"/>
    </row>
    <row r="14" spans="1:30" s="395" customFormat="1" ht="20.25">
      <c r="A14" s="392"/>
      <c r="B14" s="393"/>
      <c r="C14" s="149"/>
      <c r="D14" s="149"/>
      <c r="E14" s="149"/>
      <c r="F14" s="394" t="s">
        <v>48</v>
      </c>
      <c r="G14" s="150"/>
      <c r="H14" s="150"/>
      <c r="I14" s="151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396"/>
    </row>
    <row r="15" spans="1:30" s="386" customFormat="1" ht="12.75">
      <c r="A15" s="385"/>
      <c r="B15" s="397"/>
      <c r="C15" s="146"/>
      <c r="D15" s="146"/>
      <c r="E15" s="146"/>
      <c r="F15" s="403"/>
      <c r="G15" s="147"/>
      <c r="H15" s="147"/>
      <c r="I15" s="148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398"/>
    </row>
    <row r="16" spans="1:30" s="409" customFormat="1" ht="19.5">
      <c r="A16" s="404"/>
      <c r="B16" s="65" t="str">
        <f>+'TOT-0810'!B14</f>
        <v>Desde el 01 al 31 de agosto de 2010</v>
      </c>
      <c r="C16" s="405"/>
      <c r="D16" s="405"/>
      <c r="E16" s="405"/>
      <c r="F16" s="405"/>
      <c r="G16" s="405"/>
      <c r="H16" s="405"/>
      <c r="I16" s="406"/>
      <c r="J16" s="405"/>
      <c r="K16" s="407"/>
      <c r="L16" s="407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8"/>
    </row>
    <row r="17" spans="1:30" s="386" customFormat="1" ht="14.25" thickBot="1">
      <c r="A17" s="385"/>
      <c r="B17" s="397"/>
      <c r="C17" s="146"/>
      <c r="D17" s="146"/>
      <c r="E17" s="146"/>
      <c r="F17" s="146"/>
      <c r="G17" s="146"/>
      <c r="H17" s="146"/>
      <c r="I17" s="22"/>
      <c r="J17" s="146"/>
      <c r="K17" s="410"/>
      <c r="L17" s="411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398"/>
    </row>
    <row r="18" spans="1:30" s="386" customFormat="1" ht="16.5" customHeight="1" thickBot="1" thickTop="1">
      <c r="A18" s="385"/>
      <c r="B18" s="397"/>
      <c r="C18" s="146"/>
      <c r="D18" s="146"/>
      <c r="E18" s="146"/>
      <c r="F18" s="153" t="s">
        <v>49</v>
      </c>
      <c r="G18" s="154"/>
      <c r="H18" s="412"/>
      <c r="I18" s="413">
        <v>0.243</v>
      </c>
      <c r="J18" s="38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398"/>
    </row>
    <row r="19" spans="1:30" s="386" customFormat="1" ht="16.5" customHeight="1" thickBot="1" thickTop="1">
      <c r="A19" s="385"/>
      <c r="B19" s="397"/>
      <c r="C19" s="146"/>
      <c r="D19" s="146"/>
      <c r="E19" s="146"/>
      <c r="F19" s="155" t="s">
        <v>50</v>
      </c>
      <c r="G19" s="156"/>
      <c r="H19" s="156"/>
      <c r="I19" s="157">
        <v>30</v>
      </c>
      <c r="J19" s="146"/>
      <c r="K19" s="168" t="str">
        <f>IF(I19=30," ",IF(I19=60,"Coeficiente duplicado por tasa de falla &gt;4 Sal. x año/100 km.","REVISAR COEFICIENTE"))</f>
        <v> 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414"/>
      <c r="X19" s="414"/>
      <c r="Y19" s="414"/>
      <c r="Z19" s="414"/>
      <c r="AA19" s="414"/>
      <c r="AB19" s="414"/>
      <c r="AC19" s="414"/>
      <c r="AD19" s="398"/>
    </row>
    <row r="20" spans="1:30" s="545" customFormat="1" ht="16.5" customHeight="1" thickBot="1" thickTop="1">
      <c r="A20" s="541"/>
      <c r="B20" s="542"/>
      <c r="C20" s="543">
        <v>3</v>
      </c>
      <c r="D20" s="543">
        <v>4</v>
      </c>
      <c r="E20" s="543">
        <v>5</v>
      </c>
      <c r="F20" s="543">
        <v>6</v>
      </c>
      <c r="G20" s="543">
        <v>7</v>
      </c>
      <c r="H20" s="543">
        <v>8</v>
      </c>
      <c r="I20" s="543">
        <v>9</v>
      </c>
      <c r="J20" s="543">
        <v>10</v>
      </c>
      <c r="K20" s="543">
        <v>11</v>
      </c>
      <c r="L20" s="543">
        <v>12</v>
      </c>
      <c r="M20" s="543">
        <v>13</v>
      </c>
      <c r="N20" s="543">
        <v>14</v>
      </c>
      <c r="O20" s="543">
        <v>15</v>
      </c>
      <c r="P20" s="543">
        <v>16</v>
      </c>
      <c r="Q20" s="543">
        <v>17</v>
      </c>
      <c r="R20" s="543">
        <v>18</v>
      </c>
      <c r="S20" s="543">
        <v>19</v>
      </c>
      <c r="T20" s="543">
        <v>20</v>
      </c>
      <c r="U20" s="543">
        <v>21</v>
      </c>
      <c r="V20" s="543">
        <v>22</v>
      </c>
      <c r="W20" s="543">
        <v>23</v>
      </c>
      <c r="X20" s="543">
        <v>24</v>
      </c>
      <c r="Y20" s="543">
        <v>25</v>
      </c>
      <c r="Z20" s="543">
        <v>26</v>
      </c>
      <c r="AA20" s="543">
        <v>27</v>
      </c>
      <c r="AB20" s="543">
        <v>28</v>
      </c>
      <c r="AC20" s="543">
        <v>29</v>
      </c>
      <c r="AD20" s="544"/>
    </row>
    <row r="21" spans="1:30" s="424" customFormat="1" ht="33.75" customHeight="1" thickBot="1" thickTop="1">
      <c r="A21" s="415"/>
      <c r="B21" s="416"/>
      <c r="C21" s="162" t="s">
        <v>27</v>
      </c>
      <c r="D21" s="76" t="s">
        <v>110</v>
      </c>
      <c r="E21" s="76" t="s">
        <v>109</v>
      </c>
      <c r="F21" s="161" t="s">
        <v>51</v>
      </c>
      <c r="G21" s="158" t="s">
        <v>4</v>
      </c>
      <c r="H21" s="159" t="s">
        <v>52</v>
      </c>
      <c r="I21" s="161" t="s">
        <v>28</v>
      </c>
      <c r="J21" s="187" t="s">
        <v>30</v>
      </c>
      <c r="K21" s="160" t="s">
        <v>53</v>
      </c>
      <c r="L21" s="160" t="s">
        <v>54</v>
      </c>
      <c r="M21" s="161" t="s">
        <v>55</v>
      </c>
      <c r="N21" s="161" t="s">
        <v>56</v>
      </c>
      <c r="O21" s="80" t="s">
        <v>35</v>
      </c>
      <c r="P21" s="162" t="s">
        <v>57</v>
      </c>
      <c r="Q21" s="161" t="s">
        <v>58</v>
      </c>
      <c r="R21" s="158" t="s">
        <v>59</v>
      </c>
      <c r="S21" s="237" t="s">
        <v>60</v>
      </c>
      <c r="T21" s="417" t="s">
        <v>37</v>
      </c>
      <c r="U21" s="418" t="s">
        <v>38</v>
      </c>
      <c r="V21" s="239" t="s">
        <v>61</v>
      </c>
      <c r="W21" s="419"/>
      <c r="X21" s="242" t="s">
        <v>61</v>
      </c>
      <c r="Y21" s="420"/>
      <c r="Z21" s="421" t="s">
        <v>41</v>
      </c>
      <c r="AA21" s="422" t="s">
        <v>42</v>
      </c>
      <c r="AB21" s="161" t="s">
        <v>43</v>
      </c>
      <c r="AC21" s="161" t="s">
        <v>44</v>
      </c>
      <c r="AD21" s="423"/>
    </row>
    <row r="22" spans="1:30" s="386" customFormat="1" ht="16.5" customHeight="1" thickTop="1">
      <c r="A22" s="385"/>
      <c r="B22" s="397"/>
      <c r="C22" s="425"/>
      <c r="D22" s="425"/>
      <c r="E22" s="425"/>
      <c r="F22" s="426"/>
      <c r="G22" s="427"/>
      <c r="H22" s="427"/>
      <c r="I22" s="427"/>
      <c r="J22" s="428"/>
      <c r="K22" s="426"/>
      <c r="L22" s="427"/>
      <c r="M22" s="426"/>
      <c r="N22" s="426"/>
      <c r="O22" s="427"/>
      <c r="P22" s="427"/>
      <c r="Q22" s="427"/>
      <c r="R22" s="427"/>
      <c r="S22" s="429"/>
      <c r="T22" s="430"/>
      <c r="U22" s="431"/>
      <c r="V22" s="432"/>
      <c r="W22" s="433"/>
      <c r="X22" s="434"/>
      <c r="Y22" s="435"/>
      <c r="Z22" s="436"/>
      <c r="AA22" s="437"/>
      <c r="AB22" s="427"/>
      <c r="AC22" s="438"/>
      <c r="AD22" s="398"/>
    </row>
    <row r="23" spans="1:30" s="386" customFormat="1" ht="16.5" customHeight="1">
      <c r="A23" s="385"/>
      <c r="B23" s="397"/>
      <c r="C23" s="425"/>
      <c r="D23" s="425"/>
      <c r="E23" s="425"/>
      <c r="F23" s="439"/>
      <c r="G23" s="439"/>
      <c r="H23" s="439"/>
      <c r="I23" s="439"/>
      <c r="J23" s="440"/>
      <c r="K23" s="441"/>
      <c r="L23" s="439"/>
      <c r="M23" s="441"/>
      <c r="N23" s="441"/>
      <c r="O23" s="439"/>
      <c r="P23" s="439"/>
      <c r="Q23" s="439"/>
      <c r="R23" s="439"/>
      <c r="S23" s="442"/>
      <c r="T23" s="443"/>
      <c r="U23" s="444"/>
      <c r="V23" s="445"/>
      <c r="W23" s="446"/>
      <c r="X23" s="447"/>
      <c r="Y23" s="448"/>
      <c r="Z23" s="449"/>
      <c r="AA23" s="450"/>
      <c r="AB23" s="439"/>
      <c r="AC23" s="451"/>
      <c r="AD23" s="398"/>
    </row>
    <row r="24" spans="1:30" s="386" customFormat="1" ht="16.5" customHeight="1">
      <c r="A24" s="385"/>
      <c r="B24" s="397"/>
      <c r="C24" s="479">
        <v>7</v>
      </c>
      <c r="D24" s="479">
        <v>225039</v>
      </c>
      <c r="E24" s="479">
        <v>1811</v>
      </c>
      <c r="F24" s="345" t="s">
        <v>120</v>
      </c>
      <c r="G24" s="344" t="s">
        <v>121</v>
      </c>
      <c r="H24" s="480">
        <v>15</v>
      </c>
      <c r="I24" s="512" t="s">
        <v>122</v>
      </c>
      <c r="J24" s="188">
        <f aca="true" t="shared" si="0" ref="J24:J43">H24*$I$18</f>
        <v>3.645</v>
      </c>
      <c r="K24" s="483">
        <v>40399.427083333336</v>
      </c>
      <c r="L24" s="483">
        <v>40399.47083333333</v>
      </c>
      <c r="M24" s="18">
        <f aca="true" t="shared" si="1" ref="M24:M43">IF(F24="","",(L24-K24)*24)</f>
        <v>1.0499999999301508</v>
      </c>
      <c r="N24" s="19">
        <f aca="true" t="shared" si="2" ref="N24:N43">IF(F24="","",ROUND((L24-K24)*24*60,0))</f>
        <v>63</v>
      </c>
      <c r="O24" s="484" t="s">
        <v>119</v>
      </c>
      <c r="P24" s="17" t="str">
        <f aca="true" t="shared" si="3" ref="P24:P43">IF(F24="","",IF(OR(O24="P",O24="RP"),"--","NO"))</f>
        <v>--</v>
      </c>
      <c r="Q24" s="532" t="str">
        <f aca="true" t="shared" si="4" ref="Q24:Q43">IF(F24="","","--")</f>
        <v>--</v>
      </c>
      <c r="R24" s="17" t="str">
        <f aca="true" t="shared" si="5" ref="R24:R43">IF(F24="","","NO")</f>
        <v>NO</v>
      </c>
      <c r="S24" s="238">
        <f aca="true" t="shared" si="6" ref="S24:S43">$I$19*IF(OR(O24="P",O24="RP"),0.1,1)*IF(R24="SI",1,0.1)</f>
        <v>0.30000000000000004</v>
      </c>
      <c r="T24" s="533">
        <f aca="true" t="shared" si="7" ref="T24:T43">IF(O24="P",J24*S24*ROUND(N24/60,2),"--")</f>
        <v>1.1481750000000002</v>
      </c>
      <c r="U24" s="534" t="str">
        <f aca="true" t="shared" si="8" ref="U24:U43">IF(O24="RP",J24*S24*ROUND(N24/60,2)*Q24/100,"--")</f>
        <v>--</v>
      </c>
      <c r="V24" s="240" t="str">
        <f aca="true" t="shared" si="9" ref="V24:V43">IF(AND(O24="F",P24="NO"),J24*S24,"--")</f>
        <v>--</v>
      </c>
      <c r="W24" s="241" t="str">
        <f aca="true" t="shared" si="10" ref="W24:W43">IF(O24="F",J24*S24*ROUND(N24/60,2),"--")</f>
        <v>--</v>
      </c>
      <c r="X24" s="243" t="str">
        <f aca="true" t="shared" si="11" ref="X24:X43">IF(AND(O24="R",P24="NO"),J24*S24*Q24/100,"--")</f>
        <v>--</v>
      </c>
      <c r="Y24" s="244" t="str">
        <f aca="true" t="shared" si="12" ref="Y24:Y43">IF(O24="R",J24*S24*ROUND(N24/60,2)*Q24/100,"--")</f>
        <v>--</v>
      </c>
      <c r="Z24" s="245" t="str">
        <f aca="true" t="shared" si="13" ref="Z24:Z43">IF(O24="RF",J24*S24*ROUND(N24/60,2),"--")</f>
        <v>--</v>
      </c>
      <c r="AA24" s="246" t="str">
        <f aca="true" t="shared" si="14" ref="AA24:AA43">IF(O24="RR",J24*S24*ROUND(N24/60,2)*Q24/100,"--")</f>
        <v>--</v>
      </c>
      <c r="AB24" s="17" t="s">
        <v>118</v>
      </c>
      <c r="AC24" s="452">
        <f aca="true" t="shared" si="15" ref="AC24:AC43">IF(F24="","",SUM(T24:AA24)*IF(AB24="SI",1,2))</f>
        <v>1.1481750000000002</v>
      </c>
      <c r="AD24" s="453"/>
    </row>
    <row r="25" spans="1:30" s="386" customFormat="1" ht="16.5" customHeight="1">
      <c r="A25" s="385"/>
      <c r="B25" s="397"/>
      <c r="C25" s="479">
        <v>8</v>
      </c>
      <c r="D25" s="479">
        <v>225534</v>
      </c>
      <c r="E25" s="479">
        <v>1797</v>
      </c>
      <c r="F25" s="345" t="s">
        <v>123</v>
      </c>
      <c r="G25" s="344" t="s">
        <v>124</v>
      </c>
      <c r="H25" s="480">
        <v>40</v>
      </c>
      <c r="I25" s="512" t="s">
        <v>122</v>
      </c>
      <c r="J25" s="188">
        <f t="shared" si="0"/>
        <v>9.719999999999999</v>
      </c>
      <c r="K25" s="483">
        <v>40421.95625</v>
      </c>
      <c r="L25" s="483">
        <v>40421.96597222222</v>
      </c>
      <c r="M25" s="18">
        <f t="shared" si="1"/>
        <v>0.23333333322079852</v>
      </c>
      <c r="N25" s="19">
        <f t="shared" si="2"/>
        <v>14</v>
      </c>
      <c r="O25" s="484" t="s">
        <v>117</v>
      </c>
      <c r="P25" s="17" t="str">
        <f t="shared" si="3"/>
        <v>NO</v>
      </c>
      <c r="Q25" s="532" t="str">
        <f t="shared" si="4"/>
        <v>--</v>
      </c>
      <c r="R25" s="17" t="s">
        <v>118</v>
      </c>
      <c r="S25" s="238">
        <f t="shared" si="6"/>
        <v>30</v>
      </c>
      <c r="T25" s="533" t="str">
        <f t="shared" si="7"/>
        <v>--</v>
      </c>
      <c r="U25" s="534" t="str">
        <f t="shared" si="8"/>
        <v>--</v>
      </c>
      <c r="V25" s="240">
        <f t="shared" si="9"/>
        <v>291.59999999999997</v>
      </c>
      <c r="W25" s="241">
        <f t="shared" si="10"/>
        <v>67.068</v>
      </c>
      <c r="X25" s="243" t="str">
        <f t="shared" si="11"/>
        <v>--</v>
      </c>
      <c r="Y25" s="244" t="str">
        <f t="shared" si="12"/>
        <v>--</v>
      </c>
      <c r="Z25" s="245" t="str">
        <f t="shared" si="13"/>
        <v>--</v>
      </c>
      <c r="AA25" s="246" t="str">
        <f t="shared" si="14"/>
        <v>--</v>
      </c>
      <c r="AB25" s="17" t="s">
        <v>118</v>
      </c>
      <c r="AC25" s="452">
        <f t="shared" si="15"/>
        <v>358.66799999999995</v>
      </c>
      <c r="AD25" s="453"/>
    </row>
    <row r="26" spans="1:30" s="386" customFormat="1" ht="16.5" customHeight="1">
      <c r="A26" s="385"/>
      <c r="B26" s="397"/>
      <c r="C26" s="479"/>
      <c r="D26" s="479"/>
      <c r="E26" s="479"/>
      <c r="F26" s="345"/>
      <c r="G26" s="344"/>
      <c r="H26" s="480"/>
      <c r="I26" s="481"/>
      <c r="J26" s="188">
        <f t="shared" si="0"/>
        <v>0</v>
      </c>
      <c r="K26" s="483"/>
      <c r="L26" s="483"/>
      <c r="M26" s="18">
        <f t="shared" si="1"/>
      </c>
      <c r="N26" s="19">
        <f t="shared" si="2"/>
      </c>
      <c r="O26" s="484"/>
      <c r="P26" s="17">
        <f t="shared" si="3"/>
      </c>
      <c r="Q26" s="532">
        <f t="shared" si="4"/>
      </c>
      <c r="R26" s="17">
        <f t="shared" si="5"/>
      </c>
      <c r="S26" s="238">
        <f t="shared" si="6"/>
        <v>3</v>
      </c>
      <c r="T26" s="533" t="str">
        <f t="shared" si="7"/>
        <v>--</v>
      </c>
      <c r="U26" s="534" t="str">
        <f t="shared" si="8"/>
        <v>--</v>
      </c>
      <c r="V26" s="240" t="str">
        <f t="shared" si="9"/>
        <v>--</v>
      </c>
      <c r="W26" s="241" t="str">
        <f t="shared" si="10"/>
        <v>--</v>
      </c>
      <c r="X26" s="243" t="str">
        <f t="shared" si="11"/>
        <v>--</v>
      </c>
      <c r="Y26" s="244" t="str">
        <f t="shared" si="12"/>
        <v>--</v>
      </c>
      <c r="Z26" s="245" t="str">
        <f t="shared" si="13"/>
        <v>--</v>
      </c>
      <c r="AA26" s="246" t="str">
        <f t="shared" si="14"/>
        <v>--</v>
      </c>
      <c r="AB26" s="17">
        <f aca="true" t="shared" si="16" ref="AB26:AB43">IF(F26="","","SI")</f>
      </c>
      <c r="AC26" s="452">
        <f t="shared" si="15"/>
      </c>
      <c r="AD26" s="453"/>
    </row>
    <row r="27" spans="1:30" s="386" customFormat="1" ht="16.5" customHeight="1">
      <c r="A27" s="385"/>
      <c r="B27" s="397"/>
      <c r="C27" s="479"/>
      <c r="D27" s="479"/>
      <c r="E27" s="479"/>
      <c r="F27" s="345"/>
      <c r="G27" s="344"/>
      <c r="H27" s="480"/>
      <c r="I27" s="481"/>
      <c r="J27" s="188">
        <f t="shared" si="0"/>
        <v>0</v>
      </c>
      <c r="K27" s="483"/>
      <c r="L27" s="483"/>
      <c r="M27" s="18">
        <f t="shared" si="1"/>
      </c>
      <c r="N27" s="19">
        <f t="shared" si="2"/>
      </c>
      <c r="O27" s="484"/>
      <c r="P27" s="17">
        <f t="shared" si="3"/>
      </c>
      <c r="Q27" s="532">
        <f t="shared" si="4"/>
      </c>
      <c r="R27" s="17">
        <f t="shared" si="5"/>
      </c>
      <c r="S27" s="238">
        <f t="shared" si="6"/>
        <v>3</v>
      </c>
      <c r="T27" s="533" t="str">
        <f t="shared" si="7"/>
        <v>--</v>
      </c>
      <c r="U27" s="534" t="str">
        <f t="shared" si="8"/>
        <v>--</v>
      </c>
      <c r="V27" s="240" t="str">
        <f t="shared" si="9"/>
        <v>--</v>
      </c>
      <c r="W27" s="241" t="str">
        <f t="shared" si="10"/>
        <v>--</v>
      </c>
      <c r="X27" s="243" t="str">
        <f t="shared" si="11"/>
        <v>--</v>
      </c>
      <c r="Y27" s="244" t="str">
        <f t="shared" si="12"/>
        <v>--</v>
      </c>
      <c r="Z27" s="245" t="str">
        <f t="shared" si="13"/>
        <v>--</v>
      </c>
      <c r="AA27" s="246" t="str">
        <f t="shared" si="14"/>
        <v>--</v>
      </c>
      <c r="AB27" s="17">
        <f t="shared" si="16"/>
      </c>
      <c r="AC27" s="452">
        <f t="shared" si="15"/>
      </c>
      <c r="AD27" s="453"/>
    </row>
    <row r="28" spans="1:30" s="386" customFormat="1" ht="16.5" customHeight="1">
      <c r="A28" s="385"/>
      <c r="B28" s="397"/>
      <c r="C28" s="479"/>
      <c r="D28" s="479"/>
      <c r="E28" s="479"/>
      <c r="F28" s="345"/>
      <c r="G28" s="344"/>
      <c r="H28" s="480"/>
      <c r="I28" s="481"/>
      <c r="J28" s="188">
        <f t="shared" si="0"/>
        <v>0</v>
      </c>
      <c r="K28" s="483"/>
      <c r="L28" s="483"/>
      <c r="M28" s="18">
        <f t="shared" si="1"/>
      </c>
      <c r="N28" s="19">
        <f t="shared" si="2"/>
      </c>
      <c r="O28" s="484"/>
      <c r="P28" s="17">
        <f t="shared" si="3"/>
      </c>
      <c r="Q28" s="532">
        <f t="shared" si="4"/>
      </c>
      <c r="R28" s="17">
        <f t="shared" si="5"/>
      </c>
      <c r="S28" s="238">
        <f t="shared" si="6"/>
        <v>3</v>
      </c>
      <c r="T28" s="533" t="str">
        <f t="shared" si="7"/>
        <v>--</v>
      </c>
      <c r="U28" s="534" t="str">
        <f t="shared" si="8"/>
        <v>--</v>
      </c>
      <c r="V28" s="240" t="str">
        <f t="shared" si="9"/>
        <v>--</v>
      </c>
      <c r="W28" s="241" t="str">
        <f t="shared" si="10"/>
        <v>--</v>
      </c>
      <c r="X28" s="243" t="str">
        <f t="shared" si="11"/>
        <v>--</v>
      </c>
      <c r="Y28" s="244" t="str">
        <f t="shared" si="12"/>
        <v>--</v>
      </c>
      <c r="Z28" s="245" t="str">
        <f t="shared" si="13"/>
        <v>--</v>
      </c>
      <c r="AA28" s="246" t="str">
        <f t="shared" si="14"/>
        <v>--</v>
      </c>
      <c r="AB28" s="17">
        <f t="shared" si="16"/>
      </c>
      <c r="AC28" s="452">
        <f t="shared" si="15"/>
      </c>
      <c r="AD28" s="453"/>
    </row>
    <row r="29" spans="1:30" s="386" customFormat="1" ht="16.5" customHeight="1">
      <c r="A29" s="385"/>
      <c r="B29" s="397"/>
      <c r="C29" s="479"/>
      <c r="D29" s="479"/>
      <c r="E29" s="479"/>
      <c r="F29" s="345"/>
      <c r="G29" s="344"/>
      <c r="H29" s="480"/>
      <c r="I29" s="481"/>
      <c r="J29" s="188">
        <f t="shared" si="0"/>
        <v>0</v>
      </c>
      <c r="K29" s="483"/>
      <c r="L29" s="483"/>
      <c r="M29" s="18">
        <f t="shared" si="1"/>
      </c>
      <c r="N29" s="19">
        <f t="shared" si="2"/>
      </c>
      <c r="O29" s="484"/>
      <c r="P29" s="17">
        <f t="shared" si="3"/>
      </c>
      <c r="Q29" s="532">
        <f t="shared" si="4"/>
      </c>
      <c r="R29" s="17">
        <f t="shared" si="5"/>
      </c>
      <c r="S29" s="238">
        <f t="shared" si="6"/>
        <v>3</v>
      </c>
      <c r="T29" s="533" t="str">
        <f t="shared" si="7"/>
        <v>--</v>
      </c>
      <c r="U29" s="534" t="str">
        <f t="shared" si="8"/>
        <v>--</v>
      </c>
      <c r="V29" s="240" t="str">
        <f t="shared" si="9"/>
        <v>--</v>
      </c>
      <c r="W29" s="241" t="str">
        <f t="shared" si="10"/>
        <v>--</v>
      </c>
      <c r="X29" s="243" t="str">
        <f t="shared" si="11"/>
        <v>--</v>
      </c>
      <c r="Y29" s="244" t="str">
        <f t="shared" si="12"/>
        <v>--</v>
      </c>
      <c r="Z29" s="245" t="str">
        <f t="shared" si="13"/>
        <v>--</v>
      </c>
      <c r="AA29" s="246" t="str">
        <f t="shared" si="14"/>
        <v>--</v>
      </c>
      <c r="AB29" s="17">
        <f t="shared" si="16"/>
      </c>
      <c r="AC29" s="452">
        <f t="shared" si="15"/>
      </c>
      <c r="AD29" s="453"/>
    </row>
    <row r="30" spans="1:30" s="386" customFormat="1" ht="16.5" customHeight="1">
      <c r="A30" s="385"/>
      <c r="B30" s="397"/>
      <c r="C30" s="479"/>
      <c r="D30" s="479"/>
      <c r="E30" s="479"/>
      <c r="F30" s="345"/>
      <c r="G30" s="344"/>
      <c r="H30" s="480"/>
      <c r="I30" s="512"/>
      <c r="J30" s="188">
        <f t="shared" si="0"/>
        <v>0</v>
      </c>
      <c r="K30" s="483"/>
      <c r="L30" s="483"/>
      <c r="M30" s="18">
        <f t="shared" si="1"/>
      </c>
      <c r="N30" s="19">
        <f t="shared" si="2"/>
      </c>
      <c r="O30" s="484"/>
      <c r="P30" s="17">
        <f t="shared" si="3"/>
      </c>
      <c r="Q30" s="532">
        <f t="shared" si="4"/>
      </c>
      <c r="R30" s="17">
        <f t="shared" si="5"/>
      </c>
      <c r="S30" s="238">
        <f t="shared" si="6"/>
        <v>3</v>
      </c>
      <c r="T30" s="533" t="str">
        <f t="shared" si="7"/>
        <v>--</v>
      </c>
      <c r="U30" s="534" t="str">
        <f t="shared" si="8"/>
        <v>--</v>
      </c>
      <c r="V30" s="240" t="str">
        <f t="shared" si="9"/>
        <v>--</v>
      </c>
      <c r="W30" s="241" t="str">
        <f t="shared" si="10"/>
        <v>--</v>
      </c>
      <c r="X30" s="243" t="str">
        <f t="shared" si="11"/>
        <v>--</v>
      </c>
      <c r="Y30" s="244" t="str">
        <f t="shared" si="12"/>
        <v>--</v>
      </c>
      <c r="Z30" s="245" t="str">
        <f t="shared" si="13"/>
        <v>--</v>
      </c>
      <c r="AA30" s="246" t="str">
        <f t="shared" si="14"/>
        <v>--</v>
      </c>
      <c r="AB30" s="17">
        <f t="shared" si="16"/>
      </c>
      <c r="AC30" s="452">
        <f t="shared" si="15"/>
      </c>
      <c r="AD30" s="453"/>
    </row>
    <row r="31" spans="1:30" s="386" customFormat="1" ht="16.5" customHeight="1">
      <c r="A31" s="385"/>
      <c r="B31" s="397"/>
      <c r="C31" s="479"/>
      <c r="D31" s="479"/>
      <c r="E31" s="479"/>
      <c r="F31" s="345"/>
      <c r="G31" s="344"/>
      <c r="H31" s="480"/>
      <c r="I31" s="481"/>
      <c r="J31" s="188">
        <f t="shared" si="0"/>
        <v>0</v>
      </c>
      <c r="K31" s="483"/>
      <c r="L31" s="483"/>
      <c r="M31" s="18">
        <f t="shared" si="1"/>
      </c>
      <c r="N31" s="19">
        <f t="shared" si="2"/>
      </c>
      <c r="O31" s="484"/>
      <c r="P31" s="17">
        <f t="shared" si="3"/>
      </c>
      <c r="Q31" s="532">
        <f t="shared" si="4"/>
      </c>
      <c r="R31" s="17">
        <f t="shared" si="5"/>
      </c>
      <c r="S31" s="238">
        <f t="shared" si="6"/>
        <v>3</v>
      </c>
      <c r="T31" s="533" t="str">
        <f t="shared" si="7"/>
        <v>--</v>
      </c>
      <c r="U31" s="534" t="str">
        <f t="shared" si="8"/>
        <v>--</v>
      </c>
      <c r="V31" s="240" t="str">
        <f t="shared" si="9"/>
        <v>--</v>
      </c>
      <c r="W31" s="241" t="str">
        <f t="shared" si="10"/>
        <v>--</v>
      </c>
      <c r="X31" s="243" t="str">
        <f t="shared" si="11"/>
        <v>--</v>
      </c>
      <c r="Y31" s="244" t="str">
        <f t="shared" si="12"/>
        <v>--</v>
      </c>
      <c r="Z31" s="245" t="str">
        <f t="shared" si="13"/>
        <v>--</v>
      </c>
      <c r="AA31" s="246" t="str">
        <f t="shared" si="14"/>
        <v>--</v>
      </c>
      <c r="AB31" s="17">
        <f t="shared" si="16"/>
      </c>
      <c r="AC31" s="452">
        <f t="shared" si="15"/>
      </c>
      <c r="AD31" s="453"/>
    </row>
    <row r="32" spans="1:30" s="386" customFormat="1" ht="16.5" customHeight="1">
      <c r="A32" s="385"/>
      <c r="B32" s="397"/>
      <c r="C32" s="479"/>
      <c r="D32" s="479"/>
      <c r="E32" s="479"/>
      <c r="F32" s="345"/>
      <c r="G32" s="344"/>
      <c r="H32" s="480"/>
      <c r="I32" s="481"/>
      <c r="J32" s="188">
        <f t="shared" si="0"/>
        <v>0</v>
      </c>
      <c r="K32" s="483"/>
      <c r="L32" s="483"/>
      <c r="M32" s="18">
        <f t="shared" si="1"/>
      </c>
      <c r="N32" s="19">
        <f t="shared" si="2"/>
      </c>
      <c r="O32" s="484"/>
      <c r="P32" s="17">
        <f t="shared" si="3"/>
      </c>
      <c r="Q32" s="532">
        <f t="shared" si="4"/>
      </c>
      <c r="R32" s="17">
        <f t="shared" si="5"/>
      </c>
      <c r="S32" s="238">
        <f t="shared" si="6"/>
        <v>3</v>
      </c>
      <c r="T32" s="533" t="str">
        <f t="shared" si="7"/>
        <v>--</v>
      </c>
      <c r="U32" s="534" t="str">
        <f t="shared" si="8"/>
        <v>--</v>
      </c>
      <c r="V32" s="240" t="str">
        <f t="shared" si="9"/>
        <v>--</v>
      </c>
      <c r="W32" s="241" t="str">
        <f t="shared" si="10"/>
        <v>--</v>
      </c>
      <c r="X32" s="243" t="str">
        <f t="shared" si="11"/>
        <v>--</v>
      </c>
      <c r="Y32" s="244" t="str">
        <f t="shared" si="12"/>
        <v>--</v>
      </c>
      <c r="Z32" s="245" t="str">
        <f t="shared" si="13"/>
        <v>--</v>
      </c>
      <c r="AA32" s="246" t="str">
        <f t="shared" si="14"/>
        <v>--</v>
      </c>
      <c r="AB32" s="17">
        <f t="shared" si="16"/>
      </c>
      <c r="AC32" s="452">
        <f t="shared" si="15"/>
      </c>
      <c r="AD32" s="398"/>
    </row>
    <row r="33" spans="1:30" s="386" customFormat="1" ht="16.5" customHeight="1">
      <c r="A33" s="385"/>
      <c r="B33" s="397"/>
      <c r="C33" s="479"/>
      <c r="D33" s="479"/>
      <c r="E33" s="479"/>
      <c r="F33" s="345"/>
      <c r="G33" s="344"/>
      <c r="H33" s="480"/>
      <c r="I33" s="481"/>
      <c r="J33" s="188">
        <f t="shared" si="0"/>
        <v>0</v>
      </c>
      <c r="K33" s="483"/>
      <c r="L33" s="483"/>
      <c r="M33" s="18">
        <f t="shared" si="1"/>
      </c>
      <c r="N33" s="19">
        <f t="shared" si="2"/>
      </c>
      <c r="O33" s="484"/>
      <c r="P33" s="17">
        <f t="shared" si="3"/>
      </c>
      <c r="Q33" s="532">
        <f t="shared" si="4"/>
      </c>
      <c r="R33" s="17">
        <f t="shared" si="5"/>
      </c>
      <c r="S33" s="238">
        <f t="shared" si="6"/>
        <v>3</v>
      </c>
      <c r="T33" s="533" t="str">
        <f t="shared" si="7"/>
        <v>--</v>
      </c>
      <c r="U33" s="534" t="str">
        <f t="shared" si="8"/>
        <v>--</v>
      </c>
      <c r="V33" s="240" t="str">
        <f t="shared" si="9"/>
        <v>--</v>
      </c>
      <c r="W33" s="241" t="str">
        <f t="shared" si="10"/>
        <v>--</v>
      </c>
      <c r="X33" s="243" t="str">
        <f t="shared" si="11"/>
        <v>--</v>
      </c>
      <c r="Y33" s="244" t="str">
        <f t="shared" si="12"/>
        <v>--</v>
      </c>
      <c r="Z33" s="245" t="str">
        <f t="shared" si="13"/>
        <v>--</v>
      </c>
      <c r="AA33" s="246" t="str">
        <f t="shared" si="14"/>
        <v>--</v>
      </c>
      <c r="AB33" s="17">
        <f t="shared" si="16"/>
      </c>
      <c r="AC33" s="452">
        <f t="shared" si="15"/>
      </c>
      <c r="AD33" s="398"/>
    </row>
    <row r="34" spans="1:30" s="386" customFormat="1" ht="16.5" customHeight="1">
      <c r="A34" s="385"/>
      <c r="B34" s="397"/>
      <c r="C34" s="479"/>
      <c r="D34" s="479"/>
      <c r="E34" s="479"/>
      <c r="F34" s="345"/>
      <c r="G34" s="344"/>
      <c r="H34" s="480"/>
      <c r="I34" s="481"/>
      <c r="J34" s="188">
        <f t="shared" si="0"/>
        <v>0</v>
      </c>
      <c r="K34" s="483"/>
      <c r="L34" s="483"/>
      <c r="M34" s="18">
        <f t="shared" si="1"/>
      </c>
      <c r="N34" s="19">
        <f t="shared" si="2"/>
      </c>
      <c r="O34" s="484"/>
      <c r="P34" s="17">
        <f t="shared" si="3"/>
      </c>
      <c r="Q34" s="532">
        <f t="shared" si="4"/>
      </c>
      <c r="R34" s="17">
        <f t="shared" si="5"/>
      </c>
      <c r="S34" s="238">
        <f t="shared" si="6"/>
        <v>3</v>
      </c>
      <c r="T34" s="533" t="str">
        <f t="shared" si="7"/>
        <v>--</v>
      </c>
      <c r="U34" s="534" t="str">
        <f t="shared" si="8"/>
        <v>--</v>
      </c>
      <c r="V34" s="240" t="str">
        <f t="shared" si="9"/>
        <v>--</v>
      </c>
      <c r="W34" s="241" t="str">
        <f t="shared" si="10"/>
        <v>--</v>
      </c>
      <c r="X34" s="243" t="str">
        <f t="shared" si="11"/>
        <v>--</v>
      </c>
      <c r="Y34" s="244" t="str">
        <f t="shared" si="12"/>
        <v>--</v>
      </c>
      <c r="Z34" s="245" t="str">
        <f t="shared" si="13"/>
        <v>--</v>
      </c>
      <c r="AA34" s="246" t="str">
        <f t="shared" si="14"/>
        <v>--</v>
      </c>
      <c r="AB34" s="17">
        <f t="shared" si="16"/>
      </c>
      <c r="AC34" s="452">
        <f t="shared" si="15"/>
      </c>
      <c r="AD34" s="398"/>
    </row>
    <row r="35" spans="1:30" s="386" customFormat="1" ht="16.5" customHeight="1">
      <c r="A35" s="385"/>
      <c r="B35" s="397"/>
      <c r="C35" s="479"/>
      <c r="D35" s="479"/>
      <c r="E35" s="479"/>
      <c r="F35" s="345"/>
      <c r="G35" s="344"/>
      <c r="H35" s="480"/>
      <c r="I35" s="481"/>
      <c r="J35" s="188">
        <f t="shared" si="0"/>
        <v>0</v>
      </c>
      <c r="K35" s="483"/>
      <c r="L35" s="483"/>
      <c r="M35" s="18">
        <f t="shared" si="1"/>
      </c>
      <c r="N35" s="19">
        <f t="shared" si="2"/>
      </c>
      <c r="O35" s="484"/>
      <c r="P35" s="17">
        <f t="shared" si="3"/>
      </c>
      <c r="Q35" s="532">
        <f t="shared" si="4"/>
      </c>
      <c r="R35" s="17">
        <f t="shared" si="5"/>
      </c>
      <c r="S35" s="238">
        <f t="shared" si="6"/>
        <v>3</v>
      </c>
      <c r="T35" s="533" t="str">
        <f t="shared" si="7"/>
        <v>--</v>
      </c>
      <c r="U35" s="534" t="str">
        <f t="shared" si="8"/>
        <v>--</v>
      </c>
      <c r="V35" s="240" t="str">
        <f t="shared" si="9"/>
        <v>--</v>
      </c>
      <c r="W35" s="241" t="str">
        <f t="shared" si="10"/>
        <v>--</v>
      </c>
      <c r="X35" s="243" t="str">
        <f t="shared" si="11"/>
        <v>--</v>
      </c>
      <c r="Y35" s="244" t="str">
        <f t="shared" si="12"/>
        <v>--</v>
      </c>
      <c r="Z35" s="245" t="str">
        <f t="shared" si="13"/>
        <v>--</v>
      </c>
      <c r="AA35" s="246" t="str">
        <f t="shared" si="14"/>
        <v>--</v>
      </c>
      <c r="AB35" s="17">
        <f t="shared" si="16"/>
      </c>
      <c r="AC35" s="452">
        <f t="shared" si="15"/>
      </c>
      <c r="AD35" s="398"/>
    </row>
    <row r="36" spans="1:30" s="386" customFormat="1" ht="16.5" customHeight="1">
      <c r="A36" s="385"/>
      <c r="B36" s="397"/>
      <c r="C36" s="479"/>
      <c r="D36" s="479"/>
      <c r="E36" s="479"/>
      <c r="F36" s="345"/>
      <c r="G36" s="344"/>
      <c r="H36" s="480"/>
      <c r="I36" s="481"/>
      <c r="J36" s="188">
        <f t="shared" si="0"/>
        <v>0</v>
      </c>
      <c r="K36" s="483"/>
      <c r="L36" s="483"/>
      <c r="M36" s="18">
        <f t="shared" si="1"/>
      </c>
      <c r="N36" s="19">
        <f t="shared" si="2"/>
      </c>
      <c r="O36" s="484"/>
      <c r="P36" s="17">
        <f t="shared" si="3"/>
      </c>
      <c r="Q36" s="532">
        <f t="shared" si="4"/>
      </c>
      <c r="R36" s="17">
        <f t="shared" si="5"/>
      </c>
      <c r="S36" s="238">
        <f t="shared" si="6"/>
        <v>3</v>
      </c>
      <c r="T36" s="533" t="str">
        <f t="shared" si="7"/>
        <v>--</v>
      </c>
      <c r="U36" s="534" t="str">
        <f t="shared" si="8"/>
        <v>--</v>
      </c>
      <c r="V36" s="240" t="str">
        <f t="shared" si="9"/>
        <v>--</v>
      </c>
      <c r="W36" s="241" t="str">
        <f t="shared" si="10"/>
        <v>--</v>
      </c>
      <c r="X36" s="243" t="str">
        <f t="shared" si="11"/>
        <v>--</v>
      </c>
      <c r="Y36" s="244" t="str">
        <f t="shared" si="12"/>
        <v>--</v>
      </c>
      <c r="Z36" s="245" t="str">
        <f t="shared" si="13"/>
        <v>--</v>
      </c>
      <c r="AA36" s="246" t="str">
        <f t="shared" si="14"/>
        <v>--</v>
      </c>
      <c r="AB36" s="17">
        <f t="shared" si="16"/>
      </c>
      <c r="AC36" s="452">
        <f t="shared" si="15"/>
      </c>
      <c r="AD36" s="398"/>
    </row>
    <row r="37" spans="1:30" s="386" customFormat="1" ht="16.5" customHeight="1">
      <c r="A37" s="385"/>
      <c r="B37" s="397"/>
      <c r="C37" s="479"/>
      <c r="D37" s="479"/>
      <c r="E37" s="479"/>
      <c r="F37" s="345"/>
      <c r="G37" s="344"/>
      <c r="H37" s="480"/>
      <c r="I37" s="481"/>
      <c r="J37" s="188">
        <f t="shared" si="0"/>
        <v>0</v>
      </c>
      <c r="K37" s="483"/>
      <c r="L37" s="483"/>
      <c r="M37" s="18">
        <f t="shared" si="1"/>
      </c>
      <c r="N37" s="19">
        <f t="shared" si="2"/>
      </c>
      <c r="O37" s="484"/>
      <c r="P37" s="17">
        <f t="shared" si="3"/>
      </c>
      <c r="Q37" s="532">
        <f t="shared" si="4"/>
      </c>
      <c r="R37" s="17">
        <f t="shared" si="5"/>
      </c>
      <c r="S37" s="238">
        <f t="shared" si="6"/>
        <v>3</v>
      </c>
      <c r="T37" s="533" t="str">
        <f t="shared" si="7"/>
        <v>--</v>
      </c>
      <c r="U37" s="534" t="str">
        <f t="shared" si="8"/>
        <v>--</v>
      </c>
      <c r="V37" s="240" t="str">
        <f t="shared" si="9"/>
        <v>--</v>
      </c>
      <c r="W37" s="241" t="str">
        <f t="shared" si="10"/>
        <v>--</v>
      </c>
      <c r="X37" s="243" t="str">
        <f t="shared" si="11"/>
        <v>--</v>
      </c>
      <c r="Y37" s="244" t="str">
        <f t="shared" si="12"/>
        <v>--</v>
      </c>
      <c r="Z37" s="245" t="str">
        <f t="shared" si="13"/>
        <v>--</v>
      </c>
      <c r="AA37" s="246" t="str">
        <f t="shared" si="14"/>
        <v>--</v>
      </c>
      <c r="AB37" s="17">
        <f t="shared" si="16"/>
      </c>
      <c r="AC37" s="452">
        <f t="shared" si="15"/>
      </c>
      <c r="AD37" s="398"/>
    </row>
    <row r="38" spans="1:30" s="386" customFormat="1" ht="16.5" customHeight="1">
      <c r="A38" s="385"/>
      <c r="B38" s="397"/>
      <c r="C38" s="479"/>
      <c r="D38" s="479"/>
      <c r="E38" s="479"/>
      <c r="F38" s="345"/>
      <c r="G38" s="344"/>
      <c r="H38" s="480"/>
      <c r="I38" s="481"/>
      <c r="J38" s="188">
        <f t="shared" si="0"/>
        <v>0</v>
      </c>
      <c r="K38" s="483"/>
      <c r="L38" s="483"/>
      <c r="M38" s="18">
        <f t="shared" si="1"/>
      </c>
      <c r="N38" s="19">
        <f t="shared" si="2"/>
      </c>
      <c r="O38" s="484"/>
      <c r="P38" s="17">
        <f t="shared" si="3"/>
      </c>
      <c r="Q38" s="532">
        <f t="shared" si="4"/>
      </c>
      <c r="R38" s="17">
        <f t="shared" si="5"/>
      </c>
      <c r="S38" s="238">
        <f t="shared" si="6"/>
        <v>3</v>
      </c>
      <c r="T38" s="533" t="str">
        <f t="shared" si="7"/>
        <v>--</v>
      </c>
      <c r="U38" s="534" t="str">
        <f t="shared" si="8"/>
        <v>--</v>
      </c>
      <c r="V38" s="240" t="str">
        <f t="shared" si="9"/>
        <v>--</v>
      </c>
      <c r="W38" s="241" t="str">
        <f t="shared" si="10"/>
        <v>--</v>
      </c>
      <c r="X38" s="243" t="str">
        <f t="shared" si="11"/>
        <v>--</v>
      </c>
      <c r="Y38" s="244" t="str">
        <f t="shared" si="12"/>
        <v>--</v>
      </c>
      <c r="Z38" s="245" t="str">
        <f t="shared" si="13"/>
        <v>--</v>
      </c>
      <c r="AA38" s="246" t="str">
        <f t="shared" si="14"/>
        <v>--</v>
      </c>
      <c r="AB38" s="17">
        <f t="shared" si="16"/>
      </c>
      <c r="AC38" s="452">
        <f t="shared" si="15"/>
      </c>
      <c r="AD38" s="398"/>
    </row>
    <row r="39" spans="1:30" s="386" customFormat="1" ht="16.5" customHeight="1">
      <c r="A39" s="385"/>
      <c r="B39" s="397"/>
      <c r="C39" s="479"/>
      <c r="D39" s="479"/>
      <c r="E39" s="479"/>
      <c r="F39" s="345"/>
      <c r="G39" s="344"/>
      <c r="H39" s="480"/>
      <c r="I39" s="481"/>
      <c r="J39" s="188">
        <f t="shared" si="0"/>
        <v>0</v>
      </c>
      <c r="K39" s="483"/>
      <c r="L39" s="483"/>
      <c r="M39" s="18">
        <f t="shared" si="1"/>
      </c>
      <c r="N39" s="19">
        <f t="shared" si="2"/>
      </c>
      <c r="O39" s="484"/>
      <c r="P39" s="17">
        <f t="shared" si="3"/>
      </c>
      <c r="Q39" s="532">
        <f t="shared" si="4"/>
      </c>
      <c r="R39" s="17">
        <f t="shared" si="5"/>
      </c>
      <c r="S39" s="238">
        <f t="shared" si="6"/>
        <v>3</v>
      </c>
      <c r="T39" s="533" t="str">
        <f t="shared" si="7"/>
        <v>--</v>
      </c>
      <c r="U39" s="534" t="str">
        <f t="shared" si="8"/>
        <v>--</v>
      </c>
      <c r="V39" s="240" t="str">
        <f t="shared" si="9"/>
        <v>--</v>
      </c>
      <c r="W39" s="241" t="str">
        <f t="shared" si="10"/>
        <v>--</v>
      </c>
      <c r="X39" s="243" t="str">
        <f t="shared" si="11"/>
        <v>--</v>
      </c>
      <c r="Y39" s="244" t="str">
        <f t="shared" si="12"/>
        <v>--</v>
      </c>
      <c r="Z39" s="245" t="str">
        <f t="shared" si="13"/>
        <v>--</v>
      </c>
      <c r="AA39" s="246" t="str">
        <f t="shared" si="14"/>
        <v>--</v>
      </c>
      <c r="AB39" s="17">
        <f t="shared" si="16"/>
      </c>
      <c r="AC39" s="452">
        <f t="shared" si="15"/>
      </c>
      <c r="AD39" s="398"/>
    </row>
    <row r="40" spans="1:30" s="386" customFormat="1" ht="16.5" customHeight="1">
      <c r="A40" s="385"/>
      <c r="B40" s="397"/>
      <c r="C40" s="479"/>
      <c r="D40" s="479"/>
      <c r="E40" s="479"/>
      <c r="F40" s="345"/>
      <c r="G40" s="344"/>
      <c r="H40" s="480"/>
      <c r="I40" s="481"/>
      <c r="J40" s="188">
        <f t="shared" si="0"/>
        <v>0</v>
      </c>
      <c r="K40" s="483"/>
      <c r="L40" s="483"/>
      <c r="M40" s="18">
        <f t="shared" si="1"/>
      </c>
      <c r="N40" s="19">
        <f t="shared" si="2"/>
      </c>
      <c r="O40" s="484"/>
      <c r="P40" s="17">
        <f t="shared" si="3"/>
      </c>
      <c r="Q40" s="532">
        <f t="shared" si="4"/>
      </c>
      <c r="R40" s="17">
        <f t="shared" si="5"/>
      </c>
      <c r="S40" s="238">
        <f t="shared" si="6"/>
        <v>3</v>
      </c>
      <c r="T40" s="533" t="str">
        <f t="shared" si="7"/>
        <v>--</v>
      </c>
      <c r="U40" s="534" t="str">
        <f t="shared" si="8"/>
        <v>--</v>
      </c>
      <c r="V40" s="240" t="str">
        <f t="shared" si="9"/>
        <v>--</v>
      </c>
      <c r="W40" s="241" t="str">
        <f t="shared" si="10"/>
        <v>--</v>
      </c>
      <c r="X40" s="243" t="str">
        <f t="shared" si="11"/>
        <v>--</v>
      </c>
      <c r="Y40" s="244" t="str">
        <f t="shared" si="12"/>
        <v>--</v>
      </c>
      <c r="Z40" s="245" t="str">
        <f t="shared" si="13"/>
        <v>--</v>
      </c>
      <c r="AA40" s="246" t="str">
        <f t="shared" si="14"/>
        <v>--</v>
      </c>
      <c r="AB40" s="17">
        <f t="shared" si="16"/>
      </c>
      <c r="AC40" s="452">
        <f t="shared" si="15"/>
      </c>
      <c r="AD40" s="398"/>
    </row>
    <row r="41" spans="1:30" s="386" customFormat="1" ht="16.5" customHeight="1">
      <c r="A41" s="385"/>
      <c r="B41" s="397"/>
      <c r="C41" s="479"/>
      <c r="D41" s="479"/>
      <c r="E41" s="479"/>
      <c r="F41" s="345"/>
      <c r="G41" s="344"/>
      <c r="H41" s="480"/>
      <c r="I41" s="481"/>
      <c r="J41" s="188">
        <f t="shared" si="0"/>
        <v>0</v>
      </c>
      <c r="K41" s="483"/>
      <c r="L41" s="483"/>
      <c r="M41" s="18">
        <f t="shared" si="1"/>
      </c>
      <c r="N41" s="19">
        <f t="shared" si="2"/>
      </c>
      <c r="O41" s="484"/>
      <c r="P41" s="17">
        <f t="shared" si="3"/>
      </c>
      <c r="Q41" s="532">
        <f t="shared" si="4"/>
      </c>
      <c r="R41" s="17">
        <f t="shared" si="5"/>
      </c>
      <c r="S41" s="238">
        <f t="shared" si="6"/>
        <v>3</v>
      </c>
      <c r="T41" s="533" t="str">
        <f t="shared" si="7"/>
        <v>--</v>
      </c>
      <c r="U41" s="534" t="str">
        <f t="shared" si="8"/>
        <v>--</v>
      </c>
      <c r="V41" s="240" t="str">
        <f t="shared" si="9"/>
        <v>--</v>
      </c>
      <c r="W41" s="241" t="str">
        <f t="shared" si="10"/>
        <v>--</v>
      </c>
      <c r="X41" s="243" t="str">
        <f t="shared" si="11"/>
        <v>--</v>
      </c>
      <c r="Y41" s="244" t="str">
        <f t="shared" si="12"/>
        <v>--</v>
      </c>
      <c r="Z41" s="245" t="str">
        <f t="shared" si="13"/>
        <v>--</v>
      </c>
      <c r="AA41" s="246" t="str">
        <f t="shared" si="14"/>
        <v>--</v>
      </c>
      <c r="AB41" s="17">
        <f t="shared" si="16"/>
      </c>
      <c r="AC41" s="452">
        <f t="shared" si="15"/>
      </c>
      <c r="AD41" s="398"/>
    </row>
    <row r="42" spans="1:30" s="386" customFormat="1" ht="16.5" customHeight="1">
      <c r="A42" s="385"/>
      <c r="B42" s="397"/>
      <c r="C42" s="479"/>
      <c r="D42" s="479"/>
      <c r="E42" s="479"/>
      <c r="F42" s="345"/>
      <c r="G42" s="344"/>
      <c r="H42" s="480"/>
      <c r="I42" s="481"/>
      <c r="J42" s="188">
        <f t="shared" si="0"/>
        <v>0</v>
      </c>
      <c r="K42" s="483"/>
      <c r="L42" s="483"/>
      <c r="M42" s="18">
        <f t="shared" si="1"/>
      </c>
      <c r="N42" s="19">
        <f t="shared" si="2"/>
      </c>
      <c r="O42" s="484"/>
      <c r="P42" s="17">
        <f t="shared" si="3"/>
      </c>
      <c r="Q42" s="532">
        <f t="shared" si="4"/>
      </c>
      <c r="R42" s="17">
        <f t="shared" si="5"/>
      </c>
      <c r="S42" s="238">
        <f t="shared" si="6"/>
        <v>3</v>
      </c>
      <c r="T42" s="533" t="str">
        <f t="shared" si="7"/>
        <v>--</v>
      </c>
      <c r="U42" s="534" t="str">
        <f t="shared" si="8"/>
        <v>--</v>
      </c>
      <c r="V42" s="240" t="str">
        <f t="shared" si="9"/>
        <v>--</v>
      </c>
      <c r="W42" s="241" t="str">
        <f t="shared" si="10"/>
        <v>--</v>
      </c>
      <c r="X42" s="243" t="str">
        <f t="shared" si="11"/>
        <v>--</v>
      </c>
      <c r="Y42" s="244" t="str">
        <f t="shared" si="12"/>
        <v>--</v>
      </c>
      <c r="Z42" s="245" t="str">
        <f t="shared" si="13"/>
        <v>--</v>
      </c>
      <c r="AA42" s="246" t="str">
        <f t="shared" si="14"/>
        <v>--</v>
      </c>
      <c r="AB42" s="17">
        <f t="shared" si="16"/>
      </c>
      <c r="AC42" s="452">
        <f t="shared" si="15"/>
      </c>
      <c r="AD42" s="398"/>
    </row>
    <row r="43" spans="1:30" s="386" customFormat="1" ht="16.5" customHeight="1">
      <c r="A43" s="385"/>
      <c r="B43" s="397"/>
      <c r="C43" s="479"/>
      <c r="D43" s="479"/>
      <c r="E43" s="479"/>
      <c r="F43" s="345"/>
      <c r="G43" s="344"/>
      <c r="H43" s="480"/>
      <c r="I43" s="481"/>
      <c r="J43" s="188">
        <f t="shared" si="0"/>
        <v>0</v>
      </c>
      <c r="K43" s="483"/>
      <c r="L43" s="483"/>
      <c r="M43" s="18">
        <f t="shared" si="1"/>
      </c>
      <c r="N43" s="19">
        <f t="shared" si="2"/>
      </c>
      <c r="O43" s="484"/>
      <c r="P43" s="17">
        <f t="shared" si="3"/>
      </c>
      <c r="Q43" s="532">
        <f t="shared" si="4"/>
      </c>
      <c r="R43" s="17">
        <f t="shared" si="5"/>
      </c>
      <c r="S43" s="238">
        <f t="shared" si="6"/>
        <v>3</v>
      </c>
      <c r="T43" s="533" t="str">
        <f t="shared" si="7"/>
        <v>--</v>
      </c>
      <c r="U43" s="534" t="str">
        <f t="shared" si="8"/>
        <v>--</v>
      </c>
      <c r="V43" s="240" t="str">
        <f t="shared" si="9"/>
        <v>--</v>
      </c>
      <c r="W43" s="241" t="str">
        <f t="shared" si="10"/>
        <v>--</v>
      </c>
      <c r="X43" s="243" t="str">
        <f t="shared" si="11"/>
        <v>--</v>
      </c>
      <c r="Y43" s="244" t="str">
        <f t="shared" si="12"/>
        <v>--</v>
      </c>
      <c r="Z43" s="245" t="str">
        <f t="shared" si="13"/>
        <v>--</v>
      </c>
      <c r="AA43" s="246" t="str">
        <f t="shared" si="14"/>
        <v>--</v>
      </c>
      <c r="AB43" s="17">
        <f t="shared" si="16"/>
      </c>
      <c r="AC43" s="452">
        <f t="shared" si="15"/>
      </c>
      <c r="AD43" s="398"/>
    </row>
    <row r="44" spans="1:30" s="386" customFormat="1" ht="16.5" customHeight="1" thickBot="1">
      <c r="A44" s="385"/>
      <c r="B44" s="397"/>
      <c r="C44" s="482"/>
      <c r="D44" s="482"/>
      <c r="E44" s="482"/>
      <c r="F44" s="482"/>
      <c r="G44" s="482"/>
      <c r="H44" s="482"/>
      <c r="I44" s="482"/>
      <c r="J44" s="455"/>
      <c r="K44" s="482"/>
      <c r="L44" s="482"/>
      <c r="M44" s="454"/>
      <c r="N44" s="454"/>
      <c r="O44" s="482"/>
      <c r="P44" s="482"/>
      <c r="Q44" s="482"/>
      <c r="R44" s="482"/>
      <c r="S44" s="485"/>
      <c r="T44" s="486"/>
      <c r="U44" s="487"/>
      <c r="V44" s="488"/>
      <c r="W44" s="489"/>
      <c r="X44" s="490"/>
      <c r="Y44" s="491"/>
      <c r="Z44" s="492"/>
      <c r="AA44" s="493"/>
      <c r="AB44" s="482"/>
      <c r="AC44" s="456"/>
      <c r="AD44" s="398"/>
    </row>
    <row r="45" spans="1:30" s="386" customFormat="1" ht="16.5" customHeight="1" thickBot="1" thickTop="1">
      <c r="A45" s="385"/>
      <c r="B45" s="397"/>
      <c r="C45" s="547" t="s">
        <v>127</v>
      </c>
      <c r="D45" s="546" t="s">
        <v>126</v>
      </c>
      <c r="E45" s="535"/>
      <c r="F45" s="17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457">
        <f aca="true" t="shared" si="17" ref="T45:AA45">SUM(T22:T44)</f>
        <v>1.1481750000000002</v>
      </c>
      <c r="U45" s="458">
        <f t="shared" si="17"/>
        <v>0</v>
      </c>
      <c r="V45" s="459">
        <f t="shared" si="17"/>
        <v>291.59999999999997</v>
      </c>
      <c r="W45" s="459">
        <f t="shared" si="17"/>
        <v>67.068</v>
      </c>
      <c r="X45" s="460">
        <f t="shared" si="17"/>
        <v>0</v>
      </c>
      <c r="Y45" s="460">
        <f t="shared" si="17"/>
        <v>0</v>
      </c>
      <c r="Z45" s="461">
        <f t="shared" si="17"/>
        <v>0</v>
      </c>
      <c r="AA45" s="462">
        <f t="shared" si="17"/>
        <v>0</v>
      </c>
      <c r="AB45" s="463"/>
      <c r="AC45" s="464">
        <f>ROUND(SUM(AC22:AC44),2)</f>
        <v>359.82</v>
      </c>
      <c r="AD45" s="398"/>
    </row>
    <row r="46" spans="1:30" s="472" customFormat="1" ht="9.75" thickTop="1">
      <c r="A46" s="465"/>
      <c r="B46" s="466"/>
      <c r="C46" s="467"/>
      <c r="D46" s="467"/>
      <c r="E46" s="467"/>
      <c r="F46" s="174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9"/>
      <c r="U46" s="469"/>
      <c r="V46" s="469"/>
      <c r="W46" s="469"/>
      <c r="X46" s="469"/>
      <c r="Y46" s="469"/>
      <c r="Z46" s="469"/>
      <c r="AA46" s="469"/>
      <c r="AB46" s="468"/>
      <c r="AC46" s="470"/>
      <c r="AD46" s="471"/>
    </row>
    <row r="47" spans="1:30" s="386" customFormat="1" ht="16.5" customHeight="1" thickBot="1">
      <c r="A47" s="385"/>
      <c r="B47" s="473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5"/>
    </row>
    <row r="48" spans="2:30" ht="16.5" customHeight="1" thickTop="1"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/>
  <dimension ref="A1:S110"/>
  <sheetViews>
    <sheetView zoomScale="55" zoomScaleNormal="55" workbookViewId="0" topLeftCell="A1">
      <selection activeCell="I46" sqref="I46"/>
    </sheetView>
  </sheetViews>
  <sheetFormatPr defaultColWidth="13.421875" defaultRowHeight="12.75"/>
  <cols>
    <col min="1" max="1" width="17.28125" style="0" customWidth="1"/>
    <col min="2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84" customFormat="1" ht="39.75" customHeight="1">
      <c r="P1" s="256"/>
    </row>
    <row r="2" spans="1:16" s="84" customFormat="1" ht="34.5" customHeight="1">
      <c r="A2" s="143"/>
      <c r="B2" s="513" t="str">
        <f>'TOT-0810'!B2</f>
        <v>ANEXO II al Memorandum  D.T.E.E.  N°   271 / 2012</v>
      </c>
      <c r="C2" s="513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3" s="87" customFormat="1" ht="12.75">
      <c r="A3" s="518" t="s">
        <v>112</v>
      </c>
      <c r="B3" s="8"/>
      <c r="C3" s="8"/>
    </row>
    <row r="4" spans="1:3" s="87" customFormat="1" ht="11.25">
      <c r="A4" s="518" t="s">
        <v>132</v>
      </c>
      <c r="B4" s="163"/>
      <c r="C4" s="163"/>
    </row>
    <row r="5" s="8" customFormat="1" ht="13.5" thickBot="1"/>
    <row r="6" spans="1:16" s="8" customFormat="1" ht="13.5" thickTop="1">
      <c r="A6" s="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s="89" customFormat="1" ht="20.25">
      <c r="A7" s="30"/>
      <c r="B7" s="88"/>
      <c r="C7" s="30"/>
      <c r="D7" s="15" t="s">
        <v>21</v>
      </c>
      <c r="G7" s="30"/>
      <c r="H7" s="30"/>
      <c r="I7" s="30"/>
      <c r="J7" s="30"/>
      <c r="K7" s="30"/>
      <c r="L7" s="30"/>
      <c r="M7" s="30"/>
      <c r="N7" s="30"/>
      <c r="O7" s="30"/>
      <c r="P7" s="90"/>
    </row>
    <row r="8" spans="1:16" ht="15">
      <c r="A8" s="1"/>
      <c r="B8" s="189"/>
      <c r="C8" s="53"/>
      <c r="D8" s="257"/>
      <c r="E8" s="53"/>
      <c r="F8" s="51"/>
      <c r="G8" s="53"/>
      <c r="H8" s="53"/>
      <c r="I8" s="53"/>
      <c r="J8" s="53"/>
      <c r="K8" s="53"/>
      <c r="L8" s="53"/>
      <c r="M8" s="53"/>
      <c r="N8" s="53"/>
      <c r="O8" s="53"/>
      <c r="P8" s="193"/>
    </row>
    <row r="9" spans="1:19" s="89" customFormat="1" ht="20.25">
      <c r="A9" s="30"/>
      <c r="B9" s="258"/>
      <c r="C9"/>
      <c r="D9" s="16" t="s">
        <v>104</v>
      </c>
      <c r="E9" s="259"/>
      <c r="F9" s="259"/>
      <c r="G9" s="259"/>
      <c r="H9" s="260"/>
      <c r="I9" s="259"/>
      <c r="J9" s="259"/>
      <c r="K9" s="259"/>
      <c r="L9" s="259"/>
      <c r="M9" s="259"/>
      <c r="N9" s="259"/>
      <c r="O9" s="259"/>
      <c r="P9" s="261"/>
      <c r="Q9" s="164"/>
      <c r="R9" s="145"/>
      <c r="S9" s="145"/>
    </row>
    <row r="10" spans="1:19" s="8" customFormat="1" ht="12.75">
      <c r="A10" s="6"/>
      <c r="B10" s="29"/>
      <c r="C10" s="6"/>
      <c r="D10" s="47"/>
      <c r="E10" s="20"/>
      <c r="F10" s="20"/>
      <c r="G10" s="20"/>
      <c r="H10" s="142"/>
      <c r="I10" s="20"/>
      <c r="J10" s="20"/>
      <c r="K10" s="20"/>
      <c r="L10" s="20"/>
      <c r="M10" s="20"/>
      <c r="N10" s="20"/>
      <c r="O10" s="20"/>
      <c r="P10" s="23"/>
      <c r="Q10" s="20"/>
      <c r="R10" s="20"/>
      <c r="S10" s="144"/>
    </row>
    <row r="11" spans="1:19" s="96" customFormat="1" ht="19.5">
      <c r="A11" s="32"/>
      <c r="B11" s="167" t="str">
        <f>+'TOT-0810'!B14</f>
        <v>Desde el 01 al 31 de agosto de 2010</v>
      </c>
      <c r="C11" s="118"/>
      <c r="D11" s="152"/>
      <c r="E11" s="152"/>
      <c r="F11" s="152"/>
      <c r="G11" s="152"/>
      <c r="H11" s="152"/>
      <c r="I11" s="118"/>
      <c r="J11" s="152"/>
      <c r="K11" s="152"/>
      <c r="L11" s="152"/>
      <c r="M11" s="152"/>
      <c r="N11" s="152"/>
      <c r="O11" s="152"/>
      <c r="P11" s="262"/>
      <c r="Q11" s="263"/>
      <c r="R11" s="263"/>
      <c r="S11" s="263"/>
    </row>
    <row r="12" spans="1:19" ht="15">
      <c r="A12" s="1"/>
      <c r="B12" s="189"/>
      <c r="C12" s="53"/>
      <c r="D12" s="49"/>
      <c r="E12" s="49"/>
      <c r="F12" s="49"/>
      <c r="G12" s="49"/>
      <c r="H12" s="264"/>
      <c r="I12" s="53"/>
      <c r="J12" s="49"/>
      <c r="K12" s="49"/>
      <c r="L12" s="49"/>
      <c r="M12" s="49"/>
      <c r="N12" s="49"/>
      <c r="O12" s="49"/>
      <c r="P12" s="50"/>
      <c r="Q12" s="4"/>
      <c r="R12" s="4"/>
      <c r="S12" s="265"/>
    </row>
    <row r="13" spans="1:19" ht="18" customHeight="1">
      <c r="A13" s="1"/>
      <c r="B13" s="189"/>
      <c r="C13" s="53"/>
      <c r="D13" s="49"/>
      <c r="E13" s="49"/>
      <c r="F13" s="49"/>
      <c r="G13" s="49"/>
      <c r="H13" s="60"/>
      <c r="I13" s="60"/>
      <c r="J13" s="49"/>
      <c r="K13" s="49"/>
      <c r="P13" s="50"/>
      <c r="Q13" s="4"/>
      <c r="R13" s="4"/>
      <c r="S13" s="265"/>
    </row>
    <row r="14" spans="1:19" ht="18" customHeight="1">
      <c r="A14" s="1"/>
      <c r="B14" s="189"/>
      <c r="C14" s="53"/>
      <c r="D14" s="48"/>
      <c r="E14" s="266"/>
      <c r="F14" s="49"/>
      <c r="G14" s="49"/>
      <c r="H14" s="60"/>
      <c r="I14" s="60"/>
      <c r="J14" s="49"/>
      <c r="K14" s="49"/>
      <c r="P14" s="50"/>
      <c r="Q14" s="4"/>
      <c r="R14" s="4"/>
      <c r="S14" s="265"/>
    </row>
    <row r="15" spans="1:16" ht="16.5" thickBot="1">
      <c r="A15" s="1"/>
      <c r="B15" s="189"/>
      <c r="C15" s="267" t="s">
        <v>65</v>
      </c>
      <c r="D15" s="51"/>
      <c r="E15" s="190"/>
      <c r="F15" s="191"/>
      <c r="G15" s="53"/>
      <c r="H15" s="53"/>
      <c r="I15" s="53"/>
      <c r="J15" s="52"/>
      <c r="K15" s="52"/>
      <c r="L15" s="192"/>
      <c r="M15" s="53"/>
      <c r="N15" s="53"/>
      <c r="O15" s="53"/>
      <c r="P15" s="193"/>
    </row>
    <row r="16" spans="1:16" ht="16.5" thickBot="1">
      <c r="A16" s="1"/>
      <c r="B16" s="189"/>
      <c r="C16" s="194"/>
      <c r="D16" s="51"/>
      <c r="E16" s="190"/>
      <c r="F16" s="191"/>
      <c r="G16" s="53"/>
      <c r="H16" s="53"/>
      <c r="L16" s="268" t="s">
        <v>62</v>
      </c>
      <c r="M16" s="269">
        <v>69.722</v>
      </c>
      <c r="N16" s="270"/>
      <c r="O16" s="53"/>
      <c r="P16" s="193"/>
    </row>
    <row r="17" spans="1:16" ht="15.75">
      <c r="A17" s="1"/>
      <c r="B17" s="189"/>
      <c r="C17" s="194"/>
      <c r="D17" s="52" t="s">
        <v>66</v>
      </c>
      <c r="E17" s="195">
        <v>744</v>
      </c>
      <c r="F17" s="53" t="s">
        <v>67</v>
      </c>
      <c r="G17" s="49"/>
      <c r="H17" s="271"/>
      <c r="I17" s="272" t="s">
        <v>68</v>
      </c>
      <c r="J17" s="273">
        <v>69.722</v>
      </c>
      <c r="K17" s="252"/>
      <c r="L17" s="274" t="s">
        <v>63</v>
      </c>
      <c r="M17" s="275">
        <v>2.433</v>
      </c>
      <c r="N17" s="276"/>
      <c r="O17" s="53"/>
      <c r="P17" s="193"/>
    </row>
    <row r="18" spans="1:16" ht="16.5" thickBot="1">
      <c r="A18" s="1"/>
      <c r="B18" s="189"/>
      <c r="C18" s="194"/>
      <c r="D18" s="52" t="s">
        <v>69</v>
      </c>
      <c r="E18" s="197">
        <v>0.025</v>
      </c>
      <c r="F18" s="49"/>
      <c r="G18" s="49"/>
      <c r="H18" s="277"/>
      <c r="I18" s="278" t="s">
        <v>70</v>
      </c>
      <c r="J18" s="279">
        <v>0.243</v>
      </c>
      <c r="K18" s="280"/>
      <c r="L18" s="281" t="s">
        <v>64</v>
      </c>
      <c r="M18" s="282">
        <v>2.433</v>
      </c>
      <c r="N18" s="283"/>
      <c r="O18" s="53"/>
      <c r="P18" s="193"/>
    </row>
    <row r="19" spans="1:16" ht="15.75">
      <c r="A19" s="1"/>
      <c r="B19" s="189"/>
      <c r="C19" s="194"/>
      <c r="D19" s="52"/>
      <c r="E19" s="197"/>
      <c r="F19" s="49"/>
      <c r="G19" s="49"/>
      <c r="H19" s="49"/>
      <c r="I19" s="49"/>
      <c r="L19" s="192"/>
      <c r="M19" s="53"/>
      <c r="N19" s="53"/>
      <c r="O19" s="53"/>
      <c r="P19" s="193"/>
    </row>
    <row r="20" spans="1:16" ht="15">
      <c r="A20" s="1"/>
      <c r="B20" s="189"/>
      <c r="C20" s="48" t="s">
        <v>71</v>
      </c>
      <c r="D20" s="55"/>
      <c r="E20" s="190"/>
      <c r="F20" s="191"/>
      <c r="G20" s="53"/>
      <c r="H20" s="53"/>
      <c r="I20" s="53"/>
      <c r="J20" s="52"/>
      <c r="K20" s="52"/>
      <c r="L20" s="192"/>
      <c r="M20" s="53"/>
      <c r="N20" s="53"/>
      <c r="O20" s="53"/>
      <c r="P20" s="193"/>
    </row>
    <row r="21" spans="1:16" ht="15">
      <c r="A21" s="1"/>
      <c r="B21" s="189"/>
      <c r="C21" s="53"/>
      <c r="D21" s="53"/>
      <c r="E21" s="53"/>
      <c r="F21" s="53"/>
      <c r="G21" s="53"/>
      <c r="H21" s="198"/>
      <c r="I21" s="53"/>
      <c r="J21" s="53"/>
      <c r="K21" s="53"/>
      <c r="L21" s="53"/>
      <c r="M21" s="53"/>
      <c r="N21" s="53"/>
      <c r="O21" s="53"/>
      <c r="P21" s="193"/>
    </row>
    <row r="22" spans="1:16" ht="15">
      <c r="A22" s="1"/>
      <c r="B22" s="189"/>
      <c r="C22" s="53"/>
      <c r="D22" s="52" t="s">
        <v>72</v>
      </c>
      <c r="E22" s="53"/>
      <c r="F22" s="198" t="s">
        <v>9</v>
      </c>
      <c r="G22" s="53"/>
      <c r="H22" s="51"/>
      <c r="I22" s="284">
        <v>10120.29</v>
      </c>
      <c r="J22" s="53"/>
      <c r="K22" s="53"/>
      <c r="L22" s="285" t="s">
        <v>105</v>
      </c>
      <c r="M22" s="53"/>
      <c r="N22" s="53"/>
      <c r="O22" s="53"/>
      <c r="P22" s="193"/>
    </row>
    <row r="23" spans="1:16" ht="15">
      <c r="A23" s="1"/>
      <c r="B23" s="189"/>
      <c r="C23" s="53"/>
      <c r="D23" s="53"/>
      <c r="E23" s="53"/>
      <c r="F23" s="198" t="s">
        <v>73</v>
      </c>
      <c r="G23" s="53"/>
      <c r="H23" s="51"/>
      <c r="I23" s="284" t="s">
        <v>114</v>
      </c>
      <c r="J23" s="53"/>
      <c r="K23" s="53"/>
      <c r="L23" s="285"/>
      <c r="M23" s="53"/>
      <c r="N23" s="53"/>
      <c r="O23" s="53"/>
      <c r="P23" s="193"/>
    </row>
    <row r="24" spans="1:16" ht="15">
      <c r="A24" s="1"/>
      <c r="B24" s="189"/>
      <c r="C24" s="53"/>
      <c r="D24" s="53"/>
      <c r="E24" s="53"/>
      <c r="F24" s="198" t="s">
        <v>3</v>
      </c>
      <c r="G24" s="53"/>
      <c r="H24" s="51"/>
      <c r="I24" s="286" t="s">
        <v>130</v>
      </c>
      <c r="J24" s="53"/>
      <c r="K24" s="53"/>
      <c r="L24" s="285" t="s">
        <v>106</v>
      </c>
      <c r="M24" s="53"/>
      <c r="N24" s="53"/>
      <c r="O24" s="53"/>
      <c r="P24" s="193"/>
    </row>
    <row r="25" spans="1:16" ht="15.75" thickBot="1">
      <c r="A25" s="1"/>
      <c r="B25" s="189"/>
      <c r="C25" s="53"/>
      <c r="D25" s="53"/>
      <c r="E25" s="53"/>
      <c r="F25" s="53"/>
      <c r="G25" s="53"/>
      <c r="H25" s="198"/>
      <c r="I25" s="53"/>
      <c r="J25" s="53"/>
      <c r="K25" s="53"/>
      <c r="L25" s="53"/>
      <c r="M25" s="53"/>
      <c r="N25" s="53"/>
      <c r="O25" s="53"/>
      <c r="P25" s="193"/>
    </row>
    <row r="26" spans="2:16" ht="20.25" thickBot="1" thickTop="1">
      <c r="B26" s="189"/>
      <c r="C26" s="59"/>
      <c r="H26" s="287" t="s">
        <v>74</v>
      </c>
      <c r="I26" s="130">
        <f>SUM(I22:I25)</f>
        <v>10120.29</v>
      </c>
      <c r="L26" s="56"/>
      <c r="M26" s="56"/>
      <c r="N26" s="57"/>
      <c r="O26" s="58"/>
      <c r="P26" s="199"/>
    </row>
    <row r="27" spans="2:16" ht="15.75" thickTop="1">
      <c r="B27" s="189"/>
      <c r="C27" s="59"/>
      <c r="D27" s="55"/>
      <c r="E27" s="55"/>
      <c r="F27" s="61"/>
      <c r="G27" s="56"/>
      <c r="H27" s="56"/>
      <c r="I27" s="56"/>
      <c r="J27" s="56"/>
      <c r="K27" s="56"/>
      <c r="L27" s="56"/>
      <c r="M27" s="56"/>
      <c r="N27" s="57"/>
      <c r="O27" s="58"/>
      <c r="P27" s="199"/>
    </row>
    <row r="28" spans="2:16" ht="15">
      <c r="B28" s="189"/>
      <c r="C28" s="48" t="s">
        <v>75</v>
      </c>
      <c r="D28" s="55"/>
      <c r="E28" s="55"/>
      <c r="F28" s="61"/>
      <c r="G28" s="56"/>
      <c r="H28" s="56"/>
      <c r="I28" s="56"/>
      <c r="J28" s="56"/>
      <c r="K28" s="56"/>
      <c r="L28" s="56"/>
      <c r="M28" s="56"/>
      <c r="N28" s="57"/>
      <c r="O28" s="58"/>
      <c r="P28" s="199"/>
    </row>
    <row r="29" spans="2:16" ht="15">
      <c r="B29" s="189"/>
      <c r="C29" s="59"/>
      <c r="D29" s="55"/>
      <c r="E29" s="55"/>
      <c r="F29" s="61"/>
      <c r="G29" s="56"/>
      <c r="H29" s="56"/>
      <c r="I29" s="56"/>
      <c r="J29" s="56"/>
      <c r="K29" s="56"/>
      <c r="L29" s="56"/>
      <c r="M29" s="56"/>
      <c r="N29" s="57"/>
      <c r="O29" s="58"/>
      <c r="P29" s="199"/>
    </row>
    <row r="30" spans="2:16" ht="15.75">
      <c r="B30" s="189"/>
      <c r="C30" s="59"/>
      <c r="D30" s="288" t="s">
        <v>76</v>
      </c>
      <c r="E30" s="289" t="s">
        <v>5</v>
      </c>
      <c r="F30" s="290" t="s">
        <v>77</v>
      </c>
      <c r="G30" s="291"/>
      <c r="H30" s="501" t="s">
        <v>101</v>
      </c>
      <c r="I30" s="500" t="s">
        <v>100</v>
      </c>
      <c r="J30" s="496"/>
      <c r="K30" s="311"/>
      <c r="L30" s="292" t="s">
        <v>2</v>
      </c>
      <c r="N30" s="57"/>
      <c r="O30" s="58"/>
      <c r="P30" s="199"/>
    </row>
    <row r="31" spans="2:16" ht="15.75">
      <c r="B31" s="189"/>
      <c r="C31" s="59"/>
      <c r="D31" s="293" t="s">
        <v>91</v>
      </c>
      <c r="E31" s="294">
        <v>132</v>
      </c>
      <c r="F31" s="295">
        <v>42.6</v>
      </c>
      <c r="G31" s="296"/>
      <c r="H31" s="297">
        <f>F31*$J$17*$E$17/100</f>
        <v>22097.969567999997</v>
      </c>
      <c r="I31" s="298">
        <v>63712</v>
      </c>
      <c r="J31" s="498" t="s">
        <v>113</v>
      </c>
      <c r="K31" s="299"/>
      <c r="L31" s="300">
        <f>SUM(H31:K31)</f>
        <v>85809.969568</v>
      </c>
      <c r="M31" s="56"/>
      <c r="N31" s="57"/>
      <c r="O31" s="58"/>
      <c r="P31" s="199"/>
    </row>
    <row r="32" spans="2:16" ht="15.75">
      <c r="B32" s="189"/>
      <c r="C32" s="59"/>
      <c r="D32" s="317" t="s">
        <v>92</v>
      </c>
      <c r="E32" s="55">
        <v>132</v>
      </c>
      <c r="F32" s="61">
        <v>33.6</v>
      </c>
      <c r="G32" s="56"/>
      <c r="H32" s="204">
        <f>F32*$J$17*$E$17/100</f>
        <v>17429.384448</v>
      </c>
      <c r="I32" s="331">
        <v>8507</v>
      </c>
      <c r="J32" s="497" t="s">
        <v>113</v>
      </c>
      <c r="K32" s="196"/>
      <c r="L32" s="318">
        <f>SUM(H32:K32)</f>
        <v>25936.384448</v>
      </c>
      <c r="M32" s="56"/>
      <c r="N32" s="57"/>
      <c r="O32" s="58"/>
      <c r="P32" s="199"/>
    </row>
    <row r="33" spans="2:16" ht="15.75">
      <c r="B33" s="189"/>
      <c r="C33" s="59"/>
      <c r="D33" s="317" t="s">
        <v>93</v>
      </c>
      <c r="E33" s="55">
        <v>132</v>
      </c>
      <c r="F33" s="61">
        <v>41</v>
      </c>
      <c r="G33" s="56"/>
      <c r="H33" s="204">
        <f>F33*$J$17*$E$17/100</f>
        <v>21267.99888</v>
      </c>
      <c r="I33" s="331">
        <v>1325</v>
      </c>
      <c r="J33" s="497" t="s">
        <v>113</v>
      </c>
      <c r="K33" s="196"/>
      <c r="L33" s="318">
        <f>SUM(H33:K33)</f>
        <v>22592.99888</v>
      </c>
      <c r="M33" s="56"/>
      <c r="N33" s="57"/>
      <c r="O33" s="58"/>
      <c r="P33" s="199"/>
    </row>
    <row r="34" spans="2:16" ht="15.75">
      <c r="B34" s="189"/>
      <c r="C34" s="59"/>
      <c r="D34" s="301" t="s">
        <v>129</v>
      </c>
      <c r="E34" s="302">
        <v>132</v>
      </c>
      <c r="F34" s="303">
        <v>121</v>
      </c>
      <c r="G34" s="304"/>
      <c r="H34" s="305">
        <f>F34*$J$17*$E$17/100</f>
        <v>62766.533279999996</v>
      </c>
      <c r="I34" s="306">
        <v>381</v>
      </c>
      <c r="J34" s="499" t="s">
        <v>113</v>
      </c>
      <c r="K34" s="307"/>
      <c r="L34" s="318">
        <f>SUM(H34:K34)</f>
        <v>63147.533279999996</v>
      </c>
      <c r="M34" s="56"/>
      <c r="N34" s="57"/>
      <c r="O34" s="58"/>
      <c r="P34" s="199"/>
    </row>
    <row r="35" spans="2:16" ht="15">
      <c r="B35" s="189"/>
      <c r="C35" s="59"/>
      <c r="D35" s="55"/>
      <c r="E35" s="55"/>
      <c r="F35" s="200"/>
      <c r="G35" s="56"/>
      <c r="I35" s="62"/>
      <c r="J35" s="196"/>
      <c r="K35" s="196"/>
      <c r="L35" s="308">
        <f>SUM(L31:L34)</f>
        <v>197486.886176</v>
      </c>
      <c r="M35" s="56"/>
      <c r="N35" s="57"/>
      <c r="O35" s="58"/>
      <c r="P35" s="199"/>
    </row>
    <row r="36" spans="2:16" ht="15">
      <c r="B36" s="189"/>
      <c r="C36" s="59"/>
      <c r="D36" s="55"/>
      <c r="E36" s="55"/>
      <c r="F36" s="200"/>
      <c r="G36" s="56"/>
      <c r="I36" s="62"/>
      <c r="J36" s="196"/>
      <c r="K36" s="196"/>
      <c r="L36" s="201"/>
      <c r="M36" s="56"/>
      <c r="N36" s="57"/>
      <c r="O36" s="58"/>
      <c r="P36" s="199"/>
    </row>
    <row r="37" spans="2:16" ht="15.75">
      <c r="B37" s="189"/>
      <c r="C37" s="59"/>
      <c r="D37" s="288" t="s">
        <v>78</v>
      </c>
      <c r="E37" s="289" t="s">
        <v>79</v>
      </c>
      <c r="F37" s="332" t="s">
        <v>89</v>
      </c>
      <c r="G37" s="333"/>
      <c r="H37" s="502" t="s">
        <v>102</v>
      </c>
      <c r="J37" s="309" t="s">
        <v>80</v>
      </c>
      <c r="K37" s="310"/>
      <c r="L37" s="311" t="s">
        <v>31</v>
      </c>
      <c r="M37" s="289" t="s">
        <v>5</v>
      </c>
      <c r="N37" s="312" t="s">
        <v>81</v>
      </c>
      <c r="O37" s="313"/>
      <c r="P37" s="199"/>
    </row>
    <row r="38" spans="2:16" ht="15">
      <c r="B38" s="189"/>
      <c r="C38" s="59"/>
      <c r="D38" s="293"/>
      <c r="E38" s="294"/>
      <c r="F38" s="334"/>
      <c r="G38" s="335"/>
      <c r="H38" s="300">
        <f>+F38*$J$18*$E$17</f>
        <v>0</v>
      </c>
      <c r="J38" s="503" t="s">
        <v>94</v>
      </c>
      <c r="K38" s="504"/>
      <c r="L38" s="505" t="s">
        <v>96</v>
      </c>
      <c r="M38" s="314">
        <v>132</v>
      </c>
      <c r="N38" s="315">
        <f aca="true" t="shared" si="0" ref="N38:N43">$M$16*$E$17</f>
        <v>51873.168</v>
      </c>
      <c r="O38" s="316"/>
      <c r="P38" s="199"/>
    </row>
    <row r="39" spans="2:16" ht="15">
      <c r="B39" s="189"/>
      <c r="C39" s="59"/>
      <c r="D39" s="317"/>
      <c r="E39" s="55"/>
      <c r="F39" s="336"/>
      <c r="G39" s="337"/>
      <c r="H39" s="318">
        <f>+F39*$J$18*$E$17</f>
        <v>0</v>
      </c>
      <c r="J39" s="506" t="s">
        <v>94</v>
      </c>
      <c r="K39" s="507"/>
      <c r="L39" s="508" t="s">
        <v>107</v>
      </c>
      <c r="M39" s="57">
        <v>132</v>
      </c>
      <c r="N39" s="319">
        <f t="shared" si="0"/>
        <v>51873.168</v>
      </c>
      <c r="O39" s="320"/>
      <c r="P39" s="199"/>
    </row>
    <row r="40" spans="2:16" ht="15">
      <c r="B40" s="189"/>
      <c r="C40" s="59"/>
      <c r="D40" s="317"/>
      <c r="E40" s="55"/>
      <c r="F40" s="336"/>
      <c r="G40" s="337"/>
      <c r="H40" s="318">
        <f>+F40*$J$18*$E$17</f>
        <v>0</v>
      </c>
      <c r="J40" s="506" t="s">
        <v>95</v>
      </c>
      <c r="K40" s="507"/>
      <c r="L40" s="508" t="s">
        <v>96</v>
      </c>
      <c r="M40" s="57">
        <v>132</v>
      </c>
      <c r="N40" s="319">
        <f t="shared" si="0"/>
        <v>51873.168</v>
      </c>
      <c r="O40" s="320"/>
      <c r="P40" s="199"/>
    </row>
    <row r="41" spans="2:16" ht="15">
      <c r="B41" s="189"/>
      <c r="C41" s="59"/>
      <c r="D41" s="317"/>
      <c r="E41" s="55"/>
      <c r="F41" s="336"/>
      <c r="G41" s="337"/>
      <c r="H41" s="318">
        <f>+F41*$J$18*$E$17</f>
        <v>0</v>
      </c>
      <c r="J41" s="506" t="s">
        <v>97</v>
      </c>
      <c r="K41" s="507"/>
      <c r="L41" s="508" t="s">
        <v>98</v>
      </c>
      <c r="M41" s="57">
        <v>132</v>
      </c>
      <c r="N41" s="319">
        <f t="shared" si="0"/>
        <v>51873.168</v>
      </c>
      <c r="O41" s="320"/>
      <c r="P41" s="199"/>
    </row>
    <row r="42" spans="2:16" ht="15">
      <c r="B42" s="189"/>
      <c r="C42" s="59"/>
      <c r="D42" s="301"/>
      <c r="E42" s="302"/>
      <c r="F42" s="338"/>
      <c r="G42" s="339"/>
      <c r="H42" s="318">
        <f>+F42*$J$18*$E$17</f>
        <v>0</v>
      </c>
      <c r="J42" s="506" t="s">
        <v>97</v>
      </c>
      <c r="K42" s="507"/>
      <c r="L42" s="508" t="s">
        <v>99</v>
      </c>
      <c r="M42" s="57">
        <v>132</v>
      </c>
      <c r="N42" s="319">
        <f t="shared" si="0"/>
        <v>51873.168</v>
      </c>
      <c r="O42" s="320"/>
      <c r="P42" s="199"/>
    </row>
    <row r="43" spans="2:16" ht="15">
      <c r="B43" s="189"/>
      <c r="C43" s="59"/>
      <c r="D43" s="55"/>
      <c r="E43" s="55"/>
      <c r="F43" s="200"/>
      <c r="G43" s="56"/>
      <c r="H43" s="308">
        <f>SUM(H38:H42)</f>
        <v>0</v>
      </c>
      <c r="J43" s="509" t="s">
        <v>97</v>
      </c>
      <c r="K43" s="510"/>
      <c r="L43" s="511" t="s">
        <v>108</v>
      </c>
      <c r="M43" s="321">
        <v>132</v>
      </c>
      <c r="N43" s="322">
        <f t="shared" si="0"/>
        <v>51873.168</v>
      </c>
      <c r="O43" s="323"/>
      <c r="P43" s="199"/>
    </row>
    <row r="44" spans="2:16" ht="15">
      <c r="B44" s="189"/>
      <c r="C44" s="59"/>
      <c r="D44" s="55"/>
      <c r="E44" s="55"/>
      <c r="F44" s="200"/>
      <c r="G44" s="56"/>
      <c r="I44" s="62"/>
      <c r="J44" s="196"/>
      <c r="K44" s="196"/>
      <c r="L44" s="201"/>
      <c r="M44" s="56"/>
      <c r="N44" s="324">
        <f>SUM(N38:N43)</f>
        <v>311239.008</v>
      </c>
      <c r="O44" s="313"/>
      <c r="P44" s="199"/>
    </row>
    <row r="45" spans="2:16" ht="12.75" customHeight="1" thickBot="1">
      <c r="B45" s="189"/>
      <c r="C45" s="59"/>
      <c r="D45" s="55"/>
      <c r="E45" s="55"/>
      <c r="F45" s="61"/>
      <c r="G45" s="56"/>
      <c r="H45" s="62"/>
      <c r="I45" s="55"/>
      <c r="J45" s="55"/>
      <c r="K45" s="55"/>
      <c r="L45" s="56"/>
      <c r="M45" s="56"/>
      <c r="N45" s="57"/>
      <c r="O45" s="58"/>
      <c r="P45" s="199"/>
    </row>
    <row r="46" spans="2:16" ht="20.25" thickBot="1" thickTop="1">
      <c r="B46" s="189"/>
      <c r="C46" s="59"/>
      <c r="D46" s="55"/>
      <c r="E46" s="55"/>
      <c r="F46" s="61"/>
      <c r="G46" s="56"/>
      <c r="H46" s="325" t="s">
        <v>82</v>
      </c>
      <c r="I46" s="326">
        <f>+H43+N44+L35</f>
        <v>508725.894176</v>
      </c>
      <c r="J46" s="55"/>
      <c r="K46" s="55"/>
      <c r="L46" s="56"/>
      <c r="M46" s="56"/>
      <c r="N46" s="57"/>
      <c r="O46" s="58"/>
      <c r="P46" s="199"/>
    </row>
    <row r="47" spans="2:16" ht="15.75" thickTop="1">
      <c r="B47" s="189"/>
      <c r="C47" s="59"/>
      <c r="D47" s="55"/>
      <c r="E47" s="55"/>
      <c r="F47" s="61"/>
      <c r="G47" s="56"/>
      <c r="H47" s="62"/>
      <c r="I47" s="55"/>
      <c r="J47" s="55"/>
      <c r="K47" s="55"/>
      <c r="L47" s="56"/>
      <c r="M47" s="56"/>
      <c r="N47" s="57"/>
      <c r="O47" s="58"/>
      <c r="P47" s="199"/>
    </row>
    <row r="48" spans="2:16" ht="15.75">
      <c r="B48" s="189"/>
      <c r="C48" s="327" t="s">
        <v>83</v>
      </c>
      <c r="D48" s="55"/>
      <c r="E48" s="55"/>
      <c r="F48" s="61"/>
      <c r="G48" s="56"/>
      <c r="H48" s="62"/>
      <c r="I48" s="55"/>
      <c r="J48" s="55"/>
      <c r="K48" s="55"/>
      <c r="L48" s="56"/>
      <c r="M48" s="56"/>
      <c r="N48" s="57"/>
      <c r="O48" s="58"/>
      <c r="P48" s="199"/>
    </row>
    <row r="49" spans="2:16" ht="15.75" thickBot="1">
      <c r="B49" s="189"/>
      <c r="C49" s="59"/>
      <c r="D49" s="55"/>
      <c r="E49" s="55"/>
      <c r="F49" s="61"/>
      <c r="G49" s="56"/>
      <c r="H49" s="62"/>
      <c r="I49" s="55"/>
      <c r="J49" s="55"/>
      <c r="K49" s="55"/>
      <c r="L49" s="56"/>
      <c r="M49" s="56"/>
      <c r="N49" s="57"/>
      <c r="O49" s="58"/>
      <c r="P49" s="199"/>
    </row>
    <row r="50" spans="2:16" ht="20.25" thickBot="1" thickTop="1">
      <c r="B50" s="189"/>
      <c r="C50" s="59"/>
      <c r="D50" s="165" t="s">
        <v>84</v>
      </c>
      <c r="F50" s="202"/>
      <c r="G50" s="53"/>
      <c r="H50" s="129" t="s">
        <v>85</v>
      </c>
      <c r="I50" s="328">
        <f>E18*I46</f>
        <v>12718.1473544</v>
      </c>
      <c r="J50" s="49"/>
      <c r="K50" s="49"/>
      <c r="O50" s="49"/>
      <c r="P50" s="199"/>
    </row>
    <row r="51" spans="2:16" ht="10.5" customHeight="1" thickTop="1">
      <c r="B51" s="189"/>
      <c r="C51" s="59"/>
      <c r="F51" s="203"/>
      <c r="G51" s="30"/>
      <c r="I51" s="49"/>
      <c r="J51" s="49"/>
      <c r="K51" s="49"/>
      <c r="O51" s="49"/>
      <c r="P51" s="199"/>
    </row>
    <row r="52" spans="2:16" ht="15">
      <c r="B52" s="189"/>
      <c r="C52" s="48" t="s">
        <v>86</v>
      </c>
      <c r="E52" s="49"/>
      <c r="F52" s="49"/>
      <c r="G52" s="49"/>
      <c r="H52" s="49"/>
      <c r="I52" s="56"/>
      <c r="J52" s="56"/>
      <c r="K52" s="56"/>
      <c r="L52" s="56"/>
      <c r="M52" s="56"/>
      <c r="N52" s="57"/>
      <c r="O52" s="58"/>
      <c r="P52" s="199"/>
    </row>
    <row r="53" spans="2:16" ht="15">
      <c r="B53" s="189"/>
      <c r="C53" s="59"/>
      <c r="D53" s="54" t="s">
        <v>87</v>
      </c>
      <c r="E53" s="204">
        <f>10*I26*I50/I46</f>
        <v>2530.0725000000007</v>
      </c>
      <c r="F53" s="329"/>
      <c r="H53" s="49"/>
      <c r="I53" s="56"/>
      <c r="J53" s="56"/>
      <c r="K53" s="56"/>
      <c r="L53" s="56"/>
      <c r="M53" s="56"/>
      <c r="N53" s="57"/>
      <c r="O53" s="58"/>
      <c r="P53" s="199"/>
    </row>
    <row r="54" spans="2:16" ht="15">
      <c r="B54" s="189"/>
      <c r="C54" s="59"/>
      <c r="D54" s="49"/>
      <c r="E54" s="49"/>
      <c r="J54" s="56"/>
      <c r="K54" s="56"/>
      <c r="L54" s="56"/>
      <c r="M54" s="56"/>
      <c r="N54" s="57"/>
      <c r="O54" s="58"/>
      <c r="P54" s="199"/>
    </row>
    <row r="55" spans="2:16" ht="15">
      <c r="B55" s="189"/>
      <c r="C55" s="59"/>
      <c r="D55" s="49" t="s">
        <v>90</v>
      </c>
      <c r="E55" s="49"/>
      <c r="F55" s="49"/>
      <c r="G55" s="49"/>
      <c r="H55" s="49"/>
      <c r="M55" s="56"/>
      <c r="N55" s="57"/>
      <c r="O55" s="58"/>
      <c r="P55" s="199"/>
    </row>
    <row r="56" spans="2:16" ht="15.75" thickBot="1">
      <c r="B56" s="189"/>
      <c r="C56" s="59"/>
      <c r="D56" s="49"/>
      <c r="E56" s="49"/>
      <c r="F56" s="49"/>
      <c r="G56" s="49"/>
      <c r="H56" s="49"/>
      <c r="M56" s="56"/>
      <c r="N56" s="57"/>
      <c r="O56" s="58"/>
      <c r="P56" s="199"/>
    </row>
    <row r="57" spans="2:16" ht="20.25" thickBot="1" thickTop="1">
      <c r="B57" s="189"/>
      <c r="C57" s="59"/>
      <c r="D57" s="55"/>
      <c r="E57" s="55"/>
      <c r="F57" s="61"/>
      <c r="G57" s="56"/>
      <c r="H57" s="166" t="s">
        <v>88</v>
      </c>
      <c r="I57" s="330">
        <f>IF($E$53&gt;3*I50,3*I50,$E$53)</f>
        <v>2530.0725000000007</v>
      </c>
      <c r="J57" s="56"/>
      <c r="K57" s="56"/>
      <c r="L57" s="56"/>
      <c r="M57" s="56"/>
      <c r="N57" s="57"/>
      <c r="O57" s="58"/>
      <c r="P57" s="199"/>
    </row>
    <row r="58" spans="2:16" ht="16.5" thickBot="1" thickTop="1"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7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937007874015748" right="0.1968503937007874" top="0.3937007874015748" bottom="0.35433070866141736" header="0.5118110236220472" footer="0.35433070866141736"/>
  <pageSetup orientation="landscape" paperSize="9" scale="55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57"/>
  <sheetViews>
    <sheetView zoomScale="50" zoomScaleNormal="50" workbookViewId="0" topLeftCell="A7">
      <selection activeCell="J57" sqref="J5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256"/>
    </row>
    <row r="2" spans="2:20" s="570" customFormat="1" ht="30.75">
      <c r="B2" s="85" t="str">
        <f>'TOT-0810'!B2</f>
        <v>ANEXO II al Memorandum  D.T.E.E.  N°   271 / 2012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" ht="12.75" customHeight="1">
      <c r="A3" s="572" t="s">
        <v>6</v>
      </c>
      <c r="B3" s="573"/>
    </row>
    <row r="4" spans="1:4" ht="12.75" customHeight="1">
      <c r="A4" s="572" t="s">
        <v>7</v>
      </c>
      <c r="B4" s="573"/>
      <c r="D4" s="574"/>
    </row>
    <row r="5" spans="1:4" ht="21.75" customHeight="1">
      <c r="A5" s="575"/>
      <c r="D5" s="574"/>
    </row>
    <row r="6" spans="1:20" ht="26.25">
      <c r="A6" s="575"/>
      <c r="B6" s="576" t="s">
        <v>133</v>
      </c>
      <c r="C6" s="64"/>
      <c r="D6" s="57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4" ht="18.75" customHeight="1">
      <c r="A7" s="575"/>
      <c r="D7" s="574"/>
    </row>
    <row r="8" spans="1:20" ht="26.25">
      <c r="A8" s="575"/>
      <c r="B8" s="577" t="s">
        <v>1</v>
      </c>
      <c r="C8" s="64"/>
      <c r="D8" s="57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4" ht="18.75" customHeight="1">
      <c r="A9" s="575"/>
      <c r="D9" s="574"/>
    </row>
    <row r="10" spans="1:20" ht="26.25">
      <c r="A10" s="575"/>
      <c r="B10" s="577" t="s">
        <v>134</v>
      </c>
      <c r="C10" s="64"/>
      <c r="D10" s="57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ht="18.75" customHeight="1" thickBot="1"/>
    <row r="12" spans="2:20" ht="18.75" customHeight="1" thickTop="1">
      <c r="B12" s="578"/>
      <c r="C12" s="579"/>
      <c r="D12" s="580"/>
      <c r="E12" s="580"/>
      <c r="F12" s="580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81"/>
    </row>
    <row r="13" spans="2:20" ht="19.5">
      <c r="B13" s="167" t="s">
        <v>135</v>
      </c>
      <c r="C13" s="64"/>
      <c r="D13" s="582"/>
      <c r="E13" s="582"/>
      <c r="F13" s="582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4"/>
    </row>
    <row r="14" spans="2:20" ht="18.75" customHeight="1" thickBot="1">
      <c r="B14" s="2"/>
      <c r="C14" s="585"/>
      <c r="D14" s="586"/>
      <c r="E14" s="586"/>
      <c r="F14" s="58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595" customFormat="1" ht="34.5" customHeight="1" thickBot="1" thickTop="1">
      <c r="A15" s="573"/>
      <c r="B15" s="588"/>
      <c r="C15" s="589"/>
      <c r="D15" s="590" t="s">
        <v>9</v>
      </c>
      <c r="E15" s="591" t="s">
        <v>28</v>
      </c>
      <c r="F15" s="592" t="s">
        <v>29</v>
      </c>
      <c r="G15" s="593">
        <v>40026</v>
      </c>
      <c r="H15" s="593">
        <v>40057</v>
      </c>
      <c r="I15" s="593">
        <v>40087</v>
      </c>
      <c r="J15" s="593">
        <v>40118</v>
      </c>
      <c r="K15" s="593">
        <v>40148</v>
      </c>
      <c r="L15" s="593">
        <v>40179</v>
      </c>
      <c r="M15" s="593">
        <v>40210</v>
      </c>
      <c r="N15" s="593">
        <v>40238</v>
      </c>
      <c r="O15" s="593">
        <v>40269</v>
      </c>
      <c r="P15" s="593">
        <v>40299</v>
      </c>
      <c r="Q15" s="593">
        <v>40330</v>
      </c>
      <c r="R15" s="593">
        <v>40360</v>
      </c>
      <c r="S15" s="593">
        <v>40391</v>
      </c>
      <c r="T15" s="594"/>
    </row>
    <row r="16" spans="2:20" ht="15" customHeight="1" thickTop="1">
      <c r="B16" s="2"/>
      <c r="C16" s="596"/>
      <c r="D16" s="597"/>
      <c r="E16" s="597"/>
      <c r="F16" s="598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600"/>
      <c r="T16" s="3"/>
    </row>
    <row r="17" spans="2:20" ht="15" customHeight="1" hidden="1">
      <c r="B17" s="2"/>
      <c r="C17" s="601">
        <f>IF('[2]Tasa de Falla'!C17=0,"",'[2]Tasa de Falla'!C17)</f>
        <v>1</v>
      </c>
      <c r="D17" s="602" t="str">
        <f>IF('[2]Tasa de Falla'!D17=0,"",'[2]Tasa de Falla'!D17)</f>
        <v>AMEGHINO - COMODORO RIVADAVIA</v>
      </c>
      <c r="E17" s="602">
        <f>IF('[2]Tasa de Falla'!E17=0,"",'[2]Tasa de Falla'!E17)</f>
        <v>132</v>
      </c>
      <c r="F17" s="603">
        <f>IF('[2]Tasa de Falla'!F17=0,"",'[2]Tasa de Falla'!F17)</f>
        <v>305</v>
      </c>
      <c r="G17" s="604" t="str">
        <f>IF('[2]Tasa de Falla'!CY17=0,"",'[2]Tasa de Falla'!CY17)</f>
        <v>XXXX</v>
      </c>
      <c r="H17" s="604" t="str">
        <f>IF('[2]Tasa de Falla'!CZ17=0,"",'[2]Tasa de Falla'!CZ17)</f>
        <v>XXXX</v>
      </c>
      <c r="I17" s="604" t="str">
        <f>IF('[2]Tasa de Falla'!DA17=0,"",'[2]Tasa de Falla'!DA17)</f>
        <v>XXXX</v>
      </c>
      <c r="J17" s="604" t="str">
        <f>IF('[2]Tasa de Falla'!DB17=0,"",'[2]Tasa de Falla'!DB17)</f>
        <v>XXXX</v>
      </c>
      <c r="K17" s="604" t="str">
        <f>IF('[2]Tasa de Falla'!DC17=0,"",'[2]Tasa de Falla'!DC17)</f>
        <v>XXXX</v>
      </c>
      <c r="L17" s="604" t="str">
        <f>IF('[2]Tasa de Falla'!DD17=0,"",'[2]Tasa de Falla'!DD17)</f>
        <v>XXXX</v>
      </c>
      <c r="M17" s="604" t="str">
        <f>IF('[2]Tasa de Falla'!DE17=0,"",'[2]Tasa de Falla'!DE17)</f>
        <v>XXXX</v>
      </c>
      <c r="N17" s="604" t="str">
        <f>IF('[2]Tasa de Falla'!DF17=0,"",'[2]Tasa de Falla'!DF17)</f>
        <v>XXXX</v>
      </c>
      <c r="O17" s="604" t="str">
        <f>IF('[2]Tasa de Falla'!DG17=0,"",'[2]Tasa de Falla'!DG17)</f>
        <v>XXXX</v>
      </c>
      <c r="P17" s="604" t="str">
        <f>IF('[2]Tasa de Falla'!DH17=0,"",'[2]Tasa de Falla'!DH17)</f>
        <v>XXXX</v>
      </c>
      <c r="Q17" s="604" t="str">
        <f>IF('[2]Tasa de Falla'!DI17=0,"",'[2]Tasa de Falla'!DI17)</f>
        <v>XXXX</v>
      </c>
      <c r="R17" s="604" t="str">
        <f>IF('[2]Tasa de Falla'!DJ17=0,"",'[2]Tasa de Falla'!DJ17)</f>
        <v>XXXX</v>
      </c>
      <c r="S17" s="605"/>
      <c r="T17" s="3"/>
    </row>
    <row r="18" spans="2:20" ht="15" customHeight="1">
      <c r="B18" s="2"/>
      <c r="C18" s="606">
        <f>IF('[2]Tasa de Falla'!C18=0,"",'[2]Tasa de Falla'!C18)</f>
        <v>2</v>
      </c>
      <c r="D18" s="607" t="str">
        <f>IF('[2]Tasa de Falla'!D18=0,"",'[2]Tasa de Falla'!D18)</f>
        <v>AMEGHINO - ESTACION PATAGONIA</v>
      </c>
      <c r="E18" s="607">
        <f>IF('[2]Tasa de Falla'!E18=0,"",'[2]Tasa de Falla'!E18)</f>
        <v>132</v>
      </c>
      <c r="F18" s="608">
        <f>IF('[2]Tasa de Falla'!F18=0,"",'[2]Tasa de Falla'!F18)</f>
        <v>299.6</v>
      </c>
      <c r="G18" s="604">
        <f>IF('[2]Tasa de Falla'!GB18=0,"",'[2]Tasa de Falla'!GB18)</f>
      </c>
      <c r="H18" s="604">
        <f>IF('[2]Tasa de Falla'!GC18=0,"",'[2]Tasa de Falla'!GC18)</f>
      </c>
      <c r="I18" s="604">
        <f>IF('[2]Tasa de Falla'!GD18=0,"",'[2]Tasa de Falla'!GD18)</f>
        <v>1</v>
      </c>
      <c r="J18" s="604">
        <f>IF('[2]Tasa de Falla'!GE18=0,"",'[2]Tasa de Falla'!GE18)</f>
      </c>
      <c r="K18" s="604">
        <f>IF('[2]Tasa de Falla'!GF18=0,"",'[2]Tasa de Falla'!GF18)</f>
      </c>
      <c r="L18" s="604">
        <f>IF('[2]Tasa de Falla'!GG18=0,"",'[2]Tasa de Falla'!GG18)</f>
      </c>
      <c r="M18" s="604">
        <f>IF('[2]Tasa de Falla'!GH18=0,"",'[2]Tasa de Falla'!GH18)</f>
      </c>
      <c r="N18" s="604">
        <f>IF('[2]Tasa de Falla'!GI18=0,"",'[2]Tasa de Falla'!GI18)</f>
      </c>
      <c r="O18" s="604">
        <f>IF('[2]Tasa de Falla'!GJ18=0,"",'[2]Tasa de Falla'!GJ18)</f>
      </c>
      <c r="P18" s="604">
        <f>IF('[2]Tasa de Falla'!GK18=0,"",'[2]Tasa de Falla'!GK18)</f>
      </c>
      <c r="Q18" s="604">
        <f>IF('[2]Tasa de Falla'!GL18=0,"",'[2]Tasa de Falla'!GL18)</f>
        <v>3</v>
      </c>
      <c r="R18" s="604">
        <f>IF('[2]Tasa de Falla'!GM18=0,"",'[2]Tasa de Falla'!GM18)</f>
      </c>
      <c r="S18" s="605"/>
      <c r="T18" s="3"/>
    </row>
    <row r="19" spans="2:20" ht="15" customHeight="1">
      <c r="B19" s="2"/>
      <c r="C19" s="601">
        <f>IF('[2]Tasa de Falla'!C19=0,"",'[2]Tasa de Falla'!C19)</f>
        <v>3</v>
      </c>
      <c r="D19" s="602" t="str">
        <f>IF('[2]Tasa de Falla'!D19=0,"",'[2]Tasa de Falla'!D19)</f>
        <v>AMEGHINO - TRELEW</v>
      </c>
      <c r="E19" s="602">
        <f>IF('[2]Tasa de Falla'!E19=0,"",'[2]Tasa de Falla'!E19)</f>
        <v>132</v>
      </c>
      <c r="F19" s="603">
        <f>IF('[2]Tasa de Falla'!F19=0,"",'[2]Tasa de Falla'!F19)</f>
        <v>112</v>
      </c>
      <c r="G19" s="604">
        <f>IF('[2]Tasa de Falla'!GB19=0,"",'[2]Tasa de Falla'!GB19)</f>
      </c>
      <c r="H19" s="604">
        <f>IF('[2]Tasa de Falla'!GC19=0,"",'[2]Tasa de Falla'!GC19)</f>
      </c>
      <c r="I19" s="604">
        <f>IF('[2]Tasa de Falla'!GD19=0,"",'[2]Tasa de Falla'!GD19)</f>
      </c>
      <c r="J19" s="604">
        <f>IF('[2]Tasa de Falla'!GE19=0,"",'[2]Tasa de Falla'!GE19)</f>
      </c>
      <c r="K19" s="604">
        <f>IF('[2]Tasa de Falla'!GF19=0,"",'[2]Tasa de Falla'!GF19)</f>
      </c>
      <c r="L19" s="604">
        <f>IF('[2]Tasa de Falla'!GG19=0,"",'[2]Tasa de Falla'!GG19)</f>
      </c>
      <c r="M19" s="604">
        <f>IF('[2]Tasa de Falla'!GH19=0,"",'[2]Tasa de Falla'!GH19)</f>
      </c>
      <c r="N19" s="604">
        <f>IF('[2]Tasa de Falla'!GI19=0,"",'[2]Tasa de Falla'!GI19)</f>
      </c>
      <c r="O19" s="604">
        <f>IF('[2]Tasa de Falla'!GJ19=0,"",'[2]Tasa de Falla'!GJ19)</f>
      </c>
      <c r="P19" s="604">
        <f>IF('[2]Tasa de Falla'!GK19=0,"",'[2]Tasa de Falla'!GK19)</f>
      </c>
      <c r="Q19" s="604">
        <f>IF('[2]Tasa de Falla'!GL19=0,"",'[2]Tasa de Falla'!GL19)</f>
      </c>
      <c r="R19" s="604">
        <f>IF('[2]Tasa de Falla'!GM19=0,"",'[2]Tasa de Falla'!GM19)</f>
      </c>
      <c r="S19" s="605"/>
      <c r="T19" s="3"/>
    </row>
    <row r="20" spans="2:20" ht="15" customHeight="1">
      <c r="B20" s="2"/>
      <c r="C20" s="606">
        <f>IF('[2]Tasa de Falla'!C20=0,"",'[2]Tasa de Falla'!C20)</f>
        <v>4</v>
      </c>
      <c r="D20" s="607" t="str">
        <f>IF('[2]Tasa de Falla'!D20=0,"",'[2]Tasa de Falla'!D20)</f>
        <v>FUTALEUFU - ESQUEL</v>
      </c>
      <c r="E20" s="607">
        <f>IF('[2]Tasa de Falla'!E20=0,"",'[2]Tasa de Falla'!E20)</f>
        <v>132</v>
      </c>
      <c r="F20" s="608">
        <f>IF('[2]Tasa de Falla'!F20=0,"",'[2]Tasa de Falla'!F20)</f>
        <v>28.41</v>
      </c>
      <c r="G20" s="604">
        <f>IF('[2]Tasa de Falla'!GB20=0,"",'[2]Tasa de Falla'!GB20)</f>
      </c>
      <c r="H20" s="604">
        <f>IF('[2]Tasa de Falla'!GC20=0,"",'[2]Tasa de Falla'!GC20)</f>
      </c>
      <c r="I20" s="604">
        <f>IF('[2]Tasa de Falla'!GD20=0,"",'[2]Tasa de Falla'!GD20)</f>
      </c>
      <c r="J20" s="604">
        <f>IF('[2]Tasa de Falla'!GE20=0,"",'[2]Tasa de Falla'!GE20)</f>
      </c>
      <c r="K20" s="604">
        <f>IF('[2]Tasa de Falla'!GF20=0,"",'[2]Tasa de Falla'!GF20)</f>
      </c>
      <c r="L20" s="604">
        <f>IF('[2]Tasa de Falla'!GG20=0,"",'[2]Tasa de Falla'!GG20)</f>
      </c>
      <c r="M20" s="604">
        <f>IF('[2]Tasa de Falla'!GH20=0,"",'[2]Tasa de Falla'!GH20)</f>
      </c>
      <c r="N20" s="604">
        <f>IF('[2]Tasa de Falla'!GI20=0,"",'[2]Tasa de Falla'!GI20)</f>
      </c>
      <c r="O20" s="604">
        <f>IF('[2]Tasa de Falla'!GJ20=0,"",'[2]Tasa de Falla'!GJ20)</f>
      </c>
      <c r="P20" s="604">
        <f>IF('[2]Tasa de Falla'!GK20=0,"",'[2]Tasa de Falla'!GK20)</f>
      </c>
      <c r="Q20" s="604">
        <f>IF('[2]Tasa de Falla'!GL20=0,"",'[2]Tasa de Falla'!GL20)</f>
      </c>
      <c r="R20" s="604">
        <f>IF('[2]Tasa de Falla'!GM20=0,"",'[2]Tasa de Falla'!GM20)</f>
      </c>
      <c r="S20" s="605"/>
      <c r="T20" s="3"/>
    </row>
    <row r="21" spans="2:20" ht="15" customHeight="1">
      <c r="B21" s="2"/>
      <c r="C21" s="601">
        <f>IF('[2]Tasa de Falla'!C21=0,"",'[2]Tasa de Falla'!C21)</f>
        <v>5</v>
      </c>
      <c r="D21" s="602" t="str">
        <f>IF('[2]Tasa de Falla'!D21=0,"",'[2]Tasa de Falla'!D21)</f>
        <v>BARRIO SAN MARTIN - ESTACION PATAGONIA</v>
      </c>
      <c r="E21" s="602">
        <f>IF('[2]Tasa de Falla'!E21=0,"",'[2]Tasa de Falla'!E21)</f>
        <v>132</v>
      </c>
      <c r="F21" s="603">
        <f>IF('[2]Tasa de Falla'!F21=0,"",'[2]Tasa de Falla'!F21)</f>
        <v>9.43</v>
      </c>
      <c r="G21" s="604">
        <f>IF('[2]Tasa de Falla'!GB21=0,"",'[2]Tasa de Falla'!GB21)</f>
      </c>
      <c r="H21" s="604">
        <f>IF('[2]Tasa de Falla'!GC21=0,"",'[2]Tasa de Falla'!GC21)</f>
      </c>
      <c r="I21" s="604">
        <f>IF('[2]Tasa de Falla'!GD21=0,"",'[2]Tasa de Falla'!GD21)</f>
      </c>
      <c r="J21" s="604">
        <f>IF('[2]Tasa de Falla'!GE21=0,"",'[2]Tasa de Falla'!GE21)</f>
      </c>
      <c r="K21" s="604">
        <f>IF('[2]Tasa de Falla'!GF21=0,"",'[2]Tasa de Falla'!GF21)</f>
      </c>
      <c r="L21" s="604">
        <f>IF('[2]Tasa de Falla'!GG21=0,"",'[2]Tasa de Falla'!GG21)</f>
      </c>
      <c r="M21" s="604">
        <f>IF('[2]Tasa de Falla'!GH21=0,"",'[2]Tasa de Falla'!GH21)</f>
      </c>
      <c r="N21" s="604">
        <f>IF('[2]Tasa de Falla'!GI21=0,"",'[2]Tasa de Falla'!GI21)</f>
      </c>
      <c r="O21" s="604">
        <f>IF('[2]Tasa de Falla'!GJ21=0,"",'[2]Tasa de Falla'!GJ21)</f>
      </c>
      <c r="P21" s="604">
        <f>IF('[2]Tasa de Falla'!GK21=0,"",'[2]Tasa de Falla'!GK21)</f>
      </c>
      <c r="Q21" s="604">
        <f>IF('[2]Tasa de Falla'!GL21=0,"",'[2]Tasa de Falla'!GL21)</f>
      </c>
      <c r="R21" s="604">
        <f>IF('[2]Tasa de Falla'!GM21=0,"",'[2]Tasa de Falla'!GM21)</f>
      </c>
      <c r="S21" s="605"/>
      <c r="T21" s="3"/>
    </row>
    <row r="22" spans="2:20" ht="15" customHeight="1">
      <c r="B22" s="2"/>
      <c r="C22" s="606">
        <f>IF('[2]Tasa de Falla'!C22=0,"",'[2]Tasa de Falla'!C22)</f>
        <v>6</v>
      </c>
      <c r="D22" s="607" t="str">
        <f>IF('[2]Tasa de Falla'!D22=0,"",'[2]Tasa de Falla'!D22)</f>
        <v>COMODORO RIVADAVIA - E.T. A1</v>
      </c>
      <c r="E22" s="607">
        <f>IF('[2]Tasa de Falla'!E22=0,"",'[2]Tasa de Falla'!E22)</f>
        <v>132</v>
      </c>
      <c r="F22" s="608">
        <f>IF('[2]Tasa de Falla'!F22=0,"",'[2]Tasa de Falla'!F22)</f>
        <v>0.5</v>
      </c>
      <c r="G22" s="604">
        <f>IF('[2]Tasa de Falla'!GB22=0,"",'[2]Tasa de Falla'!GB22)</f>
      </c>
      <c r="H22" s="604">
        <f>IF('[2]Tasa de Falla'!GC22=0,"",'[2]Tasa de Falla'!GC22)</f>
      </c>
      <c r="I22" s="604">
        <f>IF('[2]Tasa de Falla'!GD22=0,"",'[2]Tasa de Falla'!GD22)</f>
      </c>
      <c r="J22" s="604">
        <f>IF('[2]Tasa de Falla'!GE22=0,"",'[2]Tasa de Falla'!GE22)</f>
      </c>
      <c r="K22" s="604">
        <f>IF('[2]Tasa de Falla'!GF22=0,"",'[2]Tasa de Falla'!GF22)</f>
      </c>
      <c r="L22" s="604">
        <f>IF('[2]Tasa de Falla'!GG22=0,"",'[2]Tasa de Falla'!GG22)</f>
      </c>
      <c r="M22" s="604">
        <f>IF('[2]Tasa de Falla'!GH22=0,"",'[2]Tasa de Falla'!GH22)</f>
      </c>
      <c r="N22" s="604">
        <f>IF('[2]Tasa de Falla'!GI22=0,"",'[2]Tasa de Falla'!GI22)</f>
      </c>
      <c r="O22" s="604">
        <f>IF('[2]Tasa de Falla'!GJ22=0,"",'[2]Tasa de Falla'!GJ22)</f>
      </c>
      <c r="P22" s="604">
        <f>IF('[2]Tasa de Falla'!GK22=0,"",'[2]Tasa de Falla'!GK22)</f>
      </c>
      <c r="Q22" s="604">
        <f>IF('[2]Tasa de Falla'!GL22=0,"",'[2]Tasa de Falla'!GL22)</f>
      </c>
      <c r="R22" s="604">
        <f>IF('[2]Tasa de Falla'!GM22=0,"",'[2]Tasa de Falla'!GM22)</f>
      </c>
      <c r="S22" s="605"/>
      <c r="T22" s="3"/>
    </row>
    <row r="23" spans="2:20" ht="15" customHeight="1">
      <c r="B23" s="2"/>
      <c r="C23" s="601">
        <f>IF('[2]Tasa de Falla'!C23=0,"",'[2]Tasa de Falla'!C23)</f>
        <v>7</v>
      </c>
      <c r="D23" s="602" t="str">
        <f>IF('[2]Tasa de Falla'!D23=0,"",'[2]Tasa de Falla'!D23)</f>
        <v>COMODORO RIVADAVIA (A1) - ESTACION PATAGONIA</v>
      </c>
      <c r="E23" s="602">
        <f>IF('[2]Tasa de Falla'!E23=0,"",'[2]Tasa de Falla'!E23)</f>
        <v>132</v>
      </c>
      <c r="F23" s="603">
        <f>IF('[2]Tasa de Falla'!F23=0,"",'[2]Tasa de Falla'!F23)</f>
        <v>6.9</v>
      </c>
      <c r="G23" s="604">
        <f>IF('[2]Tasa de Falla'!GB23=0,"",'[2]Tasa de Falla'!GB23)</f>
      </c>
      <c r="H23" s="604">
        <f>IF('[2]Tasa de Falla'!GC23=0,"",'[2]Tasa de Falla'!GC23)</f>
      </c>
      <c r="I23" s="604">
        <f>IF('[2]Tasa de Falla'!GD23=0,"",'[2]Tasa de Falla'!GD23)</f>
      </c>
      <c r="J23" s="604">
        <f>IF('[2]Tasa de Falla'!GE23=0,"",'[2]Tasa de Falla'!GE23)</f>
      </c>
      <c r="K23" s="604">
        <f>IF('[2]Tasa de Falla'!GF23=0,"",'[2]Tasa de Falla'!GF23)</f>
      </c>
      <c r="L23" s="604">
        <f>IF('[2]Tasa de Falla'!GG23=0,"",'[2]Tasa de Falla'!GG23)</f>
      </c>
      <c r="M23" s="604">
        <f>IF('[2]Tasa de Falla'!GH23=0,"",'[2]Tasa de Falla'!GH23)</f>
      </c>
      <c r="N23" s="604">
        <f>IF('[2]Tasa de Falla'!GI23=0,"",'[2]Tasa de Falla'!GI23)</f>
      </c>
      <c r="O23" s="604">
        <f>IF('[2]Tasa de Falla'!GJ23=0,"",'[2]Tasa de Falla'!GJ23)</f>
      </c>
      <c r="P23" s="604">
        <f>IF('[2]Tasa de Falla'!GK23=0,"",'[2]Tasa de Falla'!GK23)</f>
      </c>
      <c r="Q23" s="604">
        <f>IF('[2]Tasa de Falla'!GL23=0,"",'[2]Tasa de Falla'!GL23)</f>
      </c>
      <c r="R23" s="604">
        <f>IF('[2]Tasa de Falla'!GM23=0,"",'[2]Tasa de Falla'!GM23)</f>
      </c>
      <c r="S23" s="605"/>
      <c r="T23" s="3"/>
    </row>
    <row r="24" spans="2:20" ht="15" customHeight="1">
      <c r="B24" s="2"/>
      <c r="C24" s="606">
        <f>IF('[2]Tasa de Falla'!C24=0,"",'[2]Tasa de Falla'!C24)</f>
        <v>8</v>
      </c>
      <c r="D24" s="607" t="str">
        <f>IF('[2]Tasa de Falla'!D24=0,"",'[2]Tasa de Falla'!D24)</f>
        <v>COMODORO RIVADAVIA - PICO TRUNCADO</v>
      </c>
      <c r="E24" s="607">
        <f>IF('[2]Tasa de Falla'!E24=0,"",'[2]Tasa de Falla'!E24)</f>
        <v>132</v>
      </c>
      <c r="F24" s="608">
        <f>IF('[2]Tasa de Falla'!F24=0,"",'[2]Tasa de Falla'!F24)</f>
        <v>138</v>
      </c>
      <c r="G24" s="604">
        <f>IF('[2]Tasa de Falla'!GB24=0,"",'[2]Tasa de Falla'!GB24)</f>
      </c>
      <c r="H24" s="604">
        <f>IF('[2]Tasa de Falla'!GC24=0,"",'[2]Tasa de Falla'!GC24)</f>
      </c>
      <c r="I24" s="604">
        <f>IF('[2]Tasa de Falla'!GD24=0,"",'[2]Tasa de Falla'!GD24)</f>
      </c>
      <c r="J24" s="604">
        <f>IF('[2]Tasa de Falla'!GE24=0,"",'[2]Tasa de Falla'!GE24)</f>
      </c>
      <c r="K24" s="604">
        <f>IF('[2]Tasa de Falla'!GF24=0,"",'[2]Tasa de Falla'!GF24)</f>
        <v>1</v>
      </c>
      <c r="L24" s="604">
        <f>IF('[2]Tasa de Falla'!GG24=0,"",'[2]Tasa de Falla'!GG24)</f>
      </c>
      <c r="M24" s="604">
        <f>IF('[2]Tasa de Falla'!GH24=0,"",'[2]Tasa de Falla'!GH24)</f>
      </c>
      <c r="N24" s="604">
        <f>IF('[2]Tasa de Falla'!GI24=0,"",'[2]Tasa de Falla'!GI24)</f>
      </c>
      <c r="O24" s="604">
        <f>IF('[2]Tasa de Falla'!GJ24=0,"",'[2]Tasa de Falla'!GJ24)</f>
      </c>
      <c r="P24" s="604">
        <f>IF('[2]Tasa de Falla'!GK24=0,"",'[2]Tasa de Falla'!GK24)</f>
      </c>
      <c r="Q24" s="604">
        <f>IF('[2]Tasa de Falla'!GL24=0,"",'[2]Tasa de Falla'!GL24)</f>
      </c>
      <c r="R24" s="604">
        <f>IF('[2]Tasa de Falla'!GM24=0,"",'[2]Tasa de Falla'!GM24)</f>
      </c>
      <c r="S24" s="605"/>
      <c r="T24" s="3"/>
    </row>
    <row r="25" spans="2:20" ht="15" customHeight="1">
      <c r="B25" s="2"/>
      <c r="C25" s="601">
        <f>IF('[2]Tasa de Falla'!C25=0,"",'[2]Tasa de Falla'!C25)</f>
        <v>9</v>
      </c>
      <c r="D25" s="602" t="str">
        <f>IF('[2]Tasa de Falla'!D25=0,"",'[2]Tasa de Falla'!D25)</f>
        <v>FUTALEUFÚ - PUERTO MADRYN 1</v>
      </c>
      <c r="E25" s="602">
        <f>IF('[2]Tasa de Falla'!E25=0,"",'[2]Tasa de Falla'!E25)</f>
        <v>330</v>
      </c>
      <c r="F25" s="603">
        <f>IF('[2]Tasa de Falla'!F25=0,"",'[2]Tasa de Falla'!F25)</f>
        <v>550</v>
      </c>
      <c r="G25" s="604">
        <f>IF('[2]Tasa de Falla'!GB25=0,"",'[2]Tasa de Falla'!GB25)</f>
      </c>
      <c r="H25" s="604">
        <f>IF('[2]Tasa de Falla'!GC25=0,"",'[2]Tasa de Falla'!GC25)</f>
      </c>
      <c r="I25" s="604">
        <f>IF('[2]Tasa de Falla'!GD25=0,"",'[2]Tasa de Falla'!GD25)</f>
      </c>
      <c r="J25" s="604">
        <f>IF('[2]Tasa de Falla'!GE25=0,"",'[2]Tasa de Falla'!GE25)</f>
      </c>
      <c r="K25" s="604">
        <f>IF('[2]Tasa de Falla'!GF25=0,"",'[2]Tasa de Falla'!GF25)</f>
      </c>
      <c r="L25" s="604">
        <f>IF('[2]Tasa de Falla'!GG25=0,"",'[2]Tasa de Falla'!GG25)</f>
      </c>
      <c r="M25" s="604">
        <f>IF('[2]Tasa de Falla'!GH25=0,"",'[2]Tasa de Falla'!GH25)</f>
      </c>
      <c r="N25" s="604">
        <f>IF('[2]Tasa de Falla'!GI25=0,"",'[2]Tasa de Falla'!GI25)</f>
        <v>1</v>
      </c>
      <c r="O25" s="604">
        <f>IF('[2]Tasa de Falla'!GJ25=0,"",'[2]Tasa de Falla'!GJ25)</f>
      </c>
      <c r="P25" s="604">
        <f>IF('[2]Tasa de Falla'!GK25=0,"",'[2]Tasa de Falla'!GK25)</f>
      </c>
      <c r="Q25" s="604">
        <f>IF('[2]Tasa de Falla'!GL25=0,"",'[2]Tasa de Falla'!GL25)</f>
      </c>
      <c r="R25" s="604">
        <f>IF('[2]Tasa de Falla'!GM25=0,"",'[2]Tasa de Falla'!GM25)</f>
      </c>
      <c r="S25" s="605"/>
      <c r="T25" s="3"/>
    </row>
    <row r="26" spans="2:20" ht="15" customHeight="1">
      <c r="B26" s="2"/>
      <c r="C26" s="606">
        <f>IF('[2]Tasa de Falla'!C26=0,"",'[2]Tasa de Falla'!C26)</f>
        <v>10</v>
      </c>
      <c r="D26" s="607" t="str">
        <f>IF('[2]Tasa de Falla'!D26=0,"",'[2]Tasa de Falla'!D26)</f>
        <v>FUTALEUFÚ - PUERTO MADRYN 2</v>
      </c>
      <c r="E26" s="607">
        <f>IF('[2]Tasa de Falla'!E26=0,"",'[2]Tasa de Falla'!E26)</f>
        <v>330</v>
      </c>
      <c r="F26" s="608">
        <f>IF('[2]Tasa de Falla'!F26=0,"",'[2]Tasa de Falla'!F26)</f>
        <v>550</v>
      </c>
      <c r="G26" s="604">
        <f>IF('[2]Tasa de Falla'!GB26=0,"",'[2]Tasa de Falla'!GB26)</f>
      </c>
      <c r="H26" s="604">
        <f>IF('[2]Tasa de Falla'!GC26=0,"",'[2]Tasa de Falla'!GC26)</f>
      </c>
      <c r="I26" s="604">
        <f>IF('[2]Tasa de Falla'!GD26=0,"",'[2]Tasa de Falla'!GD26)</f>
      </c>
      <c r="J26" s="604">
        <f>IF('[2]Tasa de Falla'!GE26=0,"",'[2]Tasa de Falla'!GE26)</f>
        <v>1</v>
      </c>
      <c r="K26" s="604">
        <f>IF('[2]Tasa de Falla'!GF26=0,"",'[2]Tasa de Falla'!GF26)</f>
      </c>
      <c r="L26" s="604">
        <f>IF('[2]Tasa de Falla'!GG26=0,"",'[2]Tasa de Falla'!GG26)</f>
      </c>
      <c r="M26" s="604">
        <f>IF('[2]Tasa de Falla'!GH26=0,"",'[2]Tasa de Falla'!GH26)</f>
      </c>
      <c r="N26" s="604">
        <f>IF('[2]Tasa de Falla'!GI26=0,"",'[2]Tasa de Falla'!GI26)</f>
      </c>
      <c r="O26" s="604">
        <f>IF('[2]Tasa de Falla'!GJ26=0,"",'[2]Tasa de Falla'!GJ26)</f>
      </c>
      <c r="P26" s="604">
        <f>IF('[2]Tasa de Falla'!GK26=0,"",'[2]Tasa de Falla'!GK26)</f>
      </c>
      <c r="Q26" s="604">
        <f>IF('[2]Tasa de Falla'!GL26=0,"",'[2]Tasa de Falla'!GL26)</f>
        <v>1</v>
      </c>
      <c r="R26" s="604">
        <f>IF('[2]Tasa de Falla'!GM26=0,"",'[2]Tasa de Falla'!GM26)</f>
      </c>
      <c r="S26" s="605"/>
      <c r="T26" s="3"/>
    </row>
    <row r="27" spans="2:20" ht="15" customHeight="1">
      <c r="B27" s="2"/>
      <c r="C27" s="601">
        <f>IF('[2]Tasa de Falla'!C27=0,"",'[2]Tasa de Falla'!C27)</f>
        <v>11</v>
      </c>
      <c r="D27" s="602" t="str">
        <f>IF('[2]Tasa de Falla'!D27=0,"",'[2]Tasa de Falla'!D27)</f>
        <v>PLANTA ALUMINIO APPA - PUERTO MADRYN 1</v>
      </c>
      <c r="E27" s="602">
        <f>IF('[2]Tasa de Falla'!E27=0,"",'[2]Tasa de Falla'!E27)</f>
        <v>330</v>
      </c>
      <c r="F27" s="603">
        <f>IF('[2]Tasa de Falla'!F27=0,"",'[2]Tasa de Falla'!F27)</f>
        <v>5.5</v>
      </c>
      <c r="G27" s="604">
        <f>IF('[2]Tasa de Falla'!GB27=0,"",'[2]Tasa de Falla'!GB27)</f>
      </c>
      <c r="H27" s="604">
        <f>IF('[2]Tasa de Falla'!GC27=0,"",'[2]Tasa de Falla'!GC27)</f>
      </c>
      <c r="I27" s="604">
        <f>IF('[2]Tasa de Falla'!GD27=0,"",'[2]Tasa de Falla'!GD27)</f>
      </c>
      <c r="J27" s="604">
        <f>IF('[2]Tasa de Falla'!GE27=0,"",'[2]Tasa de Falla'!GE27)</f>
      </c>
      <c r="K27" s="604">
        <f>IF('[2]Tasa de Falla'!GF27=0,"",'[2]Tasa de Falla'!GF27)</f>
      </c>
      <c r="L27" s="604">
        <f>IF('[2]Tasa de Falla'!GG27=0,"",'[2]Tasa de Falla'!GG27)</f>
      </c>
      <c r="M27" s="604">
        <f>IF('[2]Tasa de Falla'!GH27=0,"",'[2]Tasa de Falla'!GH27)</f>
      </c>
      <c r="N27" s="604">
        <f>IF('[2]Tasa de Falla'!GI27=0,"",'[2]Tasa de Falla'!GI27)</f>
      </c>
      <c r="O27" s="604">
        <f>IF('[2]Tasa de Falla'!GJ27=0,"",'[2]Tasa de Falla'!GJ27)</f>
      </c>
      <c r="P27" s="604">
        <f>IF('[2]Tasa de Falla'!GK27=0,"",'[2]Tasa de Falla'!GK27)</f>
      </c>
      <c r="Q27" s="604">
        <f>IF('[2]Tasa de Falla'!GL27=0,"",'[2]Tasa de Falla'!GL27)</f>
      </c>
      <c r="R27" s="604">
        <f>IF('[2]Tasa de Falla'!GM27=0,"",'[2]Tasa de Falla'!GM27)</f>
      </c>
      <c r="S27" s="605"/>
      <c r="T27" s="3"/>
    </row>
    <row r="28" spans="2:20" ht="15" customHeight="1">
      <c r="B28" s="2"/>
      <c r="C28" s="606">
        <f>IF('[2]Tasa de Falla'!C28=0,"",'[2]Tasa de Falla'!C28)</f>
        <v>12</v>
      </c>
      <c r="D28" s="607" t="str">
        <f>IF('[2]Tasa de Falla'!D28=0,"",'[2]Tasa de Falla'!D28)</f>
        <v>PLANTA ALUMINIO APPA - PUERTO MADRYN 2</v>
      </c>
      <c r="E28" s="607">
        <f>IF('[2]Tasa de Falla'!E28=0,"",'[2]Tasa de Falla'!E28)</f>
        <v>330</v>
      </c>
      <c r="F28" s="608">
        <f>IF('[2]Tasa de Falla'!F28=0,"",'[2]Tasa de Falla'!F28)</f>
        <v>5.5</v>
      </c>
      <c r="G28" s="604">
        <f>IF('[2]Tasa de Falla'!GB28=0,"",'[2]Tasa de Falla'!GB28)</f>
      </c>
      <c r="H28" s="604">
        <f>IF('[2]Tasa de Falla'!GC28=0,"",'[2]Tasa de Falla'!GC28)</f>
      </c>
      <c r="I28" s="604">
        <f>IF('[2]Tasa de Falla'!GD28=0,"",'[2]Tasa de Falla'!GD28)</f>
      </c>
      <c r="J28" s="604">
        <f>IF('[2]Tasa de Falla'!GE28=0,"",'[2]Tasa de Falla'!GE28)</f>
      </c>
      <c r="K28" s="604">
        <f>IF('[2]Tasa de Falla'!GF28=0,"",'[2]Tasa de Falla'!GF28)</f>
      </c>
      <c r="L28" s="604">
        <f>IF('[2]Tasa de Falla'!GG28=0,"",'[2]Tasa de Falla'!GG28)</f>
      </c>
      <c r="M28" s="604">
        <f>IF('[2]Tasa de Falla'!GH28=0,"",'[2]Tasa de Falla'!GH28)</f>
      </c>
      <c r="N28" s="604">
        <f>IF('[2]Tasa de Falla'!GI28=0,"",'[2]Tasa de Falla'!GI28)</f>
      </c>
      <c r="O28" s="604">
        <f>IF('[2]Tasa de Falla'!GJ28=0,"",'[2]Tasa de Falla'!GJ28)</f>
      </c>
      <c r="P28" s="604">
        <f>IF('[2]Tasa de Falla'!GK28=0,"",'[2]Tasa de Falla'!GK28)</f>
      </c>
      <c r="Q28" s="604">
        <f>IF('[2]Tasa de Falla'!GL28=0,"",'[2]Tasa de Falla'!GL28)</f>
      </c>
      <c r="R28" s="604">
        <f>IF('[2]Tasa de Falla'!GM28=0,"",'[2]Tasa de Falla'!GM28)</f>
      </c>
      <c r="S28" s="605"/>
      <c r="T28" s="3"/>
    </row>
    <row r="29" spans="2:20" ht="15" customHeight="1">
      <c r="B29" s="2"/>
      <c r="C29" s="601">
        <f>IF('[2]Tasa de Falla'!C29=0,"",'[2]Tasa de Falla'!C29)</f>
        <v>13</v>
      </c>
      <c r="D29" s="602" t="str">
        <f>IF('[2]Tasa de Falla'!D29=0,"",'[2]Tasa de Falla'!D29)</f>
        <v>PICO TRUNCADO I - PICO TRUNCADO II</v>
      </c>
      <c r="E29" s="602">
        <f>IF('[2]Tasa de Falla'!E29=0,"",'[2]Tasa de Falla'!E29)</f>
        <v>132</v>
      </c>
      <c r="F29" s="603">
        <f>IF('[2]Tasa de Falla'!F29=0,"",'[2]Tasa de Falla'!F29)</f>
        <v>13.4</v>
      </c>
      <c r="G29" s="604">
        <f>IF('[2]Tasa de Falla'!GB29=0,"",'[2]Tasa de Falla'!GB29)</f>
      </c>
      <c r="H29" s="604">
        <f>IF('[2]Tasa de Falla'!GC29=0,"",'[2]Tasa de Falla'!GC29)</f>
      </c>
      <c r="I29" s="604">
        <f>IF('[2]Tasa de Falla'!GD29=0,"",'[2]Tasa de Falla'!GD29)</f>
      </c>
      <c r="J29" s="604">
        <f>IF('[2]Tasa de Falla'!GE29=0,"",'[2]Tasa de Falla'!GE29)</f>
      </c>
      <c r="K29" s="604">
        <f>IF('[2]Tasa de Falla'!GF29=0,"",'[2]Tasa de Falla'!GF29)</f>
      </c>
      <c r="L29" s="604">
        <f>IF('[2]Tasa de Falla'!GG29=0,"",'[2]Tasa de Falla'!GG29)</f>
      </c>
      <c r="M29" s="604">
        <f>IF('[2]Tasa de Falla'!GH29=0,"",'[2]Tasa de Falla'!GH29)</f>
        <v>1</v>
      </c>
      <c r="N29" s="604">
        <f>IF('[2]Tasa de Falla'!GI29=0,"",'[2]Tasa de Falla'!GI29)</f>
      </c>
      <c r="O29" s="604">
        <f>IF('[2]Tasa de Falla'!GJ29=0,"",'[2]Tasa de Falla'!GJ29)</f>
      </c>
      <c r="P29" s="604">
        <f>IF('[2]Tasa de Falla'!GK29=0,"",'[2]Tasa de Falla'!GK29)</f>
      </c>
      <c r="Q29" s="604">
        <f>IF('[2]Tasa de Falla'!GL29=0,"",'[2]Tasa de Falla'!GL29)</f>
      </c>
      <c r="R29" s="604">
        <f>IF('[2]Tasa de Falla'!GM29=0,"",'[2]Tasa de Falla'!GM29)</f>
      </c>
      <c r="S29" s="605"/>
      <c r="T29" s="3"/>
    </row>
    <row r="30" spans="2:20" ht="15" customHeight="1">
      <c r="B30" s="2"/>
      <c r="C30" s="606">
        <f>IF('[2]Tasa de Falla'!C30=0,"",'[2]Tasa de Falla'!C30)</f>
        <v>14</v>
      </c>
      <c r="D30" s="607" t="str">
        <f>IF('[2]Tasa de Falla'!D30=0,"",'[2]Tasa de Falla'!D30)</f>
        <v>PLANTA ALUMINIO DGPA - PTO MADRYN</v>
      </c>
      <c r="E30" s="607">
        <f>IF('[2]Tasa de Falla'!E30=0,"",'[2]Tasa de Falla'!E30)</f>
        <v>132</v>
      </c>
      <c r="F30" s="608">
        <f>IF('[2]Tasa de Falla'!F30=0,"",'[2]Tasa de Falla'!F30)</f>
        <v>5.7</v>
      </c>
      <c r="G30" s="604">
        <f>IF('[2]Tasa de Falla'!GB30=0,"",'[2]Tasa de Falla'!GB30)</f>
      </c>
      <c r="H30" s="604">
        <f>IF('[2]Tasa de Falla'!GC30=0,"",'[2]Tasa de Falla'!GC30)</f>
      </c>
      <c r="I30" s="604">
        <f>IF('[2]Tasa de Falla'!GD30=0,"",'[2]Tasa de Falla'!GD30)</f>
      </c>
      <c r="J30" s="604">
        <f>IF('[2]Tasa de Falla'!GE30=0,"",'[2]Tasa de Falla'!GE30)</f>
      </c>
      <c r="K30" s="604">
        <f>IF('[2]Tasa de Falla'!GF30=0,"",'[2]Tasa de Falla'!GF30)</f>
      </c>
      <c r="L30" s="604">
        <f>IF('[2]Tasa de Falla'!GG30=0,"",'[2]Tasa de Falla'!GG30)</f>
      </c>
      <c r="M30" s="604">
        <f>IF('[2]Tasa de Falla'!GH30=0,"",'[2]Tasa de Falla'!GH30)</f>
      </c>
      <c r="N30" s="604">
        <f>IF('[2]Tasa de Falla'!GI30=0,"",'[2]Tasa de Falla'!GI30)</f>
        <v>1</v>
      </c>
      <c r="O30" s="604">
        <f>IF('[2]Tasa de Falla'!GJ30=0,"",'[2]Tasa de Falla'!GJ30)</f>
      </c>
      <c r="P30" s="604">
        <f>IF('[2]Tasa de Falla'!GK30=0,"",'[2]Tasa de Falla'!GK30)</f>
      </c>
      <c r="Q30" s="604">
        <f>IF('[2]Tasa de Falla'!GL30=0,"",'[2]Tasa de Falla'!GL30)</f>
      </c>
      <c r="R30" s="604">
        <f>IF('[2]Tasa de Falla'!GM30=0,"",'[2]Tasa de Falla'!GM30)</f>
      </c>
      <c r="S30" s="605"/>
      <c r="T30" s="3"/>
    </row>
    <row r="31" spans="2:20" ht="15" customHeight="1">
      <c r="B31" s="2"/>
      <c r="C31" s="601">
        <f>IF('[2]Tasa de Falla'!C31=0,"",'[2]Tasa de Falla'!C31)</f>
        <v>15</v>
      </c>
      <c r="D31" s="602" t="str">
        <f>IF('[2]Tasa de Falla'!D31=0,"",'[2]Tasa de Falla'!D31)</f>
        <v>PLANTA ALUMINIO DGPA - SS.AA. PTO MADRYN</v>
      </c>
      <c r="E31" s="602">
        <f>IF('[2]Tasa de Falla'!E31=0,"",'[2]Tasa de Falla'!E31)</f>
        <v>33</v>
      </c>
      <c r="F31" s="603">
        <f>IF('[2]Tasa de Falla'!F31=0,"",'[2]Tasa de Falla'!F31)</f>
        <v>6</v>
      </c>
      <c r="G31" s="604">
        <f>IF('[2]Tasa de Falla'!GB31=0,"",'[2]Tasa de Falla'!GB31)</f>
      </c>
      <c r="H31" s="604">
        <f>IF('[2]Tasa de Falla'!GC31=0,"",'[2]Tasa de Falla'!GC31)</f>
      </c>
      <c r="I31" s="604">
        <f>IF('[2]Tasa de Falla'!GD31=0,"",'[2]Tasa de Falla'!GD31)</f>
      </c>
      <c r="J31" s="604">
        <f>IF('[2]Tasa de Falla'!GE31=0,"",'[2]Tasa de Falla'!GE31)</f>
      </c>
      <c r="K31" s="604">
        <f>IF('[2]Tasa de Falla'!GF31=0,"",'[2]Tasa de Falla'!GF31)</f>
      </c>
      <c r="L31" s="604">
        <f>IF('[2]Tasa de Falla'!GG31=0,"",'[2]Tasa de Falla'!GG31)</f>
      </c>
      <c r="M31" s="604">
        <f>IF('[2]Tasa de Falla'!GH31=0,"",'[2]Tasa de Falla'!GH31)</f>
      </c>
      <c r="N31" s="604">
        <f>IF('[2]Tasa de Falla'!GI31=0,"",'[2]Tasa de Falla'!GI31)</f>
      </c>
      <c r="O31" s="604">
        <f>IF('[2]Tasa de Falla'!GJ31=0,"",'[2]Tasa de Falla'!GJ31)</f>
      </c>
      <c r="P31" s="604">
        <f>IF('[2]Tasa de Falla'!GK31=0,"",'[2]Tasa de Falla'!GK31)</f>
      </c>
      <c r="Q31" s="604">
        <f>IF('[2]Tasa de Falla'!GL31=0,"",'[2]Tasa de Falla'!GL31)</f>
      </c>
      <c r="R31" s="604">
        <f>IF('[2]Tasa de Falla'!GM31=0,"",'[2]Tasa de Falla'!GM31)</f>
      </c>
      <c r="S31" s="605"/>
      <c r="T31" s="3"/>
    </row>
    <row r="32" spans="2:20" ht="15" customHeight="1">
      <c r="B32" s="2"/>
      <c r="C32" s="606">
        <f>IF('[2]Tasa de Falla'!C32=0,"",'[2]Tasa de Falla'!C32)</f>
        <v>16</v>
      </c>
      <c r="D32" s="607" t="str">
        <f>IF('[2]Tasa de Falla'!D32=0,"",'[2]Tasa de Falla'!D32)</f>
        <v>PLANTA ALUMINIO DGPA - TRELEW</v>
      </c>
      <c r="E32" s="607">
        <f>IF('[2]Tasa de Falla'!E32=0,"",'[2]Tasa de Falla'!E32)</f>
        <v>132</v>
      </c>
      <c r="F32" s="608">
        <f>IF('[2]Tasa de Falla'!F32=0,"",'[2]Tasa de Falla'!F32)</f>
        <v>62</v>
      </c>
      <c r="G32" s="604">
        <f>IF('[2]Tasa de Falla'!GB32=0,"",'[2]Tasa de Falla'!GB32)</f>
      </c>
      <c r="H32" s="604">
        <f>IF('[2]Tasa de Falla'!GC32=0,"",'[2]Tasa de Falla'!GC32)</f>
      </c>
      <c r="I32" s="604">
        <f>IF('[2]Tasa de Falla'!GD32=0,"",'[2]Tasa de Falla'!GD32)</f>
      </c>
      <c r="J32" s="604">
        <f>IF('[2]Tasa de Falla'!GE32=0,"",'[2]Tasa de Falla'!GE32)</f>
        <v>1</v>
      </c>
      <c r="K32" s="604">
        <f>IF('[2]Tasa de Falla'!GF32=0,"",'[2]Tasa de Falla'!GF32)</f>
      </c>
      <c r="L32" s="604">
        <f>IF('[2]Tasa de Falla'!GG32=0,"",'[2]Tasa de Falla'!GG32)</f>
      </c>
      <c r="M32" s="604">
        <f>IF('[2]Tasa de Falla'!GH32=0,"",'[2]Tasa de Falla'!GH32)</f>
      </c>
      <c r="N32" s="604">
        <f>IF('[2]Tasa de Falla'!GI32=0,"",'[2]Tasa de Falla'!GI32)</f>
      </c>
      <c r="O32" s="604">
        <f>IF('[2]Tasa de Falla'!GJ32=0,"",'[2]Tasa de Falla'!GJ32)</f>
      </c>
      <c r="P32" s="604">
        <f>IF('[2]Tasa de Falla'!GK32=0,"",'[2]Tasa de Falla'!GK32)</f>
      </c>
      <c r="Q32" s="604">
        <f>IF('[2]Tasa de Falla'!GL32=0,"",'[2]Tasa de Falla'!GL32)</f>
      </c>
      <c r="R32" s="604">
        <f>IF('[2]Tasa de Falla'!GM32=0,"",'[2]Tasa de Falla'!GM32)</f>
      </c>
      <c r="S32" s="605"/>
      <c r="T32" s="3"/>
    </row>
    <row r="33" spans="2:20" ht="15" customHeight="1">
      <c r="B33" s="2"/>
      <c r="C33" s="601">
        <f>IF('[2]Tasa de Falla'!C33=0,"",'[2]Tasa de Falla'!C33)</f>
        <v>17</v>
      </c>
      <c r="D33" s="602" t="str">
        <f>IF('[2]Tasa de Falla'!D33=0,"",'[2]Tasa de Falla'!D33)</f>
        <v>PUERTO MADRYN - SIERRA GRANDE</v>
      </c>
      <c r="E33" s="602">
        <f>IF('[2]Tasa de Falla'!E33=0,"",'[2]Tasa de Falla'!E33)</f>
        <v>132</v>
      </c>
      <c r="F33" s="603">
        <f>IF('[2]Tasa de Falla'!F33=0,"",'[2]Tasa de Falla'!F33)</f>
        <v>121.5</v>
      </c>
      <c r="G33" s="604">
        <f>IF('[2]Tasa de Falla'!GB33=0,"",'[2]Tasa de Falla'!GB33)</f>
        <v>1</v>
      </c>
      <c r="H33" s="604">
        <f>IF('[2]Tasa de Falla'!GC33=0,"",'[2]Tasa de Falla'!GC33)</f>
      </c>
      <c r="I33" s="604">
        <f>IF('[2]Tasa de Falla'!GD33=0,"",'[2]Tasa de Falla'!GD33)</f>
      </c>
      <c r="J33" s="604">
        <f>IF('[2]Tasa de Falla'!GE33=0,"",'[2]Tasa de Falla'!GE33)</f>
      </c>
      <c r="K33" s="604">
        <f>IF('[2]Tasa de Falla'!GF33=0,"",'[2]Tasa de Falla'!GF33)</f>
      </c>
      <c r="L33" s="604">
        <f>IF('[2]Tasa de Falla'!GG33=0,"",'[2]Tasa de Falla'!GG33)</f>
      </c>
      <c r="M33" s="604">
        <f>IF('[2]Tasa de Falla'!GH33=0,"",'[2]Tasa de Falla'!GH33)</f>
      </c>
      <c r="N33" s="604">
        <f>IF('[2]Tasa de Falla'!GI33=0,"",'[2]Tasa de Falla'!GI33)</f>
      </c>
      <c r="O33" s="604">
        <f>IF('[2]Tasa de Falla'!GJ33=0,"",'[2]Tasa de Falla'!GJ33)</f>
      </c>
      <c r="P33" s="604">
        <f>IF('[2]Tasa de Falla'!GK33=0,"",'[2]Tasa de Falla'!GK33)</f>
        <v>1</v>
      </c>
      <c r="Q33" s="604">
        <f>IF('[2]Tasa de Falla'!GL33=0,"",'[2]Tasa de Falla'!GL33)</f>
      </c>
      <c r="R33" s="604">
        <f>IF('[2]Tasa de Falla'!GM33=0,"",'[2]Tasa de Falla'!GM33)</f>
      </c>
      <c r="S33" s="605"/>
      <c r="T33" s="3"/>
    </row>
    <row r="34" spans="2:20" ht="15" customHeight="1">
      <c r="B34" s="2"/>
      <c r="C34" s="606">
        <f>IF('[2]Tasa de Falla'!C34=0,"",'[2]Tasa de Falla'!C34)</f>
        <v>18</v>
      </c>
      <c r="D34" s="607" t="str">
        <f>IF('[2]Tasa de Falla'!D34=0,"",'[2]Tasa de Falla'!D34)</f>
        <v>BARRIO SAN MARTIN - A CONEXION "T"</v>
      </c>
      <c r="E34" s="607">
        <f>IF('[2]Tasa de Falla'!E34=0,"",'[2]Tasa de Falla'!E34)</f>
        <v>132</v>
      </c>
      <c r="F34" s="608">
        <f>IF('[2]Tasa de Falla'!F34=0,"",'[2]Tasa de Falla'!F34)</f>
        <v>7.5</v>
      </c>
      <c r="G34" s="604" t="str">
        <f>IF('[2]Tasa de Falla'!GB34=0,"",'[2]Tasa de Falla'!GB34)</f>
        <v>XXXX</v>
      </c>
      <c r="H34" s="604" t="str">
        <f>IF('[2]Tasa de Falla'!GC34=0,"",'[2]Tasa de Falla'!GC34)</f>
        <v>XXXX</v>
      </c>
      <c r="I34" s="604" t="str">
        <f>IF('[2]Tasa de Falla'!GD34=0,"",'[2]Tasa de Falla'!GD34)</f>
        <v>XXXX</v>
      </c>
      <c r="J34" s="604" t="str">
        <f>IF('[2]Tasa de Falla'!GE34=0,"",'[2]Tasa de Falla'!GE34)</f>
        <v>XXXX</v>
      </c>
      <c r="K34" s="604" t="str">
        <f>IF('[2]Tasa de Falla'!GF34=0,"",'[2]Tasa de Falla'!GF34)</f>
        <v>XXXX</v>
      </c>
      <c r="L34" s="604" t="str">
        <f>IF('[2]Tasa de Falla'!GG34=0,"",'[2]Tasa de Falla'!GG34)</f>
        <v>XXXX</v>
      </c>
      <c r="M34" s="604" t="str">
        <f>IF('[2]Tasa de Falla'!GH34=0,"",'[2]Tasa de Falla'!GH34)</f>
        <v>XXXX</v>
      </c>
      <c r="N34" s="604" t="str">
        <f>IF('[2]Tasa de Falla'!GI34=0,"",'[2]Tasa de Falla'!GI34)</f>
        <v>XXXX</v>
      </c>
      <c r="O34" s="604" t="str">
        <f>IF('[2]Tasa de Falla'!GJ34=0,"",'[2]Tasa de Falla'!GJ34)</f>
        <v>XXXX</v>
      </c>
      <c r="P34" s="604" t="str">
        <f>IF('[2]Tasa de Falla'!GK34=0,"",'[2]Tasa de Falla'!GK34)</f>
        <v>XXXX</v>
      </c>
      <c r="Q34" s="604" t="str">
        <f>IF('[2]Tasa de Falla'!GL34=0,"",'[2]Tasa de Falla'!GL34)</f>
        <v>XXXX</v>
      </c>
      <c r="R34" s="604" t="str">
        <f>IF('[2]Tasa de Falla'!GM34=0,"",'[2]Tasa de Falla'!GM34)</f>
        <v>XXXX</v>
      </c>
      <c r="S34" s="605"/>
      <c r="T34" s="3"/>
    </row>
    <row r="35" spans="2:20" ht="15" customHeight="1">
      <c r="B35" s="2"/>
      <c r="C35" s="601">
        <f>IF('[2]Tasa de Falla'!C35=0,"",'[2]Tasa de Falla'!C35)</f>
        <v>19</v>
      </c>
      <c r="D35" s="602" t="str">
        <f>IF('[2]Tasa de Falla'!D35=0,"",'[2]Tasa de Falla'!D35)</f>
        <v>PICO TRUNCADO I - LAS HERAS</v>
      </c>
      <c r="E35" s="602">
        <f>IF('[2]Tasa de Falla'!E35=0,"",'[2]Tasa de Falla'!E35)</f>
        <v>132</v>
      </c>
      <c r="F35" s="603">
        <f>IF('[2]Tasa de Falla'!F35=0,"",'[2]Tasa de Falla'!F35)</f>
        <v>82.5</v>
      </c>
      <c r="G35" s="604">
        <f>IF('[2]Tasa de Falla'!GB35=0,"",'[2]Tasa de Falla'!GB35)</f>
      </c>
      <c r="H35" s="604">
        <f>IF('[2]Tasa de Falla'!GC35=0,"",'[2]Tasa de Falla'!GC35)</f>
      </c>
      <c r="I35" s="604">
        <f>IF('[2]Tasa de Falla'!GD35=0,"",'[2]Tasa de Falla'!GD35)</f>
      </c>
      <c r="J35" s="604">
        <f>IF('[2]Tasa de Falla'!GE35=0,"",'[2]Tasa de Falla'!GE35)</f>
      </c>
      <c r="K35" s="604">
        <f>IF('[2]Tasa de Falla'!GF35=0,"",'[2]Tasa de Falla'!GF35)</f>
      </c>
      <c r="L35" s="604">
        <f>IF('[2]Tasa de Falla'!GG35=0,"",'[2]Tasa de Falla'!GG35)</f>
      </c>
      <c r="M35" s="604">
        <f>IF('[2]Tasa de Falla'!GH35=0,"",'[2]Tasa de Falla'!GH35)</f>
      </c>
      <c r="N35" s="604">
        <f>IF('[2]Tasa de Falla'!GI35=0,"",'[2]Tasa de Falla'!GI35)</f>
      </c>
      <c r="O35" s="604">
        <f>IF('[2]Tasa de Falla'!GJ35=0,"",'[2]Tasa de Falla'!GJ35)</f>
      </c>
      <c r="P35" s="604">
        <f>IF('[2]Tasa de Falla'!GK35=0,"",'[2]Tasa de Falla'!GK35)</f>
      </c>
      <c r="Q35" s="604">
        <f>IF('[2]Tasa de Falla'!GL35=0,"",'[2]Tasa de Falla'!GL35)</f>
      </c>
      <c r="R35" s="604" t="str">
        <f>IF('[2]Tasa de Falla'!GM35=0,"",'[2]Tasa de Falla'!GM35)</f>
        <v>XXXX</v>
      </c>
      <c r="S35" s="605"/>
      <c r="T35" s="3"/>
    </row>
    <row r="36" spans="2:20" ht="15" customHeight="1">
      <c r="B36" s="2"/>
      <c r="C36" s="606">
        <f>IF('[2]Tasa de Falla'!C36=0,"",'[2]Tasa de Falla'!C36)</f>
        <v>20</v>
      </c>
      <c r="D36" s="607" t="str">
        <f>IF('[2]Tasa de Falla'!D36=0,"",'[2]Tasa de Falla'!D36)</f>
        <v>LAS HERAS - LOS PERALES</v>
      </c>
      <c r="E36" s="607">
        <f>IF('[2]Tasa de Falla'!E36=0,"",'[2]Tasa de Falla'!E36)</f>
        <v>132</v>
      </c>
      <c r="F36" s="608">
        <f>IF('[2]Tasa de Falla'!F36=0,"",'[2]Tasa de Falla'!F36)</f>
        <v>47</v>
      </c>
      <c r="G36" s="604">
        <f>IF('[2]Tasa de Falla'!GB36=0,"",'[2]Tasa de Falla'!GB36)</f>
      </c>
      <c r="H36" s="604">
        <f>IF('[2]Tasa de Falla'!GC36=0,"",'[2]Tasa de Falla'!GC36)</f>
      </c>
      <c r="I36" s="604">
        <f>IF('[2]Tasa de Falla'!GD36=0,"",'[2]Tasa de Falla'!GD36)</f>
      </c>
      <c r="J36" s="604">
        <f>IF('[2]Tasa de Falla'!GE36=0,"",'[2]Tasa de Falla'!GE36)</f>
      </c>
      <c r="K36" s="604">
        <f>IF('[2]Tasa de Falla'!GF36=0,"",'[2]Tasa de Falla'!GF36)</f>
      </c>
      <c r="L36" s="604">
        <f>IF('[2]Tasa de Falla'!GG36=0,"",'[2]Tasa de Falla'!GG36)</f>
      </c>
      <c r="M36" s="604">
        <f>IF('[2]Tasa de Falla'!GH36=0,"",'[2]Tasa de Falla'!GH36)</f>
      </c>
      <c r="N36" s="604">
        <f>IF('[2]Tasa de Falla'!GI36=0,"",'[2]Tasa de Falla'!GI36)</f>
      </c>
      <c r="O36" s="604">
        <f>IF('[2]Tasa de Falla'!GJ36=0,"",'[2]Tasa de Falla'!GJ36)</f>
      </c>
      <c r="P36" s="604">
        <f>IF('[2]Tasa de Falla'!GK36=0,"",'[2]Tasa de Falla'!GK36)</f>
      </c>
      <c r="Q36" s="604">
        <f>IF('[2]Tasa de Falla'!GL36=0,"",'[2]Tasa de Falla'!GL36)</f>
      </c>
      <c r="R36" s="604">
        <f>IF('[2]Tasa de Falla'!GM36=0,"",'[2]Tasa de Falla'!GM36)</f>
      </c>
      <c r="S36" s="605"/>
      <c r="T36" s="3"/>
    </row>
    <row r="37" spans="2:20" ht="15" customHeight="1">
      <c r="B37" s="2"/>
      <c r="C37" s="601">
        <f>IF('[2]Tasa de Falla'!C37=0,"",'[2]Tasa de Falla'!C37)</f>
        <v>21</v>
      </c>
      <c r="D37" s="602" t="str">
        <f>IF('[2]Tasa de Falla'!D37=0,"",'[2]Tasa de Falla'!D37)</f>
        <v>N. P. MADRYN - P. MADRYN 330 kV</v>
      </c>
      <c r="E37" s="602">
        <f>IF('[2]Tasa de Falla'!E37=0,"",'[2]Tasa de Falla'!E37)</f>
        <v>330</v>
      </c>
      <c r="F37" s="603">
        <f>IF('[2]Tasa de Falla'!F37=0,"",'[2]Tasa de Falla'!F37)</f>
        <v>0.47</v>
      </c>
      <c r="G37" s="604">
        <f>IF('[2]Tasa de Falla'!GB37=0,"",'[2]Tasa de Falla'!GB37)</f>
      </c>
      <c r="H37" s="604">
        <f>IF('[2]Tasa de Falla'!GC37=0,"",'[2]Tasa de Falla'!GC37)</f>
      </c>
      <c r="I37" s="604">
        <f>IF('[2]Tasa de Falla'!GD37=0,"",'[2]Tasa de Falla'!GD37)</f>
      </c>
      <c r="J37" s="604">
        <f>IF('[2]Tasa de Falla'!GE37=0,"",'[2]Tasa de Falla'!GE37)</f>
      </c>
      <c r="K37" s="604">
        <f>IF('[2]Tasa de Falla'!GF37=0,"",'[2]Tasa de Falla'!GF37)</f>
      </c>
      <c r="L37" s="604">
        <f>IF('[2]Tasa de Falla'!GG37=0,"",'[2]Tasa de Falla'!GG37)</f>
      </c>
      <c r="M37" s="604">
        <f>IF('[2]Tasa de Falla'!GH37=0,"",'[2]Tasa de Falla'!GH37)</f>
      </c>
      <c r="N37" s="604">
        <f>IF('[2]Tasa de Falla'!GI37=0,"",'[2]Tasa de Falla'!GI37)</f>
      </c>
      <c r="O37" s="604">
        <f>IF('[2]Tasa de Falla'!GJ37=0,"",'[2]Tasa de Falla'!GJ37)</f>
      </c>
      <c r="P37" s="604">
        <f>IF('[2]Tasa de Falla'!GK37=0,"",'[2]Tasa de Falla'!GK37)</f>
      </c>
      <c r="Q37" s="604">
        <f>IF('[2]Tasa de Falla'!GL37=0,"",'[2]Tasa de Falla'!GL37)</f>
      </c>
      <c r="R37" s="604">
        <f>IF('[2]Tasa de Falla'!GM37=0,"",'[2]Tasa de Falla'!GM37)</f>
      </c>
      <c r="S37" s="605"/>
      <c r="T37" s="3"/>
    </row>
    <row r="38" spans="2:20" ht="15" customHeight="1">
      <c r="B38" s="2"/>
      <c r="C38" s="606">
        <f>IF('[2]Tasa de Falla'!C38=0,"",'[2]Tasa de Falla'!C38)</f>
        <v>31</v>
      </c>
      <c r="D38" s="607" t="str">
        <f>IF('[2]Tasa de Falla'!D38=0,"",'[2]Tasa de Falla'!D38)</f>
        <v>LAS HERAS - MINA SAN JOSE</v>
      </c>
      <c r="E38" s="607">
        <f>IF('[2]Tasa de Falla'!E38=0,"",'[2]Tasa de Falla'!E38)</f>
        <v>132</v>
      </c>
      <c r="F38" s="608">
        <f>IF('[2]Tasa de Falla'!F38=0,"",'[2]Tasa de Falla'!F38)</f>
        <v>128</v>
      </c>
      <c r="G38" s="604" t="str">
        <f>IF('[2]Tasa de Falla'!GB38=0,"",'[2]Tasa de Falla'!GB38)</f>
        <v>XXXX</v>
      </c>
      <c r="H38" s="604" t="str">
        <f>IF('[2]Tasa de Falla'!GC38=0,"",'[2]Tasa de Falla'!GC38)</f>
        <v>XXXX</v>
      </c>
      <c r="I38" s="604" t="str">
        <f>IF('[2]Tasa de Falla'!GD38=0,"",'[2]Tasa de Falla'!GD38)</f>
        <v>XXXX</v>
      </c>
      <c r="J38" s="604" t="str">
        <f>IF('[2]Tasa de Falla'!GE38=0,"",'[2]Tasa de Falla'!GE38)</f>
        <v>XXXX</v>
      </c>
      <c r="K38" s="604" t="str">
        <f>IF('[2]Tasa de Falla'!GF38=0,"",'[2]Tasa de Falla'!GF38)</f>
        <v>XXXX</v>
      </c>
      <c r="L38" s="604" t="str">
        <f>IF('[2]Tasa de Falla'!GG38=0,"",'[2]Tasa de Falla'!GG38)</f>
        <v>XXXX</v>
      </c>
      <c r="M38" s="604" t="str">
        <f>IF('[2]Tasa de Falla'!GH38=0,"",'[2]Tasa de Falla'!GH38)</f>
        <v>XXXX</v>
      </c>
      <c r="N38" s="604" t="str">
        <f>IF('[2]Tasa de Falla'!GI38=0,"",'[2]Tasa de Falla'!GI38)</f>
        <v>XXXX</v>
      </c>
      <c r="O38" s="604" t="str">
        <f>IF('[2]Tasa de Falla'!GJ38=0,"",'[2]Tasa de Falla'!GJ38)</f>
        <v>XXXX</v>
      </c>
      <c r="P38" s="604" t="str">
        <f>IF('[2]Tasa de Falla'!GK38=0,"",'[2]Tasa de Falla'!GK38)</f>
        <v>XXXX</v>
      </c>
      <c r="Q38" s="604" t="str">
        <f>IF('[2]Tasa de Falla'!GL38=0,"",'[2]Tasa de Falla'!GL38)</f>
        <v>XXXX</v>
      </c>
      <c r="R38" s="604">
        <f>IF('[2]Tasa de Falla'!GM38=0,"",'[2]Tasa de Falla'!GM38)</f>
        <v>1</v>
      </c>
      <c r="S38" s="605"/>
      <c r="T38" s="3"/>
    </row>
    <row r="39" spans="2:20" ht="15" customHeight="1">
      <c r="B39" s="2"/>
      <c r="C39" s="601">
        <f>IF('[2]Tasa de Falla'!C39=0,"",'[2]Tasa de Falla'!C39)</f>
        <v>27</v>
      </c>
      <c r="D39" s="602" t="str">
        <f>IF('[2]Tasa de Falla'!D39=0,"",'[2]Tasa de Falla'!D39)</f>
        <v>PAMPA DEL CASTILLO - EL TORDILLO</v>
      </c>
      <c r="E39" s="602">
        <f>IF('[2]Tasa de Falla'!E39=0,"",'[2]Tasa de Falla'!E39)</f>
        <v>132</v>
      </c>
      <c r="F39" s="603">
        <f>IF('[2]Tasa de Falla'!F39=0,"",'[2]Tasa de Falla'!F39)</f>
        <v>8.9</v>
      </c>
      <c r="G39" s="604">
        <f>IF('[2]Tasa de Falla'!GB39=0,"",'[2]Tasa de Falla'!GB39)</f>
      </c>
      <c r="H39" s="604">
        <f>IF('[2]Tasa de Falla'!GC39=0,"",'[2]Tasa de Falla'!GC39)</f>
      </c>
      <c r="I39" s="604">
        <f>IF('[2]Tasa de Falla'!GD39=0,"",'[2]Tasa de Falla'!GD39)</f>
      </c>
      <c r="J39" s="604">
        <f>IF('[2]Tasa de Falla'!GE39=0,"",'[2]Tasa de Falla'!GE39)</f>
      </c>
      <c r="K39" s="604">
        <f>IF('[2]Tasa de Falla'!GF39=0,"",'[2]Tasa de Falla'!GF39)</f>
      </c>
      <c r="L39" s="604">
        <f>IF('[2]Tasa de Falla'!GG39=0,"",'[2]Tasa de Falla'!GG39)</f>
      </c>
      <c r="M39" s="604">
        <f>IF('[2]Tasa de Falla'!GH39=0,"",'[2]Tasa de Falla'!GH39)</f>
        <v>2</v>
      </c>
      <c r="N39" s="604">
        <f>IF('[2]Tasa de Falla'!GI39=0,"",'[2]Tasa de Falla'!GI39)</f>
      </c>
      <c r="O39" s="604">
        <f>IF('[2]Tasa de Falla'!GJ39=0,"",'[2]Tasa de Falla'!GJ39)</f>
      </c>
      <c r="P39" s="604">
        <f>IF('[2]Tasa de Falla'!GK39=0,"",'[2]Tasa de Falla'!GK39)</f>
      </c>
      <c r="Q39" s="604">
        <f>IF('[2]Tasa de Falla'!GL39=0,"",'[2]Tasa de Falla'!GL39)</f>
      </c>
      <c r="R39" s="604">
        <f>IF('[2]Tasa de Falla'!GM39=0,"",'[2]Tasa de Falla'!GM39)</f>
      </c>
      <c r="S39" s="605"/>
      <c r="T39" s="3"/>
    </row>
    <row r="40" spans="2:20" ht="15" customHeight="1">
      <c r="B40" s="2"/>
      <c r="C40" s="606">
        <f>IF('[2]Tasa de Falla'!C40=0,"",'[2]Tasa de Falla'!C40)</f>
        <v>28</v>
      </c>
      <c r="D40" s="607" t="str">
        <f>IF('[2]Tasa de Falla'!D40=0,"",'[2]Tasa de Falla'!D40)</f>
        <v>PLANTA ALUMINIO APPA - PUERTO MADRYN 3</v>
      </c>
      <c r="E40" s="607">
        <f>IF('[2]Tasa de Falla'!E40=0,"",'[2]Tasa de Falla'!E40)</f>
        <v>330</v>
      </c>
      <c r="F40" s="608">
        <f>IF('[2]Tasa de Falla'!F40=0,"",'[2]Tasa de Falla'!F40)</f>
        <v>4.85</v>
      </c>
      <c r="G40" s="604">
        <f>IF('[2]Tasa de Falla'!GB40=0,"",'[2]Tasa de Falla'!GB40)</f>
      </c>
      <c r="H40" s="604">
        <f>IF('[2]Tasa de Falla'!GC40=0,"",'[2]Tasa de Falla'!GC40)</f>
      </c>
      <c r="I40" s="604">
        <f>IF('[2]Tasa de Falla'!GD40=0,"",'[2]Tasa de Falla'!GD40)</f>
      </c>
      <c r="J40" s="604">
        <f>IF('[2]Tasa de Falla'!GE40=0,"",'[2]Tasa de Falla'!GE40)</f>
      </c>
      <c r="K40" s="604">
        <f>IF('[2]Tasa de Falla'!GF40=0,"",'[2]Tasa de Falla'!GF40)</f>
      </c>
      <c r="L40" s="604">
        <f>IF('[2]Tasa de Falla'!GG40=0,"",'[2]Tasa de Falla'!GG40)</f>
      </c>
      <c r="M40" s="604">
        <f>IF('[2]Tasa de Falla'!GH40=0,"",'[2]Tasa de Falla'!GH40)</f>
      </c>
      <c r="N40" s="604">
        <f>IF('[2]Tasa de Falla'!GI40=0,"",'[2]Tasa de Falla'!GI40)</f>
      </c>
      <c r="O40" s="604">
        <f>IF('[2]Tasa de Falla'!GJ40=0,"",'[2]Tasa de Falla'!GJ40)</f>
      </c>
      <c r="P40" s="604">
        <f>IF('[2]Tasa de Falla'!GK40=0,"",'[2]Tasa de Falla'!GK40)</f>
      </c>
      <c r="Q40" s="604">
        <f>IF('[2]Tasa de Falla'!GL40=0,"",'[2]Tasa de Falla'!GL40)</f>
      </c>
      <c r="R40" s="604">
        <f>IF('[2]Tasa de Falla'!GM40=0,"",'[2]Tasa de Falla'!GM40)</f>
      </c>
      <c r="S40" s="605"/>
      <c r="T40" s="3"/>
    </row>
    <row r="41" spans="2:20" ht="15" customHeight="1">
      <c r="B41" s="2"/>
      <c r="C41" s="601">
        <f>IF('[2]Tasa de Falla'!C41=0,"",'[2]Tasa de Falla'!C41)</f>
        <v>30</v>
      </c>
      <c r="D41" s="602" t="str">
        <f>IF('[2]Tasa de Falla'!D41=0,"",'[2]Tasa de Falla'!D41)</f>
        <v>TRELEW - RAWSON</v>
      </c>
      <c r="E41" s="602">
        <f>IF('[2]Tasa de Falla'!E41=0,"",'[2]Tasa de Falla'!E41)</f>
        <v>132</v>
      </c>
      <c r="F41" s="603">
        <f>IF('[2]Tasa de Falla'!F41=0,"",'[2]Tasa de Falla'!F41)</f>
        <v>21.8</v>
      </c>
      <c r="G41" s="604">
        <f>IF('[2]Tasa de Falla'!GB41=0,"",'[2]Tasa de Falla'!GB41)</f>
      </c>
      <c r="H41" s="604">
        <f>IF('[2]Tasa de Falla'!GC41=0,"",'[2]Tasa de Falla'!GC41)</f>
      </c>
      <c r="I41" s="604">
        <f>IF('[2]Tasa de Falla'!GD41=0,"",'[2]Tasa de Falla'!GD41)</f>
      </c>
      <c r="J41" s="604">
        <f>IF('[2]Tasa de Falla'!GE41=0,"",'[2]Tasa de Falla'!GE41)</f>
      </c>
      <c r="K41" s="604">
        <f>IF('[2]Tasa de Falla'!GF41=0,"",'[2]Tasa de Falla'!GF41)</f>
      </c>
      <c r="L41" s="604">
        <f>IF('[2]Tasa de Falla'!GG41=0,"",'[2]Tasa de Falla'!GG41)</f>
      </c>
      <c r="M41" s="604">
        <f>IF('[2]Tasa de Falla'!GH41=0,"",'[2]Tasa de Falla'!GH41)</f>
        <v>1</v>
      </c>
      <c r="N41" s="604">
        <f>IF('[2]Tasa de Falla'!GI41=0,"",'[2]Tasa de Falla'!GI41)</f>
        <v>2</v>
      </c>
      <c r="O41" s="604">
        <f>IF('[2]Tasa de Falla'!GJ41=0,"",'[2]Tasa de Falla'!GJ41)</f>
      </c>
      <c r="P41" s="604">
        <f>IF('[2]Tasa de Falla'!GK41=0,"",'[2]Tasa de Falla'!GK41)</f>
      </c>
      <c r="Q41" s="604">
        <f>IF('[2]Tasa de Falla'!GL41=0,"",'[2]Tasa de Falla'!GL41)</f>
      </c>
      <c r="R41" s="604">
        <f>IF('[2]Tasa de Falla'!GM41=0,"",'[2]Tasa de Falla'!GM41)</f>
      </c>
      <c r="S41" s="605"/>
      <c r="T41" s="3"/>
    </row>
    <row r="42" spans="2:20" ht="15" customHeight="1">
      <c r="B42" s="2"/>
      <c r="C42" s="606">
        <f>IF('[2]Tasa de Falla'!C42=0,"",'[2]Tasa de Falla'!C42)</f>
        <v>37</v>
      </c>
      <c r="D42" s="607" t="str">
        <f>IF('[2]Tasa de Falla'!D42=0,"",'[2]Tasa de Falla'!D42)</f>
        <v>PICO TRUNCADO 1 - SANTA CRUZ NORTE     1</v>
      </c>
      <c r="E42" s="607">
        <f>IF('[2]Tasa de Falla'!E42=0,"",'[2]Tasa de Falla'!E42)</f>
        <v>132</v>
      </c>
      <c r="F42" s="608">
        <f>IF('[2]Tasa de Falla'!F42=0,"",'[2]Tasa de Falla'!F42)</f>
        <v>2.5</v>
      </c>
      <c r="G42" s="604">
        <f>IF('[2]Tasa de Falla'!GB42=0,"",'[2]Tasa de Falla'!GB42)</f>
      </c>
      <c r="H42" s="604">
        <f>IF('[2]Tasa de Falla'!GC42=0,"",'[2]Tasa de Falla'!GC42)</f>
      </c>
      <c r="I42" s="604">
        <f>IF('[2]Tasa de Falla'!GD42=0,"",'[2]Tasa de Falla'!GD42)</f>
      </c>
      <c r="J42" s="604">
        <f>IF('[2]Tasa de Falla'!GE42=0,"",'[2]Tasa de Falla'!GE42)</f>
      </c>
      <c r="K42" s="604">
        <f>IF('[2]Tasa de Falla'!GF42=0,"",'[2]Tasa de Falla'!GF42)</f>
      </c>
      <c r="L42" s="604">
        <f>IF('[2]Tasa de Falla'!GG42=0,"",'[2]Tasa de Falla'!GG42)</f>
      </c>
      <c r="M42" s="604">
        <f>IF('[2]Tasa de Falla'!GH42=0,"",'[2]Tasa de Falla'!GH42)</f>
      </c>
      <c r="N42" s="604">
        <f>IF('[2]Tasa de Falla'!GI42=0,"",'[2]Tasa de Falla'!GI42)</f>
      </c>
      <c r="O42" s="604">
        <f>IF('[2]Tasa de Falla'!GJ42=0,"",'[2]Tasa de Falla'!GJ42)</f>
      </c>
      <c r="P42" s="604">
        <f>IF('[2]Tasa de Falla'!GK42=0,"",'[2]Tasa de Falla'!GK42)</f>
      </c>
      <c r="Q42" s="604">
        <f>IF('[2]Tasa de Falla'!GL42=0,"",'[2]Tasa de Falla'!GL42)</f>
      </c>
      <c r="R42" s="604">
        <f>IF('[2]Tasa de Falla'!GM42=0,"",'[2]Tasa de Falla'!GM42)</f>
      </c>
      <c r="S42" s="605"/>
      <c r="T42" s="3"/>
    </row>
    <row r="43" spans="2:20" ht="15" customHeight="1">
      <c r="B43" s="2"/>
      <c r="C43" s="601">
        <f>IF('[2]Tasa de Falla'!C43=0,"",'[2]Tasa de Falla'!C43)</f>
        <v>38</v>
      </c>
      <c r="D43" s="602" t="str">
        <f>IF('[2]Tasa de Falla'!D43=0,"",'[2]Tasa de Falla'!D43)</f>
        <v>PICO TRUNCADO 1 - SANTA CRUZ NORTE     2</v>
      </c>
      <c r="E43" s="602">
        <f>IF('[2]Tasa de Falla'!E43=0,"",'[2]Tasa de Falla'!E43)</f>
        <v>132</v>
      </c>
      <c r="F43" s="603">
        <f>IF('[2]Tasa de Falla'!F43=0,"",'[2]Tasa de Falla'!F43)</f>
        <v>2.5</v>
      </c>
      <c r="G43" s="604">
        <f>IF('[2]Tasa de Falla'!GB43=0,"",'[2]Tasa de Falla'!GB43)</f>
      </c>
      <c r="H43" s="604">
        <f>IF('[2]Tasa de Falla'!GC43=0,"",'[2]Tasa de Falla'!GC43)</f>
      </c>
      <c r="I43" s="604">
        <f>IF('[2]Tasa de Falla'!GD43=0,"",'[2]Tasa de Falla'!GD43)</f>
      </c>
      <c r="J43" s="604">
        <f>IF('[2]Tasa de Falla'!GE43=0,"",'[2]Tasa de Falla'!GE43)</f>
      </c>
      <c r="K43" s="604">
        <f>IF('[2]Tasa de Falla'!GF43=0,"",'[2]Tasa de Falla'!GF43)</f>
      </c>
      <c r="L43" s="604">
        <f>IF('[2]Tasa de Falla'!GG43=0,"",'[2]Tasa de Falla'!GG43)</f>
      </c>
      <c r="M43" s="604">
        <f>IF('[2]Tasa de Falla'!GH43=0,"",'[2]Tasa de Falla'!GH43)</f>
      </c>
      <c r="N43" s="604">
        <f>IF('[2]Tasa de Falla'!GI43=0,"",'[2]Tasa de Falla'!GI43)</f>
      </c>
      <c r="O43" s="604">
        <f>IF('[2]Tasa de Falla'!GJ43=0,"",'[2]Tasa de Falla'!GJ43)</f>
      </c>
      <c r="P43" s="604">
        <f>IF('[2]Tasa de Falla'!GK43=0,"",'[2]Tasa de Falla'!GK43)</f>
      </c>
      <c r="Q43" s="604">
        <f>IF('[2]Tasa de Falla'!GL43=0,"",'[2]Tasa de Falla'!GL43)</f>
      </c>
      <c r="R43" s="604">
        <f>IF('[2]Tasa de Falla'!GM43=0,"",'[2]Tasa de Falla'!GM43)</f>
      </c>
      <c r="S43" s="605"/>
      <c r="T43" s="3"/>
    </row>
    <row r="44" spans="2:20" ht="15" customHeight="1">
      <c r="B44" s="2"/>
      <c r="C44" s="606">
        <f>IF('[2]Tasa de Falla'!C44=0,"",'[2]Tasa de Falla'!C44)</f>
        <v>39</v>
      </c>
      <c r="D44" s="607" t="str">
        <f>IF('[2]Tasa de Falla'!D44=0,"",'[2]Tasa de Falla'!D44)</f>
        <v>LAS HERAS - SANTA CRUZ NORTE</v>
      </c>
      <c r="E44" s="607">
        <f>IF('[2]Tasa de Falla'!E44=0,"",'[2]Tasa de Falla'!E44)</f>
        <v>132</v>
      </c>
      <c r="F44" s="608">
        <f>IF('[2]Tasa de Falla'!F44=0,"",'[2]Tasa de Falla'!F44)</f>
        <v>80</v>
      </c>
      <c r="G44" s="604" t="str">
        <f>IF('[2]Tasa de Falla'!GB44=0,"",'[2]Tasa de Falla'!GB44)</f>
        <v>XXXX</v>
      </c>
      <c r="H44" s="604" t="str">
        <f>IF('[2]Tasa de Falla'!GC44=0,"",'[2]Tasa de Falla'!GC44)</f>
        <v>XXXX</v>
      </c>
      <c r="I44" s="604" t="str">
        <f>IF('[2]Tasa de Falla'!GD44=0,"",'[2]Tasa de Falla'!GD44)</f>
        <v>XXXX</v>
      </c>
      <c r="J44" s="604" t="str">
        <f>IF('[2]Tasa de Falla'!GE44=0,"",'[2]Tasa de Falla'!GE44)</f>
        <v>XXXX</v>
      </c>
      <c r="K44" s="604" t="str">
        <f>IF('[2]Tasa de Falla'!GF44=0,"",'[2]Tasa de Falla'!GF44)</f>
        <v>XXXX</v>
      </c>
      <c r="L44" s="604" t="str">
        <f>IF('[2]Tasa de Falla'!GG44=0,"",'[2]Tasa de Falla'!GG44)</f>
        <v>XXXX</v>
      </c>
      <c r="M44" s="604" t="str">
        <f>IF('[2]Tasa de Falla'!GH44=0,"",'[2]Tasa de Falla'!GH44)</f>
        <v>XXXX</v>
      </c>
      <c r="N44" s="604" t="str">
        <f>IF('[2]Tasa de Falla'!GI44=0,"",'[2]Tasa de Falla'!GI44)</f>
        <v>XXXX</v>
      </c>
      <c r="O44" s="604" t="str">
        <f>IF('[2]Tasa de Falla'!GJ44=0,"",'[2]Tasa de Falla'!GJ44)</f>
        <v>XXXX</v>
      </c>
      <c r="P44" s="604" t="str">
        <f>IF('[2]Tasa de Falla'!GK44=0,"",'[2]Tasa de Falla'!GK44)</f>
        <v>XXXX</v>
      </c>
      <c r="Q44" s="604" t="str">
        <f>IF('[2]Tasa de Falla'!GL44=0,"",'[2]Tasa de Falla'!GL44)</f>
        <v>XXXX</v>
      </c>
      <c r="R44" s="604">
        <f>IF('[2]Tasa de Falla'!GM44=0,"",'[2]Tasa de Falla'!GM44)</f>
      </c>
      <c r="S44" s="605"/>
      <c r="T44" s="3"/>
    </row>
    <row r="45" spans="2:20" ht="15" customHeight="1">
      <c r="B45" s="2"/>
      <c r="C45" s="601">
        <f>IF('[2]Tasa de Falla'!C45=0,"",'[2]Tasa de Falla'!C45)</f>
      </c>
      <c r="D45" s="602">
        <f>IF('[2]Tasa de Falla'!D45=0,"",'[2]Tasa de Falla'!D45)</f>
      </c>
      <c r="E45" s="602">
        <f>IF('[2]Tasa de Falla'!E45=0,"",'[2]Tasa de Falla'!E45)</f>
      </c>
      <c r="F45" s="603">
        <f>IF('[2]Tasa de Falla'!F45=0,"",'[2]Tasa de Falla'!F45)</f>
      </c>
      <c r="G45" s="604">
        <f>IF('[2]Tasa de Falla'!GB45=0,"",'[2]Tasa de Falla'!GB45)</f>
      </c>
      <c r="H45" s="604">
        <f>IF('[2]Tasa de Falla'!GC45=0,"",'[2]Tasa de Falla'!GC45)</f>
      </c>
      <c r="I45" s="604">
        <f>IF('[2]Tasa de Falla'!GD45=0,"",'[2]Tasa de Falla'!GD45)</f>
      </c>
      <c r="J45" s="604">
        <f>IF('[2]Tasa de Falla'!GE45=0,"",'[2]Tasa de Falla'!GE45)</f>
      </c>
      <c r="K45" s="604">
        <f>IF('[2]Tasa de Falla'!GF45=0,"",'[2]Tasa de Falla'!GF45)</f>
      </c>
      <c r="L45" s="604">
        <f>IF('[2]Tasa de Falla'!GG45=0,"",'[2]Tasa de Falla'!GG45)</f>
      </c>
      <c r="M45" s="604">
        <f>IF('[2]Tasa de Falla'!GH45=0,"",'[2]Tasa de Falla'!GH45)</f>
      </c>
      <c r="N45" s="604">
        <f>IF('[2]Tasa de Falla'!GI45=0,"",'[2]Tasa de Falla'!GI45)</f>
      </c>
      <c r="O45" s="604">
        <f>IF('[2]Tasa de Falla'!GJ45=0,"",'[2]Tasa de Falla'!GJ45)</f>
      </c>
      <c r="P45" s="604">
        <f>IF('[2]Tasa de Falla'!GK45=0,"",'[2]Tasa de Falla'!GK45)</f>
      </c>
      <c r="Q45" s="604">
        <f>IF('[2]Tasa de Falla'!GL45=0,"",'[2]Tasa de Falla'!GL45)</f>
      </c>
      <c r="R45" s="604">
        <f>IF('[2]Tasa de Falla'!GM45=0,"",'[2]Tasa de Falla'!GM45)</f>
      </c>
      <c r="S45" s="605"/>
      <c r="T45" s="3"/>
    </row>
    <row r="46" spans="2:20" ht="15" customHeight="1">
      <c r="B46" s="2"/>
      <c r="C46" s="606">
        <f>IF('[2]Tasa de Falla'!C46=0,"",'[2]Tasa de Falla'!C46)</f>
        <v>19</v>
      </c>
      <c r="D46" s="607" t="str">
        <f>IF('[2]Tasa de Falla'!D46=0,"",'[2]Tasa de Falla'!D46)</f>
        <v>PUNTA COLORADA - SIERRA GRANDE</v>
      </c>
      <c r="E46" s="607">
        <f>IF('[2]Tasa de Falla'!E46=0,"",'[2]Tasa de Falla'!E46)</f>
        <v>132</v>
      </c>
      <c r="F46" s="608">
        <f>IF('[2]Tasa de Falla'!F46=0,"",'[2]Tasa de Falla'!F46)</f>
        <v>31</v>
      </c>
      <c r="G46" s="604">
        <f>IF('[2]Tasa de Falla'!GB46=0,"",'[2]Tasa de Falla'!GB46)</f>
      </c>
      <c r="H46" s="604">
        <f>IF('[2]Tasa de Falla'!GC46=0,"",'[2]Tasa de Falla'!GC46)</f>
      </c>
      <c r="I46" s="604">
        <f>IF('[2]Tasa de Falla'!GD46=0,"",'[2]Tasa de Falla'!GD46)</f>
      </c>
      <c r="J46" s="604">
        <f>IF('[2]Tasa de Falla'!GE46=0,"",'[2]Tasa de Falla'!GE46)</f>
      </c>
      <c r="K46" s="604">
        <f>IF('[2]Tasa de Falla'!GF46=0,"",'[2]Tasa de Falla'!GF46)</f>
      </c>
      <c r="L46" s="604">
        <f>IF('[2]Tasa de Falla'!GG46=0,"",'[2]Tasa de Falla'!GG46)</f>
      </c>
      <c r="M46" s="604">
        <f>IF('[2]Tasa de Falla'!GH46=0,"",'[2]Tasa de Falla'!GH46)</f>
      </c>
      <c r="N46" s="604">
        <f>IF('[2]Tasa de Falla'!GI46=0,"",'[2]Tasa de Falla'!GI46)</f>
      </c>
      <c r="O46" s="604">
        <f>IF('[2]Tasa de Falla'!GJ46=0,"",'[2]Tasa de Falla'!GJ46)</f>
      </c>
      <c r="P46" s="604">
        <f>IF('[2]Tasa de Falla'!GK46=0,"",'[2]Tasa de Falla'!GK46)</f>
      </c>
      <c r="Q46" s="604">
        <f>IF('[2]Tasa de Falla'!GL46=0,"",'[2]Tasa de Falla'!GL46)</f>
      </c>
      <c r="R46" s="604">
        <f>IF('[2]Tasa de Falla'!GM46=0,"",'[2]Tasa de Falla'!GM46)</f>
      </c>
      <c r="S46" s="605"/>
      <c r="T46" s="3"/>
    </row>
    <row r="47" spans="2:20" ht="15" customHeight="1">
      <c r="B47" s="2"/>
      <c r="C47" s="601">
        <f>IF('[2]Tasa de Falla'!C47=0,"",'[2]Tasa de Falla'!C47)</f>
        <v>20</v>
      </c>
      <c r="D47" s="602" t="str">
        <f>IF('[2]Tasa de Falla'!D47=0,"",'[2]Tasa de Falla'!D47)</f>
        <v>CARMEN DE PATAGONES - VIEDMA</v>
      </c>
      <c r="E47" s="602">
        <f>IF('[2]Tasa de Falla'!E47=0,"",'[2]Tasa de Falla'!E47)</f>
        <v>132</v>
      </c>
      <c r="F47" s="603">
        <f>IF('[2]Tasa de Falla'!F47=0,"",'[2]Tasa de Falla'!F47)</f>
        <v>7</v>
      </c>
      <c r="G47" s="604" t="str">
        <f>IF('[2]Tasa de Falla'!GB47=0,"",'[2]Tasa de Falla'!GB47)</f>
        <v>XXXX</v>
      </c>
      <c r="H47" s="604" t="str">
        <f>IF('[2]Tasa de Falla'!GC47=0,"",'[2]Tasa de Falla'!GC47)</f>
        <v>XXXX</v>
      </c>
      <c r="I47" s="604" t="str">
        <f>IF('[2]Tasa de Falla'!GD47=0,"",'[2]Tasa de Falla'!GD47)</f>
        <v>XXXX</v>
      </c>
      <c r="J47" s="604" t="str">
        <f>IF('[2]Tasa de Falla'!GE47=0,"",'[2]Tasa de Falla'!GE47)</f>
        <v>XXXX</v>
      </c>
      <c r="K47" s="604" t="str">
        <f>IF('[2]Tasa de Falla'!GF47=0,"",'[2]Tasa de Falla'!GF47)</f>
        <v>XXXX</v>
      </c>
      <c r="L47" s="604" t="str">
        <f>IF('[2]Tasa de Falla'!GG47=0,"",'[2]Tasa de Falla'!GG47)</f>
        <v>XXXX</v>
      </c>
      <c r="M47" s="604" t="str">
        <f>IF('[2]Tasa de Falla'!GH47=0,"",'[2]Tasa de Falla'!GH47)</f>
        <v>XXXX</v>
      </c>
      <c r="N47" s="604" t="str">
        <f>IF('[2]Tasa de Falla'!GI47=0,"",'[2]Tasa de Falla'!GI47)</f>
        <v>XXXX</v>
      </c>
      <c r="O47" s="604" t="str">
        <f>IF('[2]Tasa de Falla'!GJ47=0,"",'[2]Tasa de Falla'!GJ47)</f>
        <v>XXXX</v>
      </c>
      <c r="P47" s="604" t="str">
        <f>IF('[2]Tasa de Falla'!GK47=0,"",'[2]Tasa de Falla'!GK47)</f>
        <v>XXXX</v>
      </c>
      <c r="Q47" s="604" t="str">
        <f>IF('[2]Tasa de Falla'!GL47=0,"",'[2]Tasa de Falla'!GL47)</f>
        <v>XXXX</v>
      </c>
      <c r="R47" s="604" t="str">
        <f>IF('[2]Tasa de Falla'!GM47=0,"",'[2]Tasa de Falla'!GM47)</f>
        <v>XXXX</v>
      </c>
      <c r="S47" s="605"/>
      <c r="T47" s="3"/>
    </row>
    <row r="48" spans="2:20" ht="15" customHeight="1">
      <c r="B48" s="2"/>
      <c r="C48" s="606">
        <f>IF('[2]Tasa de Falla'!C48=0,"",'[2]Tasa de Falla'!C48)</f>
      </c>
      <c r="D48" s="607" t="str">
        <f>IF('[2]Tasa de Falla'!D48=0,"",'[2]Tasa de Falla'!D48)</f>
        <v>CARMEN DE PATAGONES - VIEDMA</v>
      </c>
      <c r="E48" s="607">
        <f>IF('[2]Tasa de Falla'!E48=0,"",'[2]Tasa de Falla'!E48)</f>
        <v>132</v>
      </c>
      <c r="F48" s="608">
        <f>IF('[2]Tasa de Falla'!F48=0,"",'[2]Tasa de Falla'!F48)</f>
        <v>4.4</v>
      </c>
      <c r="G48" s="604">
        <f>IF('[2]Tasa de Falla'!GB48=0,"",'[2]Tasa de Falla'!GB48)</f>
      </c>
      <c r="H48" s="604">
        <f>IF('[2]Tasa de Falla'!GC48=0,"",'[2]Tasa de Falla'!GC48)</f>
      </c>
      <c r="I48" s="604">
        <f>IF('[2]Tasa de Falla'!GD48=0,"",'[2]Tasa de Falla'!GD48)</f>
      </c>
      <c r="J48" s="604">
        <f>IF('[2]Tasa de Falla'!GE48=0,"",'[2]Tasa de Falla'!GE48)</f>
      </c>
      <c r="K48" s="604">
        <f>IF('[2]Tasa de Falla'!GF48=0,"",'[2]Tasa de Falla'!GF48)</f>
      </c>
      <c r="L48" s="604">
        <f>IF('[2]Tasa de Falla'!GG48=0,"",'[2]Tasa de Falla'!GG48)</f>
      </c>
      <c r="M48" s="604">
        <f>IF('[2]Tasa de Falla'!GH48=0,"",'[2]Tasa de Falla'!GH48)</f>
      </c>
      <c r="N48" s="604">
        <f>IF('[2]Tasa de Falla'!GI48=0,"",'[2]Tasa de Falla'!GI48)</f>
      </c>
      <c r="O48" s="604">
        <f>IF('[2]Tasa de Falla'!GJ48=0,"",'[2]Tasa de Falla'!GJ48)</f>
      </c>
      <c r="P48" s="604">
        <f>IF('[2]Tasa de Falla'!GK48=0,"",'[2]Tasa de Falla'!GK48)</f>
      </c>
      <c r="Q48" s="604">
        <f>IF('[2]Tasa de Falla'!GL48=0,"",'[2]Tasa de Falla'!GL48)</f>
      </c>
      <c r="R48" s="604">
        <f>IF('[2]Tasa de Falla'!GM48=0,"",'[2]Tasa de Falla'!GM48)</f>
      </c>
      <c r="S48" s="605"/>
      <c r="T48" s="3"/>
    </row>
    <row r="49" spans="2:20" ht="15" customHeight="1">
      <c r="B49" s="2"/>
      <c r="C49" s="601">
        <f>IF('[2]Tasa de Falla'!C49=0,"",'[2]Tasa de Falla'!C49)</f>
        <v>21</v>
      </c>
      <c r="D49" s="602" t="str">
        <f>IF('[2]Tasa de Falla'!D49=0,"",'[2]Tasa de Falla'!D49)</f>
        <v>SAN ANTONIO OESTE - SIERRA GRANDE</v>
      </c>
      <c r="E49" s="602">
        <f>IF('[2]Tasa de Falla'!E49=0,"",'[2]Tasa de Falla'!E49)</f>
        <v>132</v>
      </c>
      <c r="F49" s="603">
        <f>IF('[2]Tasa de Falla'!F49=0,"",'[2]Tasa de Falla'!F49)</f>
        <v>110.3</v>
      </c>
      <c r="G49" s="604">
        <f>IF('[2]Tasa de Falla'!GB49=0,"",'[2]Tasa de Falla'!GB49)</f>
      </c>
      <c r="H49" s="604">
        <f>IF('[2]Tasa de Falla'!GC49=0,"",'[2]Tasa de Falla'!GC49)</f>
      </c>
      <c r="I49" s="604">
        <f>IF('[2]Tasa de Falla'!GD49=0,"",'[2]Tasa de Falla'!GD49)</f>
      </c>
      <c r="J49" s="604">
        <f>IF('[2]Tasa de Falla'!GE49=0,"",'[2]Tasa de Falla'!GE49)</f>
      </c>
      <c r="K49" s="604">
        <f>IF('[2]Tasa de Falla'!GF49=0,"",'[2]Tasa de Falla'!GF49)</f>
      </c>
      <c r="L49" s="604">
        <f>IF('[2]Tasa de Falla'!GG49=0,"",'[2]Tasa de Falla'!GG49)</f>
      </c>
      <c r="M49" s="604">
        <f>IF('[2]Tasa de Falla'!GH49=0,"",'[2]Tasa de Falla'!GH49)</f>
      </c>
      <c r="N49" s="604">
        <f>IF('[2]Tasa de Falla'!GI49=0,"",'[2]Tasa de Falla'!GI49)</f>
      </c>
      <c r="O49" s="604">
        <f>IF('[2]Tasa de Falla'!GJ49=0,"",'[2]Tasa de Falla'!GJ49)</f>
      </c>
      <c r="P49" s="604">
        <f>IF('[2]Tasa de Falla'!GK49=0,"",'[2]Tasa de Falla'!GK49)</f>
      </c>
      <c r="Q49" s="604">
        <f>IF('[2]Tasa de Falla'!GL49=0,"",'[2]Tasa de Falla'!GL49)</f>
      </c>
      <c r="R49" s="604">
        <f>IF('[2]Tasa de Falla'!GM49=0,"",'[2]Tasa de Falla'!GM49)</f>
      </c>
      <c r="S49" s="605"/>
      <c r="T49" s="3"/>
    </row>
    <row r="50" spans="2:20" ht="15" customHeight="1">
      <c r="B50" s="2"/>
      <c r="C50" s="606">
        <f>IF('[2]Tasa de Falla'!C50=0,"",'[2]Tasa de Falla'!C50)</f>
        <v>22</v>
      </c>
      <c r="D50" s="607" t="str">
        <f>IF('[2]Tasa de Falla'!D50=0,"",'[2]Tasa de Falla'!D50)</f>
        <v>SAN ANTONIO OESTE -VIEDMA</v>
      </c>
      <c r="E50" s="607">
        <f>IF('[2]Tasa de Falla'!E50=0,"",'[2]Tasa de Falla'!E50)</f>
        <v>132</v>
      </c>
      <c r="F50" s="608">
        <f>IF('[2]Tasa de Falla'!F50=0,"",'[2]Tasa de Falla'!F50)</f>
        <v>185.6</v>
      </c>
      <c r="G50" s="604">
        <f>IF('[2]Tasa de Falla'!GB50=0,"",'[2]Tasa de Falla'!GB50)</f>
      </c>
      <c r="H50" s="604">
        <f>IF('[2]Tasa de Falla'!GC50=0,"",'[2]Tasa de Falla'!GC50)</f>
      </c>
      <c r="I50" s="604">
        <f>IF('[2]Tasa de Falla'!GD50=0,"",'[2]Tasa de Falla'!GD50)</f>
      </c>
      <c r="J50" s="604">
        <f>IF('[2]Tasa de Falla'!GE50=0,"",'[2]Tasa de Falla'!GE50)</f>
      </c>
      <c r="K50" s="604">
        <f>IF('[2]Tasa de Falla'!GF50=0,"",'[2]Tasa de Falla'!GF50)</f>
      </c>
      <c r="L50" s="604">
        <f>IF('[2]Tasa de Falla'!GG50=0,"",'[2]Tasa de Falla'!GG50)</f>
      </c>
      <c r="M50" s="604">
        <f>IF('[2]Tasa de Falla'!GH50=0,"",'[2]Tasa de Falla'!GH50)</f>
      </c>
      <c r="N50" s="604">
        <f>IF('[2]Tasa de Falla'!GI50=0,"",'[2]Tasa de Falla'!GI50)</f>
      </c>
      <c r="O50" s="604">
        <f>IF('[2]Tasa de Falla'!GJ50=0,"",'[2]Tasa de Falla'!GJ50)</f>
      </c>
      <c r="P50" s="604">
        <f>IF('[2]Tasa de Falla'!GK50=0,"",'[2]Tasa de Falla'!GK50)</f>
      </c>
      <c r="Q50" s="604">
        <f>IF('[2]Tasa de Falla'!GL50=0,"",'[2]Tasa de Falla'!GL50)</f>
      </c>
      <c r="R50" s="604">
        <f>IF('[2]Tasa de Falla'!GM50=0,"",'[2]Tasa de Falla'!GM50)</f>
      </c>
      <c r="S50" s="605"/>
      <c r="T50" s="3"/>
    </row>
    <row r="51" spans="2:20" ht="15" customHeight="1" thickBot="1">
      <c r="B51" s="2"/>
      <c r="C51" s="609"/>
      <c r="D51" s="610"/>
      <c r="E51" s="611"/>
      <c r="F51" s="612"/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3"/>
      <c r="R51" s="613"/>
      <c r="S51" s="605"/>
      <c r="T51" s="3"/>
    </row>
    <row r="52" spans="2:20" ht="15" customHeight="1" thickBot="1" thickTop="1">
      <c r="B52" s="2"/>
      <c r="C52" s="614"/>
      <c r="D52" s="147"/>
      <c r="E52" s="615" t="s">
        <v>136</v>
      </c>
      <c r="F52" s="616">
        <f>SUM(F18:F51)-F34</f>
        <v>2631.2600000000007</v>
      </c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  <c r="R52" s="617"/>
      <c r="S52" s="605"/>
      <c r="T52" s="3"/>
    </row>
    <row r="53" spans="2:20" ht="15" customHeight="1" thickBot="1" thickTop="1">
      <c r="B53" s="2"/>
      <c r="C53" s="20"/>
      <c r="D53" s="22"/>
      <c r="E53" s="618"/>
      <c r="F53" s="619" t="s">
        <v>137</v>
      </c>
      <c r="G53" s="620">
        <f aca="true" t="shared" si="0" ref="G53:R53">SUM(G17:G51)</f>
        <v>1</v>
      </c>
      <c r="H53" s="620">
        <f t="shared" si="0"/>
        <v>0</v>
      </c>
      <c r="I53" s="620">
        <f t="shared" si="0"/>
        <v>1</v>
      </c>
      <c r="J53" s="620">
        <f t="shared" si="0"/>
        <v>2</v>
      </c>
      <c r="K53" s="620">
        <f t="shared" si="0"/>
        <v>1</v>
      </c>
      <c r="L53" s="620">
        <f t="shared" si="0"/>
        <v>0</v>
      </c>
      <c r="M53" s="620">
        <f t="shared" si="0"/>
        <v>4</v>
      </c>
      <c r="N53" s="620">
        <f t="shared" si="0"/>
        <v>4</v>
      </c>
      <c r="O53" s="620">
        <f t="shared" si="0"/>
        <v>0</v>
      </c>
      <c r="P53" s="620">
        <f t="shared" si="0"/>
        <v>1</v>
      </c>
      <c r="Q53" s="620">
        <f t="shared" si="0"/>
        <v>4</v>
      </c>
      <c r="R53" s="620">
        <f t="shared" si="0"/>
        <v>1</v>
      </c>
      <c r="S53" s="621"/>
      <c r="T53" s="3"/>
    </row>
    <row r="54" spans="2:20" ht="17.25" thickBot="1" thickTop="1">
      <c r="B54" s="2"/>
      <c r="C54" s="618"/>
      <c r="D54" s="618"/>
      <c r="E54" s="20"/>
      <c r="F54" s="622" t="s">
        <v>138</v>
      </c>
      <c r="G54" s="623">
        <f>+'[2]Tasa de Falla'!GB72</f>
        <v>1.29</v>
      </c>
      <c r="H54" s="623">
        <f>+'[2]Tasa de Falla'!GC72</f>
        <v>1.22</v>
      </c>
      <c r="I54" s="623">
        <f>+'[2]Tasa de Falla'!GD72</f>
        <v>1.05</v>
      </c>
      <c r="J54" s="623">
        <f>+'[2]Tasa de Falla'!GE72</f>
        <v>0.94</v>
      </c>
      <c r="K54" s="623">
        <f>+'[2]Tasa de Falla'!GF72</f>
        <v>0.84</v>
      </c>
      <c r="L54" s="623">
        <f>+'[2]Tasa de Falla'!GG72</f>
        <v>0.56</v>
      </c>
      <c r="M54" s="623">
        <f>+'[2]Tasa de Falla'!GH72</f>
        <v>0.49</v>
      </c>
      <c r="N54" s="623">
        <f>+'[2]Tasa de Falla'!GI72</f>
        <v>0.63</v>
      </c>
      <c r="O54" s="623">
        <f>+'[2]Tasa de Falla'!GJ72</f>
        <v>0.7</v>
      </c>
      <c r="P54" s="623">
        <f>+'[2]Tasa de Falla'!GK72</f>
        <v>0.7</v>
      </c>
      <c r="Q54" s="623">
        <f>+'[2]Tasa de Falla'!GL72</f>
        <v>0.66</v>
      </c>
      <c r="R54" s="623">
        <f>+'[2]Tasa de Falla'!GM72</f>
        <v>0.7</v>
      </c>
      <c r="S54" s="623">
        <f>+'[2]Tasa de Falla'!GN72</f>
        <v>0.63</v>
      </c>
      <c r="T54" s="3"/>
    </row>
    <row r="55" spans="2:20" ht="18.75" customHeight="1" thickBot="1" thickTop="1">
      <c r="B55" s="2"/>
      <c r="C55" s="624" t="s">
        <v>139</v>
      </c>
      <c r="D55" s="20" t="s">
        <v>140</v>
      </c>
      <c r="E55" s="625"/>
      <c r="F55" s="626"/>
      <c r="G55" s="627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7"/>
      <c r="S55" s="627"/>
      <c r="T55" s="46"/>
    </row>
    <row r="56" spans="2:20" ht="17.25" thickBot="1" thickTop="1">
      <c r="B56" s="628"/>
      <c r="C56" s="629"/>
      <c r="D56" s="630" t="s">
        <v>141</v>
      </c>
      <c r="H56" s="631" t="s">
        <v>142</v>
      </c>
      <c r="I56" s="632"/>
      <c r="J56" s="633">
        <f>S54</f>
        <v>0.63</v>
      </c>
      <c r="K56" s="634" t="s">
        <v>143</v>
      </c>
      <c r="L56" s="634"/>
      <c r="M56" s="635"/>
      <c r="N56" s="630"/>
      <c r="O56" s="630"/>
      <c r="P56" s="630"/>
      <c r="Q56" s="630"/>
      <c r="R56" s="630"/>
      <c r="S56" s="630"/>
      <c r="T56" s="3"/>
    </row>
    <row r="57" spans="2:20" ht="18.75" customHeight="1" thickBot="1">
      <c r="B57" s="636"/>
      <c r="C57" s="637"/>
      <c r="D57" s="34"/>
      <c r="E57" s="34"/>
      <c r="F57" s="638"/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40"/>
    </row>
    <row r="58" ht="13.5" thickTop="1"/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0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2012-01-26T15:30:02Z</cp:lastPrinted>
  <dcterms:created xsi:type="dcterms:W3CDTF">2000-10-04T20:14:32Z</dcterms:created>
  <dcterms:modified xsi:type="dcterms:W3CDTF">2012-06-06T19:00:37Z</dcterms:modified>
  <cp:category/>
  <cp:version/>
  <cp:contentType/>
  <cp:contentStatus/>
</cp:coreProperties>
</file>