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41" activeTab="0"/>
  </bookViews>
  <sheets>
    <sheet name="TOT-0115" sheetId="1" r:id="rId1"/>
    <sheet name="LI-01 (1)" sheetId="2" r:id="rId2"/>
    <sheet name="Incendio" sheetId="3" r:id="rId3"/>
    <sheet name="Condición Climática 313-01" sheetId="4" r:id="rId4"/>
    <sheet name="LI-INTESA2-01 (1)" sheetId="5" r:id="rId5"/>
    <sheet name="LI-LIMSA-01 (1)" sheetId="6" r:id="rId6"/>
    <sheet name="TR-01 (1)" sheetId="7" r:id="rId7"/>
    <sheet name="TR-ENECOR-01 (1)" sheetId="8" r:id="rId8"/>
    <sheet name="TR-INTESA4-01 (1)" sheetId="9" r:id="rId9"/>
    <sheet name="SA-01 (1)" sheetId="10" r:id="rId10"/>
    <sheet name="SA-TIBA-01 (1)" sheetId="11" r:id="rId11"/>
    <sheet name="RE" sheetId="12" r:id="rId12"/>
    <sheet name="RE Res 1-03" sheetId="13" r:id="rId13"/>
    <sheet name="RE-YACY-01 (1)" sheetId="14" r:id="rId14"/>
    <sheet name="RE-ENECOR" sheetId="15" r:id="rId15"/>
    <sheet name="SUP-YACYLEC" sheetId="16" r:id="rId16"/>
    <sheet name="SUP-TIBA" sheetId="17" r:id="rId17"/>
    <sheet name="SUP-ENECOR" sheetId="18" r:id="rId18"/>
    <sheet name="SUP-LIMSA" sheetId="19" r:id="rId19"/>
    <sheet name="DAG" sheetId="20" r:id="rId20"/>
    <sheet name="Tasa" sheetId="21" r:id="rId21"/>
  </sheets>
  <externalReferences>
    <externalReference r:id="rId24"/>
    <externalReference r:id="rId25"/>
  </externalReferences>
  <definedNames>
    <definedName name="_xlnm.Print_Area" localSheetId="10">'SA-TIBA-01 (1)'!$A$1:$X$45</definedName>
    <definedName name="_xlnm.Print_Area" localSheetId="17">'SUP-ENECOR'!$A$1:$X$67</definedName>
    <definedName name="_xlnm.Print_Area" localSheetId="18">'SUP-LIMSA'!$A$1:$AE$88</definedName>
    <definedName name="_xlnm.Print_Area" localSheetId="16">'SUP-TIBA'!$A$1:$X$75</definedName>
    <definedName name="_xlnm.Print_Area" localSheetId="20">'Tasa'!$A$1:$V$105</definedName>
    <definedName name="_xlnm.Print_Area" localSheetId="0">'TOT-0115'!$A$1:$J$49</definedName>
    <definedName name="DD" localSheetId="18">'SUP-LIMSA'!DD</definedName>
    <definedName name="DD">[0]!DD</definedName>
    <definedName name="DDD" localSheetId="18">'SUP-LIMSA'!DDD</definedName>
    <definedName name="DDD">[0]!DDD</definedName>
    <definedName name="DISTROCUYO" localSheetId="18">'SUP-LIMSA'!DISTROCUYO</definedName>
    <definedName name="DISTROCUYO">[0]!DISTROCUYO</definedName>
    <definedName name="FER" localSheetId="18">'SUP-LIMSA'!FER</definedName>
    <definedName name="FER">[0]!FER</definedName>
    <definedName name="INICIO" localSheetId="18">'SUP-LIMSA'!INICIO</definedName>
    <definedName name="INICIO">[0]!INICIO</definedName>
    <definedName name="INICIOTI" localSheetId="18">'SUP-LIMSA'!INICIOTI</definedName>
    <definedName name="INICIOTI">[0]!INICIOTI</definedName>
    <definedName name="LINEAS" localSheetId="18">'SUP-LIMSA'!LINEAS</definedName>
    <definedName name="LINEAS">[0]!LINEAS</definedName>
    <definedName name="LINEASTI" localSheetId="18">'SUP-LIMSA'!LINEASTI</definedName>
    <definedName name="LINEASTI">[0]!LINEASTI</definedName>
    <definedName name="NAME_L" localSheetId="18">'SUP-LIMSA'!NAME_L</definedName>
    <definedName name="NAME_L">[0]!NAME_L</definedName>
    <definedName name="NAME_L_TI" localSheetId="18">'SUP-LIMSA'!NAME_L_TI</definedName>
    <definedName name="NAME_L_TI">[0]!NAME_L_TI</definedName>
    <definedName name="TRAN" localSheetId="18">'SUP-LIMSA'!TRAN</definedName>
    <definedName name="TRAN">[0]!TRAN</definedName>
    <definedName name="TRANSNOA" localSheetId="18">'SUP-LIMSA'!TRANSNOA</definedName>
    <definedName name="TRANSNOA">[0]!TRANSNOA</definedName>
    <definedName name="TRANSPA" localSheetId="18">'SUP-LIMSA'!TRANSPA</definedName>
    <definedName name="TRANSPA">[0]!TRANSPA</definedName>
    <definedName name="x" localSheetId="18">'SUP-LIMSA'!x</definedName>
    <definedName name="x">[0]!x</definedName>
    <definedName name="XX" localSheetId="18">'SUP-LIMSA'!XX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19.xml><?xml version="1.0" encoding="utf-8"?>
<comments xmlns="http://schemas.openxmlformats.org/spreadsheetml/2006/main">
  <authors>
    <author>Ing. Juan Messina</author>
  </authors>
  <commentList>
    <comment ref="M65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  <comment ref="M69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  <comment ref="M66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</commentList>
</comments>
</file>

<file path=xl/comments20.xml><?xml version="1.0" encoding="utf-8"?>
<comments xmlns="http://schemas.openxmlformats.org/spreadsheetml/2006/main">
  <authors>
    <author>gmir</author>
  </authors>
  <commentList>
    <comment ref="N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  <comment ref="N39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comments4.xml><?xml version="1.0" encoding="utf-8"?>
<comments xmlns="http://schemas.openxmlformats.org/spreadsheetml/2006/main">
  <authors>
    <author>gmir</author>
    <author>GMir</author>
  </authors>
  <commentList>
    <comment ref="AA18" authorId="0">
      <text>
        <r>
          <rPr>
            <b/>
            <sz val="8"/>
            <rFont val="Tahoma"/>
            <family val="2"/>
          </rPr>
          <t>gmir:</t>
        </r>
        <r>
          <rPr>
            <sz val="8"/>
            <rFont val="Tahoma"/>
            <family val="2"/>
          </rPr>
          <t xml:space="preserve">
fp= 1 para atentado</t>
        </r>
      </text>
    </comment>
    <comment ref="AE18" authorId="1">
      <text>
        <r>
          <rPr>
            <sz val="8"/>
            <rFont val="Tahoma"/>
            <family val="2"/>
          </rPr>
          <t>solo paso a minutos el Tst (columna AI, porque el calculo de la PC esta hecho en minutos</t>
        </r>
      </text>
    </comment>
  </commentList>
</comments>
</file>

<file path=xl/sharedStrings.xml><?xml version="1.0" encoding="utf-8"?>
<sst xmlns="http://schemas.openxmlformats.org/spreadsheetml/2006/main" count="1396" uniqueCount="351">
  <si>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</si>
  <si>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</si>
  <si>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</si>
  <si>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</si>
  <si>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</si>
  <si>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</si>
  <si>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</si>
  <si>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</si>
  <si>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INTESAR S.A. 2</t>
  </si>
  <si>
    <t>Transportista Independiente INTESAR S.A. 4</t>
  </si>
  <si>
    <t>Transportista Independiente L.I.M.S.A.</t>
  </si>
  <si>
    <t>2.-</t>
  </si>
  <si>
    <t>CONEXIÓN</t>
  </si>
  <si>
    <t>Transformación</t>
  </si>
  <si>
    <t>Transportista Independiente TIBA S.A.</t>
  </si>
  <si>
    <t>Transportista Independiente ENECOR S.A.</t>
  </si>
  <si>
    <t>Salidas</t>
  </si>
  <si>
    <t>3.-</t>
  </si>
  <si>
    <t>POTENCIA REACTIVA</t>
  </si>
  <si>
    <t>4.-</t>
  </si>
  <si>
    <t>SUPERVISIÓN</t>
  </si>
  <si>
    <t>5.-</t>
  </si>
  <si>
    <t>D.A.G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</si>
  <si>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</si>
  <si>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</si>
  <si>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</si>
  <si>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</si>
  <si>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</si>
  <si>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</si>
  <si>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</si>
  <si>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</si>
  <si>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</si>
  <si>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</si>
  <si>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</si>
  <si>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</si>
  <si>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</si>
  <si>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</si>
  <si>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</si>
  <si>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</si>
  <si>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</si>
  <si>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</si>
  <si>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</si>
  <si>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</si>
  <si>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</si>
  <si>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</si>
  <si>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</si>
  <si>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</si>
  <si>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</si>
  <si>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</si>
  <si>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</si>
  <si>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</si>
  <si>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</si>
  <si>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PENALIZACION FORZADA
Por Salida      1ras 5 hs.     hs. Restantes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</si>
  <si>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</si>
  <si>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</si>
  <si>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</si>
  <si>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</si>
  <si>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</si>
  <si>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</si>
  <si>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</si>
  <si>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</si>
  <si>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</si>
  <si>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</si>
  <si>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</si>
  <si>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</si>
  <si>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</si>
  <si>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</si>
  <si>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</si>
  <si>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</si>
  <si>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</si>
  <si>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</si>
  <si>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</si>
  <si>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</si>
  <si>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 xml:space="preserve"> 2.2.2.- Transportista Independiente TIBA S.A.</t>
  </si>
  <si>
    <t>-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</si>
  <si>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</si>
  <si>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</si>
  <si>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</si>
  <si>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</si>
  <si>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</si>
  <si>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</si>
  <si>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PENALIZACIÓN FORZADA
Por Salida     hs. Restantes</t>
  </si>
  <si>
    <t>SI</t>
  </si>
  <si>
    <t>K2RS</t>
  </si>
  <si>
    <t>3.2.-  Transportista Independiente YACYLEC S.A.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</si>
  <si>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</si>
  <si>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</si>
  <si>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</si>
  <si>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</si>
  <si>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</si>
  <si>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</si>
  <si>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</si>
  <si>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</si>
  <si>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</si>
  <si>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</si>
  <si>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</si>
  <si>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</si>
  <si>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</si>
  <si>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</si>
  <si>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</si>
  <si>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</si>
  <si>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</si>
  <si>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</si>
  <si>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</si>
  <si>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</si>
  <si>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</si>
  <si>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</si>
  <si>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</si>
  <si>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</si>
  <si>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</si>
  <si>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</si>
  <si>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</si>
  <si>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</si>
  <si>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</si>
  <si>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Tipo 
Sal.</t>
  </si>
  <si>
    <t>Rest %</t>
  </si>
  <si>
    <t>K (P;ENS)</t>
  </si>
  <si>
    <t>PENALIZAC. FORZADA
Por Salida    hs. Restantes</t>
  </si>
  <si>
    <t>REDUC PROGR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</si>
  <si>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</si>
  <si>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</si>
  <si>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</si>
  <si>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</si>
  <si>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</si>
  <si>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</si>
  <si>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</si>
  <si>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</si>
  <si>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</si>
  <si>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</t>
  </si>
  <si>
    <t>SANCIÓN =</t>
  </si>
  <si>
    <t>TRANSFORMADOR</t>
  </si>
  <si>
    <t>POT. [MVA]</t>
  </si>
  <si>
    <t>E.T.</t>
  </si>
  <si>
    <t>500/132/33</t>
  </si>
  <si>
    <t>4.5.- Transportista Independiente  TIBA S.A.</t>
  </si>
  <si>
    <t>Remuneración T.I.B.A. =</t>
  </si>
  <si>
    <t xml:space="preserve">Salida en 500 kV en $/h </t>
  </si>
  <si>
    <t xml:space="preserve">Cargo por Transformador por MVA =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</si>
  <si>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</si>
  <si>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</si>
  <si>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</si>
  <si>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</si>
  <si>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</si>
  <si>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</si>
  <si>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</si>
  <si>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</si>
  <si>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</si>
  <si>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</si>
  <si>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 =</t>
  </si>
  <si>
    <t>TOTAL A PENALIZAR A TRANSENER S.A POR SUPERVISIÓN A TIBA</t>
  </si>
  <si>
    <t>4.6.- Transportista Independiente  ENECOR S.A.</t>
  </si>
  <si>
    <t>Factor X =</t>
  </si>
  <si>
    <t>Paso de la Patria Trafo 1</t>
  </si>
  <si>
    <t>Paso de la Patria</t>
  </si>
  <si>
    <t>TOTAL A PENALIZAR A TRANSENER S.A POR SUPERVISIÓN A ENECOR S.A.</t>
  </si>
  <si>
    <t>500/132/13,2</t>
  </si>
  <si>
    <t>5.- DESCONEXIÓN AUTOMÁTICA DE GENERACIÓN (DAG)</t>
  </si>
  <si>
    <t>5.1.-  Equipamiento Propio</t>
  </si>
  <si>
    <t>Remuneración mensual (ENRE 121/01)</t>
  </si>
  <si>
    <t>OBS.</t>
  </si>
  <si>
    <t>indisp &gt; 24hs (K=2 o K=1)</t>
  </si>
  <si>
    <t>PENALIZACIÓN FORZADA Computable       NO Computable</t>
  </si>
  <si>
    <t>FORZADA INDISPONIBLE</t>
  </si>
  <si>
    <t>PROGRAMADA</t>
  </si>
  <si>
    <t>5.2.- Sanción Adicional por Cantidad Actuaciones Incorrectas</t>
  </si>
  <si>
    <t xml:space="preserve">Remuneración Anual </t>
  </si>
  <si>
    <t>NUMERO DE ACTUACIONES INCORRECTAS EN EL TRANSCURSO DEL AÑO MOVIL [N° actuaciones incorrectas/año]:</t>
  </si>
  <si>
    <t>Sanción Adicional por Actuaciones Incorrectas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</si>
  <si>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</si>
  <si>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</si>
  <si>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</si>
  <si>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</si>
  <si>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</si>
  <si>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</si>
  <si>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</si>
  <si>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</si>
  <si>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</si>
  <si>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</si>
  <si>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</si>
  <si>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</si>
  <si>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</si>
  <si>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</si>
  <si>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Desde el 01 al 31 de enero de 2015</t>
  </si>
  <si>
    <t>COLONIA ELIA - CAMPANA</t>
  </si>
  <si>
    <t>C</t>
  </si>
  <si>
    <t>F</t>
  </si>
  <si>
    <t>ROSARIO OESTE - RAMALLO 1</t>
  </si>
  <si>
    <t>P</t>
  </si>
  <si>
    <t>VILLA LIA - ATUCHA 1</t>
  </si>
  <si>
    <t>ROSARIO OESTE - RAMALLO 2</t>
  </si>
  <si>
    <t>EZEIZA - HENDERSON 1</t>
  </si>
  <si>
    <t>A</t>
  </si>
  <si>
    <t>EL BRACHO - RECREO</t>
  </si>
  <si>
    <t>B</t>
  </si>
  <si>
    <t>ROMANG - RESISTENCIA</t>
  </si>
  <si>
    <t>RINCON - MERCEDES</t>
  </si>
  <si>
    <t>ROSARIO OESTE</t>
  </si>
  <si>
    <t>TRAFO 5</t>
  </si>
  <si>
    <t>T6RO</t>
  </si>
  <si>
    <t>CHOCON OESTE</t>
  </si>
  <si>
    <t>TRAFO 8</t>
  </si>
  <si>
    <t>ALMAFUERTE</t>
  </si>
  <si>
    <t>TRAFO 2</t>
  </si>
  <si>
    <t>ROMANG</t>
  </si>
  <si>
    <t>TRAFO</t>
  </si>
  <si>
    <t>P. DE LA PATRIA</t>
  </si>
  <si>
    <t>TRPP</t>
  </si>
  <si>
    <t>RIO GRANDE</t>
  </si>
  <si>
    <t>SALIDA TRAFO MAQ. 1 Y 2</t>
  </si>
  <si>
    <t>SALIDA LINEA A AGUA DEL CAJON</t>
  </si>
  <si>
    <t>SALIDA LINEA CHOCON</t>
  </si>
  <si>
    <t>RESISTENCIA</t>
  </si>
  <si>
    <t>SALIDA LINEA A BARRANQUERAS 2</t>
  </si>
  <si>
    <t>SALIDA LINEA CASILDA 1</t>
  </si>
  <si>
    <t>RECREO</t>
  </si>
  <si>
    <t>ALIMENTADOR A CATAMARCA</t>
  </si>
  <si>
    <t>LUJAN</t>
  </si>
  <si>
    <t>SALIDA SAN LUIS I</t>
  </si>
  <si>
    <t>SALIDA LINEA A RECONQUISTA</t>
  </si>
  <si>
    <t xml:space="preserve">BAHIA BLANCA </t>
  </si>
  <si>
    <t>SALIDA A COOP. P. ALTA</t>
  </si>
  <si>
    <t>OLAVARRIA</t>
  </si>
  <si>
    <t>SALIDA A OLAVARRIA</t>
  </si>
  <si>
    <t xml:space="preserve">CAMPANA </t>
  </si>
  <si>
    <t>SALIDA PRAXAIR</t>
  </si>
  <si>
    <t>SALIDA A SIDERCA 0</t>
  </si>
  <si>
    <t>BAHIA BLANCA</t>
  </si>
  <si>
    <t>SALIDA A PRINGLES</t>
  </si>
  <si>
    <t>SALIDA a Norte II</t>
  </si>
  <si>
    <t>0,000</t>
  </si>
  <si>
    <t xml:space="preserve">EZEIZA </t>
  </si>
  <si>
    <t>CS5</t>
  </si>
  <si>
    <t>CS1</t>
  </si>
  <si>
    <t>GRAL. RODRIGUEZ</t>
  </si>
  <si>
    <t>R3L5RD</t>
  </si>
  <si>
    <t xml:space="preserve">ALMAFUERTE </t>
  </si>
  <si>
    <t>OR18RL</t>
  </si>
  <si>
    <t>ALMAFUERTE  ARROYO CABRAL 500 1</t>
  </si>
  <si>
    <t>CHOCON - PUELCHES 1</t>
  </si>
  <si>
    <t>COLONIA ELIA - M.BELGRANO</t>
  </si>
  <si>
    <t>1.2.- Transportista Independiente INTESAR S.A. 2</t>
  </si>
  <si>
    <t>1.3.- Transportista Independiente LIMSA</t>
  </si>
  <si>
    <t xml:space="preserve">COBOS           </t>
  </si>
  <si>
    <t>500/345/34.5</t>
  </si>
  <si>
    <t>T1CB</t>
  </si>
  <si>
    <t>2.1.2.- Transportista Independiente ENECOR S.A.</t>
  </si>
  <si>
    <t>2.1.3.- Transportista Independiente INTESAR S.A. 4</t>
  </si>
  <si>
    <t xml:space="preserve">ARRO. CABRAL </t>
  </si>
  <si>
    <t>SALIDA A GRAL DEHEZA</t>
  </si>
  <si>
    <t>R2L5RO</t>
  </si>
  <si>
    <t>R1L5AM</t>
  </si>
  <si>
    <t>RINCON P.PATRIA</t>
  </si>
  <si>
    <t xml:space="preserve"> R9L5RI</t>
  </si>
  <si>
    <t>PASO DE LA PATRIA</t>
  </si>
  <si>
    <t>K2PT</t>
  </si>
  <si>
    <t>3.3.- Transportista Independiente ENECOR S.A.</t>
  </si>
  <si>
    <t>(DTE 0115)</t>
  </si>
  <si>
    <t>Remuneración YACYLEC                      =</t>
  </si>
  <si>
    <t>REACTORES</t>
  </si>
  <si>
    <t>Paso de la Patria (2)</t>
  </si>
  <si>
    <t>POT</t>
  </si>
  <si>
    <t>Remuneración ENECOR =</t>
  </si>
  <si>
    <r>
      <t>RM</t>
    </r>
    <r>
      <rPr>
        <sz val="12"/>
        <rFont val="Times New Roman"/>
        <family val="1"/>
      </rPr>
      <t xml:space="preserve"> por Reactivo</t>
    </r>
  </si>
  <si>
    <t>P
[kV]</t>
  </si>
  <si>
    <t>Paso de la Patria (2) +Rincon+Resistencia</t>
  </si>
  <si>
    <t>DAG/DAD NEA</t>
  </si>
  <si>
    <t>TOTAL DE PENALIZACIONES A APLICAR</t>
  </si>
  <si>
    <t>Valores remuneratorios según Convenio de Renovación - Nota ENRE N° 116149</t>
  </si>
  <si>
    <t xml:space="preserve"> --</t>
  </si>
  <si>
    <t>F - FORZADA</t>
  </si>
  <si>
    <t>1.1.1.- Incendio de Campos</t>
  </si>
  <si>
    <t xml:space="preserve">        DE LA ELECTRICIDAD</t>
  </si>
  <si>
    <t>1.1.2 - Indisponibilidades causadas por condiciones climáticas extremas. Resolución ENRE 313/01</t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</si>
  <si>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</si>
  <si>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</si>
  <si>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</si>
  <si>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</si>
  <si>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</si>
  <si>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</si>
  <si>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PC en Tst</t>
  </si>
  <si>
    <t>Informó
en Térm.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</si>
  <si>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</si>
  <si>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</si>
  <si>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</si>
  <si>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</si>
  <si>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</si>
  <si>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</si>
  <si>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</si>
  <si>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</si>
  <si>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</si>
  <si>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</si>
  <si>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</si>
  <si>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</si>
  <si>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TOTAL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</si>
  <si>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</si>
  <si>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</si>
  <si>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</si>
  <si>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</si>
  <si>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</si>
  <si>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</si>
  <si>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</si>
  <si>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</si>
  <si>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Tf:</t>
  </si>
  <si>
    <t>tiempo de duración de retrasos</t>
  </si>
  <si>
    <t>1.1.2.- Condición Climática</t>
  </si>
  <si>
    <t>RM: Por Capacitores ET  B. Blanca:</t>
  </si>
  <si>
    <t>100 MVAr</t>
  </si>
  <si>
    <t xml:space="preserve">3.- POTENCIA REACTIVA </t>
  </si>
  <si>
    <t>REM ($/h*MVAr)</t>
  </si>
  <si>
    <t xml:space="preserve"> F - FORZADA</t>
  </si>
  <si>
    <t>NO</t>
  </si>
  <si>
    <t>3.1.1.- Reactivo Resolución SE 1_03</t>
  </si>
  <si>
    <t>3.2.- Equipamiento Propio  Res. SE 01_03</t>
  </si>
  <si>
    <t xml:space="preserve"> - 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</si>
  <si>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</si>
  <si>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</si>
  <si>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</si>
  <si>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</si>
  <si>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</si>
  <si>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</si>
  <si>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</si>
  <si>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100Km</t>
  </si>
  <si>
    <t>Correspondiente al mes de Enero de 2015</t>
  </si>
  <si>
    <t xml:space="preserve">  ENTE NACIONAL REGULADOR </t>
  </si>
  <si>
    <t>Remuneración LIMSA                      =</t>
  </si>
  <si>
    <t>Remuneración LÍNEAS 220 kV              =</t>
  </si>
  <si>
    <t>Remuneración SALIDA 132 kV             =</t>
  </si>
  <si>
    <t>$/hora</t>
  </si>
  <si>
    <t>Mercedes - Colonia Elía</t>
  </si>
  <si>
    <t>Rincon - Mercedes</t>
  </si>
  <si>
    <t>Mercedes</t>
  </si>
  <si>
    <t>SALIDA</t>
  </si>
  <si>
    <t>DPEC 1</t>
  </si>
  <si>
    <t>DPEC 2</t>
  </si>
  <si>
    <t>REACTOR ET</t>
  </si>
  <si>
    <t>CODIGO</t>
  </si>
  <si>
    <t>RM</t>
  </si>
  <si>
    <t>Rincon</t>
  </si>
  <si>
    <t>R5L5RI</t>
  </si>
  <si>
    <t>R2L5MD</t>
  </si>
  <si>
    <t>R1L5MD</t>
  </si>
  <si>
    <t>R1B5MD</t>
  </si>
  <si>
    <t>TOTAL A PENALIZAR A TRANSENER S.A POR SUPERVISIÓN A LIMSA</t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</si>
  <si>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</si>
  <si>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RM</t>
    </r>
    <r>
      <rPr>
        <sz val="12"/>
        <rFont val="Times New Roman"/>
        <family val="1"/>
      </rPr>
      <t xml:space="preserve"> por Conexión</t>
    </r>
  </si>
  <si>
    <t>4.4.- Transportista Independiente LIMSA</t>
  </si>
  <si>
    <t>Transportista Independiente LIMSA</t>
  </si>
  <si>
    <t>P - PROGRAMADA  ; F - FORZADA</t>
  </si>
  <si>
    <t>R4L5RL</t>
  </si>
  <si>
    <t>ROMANG RESIST.</t>
  </si>
  <si>
    <t>ANEXO II al Memorándum D.T.E.E. N°  90 /2016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</si>
</sst>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[$-2C0A]hh:mm:ss\ \a\.m\./\p\.m\."/>
    <numFmt numFmtId="227" formatCode="0.00000"/>
  </numFmts>
  <fonts count="1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2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13"/>
      <name val="Times New Roman"/>
      <family val="1"/>
    </font>
    <font>
      <b/>
      <sz val="10"/>
      <name val="MS Sans Serif"/>
      <family val="2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2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1"/>
    </font>
    <font>
      <b/>
      <sz val="10"/>
      <color indexed="48"/>
      <name val="Times New Roman"/>
      <family val="1"/>
    </font>
    <font>
      <sz val="12"/>
      <color indexed="8"/>
      <name val="Times New Roman"/>
      <family val="1"/>
    </font>
    <font>
      <sz val="12"/>
      <name val="MS Sans Serif"/>
      <family val="2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2"/>
    </font>
    <font>
      <b/>
      <sz val="14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7"/>
      <name val="MS Sans Serif"/>
      <family val="2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Calibri"/>
      <family val="2"/>
    </font>
    <font>
      <b/>
      <sz val="7"/>
      <name val="Times New Roman"/>
      <family val="1"/>
    </font>
    <font>
      <sz val="8"/>
      <name val="Arial"/>
      <family val="2"/>
    </font>
    <font>
      <sz val="11"/>
      <color indexed="57"/>
      <name val="Times New Roman"/>
      <family val="1"/>
    </font>
    <font>
      <sz val="9"/>
      <name val="Courier New"/>
      <family val="3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lightGray"/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ck"/>
      <right style="thick"/>
      <top style="thick"/>
      <bottom style="thick"/>
    </border>
    <border>
      <left style="double"/>
      <right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1" fillId="19" borderId="0" applyNumberFormat="0" applyBorder="0" applyAlignment="0" applyProtection="0"/>
    <xf numFmtId="0" fontId="142" fillId="20" borderId="1" applyNumberFormat="0" applyAlignment="0" applyProtection="0"/>
    <xf numFmtId="0" fontId="143" fillId="21" borderId="2" applyNumberFormat="0" applyAlignment="0" applyProtection="0"/>
    <xf numFmtId="0" fontId="144" fillId="0" borderId="3" applyNumberFormat="0" applyFill="0" applyAlignment="0" applyProtection="0"/>
    <xf numFmtId="0" fontId="111" fillId="0" borderId="4" applyNumberFormat="0" applyFill="0" applyAlignment="0" applyProtection="0"/>
    <xf numFmtId="0" fontId="145" fillId="0" borderId="0" applyNumberFormat="0" applyFill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0" fillId="26" borderId="0" applyNumberFormat="0" applyBorder="0" applyAlignment="0" applyProtection="0"/>
    <xf numFmtId="0" fontId="140" fillId="27" borderId="0" applyNumberFormat="0" applyBorder="0" applyAlignment="0" applyProtection="0"/>
    <xf numFmtId="0" fontId="1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149" fillId="20" borderId="6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7" applyNumberFormat="0" applyFill="0" applyAlignment="0" applyProtection="0"/>
    <xf numFmtId="0" fontId="154" fillId="0" borderId="8" applyNumberFormat="0" applyFill="0" applyAlignment="0" applyProtection="0"/>
    <xf numFmtId="0" fontId="145" fillId="0" borderId="9" applyNumberFormat="0" applyFill="0" applyAlignment="0" applyProtection="0"/>
    <xf numFmtId="0" fontId="155" fillId="0" borderId="10" applyNumberFormat="0" applyFill="0" applyAlignment="0" applyProtection="0"/>
  </cellStyleXfs>
  <cellXfs count="2170">
    <xf numFmtId="0" fontId="0" fillId="0" borderId="0" xfId="0" applyAlignment="1">
      <alignment/>
    </xf>
    <xf numFmtId="0" fontId="8" fillId="0" borderId="0" xfId="67" applyFont="1" quotePrefix="1">
      <alignment/>
      <protection/>
    </xf>
    <xf numFmtId="0" fontId="9" fillId="0" borderId="0" xfId="67" applyFont="1" applyAlignment="1">
      <alignment horizontal="centerContinuous"/>
      <protection/>
    </xf>
    <xf numFmtId="0" fontId="8" fillId="0" borderId="0" xfId="67" applyFont="1">
      <alignment/>
      <protection/>
    </xf>
    <xf numFmtId="0" fontId="10" fillId="0" borderId="0" xfId="67" applyFont="1" applyBorder="1">
      <alignment/>
      <protection/>
    </xf>
    <xf numFmtId="0" fontId="11" fillId="0" borderId="0" xfId="67" applyFont="1" applyAlignment="1">
      <alignment horizontal="right" vertical="top"/>
      <protection/>
    </xf>
    <xf numFmtId="0" fontId="12" fillId="0" borderId="0" xfId="67" applyFont="1" applyAlignment="1">
      <alignment horizontal="centerContinuous"/>
      <protection/>
    </xf>
    <xf numFmtId="0" fontId="8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3" fillId="0" borderId="0" xfId="67">
      <alignment/>
      <protection/>
    </xf>
    <xf numFmtId="0" fontId="13" fillId="0" borderId="0" xfId="67" applyFont="1" applyAlignment="1">
      <alignment horizontal="centerContinuous"/>
      <protection/>
    </xf>
    <xf numFmtId="0" fontId="13" fillId="0" borderId="0" xfId="67" applyFont="1" applyBorder="1">
      <alignment/>
      <protection/>
    </xf>
    <xf numFmtId="0" fontId="6" fillId="0" borderId="0" xfId="67" applyFont="1" applyFill="1" applyBorder="1" applyAlignment="1" applyProtection="1">
      <alignment horizontal="centerContinuous"/>
      <protection/>
    </xf>
    <xf numFmtId="0" fontId="14" fillId="0" borderId="0" xfId="67" applyNumberFormat="1" applyFont="1" applyAlignment="1">
      <alignment horizontal="left"/>
      <protection/>
    </xf>
    <xf numFmtId="0" fontId="14" fillId="0" borderId="0" xfId="67" applyFont="1">
      <alignment/>
      <protection/>
    </xf>
    <xf numFmtId="0" fontId="14" fillId="0" borderId="0" xfId="67" applyFont="1" applyBorder="1">
      <alignment/>
      <protection/>
    </xf>
    <xf numFmtId="0" fontId="15" fillId="0" borderId="0" xfId="67" applyFont="1" applyFill="1" applyBorder="1" applyAlignment="1" applyProtection="1">
      <alignment horizontal="left"/>
      <protection/>
    </xf>
    <xf numFmtId="0" fontId="8" fillId="0" borderId="0" xfId="67" applyFont="1" applyBorder="1">
      <alignment/>
      <protection/>
    </xf>
    <xf numFmtId="0" fontId="16" fillId="0" borderId="0" xfId="67" applyFont="1">
      <alignment/>
      <protection/>
    </xf>
    <xf numFmtId="0" fontId="17" fillId="0" borderId="0" xfId="67" applyFont="1" applyBorder="1" applyAlignment="1">
      <alignment horizontal="centerContinuous"/>
      <protection/>
    </xf>
    <xf numFmtId="0" fontId="18" fillId="0" borderId="0" xfId="67" applyFont="1" applyAlignment="1">
      <alignment horizontal="centerContinuous"/>
      <protection/>
    </xf>
    <xf numFmtId="0" fontId="16" fillId="0" borderId="0" xfId="67" applyFont="1" applyAlignment="1">
      <alignment horizontal="centerContinuous"/>
      <protection/>
    </xf>
    <xf numFmtId="0" fontId="16" fillId="0" borderId="0" xfId="67" applyFont="1" applyBorder="1" applyAlignment="1">
      <alignment horizontal="centerContinuous"/>
      <protection/>
    </xf>
    <xf numFmtId="0" fontId="16" fillId="0" borderId="0" xfId="67" applyFont="1" applyBorder="1">
      <alignment/>
      <protection/>
    </xf>
    <xf numFmtId="0" fontId="19" fillId="0" borderId="0" xfId="67" applyFont="1">
      <alignment/>
      <protection/>
    </xf>
    <xf numFmtId="0" fontId="3" fillId="0" borderId="0" xfId="67" applyAlignment="1">
      <alignment horizontal="centerContinuous"/>
      <protection/>
    </xf>
    <xf numFmtId="0" fontId="20" fillId="0" borderId="0" xfId="67" applyFont="1" applyAlignment="1">
      <alignment horizontal="centerContinuous"/>
      <protection/>
    </xf>
    <xf numFmtId="0" fontId="21" fillId="0" borderId="0" xfId="67" applyFont="1">
      <alignment/>
      <protection/>
    </xf>
    <xf numFmtId="0" fontId="22" fillId="0" borderId="0" xfId="67" applyFont="1" applyBorder="1">
      <alignment/>
      <protection/>
    </xf>
    <xf numFmtId="0" fontId="21" fillId="0" borderId="0" xfId="67" applyFont="1" applyBorder="1">
      <alignment/>
      <protection/>
    </xf>
    <xf numFmtId="0" fontId="21" fillId="0" borderId="11" xfId="67" applyFont="1" applyBorder="1">
      <alignment/>
      <protection/>
    </xf>
    <xf numFmtId="0" fontId="21" fillId="0" borderId="12" xfId="67" applyFont="1" applyBorder="1">
      <alignment/>
      <protection/>
    </xf>
    <xf numFmtId="182" fontId="21" fillId="0" borderId="12" xfId="67" applyNumberFormat="1" applyFont="1" applyBorder="1">
      <alignment/>
      <protection/>
    </xf>
    <xf numFmtId="0" fontId="21" fillId="0" borderId="13" xfId="67" applyFont="1" applyBorder="1">
      <alignment/>
      <protection/>
    </xf>
    <xf numFmtId="0" fontId="23" fillId="0" borderId="0" xfId="67" applyFont="1">
      <alignment/>
      <protection/>
    </xf>
    <xf numFmtId="0" fontId="24" fillId="0" borderId="14" xfId="67" applyFont="1" applyBorder="1" applyAlignment="1">
      <alignment horizontal="centerContinuous"/>
      <protection/>
    </xf>
    <xf numFmtId="0" fontId="3" fillId="0" borderId="0" xfId="67" applyNumberFormat="1" applyAlignment="1">
      <alignment horizontal="centerContinuous"/>
      <protection/>
    </xf>
    <xf numFmtId="0" fontId="23" fillId="0" borderId="0" xfId="67" applyNumberFormat="1" applyFont="1" applyAlignment="1">
      <alignment horizontal="centerContinuous"/>
      <protection/>
    </xf>
    <xf numFmtId="182" fontId="24" fillId="0" borderId="0" xfId="67" applyNumberFormat="1" applyFont="1" applyBorder="1" applyAlignment="1">
      <alignment horizontal="centerContinuous"/>
      <protection/>
    </xf>
    <xf numFmtId="0" fontId="24" fillId="0" borderId="0" xfId="67" applyFont="1" applyBorder="1" applyAlignment="1">
      <alignment horizontal="centerContinuous"/>
      <protection/>
    </xf>
    <xf numFmtId="0" fontId="23" fillId="0" borderId="0" xfId="67" applyFont="1" applyBorder="1" applyAlignment="1">
      <alignment horizontal="centerContinuous"/>
      <protection/>
    </xf>
    <xf numFmtId="0" fontId="23" fillId="0" borderId="15" xfId="67" applyFont="1" applyBorder="1" applyAlignment="1">
      <alignment horizontal="centerContinuous"/>
      <protection/>
    </xf>
    <xf numFmtId="0" fontId="23" fillId="0" borderId="0" xfId="67" applyFont="1" applyBorder="1">
      <alignment/>
      <protection/>
    </xf>
    <xf numFmtId="0" fontId="23" fillId="0" borderId="14" xfId="67" applyFont="1" applyBorder="1">
      <alignment/>
      <protection/>
    </xf>
    <xf numFmtId="0" fontId="10" fillId="0" borderId="0" xfId="67" applyNumberFormat="1" applyFont="1" applyBorder="1" applyAlignment="1">
      <alignment horizontal="right"/>
      <protection/>
    </xf>
    <xf numFmtId="181" fontId="10" fillId="0" borderId="0" xfId="67" applyNumberFormat="1" applyFont="1" applyBorder="1" applyAlignment="1">
      <alignment horizontal="right"/>
      <protection/>
    </xf>
    <xf numFmtId="182" fontId="23" fillId="0" borderId="0" xfId="67" applyNumberFormat="1" applyFont="1" applyBorder="1">
      <alignment/>
      <protection/>
    </xf>
    <xf numFmtId="0" fontId="24" fillId="0" borderId="0" xfId="67" applyFont="1" applyBorder="1">
      <alignment/>
      <protection/>
    </xf>
    <xf numFmtId="0" fontId="23" fillId="0" borderId="15" xfId="67" applyFont="1" applyBorder="1">
      <alignment/>
      <protection/>
    </xf>
    <xf numFmtId="0" fontId="10" fillId="0" borderId="0" xfId="67" applyNumberFormat="1" applyFont="1" applyBorder="1" applyAlignment="1">
      <alignment horizontal="right"/>
      <protection/>
    </xf>
    <xf numFmtId="7" fontId="10" fillId="0" borderId="0" xfId="67" applyNumberFormat="1" applyFont="1" applyBorder="1" applyAlignment="1">
      <alignment horizontal="right"/>
      <protection/>
    </xf>
    <xf numFmtId="182" fontId="10" fillId="0" borderId="0" xfId="67" applyNumberFormat="1" applyFont="1" applyBorder="1">
      <alignment/>
      <protection/>
    </xf>
    <xf numFmtId="182" fontId="10" fillId="0" borderId="0" xfId="67" applyNumberFormat="1" applyFont="1" applyBorder="1">
      <alignment/>
      <protection/>
    </xf>
    <xf numFmtId="0" fontId="24" fillId="0" borderId="0" xfId="67" applyFont="1" applyBorder="1">
      <alignment/>
      <protection/>
    </xf>
    <xf numFmtId="7" fontId="10" fillId="0" borderId="0" xfId="67" applyNumberFormat="1" applyFont="1" applyBorder="1" applyAlignment="1">
      <alignment horizontal="right"/>
      <protection/>
    </xf>
    <xf numFmtId="0" fontId="13" fillId="0" borderId="14" xfId="67" applyFont="1" applyBorder="1">
      <alignment/>
      <protection/>
    </xf>
    <xf numFmtId="0" fontId="5" fillId="0" borderId="0" xfId="67" applyNumberFormat="1" applyFont="1" applyBorder="1" applyAlignment="1">
      <alignment horizontal="right"/>
      <protection/>
    </xf>
    <xf numFmtId="182" fontId="13" fillId="0" borderId="0" xfId="67" applyNumberFormat="1" applyFont="1" applyBorder="1">
      <alignment/>
      <protection/>
    </xf>
    <xf numFmtId="0" fontId="25" fillId="0" borderId="0" xfId="67" applyFont="1" applyBorder="1">
      <alignment/>
      <protection/>
    </xf>
    <xf numFmtId="7" fontId="5" fillId="0" borderId="0" xfId="67" applyNumberFormat="1" applyFont="1" applyBorder="1" applyAlignment="1">
      <alignment horizontal="right"/>
      <protection/>
    </xf>
    <xf numFmtId="0" fontId="13" fillId="0" borderId="15" xfId="67" applyFont="1" applyBorder="1">
      <alignment/>
      <protection/>
    </xf>
    <xf numFmtId="181" fontId="10" fillId="0" borderId="0" xfId="67" applyNumberFormat="1" applyFont="1" applyBorder="1" applyAlignment="1">
      <alignment horizontal="left"/>
      <protection/>
    </xf>
    <xf numFmtId="182" fontId="23" fillId="0" borderId="0" xfId="67" applyNumberFormat="1" applyFont="1" applyBorder="1">
      <alignment/>
      <protection/>
    </xf>
    <xf numFmtId="182" fontId="10" fillId="0" borderId="0" xfId="67" applyNumberFormat="1" applyFont="1" applyBorder="1" applyAlignment="1">
      <alignment horizontal="right"/>
      <protection/>
    </xf>
    <xf numFmtId="0" fontId="10" fillId="0" borderId="0" xfId="67" applyFont="1" applyBorder="1">
      <alignment/>
      <protection/>
    </xf>
    <xf numFmtId="182" fontId="10" fillId="0" borderId="0" xfId="67" applyNumberFormat="1" applyFont="1" applyBorder="1" applyAlignment="1">
      <alignment horizontal="right"/>
      <protection/>
    </xf>
    <xf numFmtId="182" fontId="13" fillId="0" borderId="0" xfId="67" applyNumberFormat="1" applyFont="1" applyBorder="1">
      <alignment/>
      <protection/>
    </xf>
    <xf numFmtId="0" fontId="25" fillId="0" borderId="0" xfId="67" applyFont="1" applyBorder="1">
      <alignment/>
      <protection/>
    </xf>
    <xf numFmtId="7" fontId="5" fillId="0" borderId="0" xfId="67" applyNumberFormat="1" applyFont="1" applyBorder="1" applyAlignment="1">
      <alignment horizontal="right"/>
      <protection/>
    </xf>
    <xf numFmtId="0" fontId="26" fillId="0" borderId="0" xfId="67" applyFont="1" applyBorder="1">
      <alignment/>
      <protection/>
    </xf>
    <xf numFmtId="0" fontId="10" fillId="0" borderId="16" xfId="67" applyFont="1" applyBorder="1" applyAlignment="1">
      <alignment horizontal="center"/>
      <protection/>
    </xf>
    <xf numFmtId="7" fontId="10" fillId="0" borderId="17" xfId="67" applyNumberFormat="1" applyFont="1" applyBorder="1" applyAlignment="1">
      <alignment horizontal="center"/>
      <protection/>
    </xf>
    <xf numFmtId="7" fontId="10" fillId="0" borderId="0" xfId="67" applyNumberFormat="1" applyFont="1" applyBorder="1" applyAlignment="1">
      <alignment horizontal="center"/>
      <protection/>
    </xf>
    <xf numFmtId="0" fontId="10" fillId="0" borderId="0" xfId="67" applyFont="1" applyBorder="1" applyAlignment="1">
      <alignment horizontal="center"/>
      <protection/>
    </xf>
    <xf numFmtId="0" fontId="27" fillId="0" borderId="0" xfId="67" applyNumberFormat="1" applyFont="1" applyBorder="1" applyAlignment="1">
      <alignment horizontal="left"/>
      <protection/>
    </xf>
    <xf numFmtId="0" fontId="28" fillId="0" borderId="0" xfId="67" applyFont="1">
      <alignment/>
      <protection/>
    </xf>
    <xf numFmtId="0" fontId="21" fillId="0" borderId="18" xfId="67" applyFont="1" applyBorder="1">
      <alignment/>
      <protection/>
    </xf>
    <xf numFmtId="0" fontId="21" fillId="0" borderId="19" xfId="67" applyNumberFormat="1" applyFont="1" applyBorder="1">
      <alignment/>
      <protection/>
    </xf>
    <xf numFmtId="0" fontId="21" fillId="0" borderId="19" xfId="67" applyFont="1" applyBorder="1">
      <alignment/>
      <protection/>
    </xf>
    <xf numFmtId="0" fontId="21" fillId="0" borderId="20" xfId="67" applyFont="1" applyBorder="1">
      <alignment/>
      <protection/>
    </xf>
    <xf numFmtId="0" fontId="21" fillId="0" borderId="0" xfId="67" applyFont="1" applyFill="1" applyBorder="1">
      <alignment/>
      <protection/>
    </xf>
    <xf numFmtId="4" fontId="21" fillId="0" borderId="0" xfId="67" applyNumberFormat="1" applyFont="1" applyFill="1" applyBorder="1">
      <alignment/>
      <protection/>
    </xf>
    <xf numFmtId="7" fontId="21" fillId="0" borderId="0" xfId="67" applyNumberFormat="1" applyFont="1" applyBorder="1">
      <alignment/>
      <protection/>
    </xf>
    <xf numFmtId="168" fontId="21" fillId="0" borderId="0" xfId="67" applyNumberFormat="1" applyFont="1" applyBorder="1" applyAlignment="1">
      <alignment horizontal="center"/>
      <protection/>
    </xf>
    <xf numFmtId="0" fontId="13" fillId="0" borderId="0" xfId="67" applyFont="1" applyFill="1" applyBorder="1">
      <alignment/>
      <protection/>
    </xf>
    <xf numFmtId="4" fontId="13" fillId="0" borderId="0" xfId="67" applyNumberFormat="1" applyFont="1" applyFill="1" applyBorder="1">
      <alignment/>
      <protection/>
    </xf>
    <xf numFmtId="0" fontId="13" fillId="0" borderId="0" xfId="67" applyFont="1" applyBorder="1" applyAlignment="1">
      <alignment horizontal="center"/>
      <protection/>
    </xf>
    <xf numFmtId="4" fontId="13" fillId="0" borderId="0" xfId="67" applyNumberFormat="1" applyFont="1" applyBorder="1">
      <alignment/>
      <protection/>
    </xf>
    <xf numFmtId="4" fontId="5" fillId="0" borderId="0" xfId="67" applyNumberFormat="1" applyFont="1" applyBorder="1" applyAlignment="1">
      <alignment horizontal="center"/>
      <protection/>
    </xf>
    <xf numFmtId="0" fontId="8" fillId="0" borderId="0" xfId="67" applyFont="1" applyFill="1">
      <alignment/>
      <protection/>
    </xf>
    <xf numFmtId="0" fontId="13" fillId="0" borderId="0" xfId="67" applyFont="1" applyFill="1">
      <alignment/>
      <protection/>
    </xf>
    <xf numFmtId="0" fontId="14" fillId="0" borderId="0" xfId="67" applyFont="1" applyAlignment="1">
      <alignment horizontal="centerContinuous"/>
      <protection/>
    </xf>
    <xf numFmtId="0" fontId="13" fillId="0" borderId="11" xfId="67" applyFont="1" applyBorder="1">
      <alignment/>
      <protection/>
    </xf>
    <xf numFmtId="0" fontId="13" fillId="0" borderId="12" xfId="67" applyFont="1" applyBorder="1">
      <alignment/>
      <protection/>
    </xf>
    <xf numFmtId="0" fontId="13" fillId="0" borderId="12" xfId="67" applyFont="1" applyBorder="1" applyAlignment="1" applyProtection="1">
      <alignment horizontal="left"/>
      <protection/>
    </xf>
    <xf numFmtId="0" fontId="13" fillId="0" borderId="13" xfId="67" applyFont="1" applyFill="1" applyBorder="1">
      <alignment/>
      <protection/>
    </xf>
    <xf numFmtId="0" fontId="16" fillId="0" borderId="14" xfId="67" applyFont="1" applyBorder="1">
      <alignment/>
      <protection/>
    </xf>
    <xf numFmtId="0" fontId="20" fillId="0" borderId="0" xfId="67" applyFont="1" applyBorder="1" applyAlignment="1">
      <alignment horizontal="left"/>
      <protection/>
    </xf>
    <xf numFmtId="0" fontId="20" fillId="0" borderId="0" xfId="67" applyFont="1" applyBorder="1">
      <alignment/>
      <protection/>
    </xf>
    <xf numFmtId="0" fontId="16" fillId="0" borderId="15" xfId="67" applyFont="1" applyFill="1" applyBorder="1">
      <alignment/>
      <protection/>
    </xf>
    <xf numFmtId="0" fontId="13" fillId="0" borderId="15" xfId="67" applyFont="1" applyFill="1" applyBorder="1">
      <alignment/>
      <protection/>
    </xf>
    <xf numFmtId="0" fontId="13" fillId="0" borderId="0" xfId="67" applyFont="1" applyBorder="1" applyProtection="1">
      <alignment/>
      <protection/>
    </xf>
    <xf numFmtId="0" fontId="24" fillId="0" borderId="0" xfId="67" applyFont="1" applyAlignment="1">
      <alignment horizontal="centerContinuous"/>
      <protection/>
    </xf>
    <xf numFmtId="0" fontId="24" fillId="0" borderId="15" xfId="67" applyFont="1" applyFill="1" applyBorder="1" applyAlignment="1">
      <alignment horizontal="centerContinuous"/>
      <protection/>
    </xf>
    <xf numFmtId="0" fontId="25" fillId="0" borderId="0" xfId="67" applyFont="1" applyBorder="1" applyAlignment="1">
      <alignment horizontal="left"/>
      <protection/>
    </xf>
    <xf numFmtId="0" fontId="3" fillId="0" borderId="16" xfId="67" applyFont="1" applyBorder="1" applyAlignment="1" applyProtection="1">
      <alignment horizontal="center"/>
      <protection/>
    </xf>
    <xf numFmtId="174" fontId="0" fillId="0" borderId="16" xfId="67" applyNumberFormat="1" applyFont="1" applyBorder="1" applyAlignment="1">
      <alignment horizontal="centerContinuous"/>
      <protection/>
    </xf>
    <xf numFmtId="0" fontId="3" fillId="0" borderId="17" xfId="67" applyBorder="1" applyAlignment="1">
      <alignment horizontal="centerContinuous"/>
      <protection/>
    </xf>
    <xf numFmtId="0" fontId="3" fillId="0" borderId="0" xfId="67" applyFont="1" applyBorder="1" applyAlignment="1" applyProtection="1">
      <alignment horizontal="center"/>
      <protection/>
    </xf>
    <xf numFmtId="174" fontId="3" fillId="0" borderId="0" xfId="67" applyNumberFormat="1" applyFont="1" applyBorder="1" applyAlignment="1">
      <alignment horizontal="centerContinuous"/>
      <protection/>
    </xf>
    <xf numFmtId="22" fontId="13" fillId="0" borderId="0" xfId="67" applyNumberFormat="1" applyFont="1" applyBorder="1">
      <alignment/>
      <protection/>
    </xf>
    <xf numFmtId="0" fontId="29" fillId="0" borderId="0" xfId="67" applyFont="1" applyBorder="1">
      <alignment/>
      <protection/>
    </xf>
    <xf numFmtId="0" fontId="30" fillId="0" borderId="21" xfId="67" applyFont="1" applyBorder="1" applyAlignment="1">
      <alignment horizontal="center" vertical="center"/>
      <protection/>
    </xf>
    <xf numFmtId="0" fontId="30" fillId="0" borderId="21" xfId="67" applyFont="1" applyBorder="1" applyAlignment="1" applyProtection="1">
      <alignment horizontal="center" vertical="center"/>
      <protection/>
    </xf>
    <xf numFmtId="164" fontId="30" fillId="0" borderId="21" xfId="67" applyNumberFormat="1" applyFont="1" applyBorder="1" applyAlignment="1" applyProtection="1">
      <alignment horizontal="center" vertical="center" wrapText="1"/>
      <protection/>
    </xf>
    <xf numFmtId="0" fontId="30" fillId="0" borderId="21" xfId="67" applyFont="1" applyBorder="1" applyAlignment="1" applyProtection="1">
      <alignment horizontal="center" vertical="center" wrapText="1"/>
      <protection/>
    </xf>
    <xf numFmtId="168" fontId="30" fillId="0" borderId="21" xfId="67" applyNumberFormat="1" applyFont="1" applyBorder="1" applyAlignment="1" applyProtection="1">
      <alignment horizontal="center" vertical="center"/>
      <protection/>
    </xf>
    <xf numFmtId="168" fontId="31" fillId="32" borderId="21" xfId="67" applyNumberFormat="1" applyFont="1" applyFill="1" applyBorder="1" applyAlignment="1" applyProtection="1">
      <alignment horizontal="center" vertical="center"/>
      <protection/>
    </xf>
    <xf numFmtId="0" fontId="32" fillId="33" borderId="21" xfId="67" applyFont="1" applyFill="1" applyBorder="1" applyAlignment="1" applyProtection="1">
      <alignment horizontal="center" vertical="center"/>
      <protection/>
    </xf>
    <xf numFmtId="0" fontId="30" fillId="0" borderId="16" xfId="67" applyFont="1" applyBorder="1" applyAlignment="1" applyProtection="1">
      <alignment horizontal="center" vertical="center"/>
      <protection/>
    </xf>
    <xf numFmtId="0" fontId="30" fillId="0" borderId="16" xfId="67" applyFont="1" applyBorder="1" applyAlignment="1" applyProtection="1">
      <alignment horizontal="center" vertical="center" wrapText="1"/>
      <protection/>
    </xf>
    <xf numFmtId="0" fontId="34" fillId="34" borderId="21" xfId="67" applyFont="1" applyFill="1" applyBorder="1" applyAlignment="1">
      <alignment horizontal="center" vertical="center" wrapText="1"/>
      <protection/>
    </xf>
    <xf numFmtId="0" fontId="35" fillId="35" borderId="21" xfId="67" applyFont="1" applyFill="1" applyBorder="1" applyAlignment="1">
      <alignment horizontal="center" vertical="center" wrapText="1"/>
      <protection/>
    </xf>
    <xf numFmtId="0" fontId="36" fillId="36" borderId="16" xfId="67" applyFont="1" applyFill="1" applyBorder="1" applyAlignment="1" applyProtection="1">
      <alignment horizontal="centerContinuous" vertical="center" wrapText="1"/>
      <protection/>
    </xf>
    <xf numFmtId="0" fontId="7" fillId="36" borderId="22" xfId="67" applyFont="1" applyFill="1" applyBorder="1" applyAlignment="1">
      <alignment horizontal="centerContinuous"/>
      <protection/>
    </xf>
    <xf numFmtId="0" fontId="36" fillId="36" borderId="17" xfId="67" applyFont="1" applyFill="1" applyBorder="1" applyAlignment="1">
      <alignment horizontal="centerContinuous" vertical="center"/>
      <protection/>
    </xf>
    <xf numFmtId="0" fontId="37" fillId="2" borderId="16" xfId="67" applyFont="1" applyFill="1" applyBorder="1" applyAlignment="1">
      <alignment horizontal="centerContinuous" vertical="center" wrapText="1"/>
      <protection/>
    </xf>
    <xf numFmtId="0" fontId="38" fillId="2" borderId="22" xfId="67" applyFont="1" applyFill="1" applyBorder="1" applyAlignment="1">
      <alignment horizontal="centerContinuous"/>
      <protection/>
    </xf>
    <xf numFmtId="0" fontId="37" fillId="2" borderId="17" xfId="67" applyFont="1" applyFill="1" applyBorder="1" applyAlignment="1">
      <alignment horizontal="centerContinuous" vertical="center"/>
      <protection/>
    </xf>
    <xf numFmtId="0" fontId="39" fillId="3" borderId="21" xfId="67" applyFont="1" applyFill="1" applyBorder="1" applyAlignment="1">
      <alignment horizontal="center" vertical="center" wrapText="1"/>
      <protection/>
    </xf>
    <xf numFmtId="0" fontId="40" fillId="37" borderId="21" xfId="67" applyFont="1" applyFill="1" applyBorder="1" applyAlignment="1">
      <alignment horizontal="center" vertical="center" wrapText="1"/>
      <protection/>
    </xf>
    <xf numFmtId="0" fontId="30" fillId="0" borderId="21" xfId="67" applyFont="1" applyBorder="1" applyAlignment="1">
      <alignment horizontal="center" vertical="center" wrapText="1"/>
      <protection/>
    </xf>
    <xf numFmtId="0" fontId="13" fillId="0" borderId="15" xfId="67" applyFont="1" applyFill="1" applyBorder="1" applyAlignment="1">
      <alignment horizontal="center"/>
      <protection/>
    </xf>
    <xf numFmtId="0" fontId="13" fillId="0" borderId="23" xfId="67" applyFont="1" applyBorder="1">
      <alignment/>
      <protection/>
    </xf>
    <xf numFmtId="0" fontId="13" fillId="0" borderId="23" xfId="67" applyFont="1" applyFill="1" applyBorder="1" applyAlignment="1">
      <alignment horizontal="center"/>
      <protection/>
    </xf>
    <xf numFmtId="170" fontId="13" fillId="0" borderId="23" xfId="67" applyNumberFormat="1" applyFont="1" applyFill="1" applyBorder="1">
      <alignment/>
      <protection/>
    </xf>
    <xf numFmtId="0" fontId="13" fillId="0" borderId="23" xfId="67" applyFont="1" applyFill="1" applyBorder="1">
      <alignment/>
      <protection/>
    </xf>
    <xf numFmtId="0" fontId="41" fillId="0" borderId="23" xfId="67" applyFont="1" applyFill="1" applyBorder="1">
      <alignment/>
      <protection/>
    </xf>
    <xf numFmtId="0" fontId="42" fillId="0" borderId="23" xfId="67" applyFont="1" applyFill="1" applyBorder="1">
      <alignment/>
      <protection/>
    </xf>
    <xf numFmtId="22" fontId="13" fillId="0" borderId="23" xfId="67" applyNumberFormat="1" applyFont="1" applyFill="1" applyBorder="1">
      <alignment/>
      <protection/>
    </xf>
    <xf numFmtId="0" fontId="43" fillId="0" borderId="23" xfId="67" applyFont="1" applyFill="1" applyBorder="1">
      <alignment/>
      <protection/>
    </xf>
    <xf numFmtId="0" fontId="44" fillId="0" borderId="23" xfId="67" applyFont="1" applyFill="1" applyBorder="1">
      <alignment/>
      <protection/>
    </xf>
    <xf numFmtId="0" fontId="13" fillId="0" borderId="24" xfId="67" applyFont="1" applyFill="1" applyBorder="1">
      <alignment/>
      <protection/>
    </xf>
    <xf numFmtId="0" fontId="13" fillId="0" borderId="25" xfId="67" applyFont="1" applyFill="1" applyBorder="1">
      <alignment/>
      <protection/>
    </xf>
    <xf numFmtId="0" fontId="13" fillId="0" borderId="26" xfId="67" applyFont="1" applyFill="1" applyBorder="1">
      <alignment/>
      <protection/>
    </xf>
    <xf numFmtId="0" fontId="45" fillId="0" borderId="24" xfId="67" applyFont="1" applyFill="1" applyBorder="1">
      <alignment/>
      <protection/>
    </xf>
    <xf numFmtId="0" fontId="45" fillId="0" borderId="25" xfId="67" applyFont="1" applyFill="1" applyBorder="1">
      <alignment/>
      <protection/>
    </xf>
    <xf numFmtId="0" fontId="45" fillId="0" borderId="26" xfId="67" applyFont="1" applyFill="1" applyBorder="1">
      <alignment/>
      <protection/>
    </xf>
    <xf numFmtId="0" fontId="46" fillId="0" borderId="23" xfId="67" applyFont="1" applyFill="1" applyBorder="1">
      <alignment/>
      <protection/>
    </xf>
    <xf numFmtId="0" fontId="47" fillId="0" borderId="23" xfId="67" applyFont="1" applyFill="1" applyBorder="1">
      <alignment/>
      <protection/>
    </xf>
    <xf numFmtId="7" fontId="48" fillId="0" borderId="23" xfId="67" applyNumberFormat="1" applyFont="1" applyBorder="1" applyAlignment="1">
      <alignment/>
      <protection/>
    </xf>
    <xf numFmtId="0" fontId="13" fillId="0" borderId="27" xfId="67" applyFont="1" applyFill="1" applyBorder="1" applyAlignment="1">
      <alignment horizontal="center"/>
      <protection/>
    </xf>
    <xf numFmtId="0" fontId="13" fillId="0" borderId="28" xfId="67" applyFont="1" applyBorder="1">
      <alignment/>
      <protection/>
    </xf>
    <xf numFmtId="0" fontId="13" fillId="0" borderId="28" xfId="67" applyFont="1" applyBorder="1" applyAlignment="1">
      <alignment horizontal="center"/>
      <protection/>
    </xf>
    <xf numFmtId="170" fontId="13" fillId="0" borderId="28" xfId="67" applyNumberFormat="1" applyFont="1" applyBorder="1">
      <alignment/>
      <protection/>
    </xf>
    <xf numFmtId="0" fontId="41" fillId="32" borderId="28" xfId="67" applyFont="1" applyFill="1" applyBorder="1">
      <alignment/>
      <protection/>
    </xf>
    <xf numFmtId="0" fontId="42" fillId="33" borderId="28" xfId="67" applyFont="1" applyFill="1" applyBorder="1">
      <alignment/>
      <protection/>
    </xf>
    <xf numFmtId="22" fontId="13" fillId="0" borderId="29" xfId="67" applyNumberFormat="1" applyFont="1" applyBorder="1" applyAlignment="1">
      <alignment horizontal="center"/>
      <protection/>
    </xf>
    <xf numFmtId="0" fontId="13" fillId="0" borderId="29" xfId="67" applyFont="1" applyBorder="1">
      <alignment/>
      <protection/>
    </xf>
    <xf numFmtId="0" fontId="43" fillId="34" borderId="28" xfId="67" applyFont="1" applyFill="1" applyBorder="1">
      <alignment/>
      <protection/>
    </xf>
    <xf numFmtId="0" fontId="44" fillId="35" borderId="29" xfId="67" applyFont="1" applyFill="1" applyBorder="1">
      <alignment/>
      <protection/>
    </xf>
    <xf numFmtId="168" fontId="49" fillId="36" borderId="30" xfId="67" applyNumberFormat="1" applyFont="1" applyFill="1" applyBorder="1" applyAlignment="1" applyProtection="1" quotePrefix="1">
      <alignment horizontal="center"/>
      <protection/>
    </xf>
    <xf numFmtId="168" fontId="49" fillId="36" borderId="31" xfId="67" applyNumberFormat="1" applyFont="1" applyFill="1" applyBorder="1" applyAlignment="1" applyProtection="1" quotePrefix="1">
      <alignment horizontal="center"/>
      <protection/>
    </xf>
    <xf numFmtId="4" fontId="49" fillId="36" borderId="29" xfId="67" applyNumberFormat="1" applyFont="1" applyFill="1" applyBorder="1" applyAlignment="1" applyProtection="1">
      <alignment horizontal="center"/>
      <protection/>
    </xf>
    <xf numFmtId="168" fontId="45" fillId="2" borderId="30" xfId="67" applyNumberFormat="1" applyFont="1" applyFill="1" applyBorder="1" applyAlignment="1" applyProtection="1" quotePrefix="1">
      <alignment horizontal="center"/>
      <protection/>
    </xf>
    <xf numFmtId="168" fontId="45" fillId="2" borderId="31" xfId="67" applyNumberFormat="1" applyFont="1" applyFill="1" applyBorder="1" applyAlignment="1" applyProtection="1" quotePrefix="1">
      <alignment horizontal="center"/>
      <protection/>
    </xf>
    <xf numFmtId="4" fontId="45" fillId="2" borderId="29" xfId="67" applyNumberFormat="1" applyFont="1" applyFill="1" applyBorder="1" applyAlignment="1" applyProtection="1">
      <alignment horizontal="center"/>
      <protection/>
    </xf>
    <xf numFmtId="4" fontId="46" fillId="3" borderId="28" xfId="67" applyNumberFormat="1" applyFont="1" applyFill="1" applyBorder="1" applyAlignment="1" applyProtection="1">
      <alignment horizontal="center"/>
      <protection/>
    </xf>
    <xf numFmtId="4" fontId="47" fillId="37" borderId="28" xfId="67" applyNumberFormat="1" applyFont="1" applyFill="1" applyBorder="1" applyAlignment="1" applyProtection="1">
      <alignment horizontal="center"/>
      <protection/>
    </xf>
    <xf numFmtId="0" fontId="48" fillId="0" borderId="29" xfId="67" applyFont="1" applyBorder="1">
      <alignment/>
      <protection/>
    </xf>
    <xf numFmtId="0" fontId="13" fillId="0" borderId="28" xfId="67" applyFont="1" applyFill="1" applyBorder="1" applyAlignment="1" applyProtection="1">
      <alignment horizontal="center"/>
      <protection locked="0"/>
    </xf>
    <xf numFmtId="164" fontId="13" fillId="0" borderId="28" xfId="67" applyNumberFormat="1" applyFont="1" applyFill="1" applyBorder="1" applyAlignment="1" applyProtection="1">
      <alignment horizontal="center"/>
      <protection locked="0"/>
    </xf>
    <xf numFmtId="170" fontId="13" fillId="0" borderId="28" xfId="67" applyNumberFormat="1" applyFont="1" applyFill="1" applyBorder="1" applyAlignment="1" applyProtection="1">
      <alignment horizontal="center"/>
      <protection locked="0"/>
    </xf>
    <xf numFmtId="0" fontId="41" fillId="32" borderId="28" xfId="67" applyFont="1" applyFill="1" applyBorder="1" applyAlignment="1" applyProtection="1">
      <alignment horizontal="center"/>
      <protection/>
    </xf>
    <xf numFmtId="174" fontId="42" fillId="33" borderId="28" xfId="67" applyNumberFormat="1" applyFont="1" applyFill="1" applyBorder="1" applyAlignment="1" applyProtection="1">
      <alignment horizontal="center"/>
      <protection/>
    </xf>
    <xf numFmtId="22" fontId="13" fillId="0" borderId="29" xfId="67" applyNumberFormat="1" applyFont="1" applyFill="1" applyBorder="1" applyAlignment="1" applyProtection="1">
      <alignment horizontal="center"/>
      <protection locked="0"/>
    </xf>
    <xf numFmtId="22" fontId="13" fillId="0" borderId="32" xfId="67" applyNumberFormat="1" applyFont="1" applyFill="1" applyBorder="1" applyAlignment="1" applyProtection="1">
      <alignment horizontal="center"/>
      <protection locked="0"/>
    </xf>
    <xf numFmtId="4" fontId="13" fillId="38" borderId="28" xfId="67" applyNumberFormat="1" applyFont="1" applyFill="1" applyBorder="1" applyAlignment="1" applyProtection="1" quotePrefix="1">
      <alignment horizontal="center"/>
      <protection/>
    </xf>
    <xf numFmtId="164" fontId="13" fillId="38" borderId="28" xfId="67" applyNumberFormat="1" applyFont="1" applyFill="1" applyBorder="1" applyAlignment="1" applyProtection="1" quotePrefix="1">
      <alignment horizontal="center"/>
      <protection/>
    </xf>
    <xf numFmtId="168" fontId="13" fillId="0" borderId="29" xfId="67" applyNumberFormat="1" applyFont="1" applyBorder="1" applyAlignment="1" applyProtection="1">
      <alignment horizontal="center"/>
      <protection locked="0"/>
    </xf>
    <xf numFmtId="173" fontId="13" fillId="0" borderId="28" xfId="67" applyNumberFormat="1" applyFont="1" applyBorder="1" applyAlignment="1" applyProtection="1" quotePrefix="1">
      <alignment horizontal="center"/>
      <protection/>
    </xf>
    <xf numFmtId="168" fontId="13" fillId="0" borderId="28" xfId="67" applyNumberFormat="1" applyFont="1" applyBorder="1" applyAlignment="1" applyProtection="1">
      <alignment horizontal="center"/>
      <protection/>
    </xf>
    <xf numFmtId="2" fontId="50" fillId="34" borderId="28" xfId="67" applyNumberFormat="1" applyFont="1" applyFill="1" applyBorder="1" applyAlignment="1" applyProtection="1">
      <alignment horizontal="center"/>
      <protection locked="0"/>
    </xf>
    <xf numFmtId="2" fontId="51" fillId="35" borderId="29" xfId="67" applyNumberFormat="1" applyFont="1" applyFill="1" applyBorder="1" applyAlignment="1" applyProtection="1">
      <alignment horizontal="center"/>
      <protection locked="0"/>
    </xf>
    <xf numFmtId="168" fontId="52" fillId="36" borderId="30" xfId="67" applyNumberFormat="1" applyFont="1" applyFill="1" applyBorder="1" applyAlignment="1" applyProtection="1" quotePrefix="1">
      <alignment horizontal="center"/>
      <protection locked="0"/>
    </xf>
    <xf numFmtId="168" fontId="52" fillId="36" borderId="31" xfId="67" applyNumberFormat="1" applyFont="1" applyFill="1" applyBorder="1" applyAlignment="1" applyProtection="1" quotePrefix="1">
      <alignment horizontal="center"/>
      <protection locked="0"/>
    </xf>
    <xf numFmtId="4" fontId="52" fillId="36" borderId="29" xfId="67" applyNumberFormat="1" applyFont="1" applyFill="1" applyBorder="1" applyAlignment="1" applyProtection="1">
      <alignment horizontal="center"/>
      <protection locked="0"/>
    </xf>
    <xf numFmtId="168" fontId="53" fillId="2" borderId="30" xfId="67" applyNumberFormat="1" applyFont="1" applyFill="1" applyBorder="1" applyAlignment="1" applyProtection="1" quotePrefix="1">
      <alignment horizontal="center"/>
      <protection locked="0"/>
    </xf>
    <xf numFmtId="168" fontId="53" fillId="2" borderId="31" xfId="67" applyNumberFormat="1" applyFont="1" applyFill="1" applyBorder="1" applyAlignment="1" applyProtection="1" quotePrefix="1">
      <alignment horizontal="center"/>
      <protection locked="0"/>
    </xf>
    <xf numFmtId="4" fontId="53" fillId="2" borderId="29" xfId="67" applyNumberFormat="1" applyFont="1" applyFill="1" applyBorder="1" applyAlignment="1" applyProtection="1">
      <alignment horizontal="center"/>
      <protection locked="0"/>
    </xf>
    <xf numFmtId="4" fontId="54" fillId="3" borderId="28" xfId="67" applyNumberFormat="1" applyFont="1" applyFill="1" applyBorder="1" applyAlignment="1" applyProtection="1">
      <alignment horizontal="center"/>
      <protection locked="0"/>
    </xf>
    <xf numFmtId="4" fontId="55" fillId="37" borderId="28" xfId="67" applyNumberFormat="1" applyFont="1" applyFill="1" applyBorder="1" applyAlignment="1" applyProtection="1">
      <alignment horizontal="center"/>
      <protection locked="0"/>
    </xf>
    <xf numFmtId="4" fontId="49" fillId="0" borderId="28" xfId="67" applyNumberFormat="1" applyFont="1" applyBorder="1" applyAlignment="1" applyProtection="1">
      <alignment horizontal="center"/>
      <protection/>
    </xf>
    <xf numFmtId="4" fontId="48" fillId="0" borderId="29" xfId="67" applyNumberFormat="1" applyFont="1" applyFill="1" applyBorder="1" applyAlignment="1">
      <alignment horizontal="right"/>
      <protection/>
    </xf>
    <xf numFmtId="2" fontId="13" fillId="0" borderId="15" xfId="67" applyNumberFormat="1" applyFont="1" applyFill="1" applyBorder="1" applyAlignment="1">
      <alignment horizontal="center"/>
      <protection/>
    </xf>
    <xf numFmtId="0" fontId="13" fillId="0" borderId="28" xfId="65" applyFont="1" applyFill="1" applyBorder="1" applyAlignment="1" applyProtection="1">
      <alignment horizontal="center"/>
      <protection locked="0"/>
    </xf>
    <xf numFmtId="164" fontId="13" fillId="0" borderId="28" xfId="65" applyNumberFormat="1" applyFont="1" applyFill="1" applyBorder="1" applyAlignment="1" applyProtection="1">
      <alignment horizontal="center"/>
      <protection locked="0"/>
    </xf>
    <xf numFmtId="170" fontId="13" fillId="0" borderId="28" xfId="65" applyNumberFormat="1" applyFont="1" applyFill="1" applyBorder="1" applyAlignment="1" applyProtection="1">
      <alignment horizontal="center"/>
      <protection locked="0"/>
    </xf>
    <xf numFmtId="22" fontId="13" fillId="0" borderId="29" xfId="65" applyNumberFormat="1" applyFont="1" applyFill="1" applyBorder="1" applyAlignment="1" applyProtection="1">
      <alignment horizontal="center"/>
      <protection locked="0"/>
    </xf>
    <xf numFmtId="22" fontId="13" fillId="0" borderId="33" xfId="65" applyNumberFormat="1" applyFont="1" applyFill="1" applyBorder="1" applyAlignment="1" applyProtection="1">
      <alignment horizontal="center"/>
      <protection locked="0"/>
    </xf>
    <xf numFmtId="0" fontId="13" fillId="0" borderId="28" xfId="67" applyFont="1" applyBorder="1" applyAlignment="1" applyProtection="1">
      <alignment horizontal="center"/>
      <protection locked="0"/>
    </xf>
    <xf numFmtId="164" fontId="13" fillId="0" borderId="28" xfId="67" applyNumberFormat="1" applyFont="1" applyBorder="1" applyAlignment="1" applyProtection="1">
      <alignment horizontal="center"/>
      <protection locked="0"/>
    </xf>
    <xf numFmtId="170" fontId="13" fillId="0" borderId="28" xfId="67" applyNumberFormat="1" applyFont="1" applyBorder="1" applyAlignment="1" applyProtection="1">
      <alignment horizontal="center"/>
      <protection locked="0"/>
    </xf>
    <xf numFmtId="22" fontId="13" fillId="0" borderId="29" xfId="67" applyNumberFormat="1" applyFont="1" applyBorder="1" applyAlignment="1" applyProtection="1">
      <alignment horizontal="center"/>
      <protection locked="0"/>
    </xf>
    <xf numFmtId="22" fontId="13" fillId="0" borderId="32" xfId="67" applyNumberFormat="1" applyFont="1" applyBorder="1" applyAlignment="1" applyProtection="1">
      <alignment horizontal="center"/>
      <protection locked="0"/>
    </xf>
    <xf numFmtId="22" fontId="13" fillId="0" borderId="33" xfId="67" applyNumberFormat="1" applyFont="1" applyBorder="1" applyAlignment="1" applyProtection="1">
      <alignment horizontal="center"/>
      <protection locked="0"/>
    </xf>
    <xf numFmtId="0" fontId="13" fillId="0" borderId="34" xfId="67" applyFont="1" applyFill="1" applyBorder="1" applyAlignment="1" applyProtection="1">
      <alignment horizontal="center"/>
      <protection locked="0"/>
    </xf>
    <xf numFmtId="0" fontId="13" fillId="0" borderId="35" xfId="67" applyFont="1" applyFill="1" applyBorder="1" applyAlignment="1" applyProtection="1">
      <alignment horizontal="center"/>
      <protection locked="0"/>
    </xf>
    <xf numFmtId="0" fontId="13" fillId="0" borderId="36" xfId="67" applyFont="1" applyBorder="1" applyAlignment="1" applyProtection="1">
      <alignment horizontal="center"/>
      <protection locked="0"/>
    </xf>
    <xf numFmtId="164" fontId="49" fillId="0" borderId="36" xfId="67" applyNumberFormat="1" applyFont="1" applyBorder="1" applyAlignment="1" applyProtection="1">
      <alignment horizontal="center"/>
      <protection locked="0"/>
    </xf>
    <xf numFmtId="170" fontId="13" fillId="0" borderId="36" xfId="67" applyNumberFormat="1" applyFont="1" applyBorder="1" applyAlignment="1" applyProtection="1">
      <alignment horizontal="center"/>
      <protection locked="0"/>
    </xf>
    <xf numFmtId="165" fontId="13" fillId="0" borderId="36" xfId="67" applyNumberFormat="1" applyFont="1" applyBorder="1" applyAlignment="1" applyProtection="1">
      <alignment horizontal="center"/>
      <protection locked="0"/>
    </xf>
    <xf numFmtId="0" fontId="41" fillId="32" borderId="36" xfId="67" applyFont="1" applyFill="1" applyBorder="1" applyAlignment="1" applyProtection="1">
      <alignment horizontal="center"/>
      <protection/>
    </xf>
    <xf numFmtId="174" fontId="42" fillId="33" borderId="36" xfId="67" applyNumberFormat="1" applyFont="1" applyFill="1" applyBorder="1" applyAlignment="1" applyProtection="1">
      <alignment horizontal="center"/>
      <protection/>
    </xf>
    <xf numFmtId="22" fontId="13" fillId="0" borderId="36" xfId="67" applyNumberFormat="1" applyFont="1" applyBorder="1" applyAlignment="1" applyProtection="1">
      <alignment horizontal="center"/>
      <protection locked="0"/>
    </xf>
    <xf numFmtId="168" fontId="13" fillId="0" borderId="36" xfId="67" applyNumberFormat="1" applyFont="1" applyBorder="1" applyAlignment="1" applyProtection="1">
      <alignment horizontal="center"/>
      <protection/>
    </xf>
    <xf numFmtId="168" fontId="13" fillId="0" borderId="36" xfId="67" applyNumberFormat="1" applyFont="1" applyBorder="1" applyAlignment="1" applyProtection="1">
      <alignment horizontal="center"/>
      <protection locked="0"/>
    </xf>
    <xf numFmtId="173" fontId="13" fillId="0" borderId="36" xfId="67" applyNumberFormat="1" applyFont="1" applyBorder="1" applyAlignment="1" applyProtection="1" quotePrefix="1">
      <alignment horizontal="center"/>
      <protection locked="0"/>
    </xf>
    <xf numFmtId="2" fontId="43" fillId="34" borderId="36" xfId="67" applyNumberFormat="1" applyFont="1" applyFill="1" applyBorder="1" applyAlignment="1" applyProtection="1">
      <alignment horizontal="center"/>
      <protection locked="0"/>
    </xf>
    <xf numFmtId="2" fontId="51" fillId="35" borderId="36" xfId="67" applyNumberFormat="1" applyFont="1" applyFill="1" applyBorder="1" applyAlignment="1" applyProtection="1">
      <alignment horizontal="center"/>
      <protection locked="0"/>
    </xf>
    <xf numFmtId="168" fontId="52" fillId="36" borderId="37" xfId="67" applyNumberFormat="1" applyFont="1" applyFill="1" applyBorder="1" applyAlignment="1" applyProtection="1" quotePrefix="1">
      <alignment horizontal="center"/>
      <protection locked="0"/>
    </xf>
    <xf numFmtId="168" fontId="52" fillId="36" borderId="38" xfId="67" applyNumberFormat="1" applyFont="1" applyFill="1" applyBorder="1" applyAlignment="1" applyProtection="1" quotePrefix="1">
      <alignment horizontal="center"/>
      <protection locked="0"/>
    </xf>
    <xf numFmtId="4" fontId="52" fillId="36" borderId="39" xfId="67" applyNumberFormat="1" applyFont="1" applyFill="1" applyBorder="1" applyAlignment="1" applyProtection="1">
      <alignment horizontal="center"/>
      <protection locked="0"/>
    </xf>
    <xf numFmtId="168" fontId="53" fillId="2" borderId="37" xfId="67" applyNumberFormat="1" applyFont="1" applyFill="1" applyBorder="1" applyAlignment="1" applyProtection="1" quotePrefix="1">
      <alignment horizontal="center"/>
      <protection locked="0"/>
    </xf>
    <xf numFmtId="168" fontId="53" fillId="2" borderId="38" xfId="67" applyNumberFormat="1" applyFont="1" applyFill="1" applyBorder="1" applyAlignment="1" applyProtection="1" quotePrefix="1">
      <alignment horizontal="center"/>
      <protection locked="0"/>
    </xf>
    <xf numFmtId="4" fontId="53" fillId="2" borderId="39" xfId="67" applyNumberFormat="1" applyFont="1" applyFill="1" applyBorder="1" applyAlignment="1" applyProtection="1">
      <alignment horizontal="center"/>
      <protection locked="0"/>
    </xf>
    <xf numFmtId="4" fontId="54" fillId="3" borderId="36" xfId="67" applyNumberFormat="1" applyFont="1" applyFill="1" applyBorder="1" applyAlignment="1" applyProtection="1">
      <alignment horizontal="center"/>
      <protection locked="0"/>
    </xf>
    <xf numFmtId="4" fontId="55" fillId="37" borderId="36" xfId="67" applyNumberFormat="1" applyFont="1" applyFill="1" applyBorder="1" applyAlignment="1" applyProtection="1">
      <alignment horizontal="center"/>
      <protection locked="0"/>
    </xf>
    <xf numFmtId="4" fontId="49" fillId="0" borderId="36" xfId="67" applyNumberFormat="1" applyFont="1" applyBorder="1" applyAlignment="1" applyProtection="1">
      <alignment horizontal="center"/>
      <protection locked="0"/>
    </xf>
    <xf numFmtId="2" fontId="48" fillId="0" borderId="40" xfId="67" applyNumberFormat="1" applyFont="1" applyFill="1" applyBorder="1" applyAlignment="1">
      <alignment horizontal="right"/>
      <protection/>
    </xf>
    <xf numFmtId="0" fontId="57" fillId="0" borderId="41" xfId="67" applyFont="1" applyBorder="1" applyAlignment="1">
      <alignment horizontal="center"/>
      <protection/>
    </xf>
    <xf numFmtId="0" fontId="57" fillId="0" borderId="41" xfId="67" applyFont="1" applyBorder="1" applyAlignment="1">
      <alignment horizontal="left"/>
      <protection/>
    </xf>
    <xf numFmtId="0" fontId="58" fillId="0" borderId="0" xfId="67" applyFont="1" applyBorder="1" applyAlignment="1" applyProtection="1">
      <alignment horizontal="left"/>
      <protection/>
    </xf>
    <xf numFmtId="164" fontId="49" fillId="0" borderId="0" xfId="67" applyNumberFormat="1" applyFont="1" applyBorder="1" applyAlignment="1" applyProtection="1">
      <alignment horizontal="center"/>
      <protection/>
    </xf>
    <xf numFmtId="0" fontId="13" fillId="0" borderId="0" xfId="67" applyFont="1" applyBorder="1" applyAlignment="1" applyProtection="1">
      <alignment horizontal="center"/>
      <protection/>
    </xf>
    <xf numFmtId="165" fontId="13" fillId="0" borderId="0" xfId="67" applyNumberFormat="1" applyFont="1" applyBorder="1" applyAlignment="1" applyProtection="1">
      <alignment horizontal="center"/>
      <protection/>
    </xf>
    <xf numFmtId="168" fontId="13" fillId="0" borderId="0" xfId="67" applyNumberFormat="1" applyFont="1" applyBorder="1" applyAlignment="1" applyProtection="1">
      <alignment horizontal="center"/>
      <protection/>
    </xf>
    <xf numFmtId="173" fontId="13" fillId="0" borderId="0" xfId="67" applyNumberFormat="1" applyFont="1" applyBorder="1" applyAlignment="1" applyProtection="1" quotePrefix="1">
      <alignment horizontal="center"/>
      <protection/>
    </xf>
    <xf numFmtId="2" fontId="50" fillId="34" borderId="21" xfId="67" applyNumberFormat="1" applyFont="1" applyFill="1" applyBorder="1" applyAlignment="1" applyProtection="1">
      <alignment horizontal="center"/>
      <protection/>
    </xf>
    <xf numFmtId="2" fontId="51" fillId="35" borderId="21" xfId="67" applyNumberFormat="1" applyFont="1" applyFill="1" applyBorder="1" applyAlignment="1" applyProtection="1">
      <alignment horizontal="center"/>
      <protection/>
    </xf>
    <xf numFmtId="2" fontId="52" fillId="36" borderId="21" xfId="67" applyNumberFormat="1" applyFont="1" applyFill="1" applyBorder="1" applyAlignment="1" applyProtection="1">
      <alignment horizontal="center"/>
      <protection/>
    </xf>
    <xf numFmtId="2" fontId="53" fillId="2" borderId="21" xfId="67" applyNumberFormat="1" applyFont="1" applyFill="1" applyBorder="1" applyAlignment="1" applyProtection="1">
      <alignment horizontal="center"/>
      <protection/>
    </xf>
    <xf numFmtId="2" fontId="54" fillId="3" borderId="21" xfId="67" applyNumberFormat="1" applyFont="1" applyFill="1" applyBorder="1" applyAlignment="1" applyProtection="1">
      <alignment horizontal="center"/>
      <protection/>
    </xf>
    <xf numFmtId="2" fontId="55" fillId="37" borderId="21" xfId="67" applyNumberFormat="1" applyFont="1" applyFill="1" applyBorder="1" applyAlignment="1" applyProtection="1">
      <alignment horizontal="center"/>
      <protection/>
    </xf>
    <xf numFmtId="2" fontId="59" fillId="0" borderId="42" xfId="67" applyNumberFormat="1" applyFont="1" applyBorder="1" applyAlignment="1" applyProtection="1">
      <alignment horizontal="center"/>
      <protection/>
    </xf>
    <xf numFmtId="7" fontId="4" fillId="0" borderId="21" xfId="67" applyNumberFormat="1" applyFont="1" applyFill="1" applyBorder="1" applyAlignment="1" applyProtection="1">
      <alignment horizontal="right"/>
      <protection/>
    </xf>
    <xf numFmtId="0" fontId="13" fillId="0" borderId="18" xfId="67" applyFont="1" applyBorder="1">
      <alignment/>
      <protection/>
    </xf>
    <xf numFmtId="0" fontId="13" fillId="0" borderId="19" xfId="67" applyFont="1" applyBorder="1">
      <alignment/>
      <protection/>
    </xf>
    <xf numFmtId="0" fontId="13" fillId="0" borderId="20" xfId="67" applyFont="1" applyBorder="1">
      <alignment/>
      <protection/>
    </xf>
    <xf numFmtId="0" fontId="3" fillId="0" borderId="0" xfId="67" applyBorder="1">
      <alignment/>
      <protection/>
    </xf>
    <xf numFmtId="0" fontId="16" fillId="0" borderId="0" xfId="67" applyFont="1" applyAlignment="1">
      <alignment vertical="top"/>
      <protection/>
    </xf>
    <xf numFmtId="0" fontId="16" fillId="0" borderId="14" xfId="67" applyFont="1" applyBorder="1" applyAlignment="1">
      <alignment vertical="top"/>
      <protection/>
    </xf>
    <xf numFmtId="0" fontId="16" fillId="0" borderId="0" xfId="67" applyFont="1" applyBorder="1" applyAlignment="1">
      <alignment vertical="top"/>
      <protection/>
    </xf>
    <xf numFmtId="0" fontId="20" fillId="0" borderId="0" xfId="67" applyFont="1" applyBorder="1" applyAlignment="1">
      <alignment vertical="top"/>
      <protection/>
    </xf>
    <xf numFmtId="0" fontId="16" fillId="0" borderId="15" xfId="67" applyFont="1" applyFill="1" applyBorder="1" applyAlignment="1">
      <alignment vertical="top"/>
      <protection/>
    </xf>
    <xf numFmtId="0" fontId="13" fillId="0" borderId="0" xfId="67" applyFont="1" applyAlignment="1">
      <alignment vertical="top"/>
      <protection/>
    </xf>
    <xf numFmtId="0" fontId="13" fillId="0" borderId="14" xfId="67" applyFont="1" applyBorder="1" applyAlignment="1">
      <alignment vertical="top"/>
      <protection/>
    </xf>
    <xf numFmtId="0" fontId="13" fillId="0" borderId="0" xfId="67" applyFont="1" applyBorder="1" applyAlignment="1">
      <alignment vertical="top"/>
      <protection/>
    </xf>
    <xf numFmtId="0" fontId="13" fillId="0" borderId="0" xfId="67" applyFont="1" applyBorder="1" applyAlignment="1" applyProtection="1">
      <alignment vertical="top"/>
      <protection/>
    </xf>
    <xf numFmtId="0" fontId="13" fillId="0" borderId="15" xfId="67" applyFont="1" applyFill="1" applyBorder="1" applyAlignment="1">
      <alignment vertical="top"/>
      <protection/>
    </xf>
    <xf numFmtId="0" fontId="13" fillId="0" borderId="28" xfId="67" applyFont="1" applyFill="1" applyBorder="1" applyAlignment="1">
      <alignment horizontal="center"/>
      <protection/>
    </xf>
    <xf numFmtId="2" fontId="50" fillId="34" borderId="28" xfId="67" applyNumberFormat="1" applyFont="1" applyFill="1" applyBorder="1" applyAlignment="1" applyProtection="1">
      <alignment horizontal="center"/>
      <protection/>
    </xf>
    <xf numFmtId="2" fontId="51" fillId="35" borderId="29" xfId="67" applyNumberFormat="1" applyFont="1" applyFill="1" applyBorder="1" applyAlignment="1" applyProtection="1">
      <alignment horizontal="center"/>
      <protection/>
    </xf>
    <xf numFmtId="168" fontId="52" fillId="36" borderId="30" xfId="67" applyNumberFormat="1" applyFont="1" applyFill="1" applyBorder="1" applyAlignment="1" applyProtection="1" quotePrefix="1">
      <alignment horizontal="center"/>
      <protection/>
    </xf>
    <xf numFmtId="168" fontId="52" fillId="36" borderId="31" xfId="67" applyNumberFormat="1" applyFont="1" applyFill="1" applyBorder="1" applyAlignment="1" applyProtection="1" quotePrefix="1">
      <alignment horizontal="center"/>
      <protection/>
    </xf>
    <xf numFmtId="4" fontId="52" fillId="36" borderId="29" xfId="67" applyNumberFormat="1" applyFont="1" applyFill="1" applyBorder="1" applyAlignment="1" applyProtection="1">
      <alignment horizontal="center"/>
      <protection/>
    </xf>
    <xf numFmtId="168" fontId="53" fillId="2" borderId="30" xfId="67" applyNumberFormat="1" applyFont="1" applyFill="1" applyBorder="1" applyAlignment="1" applyProtection="1" quotePrefix="1">
      <alignment horizontal="center"/>
      <protection/>
    </xf>
    <xf numFmtId="168" fontId="53" fillId="2" borderId="31" xfId="67" applyNumberFormat="1" applyFont="1" applyFill="1" applyBorder="1" applyAlignment="1" applyProtection="1" quotePrefix="1">
      <alignment horizontal="center"/>
      <protection/>
    </xf>
    <xf numFmtId="4" fontId="53" fillId="2" borderId="29" xfId="67" applyNumberFormat="1" applyFont="1" applyFill="1" applyBorder="1" applyAlignment="1" applyProtection="1">
      <alignment horizontal="center"/>
      <protection/>
    </xf>
    <xf numFmtId="4" fontId="54" fillId="3" borderId="28" xfId="67" applyNumberFormat="1" applyFont="1" applyFill="1" applyBorder="1" applyAlignment="1" applyProtection="1">
      <alignment horizontal="center"/>
      <protection/>
    </xf>
    <xf numFmtId="4" fontId="55" fillId="37" borderId="28" xfId="67" applyNumberFormat="1" applyFont="1" applyFill="1" applyBorder="1" applyAlignment="1" applyProtection="1">
      <alignment horizontal="center"/>
      <protection/>
    </xf>
    <xf numFmtId="4" fontId="13" fillId="0" borderId="28" xfId="67" applyNumberFormat="1" applyFont="1" applyBorder="1" applyAlignment="1" applyProtection="1">
      <alignment horizontal="center"/>
      <protection/>
    </xf>
    <xf numFmtId="0" fontId="13" fillId="0" borderId="0" xfId="67" applyFont="1" applyBorder="1" applyAlignment="1">
      <alignment horizontal="left"/>
      <protection/>
    </xf>
    <xf numFmtId="0" fontId="17" fillId="0" borderId="0" xfId="67" applyFont="1" applyBorder="1">
      <alignment/>
      <protection/>
    </xf>
    <xf numFmtId="0" fontId="23" fillId="0" borderId="15" xfId="67" applyFont="1" applyFill="1" applyBorder="1">
      <alignment/>
      <protection/>
    </xf>
    <xf numFmtId="0" fontId="20" fillId="0" borderId="0" xfId="67" applyFont="1" applyBorder="1" applyAlignment="1">
      <alignment horizontal="left" vertical="top"/>
      <protection/>
    </xf>
    <xf numFmtId="0" fontId="30" fillId="0" borderId="21" xfId="61" applyFont="1" applyBorder="1" applyAlignment="1">
      <alignment horizontal="center" vertical="center"/>
      <protection/>
    </xf>
    <xf numFmtId="164" fontId="30" fillId="0" borderId="17" xfId="67" applyNumberFormat="1" applyFont="1" applyBorder="1" applyAlignment="1" applyProtection="1">
      <alignment horizontal="center" vertical="center" wrapText="1"/>
      <protection/>
    </xf>
    <xf numFmtId="0" fontId="30" fillId="0" borderId="22" xfId="67" applyFont="1" applyBorder="1" applyAlignment="1" applyProtection="1">
      <alignment horizontal="center" vertical="center" wrapText="1"/>
      <protection/>
    </xf>
    <xf numFmtId="168" fontId="60" fillId="36" borderId="21" xfId="67" applyNumberFormat="1" applyFont="1" applyFill="1" applyBorder="1" applyAlignment="1" applyProtection="1">
      <alignment horizontal="center" vertical="center"/>
      <protection/>
    </xf>
    <xf numFmtId="0" fontId="13" fillId="0" borderId="23" xfId="67" applyFont="1" applyBorder="1" applyAlignment="1">
      <alignment horizontal="center"/>
      <protection/>
    </xf>
    <xf numFmtId="0" fontId="13" fillId="0" borderId="29" xfId="67" applyFont="1" applyBorder="1" applyAlignment="1">
      <alignment horizontal="center"/>
      <protection/>
    </xf>
    <xf numFmtId="0" fontId="63" fillId="36" borderId="28" xfId="67" applyFont="1" applyFill="1" applyBorder="1" applyAlignment="1" applyProtection="1">
      <alignment horizontal="center"/>
      <protection/>
    </xf>
    <xf numFmtId="173" fontId="13" fillId="0" borderId="29" xfId="67" applyNumberFormat="1" applyFont="1" applyBorder="1" applyAlignment="1" applyProtection="1" quotePrefix="1">
      <alignment horizontal="center"/>
      <protection/>
    </xf>
    <xf numFmtId="4" fontId="13" fillId="0" borderId="15" xfId="67" applyNumberFormat="1" applyFont="1" applyFill="1" applyBorder="1" applyAlignment="1">
      <alignment horizontal="center"/>
      <protection/>
    </xf>
    <xf numFmtId="0" fontId="67" fillId="0" borderId="0" xfId="67" applyFont="1">
      <alignment/>
      <protection/>
    </xf>
    <xf numFmtId="0" fontId="6" fillId="0" borderId="0" xfId="67" applyFont="1" applyFill="1" applyBorder="1" applyAlignment="1" applyProtection="1">
      <alignment horizontal="left"/>
      <protection/>
    </xf>
    <xf numFmtId="0" fontId="3" fillId="0" borderId="41" xfId="67" applyFont="1" applyBorder="1" applyAlignment="1" applyProtection="1">
      <alignment horizontal="center"/>
      <protection/>
    </xf>
    <xf numFmtId="174" fontId="0" fillId="0" borderId="41" xfId="67" applyNumberFormat="1" applyFont="1" applyBorder="1" applyAlignment="1">
      <alignment horizontal="centerContinuous"/>
      <protection/>
    </xf>
    <xf numFmtId="0" fontId="3" fillId="0" borderId="41" xfId="67" applyBorder="1" applyAlignment="1">
      <alignment horizontal="centerContinuous"/>
      <protection/>
    </xf>
    <xf numFmtId="0" fontId="57" fillId="0" borderId="0" xfId="67" applyFont="1" applyBorder="1" applyAlignment="1">
      <alignment horizontal="center"/>
      <protection/>
    </xf>
    <xf numFmtId="0" fontId="11" fillId="0" borderId="0" xfId="67" applyFont="1" applyFill="1" applyAlignment="1">
      <alignment horizontal="right" vertical="top"/>
      <protection/>
    </xf>
    <xf numFmtId="0" fontId="9" fillId="0" borderId="0" xfId="67" applyFont="1" applyFill="1" applyAlignment="1">
      <alignment horizontal="centerContinuous"/>
      <protection/>
    </xf>
    <xf numFmtId="0" fontId="6" fillId="0" borderId="0" xfId="67" applyFont="1" applyFill="1" applyAlignment="1">
      <alignment horizontal="centerContinuous"/>
      <protection/>
    </xf>
    <xf numFmtId="0" fontId="14" fillId="0" borderId="0" xfId="67" applyFont="1" applyFill="1" applyAlignment="1">
      <alignment horizontal="centerContinuous"/>
      <protection/>
    </xf>
    <xf numFmtId="0" fontId="14" fillId="0" borderId="0" xfId="67" applyFont="1" applyFill="1">
      <alignment/>
      <protection/>
    </xf>
    <xf numFmtId="0" fontId="13" fillId="0" borderId="11" xfId="67" applyFont="1" applyFill="1" applyBorder="1">
      <alignment/>
      <protection/>
    </xf>
    <xf numFmtId="0" fontId="13" fillId="0" borderId="12" xfId="67" applyFont="1" applyFill="1" applyBorder="1">
      <alignment/>
      <protection/>
    </xf>
    <xf numFmtId="0" fontId="16" fillId="0" borderId="0" xfId="67" applyFont="1" applyFill="1">
      <alignment/>
      <protection/>
    </xf>
    <xf numFmtId="0" fontId="16" fillId="0" borderId="14" xfId="67" applyFont="1" applyFill="1" applyBorder="1">
      <alignment/>
      <protection/>
    </xf>
    <xf numFmtId="0" fontId="16" fillId="0" borderId="0" xfId="67" applyFont="1" applyFill="1" applyBorder="1">
      <alignment/>
      <protection/>
    </xf>
    <xf numFmtId="0" fontId="20" fillId="0" borderId="0" xfId="67" applyFont="1" applyFill="1" applyBorder="1" applyAlignment="1">
      <alignment horizontal="left"/>
      <protection/>
    </xf>
    <xf numFmtId="0" fontId="16" fillId="0" borderId="0" xfId="67" applyFont="1" applyFill="1" applyBorder="1" applyAlignment="1" applyProtection="1">
      <alignment horizontal="left"/>
      <protection/>
    </xf>
    <xf numFmtId="0" fontId="13" fillId="0" borderId="14" xfId="67" applyFont="1" applyFill="1" applyBorder="1">
      <alignment/>
      <protection/>
    </xf>
    <xf numFmtId="0" fontId="5" fillId="0" borderId="0" xfId="67" applyFont="1" applyFill="1" applyBorder="1" applyAlignment="1">
      <alignment horizontal="left"/>
      <protection/>
    </xf>
    <xf numFmtId="0" fontId="16" fillId="0" borderId="0" xfId="67" applyFont="1" applyFill="1" applyAlignment="1">
      <alignment vertical="center"/>
      <protection/>
    </xf>
    <xf numFmtId="0" fontId="16" fillId="0" borderId="14" xfId="67" applyFont="1" applyFill="1" applyBorder="1" applyAlignment="1">
      <alignment vertical="center"/>
      <protection/>
    </xf>
    <xf numFmtId="0" fontId="16" fillId="0" borderId="0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horizontal="left" vertical="center"/>
      <protection/>
    </xf>
    <xf numFmtId="0" fontId="20" fillId="0" borderId="0" xfId="67" applyFont="1" applyFill="1" applyBorder="1" applyAlignment="1">
      <alignment vertical="center"/>
      <protection/>
    </xf>
    <xf numFmtId="0" fontId="16" fillId="0" borderId="15" xfId="67" applyFont="1" applyFill="1" applyBorder="1" applyAlignment="1">
      <alignment vertical="center"/>
      <protection/>
    </xf>
    <xf numFmtId="0" fontId="16" fillId="0" borderId="0" xfId="67" applyFont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0" fontId="13" fillId="0" borderId="14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13" fillId="0" borderId="15" xfId="67" applyFont="1" applyFill="1" applyBorder="1" applyAlignment="1">
      <alignment vertical="center"/>
      <protection/>
    </xf>
    <xf numFmtId="0" fontId="20" fillId="0" borderId="0" xfId="67" applyFont="1" applyFill="1" applyAlignment="1">
      <alignment vertical="center"/>
      <protection/>
    </xf>
    <xf numFmtId="0" fontId="25" fillId="0" borderId="0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4" fillId="0" borderId="0" xfId="67" applyFont="1" applyFill="1" applyAlignment="1">
      <alignment horizontal="centerContinuous"/>
      <protection/>
    </xf>
    <xf numFmtId="0" fontId="24" fillId="0" borderId="0" xfId="67" applyFont="1" applyFill="1" applyBorder="1" applyAlignment="1">
      <alignment horizontal="centerContinuous"/>
      <protection/>
    </xf>
    <xf numFmtId="0" fontId="26" fillId="0" borderId="15" xfId="67" applyFont="1" applyFill="1" applyBorder="1" applyAlignment="1">
      <alignment horizontal="centerContinuous"/>
      <protection/>
    </xf>
    <xf numFmtId="0" fontId="13" fillId="0" borderId="16" xfId="67" applyFont="1" applyFill="1" applyBorder="1" applyAlignment="1" applyProtection="1">
      <alignment horizontal="left"/>
      <protection/>
    </xf>
    <xf numFmtId="0" fontId="13" fillId="0" borderId="41" xfId="67" applyFont="1" applyFill="1" applyBorder="1" applyAlignment="1" applyProtection="1">
      <alignment horizontal="center"/>
      <protection/>
    </xf>
    <xf numFmtId="0" fontId="13" fillId="0" borderId="21" xfId="67" applyFont="1" applyFill="1" applyBorder="1" applyAlignment="1">
      <alignment horizontal="center"/>
      <protection/>
    </xf>
    <xf numFmtId="0" fontId="3" fillId="0" borderId="16" xfId="67" applyFont="1" applyFill="1" applyBorder="1" applyAlignment="1" applyProtection="1" quotePrefix="1">
      <alignment horizontal="left"/>
      <protection/>
    </xf>
    <xf numFmtId="0" fontId="3" fillId="0" borderId="22" xfId="67" applyFont="1" applyFill="1" applyBorder="1" applyAlignment="1" applyProtection="1">
      <alignment horizontal="center"/>
      <protection/>
    </xf>
    <xf numFmtId="164" fontId="3" fillId="0" borderId="21" xfId="67" applyNumberFormat="1" applyFont="1" applyFill="1" applyBorder="1" applyAlignment="1" applyProtection="1">
      <alignment horizontal="center"/>
      <protection/>
    </xf>
    <xf numFmtId="22" fontId="13" fillId="0" borderId="0" xfId="67" applyNumberFormat="1" applyFont="1" applyFill="1" applyBorder="1">
      <alignment/>
      <protection/>
    </xf>
    <xf numFmtId="0" fontId="29" fillId="0" borderId="0" xfId="67" applyFont="1" applyFill="1" applyBorder="1">
      <alignment/>
      <protection/>
    </xf>
    <xf numFmtId="0" fontId="30" fillId="0" borderId="21" xfId="67" applyFont="1" applyFill="1" applyBorder="1" applyAlignment="1">
      <alignment horizontal="center" vertical="center"/>
      <protection/>
    </xf>
    <xf numFmtId="0" fontId="30" fillId="0" borderId="21" xfId="67" applyFont="1" applyFill="1" applyBorder="1" applyAlignment="1" applyProtection="1">
      <alignment horizontal="center" vertical="center" wrapText="1"/>
      <protection/>
    </xf>
    <xf numFmtId="0" fontId="30" fillId="0" borderId="21" xfId="67" applyFont="1" applyFill="1" applyBorder="1" applyAlignment="1" applyProtection="1">
      <alignment horizontal="center" vertical="center"/>
      <protection/>
    </xf>
    <xf numFmtId="0" fontId="30" fillId="0" borderId="21" xfId="67" applyFont="1" applyFill="1" applyBorder="1" applyAlignment="1" applyProtection="1" quotePrefix="1">
      <alignment horizontal="center" vertical="center" wrapText="1"/>
      <protection/>
    </xf>
    <xf numFmtId="0" fontId="30" fillId="0" borderId="21" xfId="67" applyFont="1" applyFill="1" applyBorder="1" applyAlignment="1">
      <alignment horizontal="center" vertical="center" wrapText="1"/>
      <protection/>
    </xf>
    <xf numFmtId="0" fontId="60" fillId="36" borderId="21" xfId="67" applyFont="1" applyFill="1" applyBorder="1" applyAlignment="1" applyProtection="1">
      <alignment horizontal="center" vertical="center"/>
      <protection/>
    </xf>
    <xf numFmtId="0" fontId="30" fillId="0" borderId="16" xfId="67" applyFont="1" applyFill="1" applyBorder="1" applyAlignment="1" applyProtection="1">
      <alignment horizontal="center" vertical="center"/>
      <protection/>
    </xf>
    <xf numFmtId="0" fontId="62" fillId="39" borderId="21" xfId="67" applyFont="1" applyFill="1" applyBorder="1" applyAlignment="1" applyProtection="1">
      <alignment horizontal="center" vertical="center"/>
      <protection/>
    </xf>
    <xf numFmtId="0" fontId="68" fillId="3" borderId="21" xfId="67" applyFont="1" applyFill="1" applyBorder="1" applyAlignment="1">
      <alignment horizontal="center" vertical="center" wrapText="1"/>
      <protection/>
    </xf>
    <xf numFmtId="0" fontId="69" fillId="35" borderId="21" xfId="67" applyFont="1" applyFill="1" applyBorder="1" applyAlignment="1">
      <alignment horizontal="center" vertical="center" wrapText="1"/>
      <protection/>
    </xf>
    <xf numFmtId="0" fontId="70" fillId="40" borderId="16" xfId="67" applyFont="1" applyFill="1" applyBorder="1" applyAlignment="1" applyProtection="1">
      <alignment horizontal="centerContinuous" vertical="center" wrapText="1"/>
      <protection/>
    </xf>
    <xf numFmtId="0" fontId="70" fillId="40" borderId="17" xfId="67" applyFont="1" applyFill="1" applyBorder="1" applyAlignment="1">
      <alignment horizontal="centerContinuous" vertical="center"/>
      <protection/>
    </xf>
    <xf numFmtId="0" fontId="34" fillId="41" borderId="21" xfId="67" applyFont="1" applyFill="1" applyBorder="1" applyAlignment="1">
      <alignment horizontal="center" vertical="center" wrapText="1"/>
      <protection/>
    </xf>
    <xf numFmtId="0" fontId="71" fillId="3" borderId="21" xfId="67" applyFont="1" applyFill="1" applyBorder="1" applyAlignment="1">
      <alignment horizontal="center" vertical="center" wrapText="1"/>
      <protection/>
    </xf>
    <xf numFmtId="0" fontId="13" fillId="0" borderId="43" xfId="67" applyFont="1" applyFill="1" applyBorder="1" applyAlignment="1">
      <alignment horizontal="center"/>
      <protection/>
    </xf>
    <xf numFmtId="164" fontId="13" fillId="0" borderId="43" xfId="67" applyNumberFormat="1" applyFont="1" applyFill="1" applyBorder="1" applyAlignment="1" applyProtection="1">
      <alignment horizontal="center"/>
      <protection/>
    </xf>
    <xf numFmtId="0" fontId="63" fillId="36" borderId="43" xfId="67" applyFont="1" applyFill="1" applyBorder="1" applyAlignment="1">
      <alignment horizontal="center"/>
      <protection/>
    </xf>
    <xf numFmtId="0" fontId="13" fillId="0" borderId="44" xfId="67" applyFont="1" applyFill="1" applyBorder="1" applyAlignment="1">
      <alignment horizontal="center"/>
      <protection/>
    </xf>
    <xf numFmtId="0" fontId="29" fillId="39" borderId="43" xfId="67" applyFont="1" applyFill="1" applyBorder="1" applyAlignment="1">
      <alignment horizontal="center"/>
      <protection/>
    </xf>
    <xf numFmtId="0" fontId="72" fillId="3" borderId="43" xfId="67" applyFont="1" applyFill="1" applyBorder="1" applyAlignment="1">
      <alignment horizontal="center"/>
      <protection/>
    </xf>
    <xf numFmtId="0" fontId="73" fillId="35" borderId="43" xfId="67" applyFont="1" applyFill="1" applyBorder="1" applyAlignment="1">
      <alignment horizontal="center"/>
      <protection/>
    </xf>
    <xf numFmtId="0" fontId="52" fillId="36" borderId="24" xfId="67" applyFont="1" applyFill="1" applyBorder="1" applyAlignment="1">
      <alignment horizontal="center"/>
      <protection/>
    </xf>
    <xf numFmtId="0" fontId="52" fillId="36" borderId="26" xfId="67" applyFont="1" applyFill="1" applyBorder="1" applyAlignment="1">
      <alignment horizontal="center"/>
      <protection/>
    </xf>
    <xf numFmtId="0" fontId="74" fillId="40" borderId="45" xfId="67" applyFont="1" applyFill="1" applyBorder="1" applyAlignment="1">
      <alignment horizontal="center"/>
      <protection/>
    </xf>
    <xf numFmtId="0" fontId="74" fillId="40" borderId="46" xfId="67" applyFont="1" applyFill="1" applyBorder="1" applyAlignment="1">
      <alignment horizontal="center"/>
      <protection/>
    </xf>
    <xf numFmtId="0" fontId="50" fillId="41" borderId="43" xfId="67" applyFont="1" applyFill="1" applyBorder="1" applyAlignment="1">
      <alignment horizontal="center"/>
      <protection/>
    </xf>
    <xf numFmtId="0" fontId="75" fillId="3" borderId="43" xfId="67" applyFont="1" applyFill="1" applyBorder="1" applyAlignment="1">
      <alignment horizontal="center"/>
      <protection/>
    </xf>
    <xf numFmtId="7" fontId="48" fillId="0" borderId="44" xfId="67" applyNumberFormat="1" applyFont="1" applyFill="1" applyBorder="1" applyAlignment="1">
      <alignment/>
      <protection/>
    </xf>
    <xf numFmtId="164" fontId="13" fillId="0" borderId="27" xfId="67" applyNumberFormat="1" applyFont="1" applyFill="1" applyBorder="1" applyAlignment="1" applyProtection="1">
      <alignment horizontal="center"/>
      <protection/>
    </xf>
    <xf numFmtId="0" fontId="63" fillId="36" borderId="27" xfId="67" applyFont="1" applyFill="1" applyBorder="1" applyAlignment="1">
      <alignment horizontal="center"/>
      <protection/>
    </xf>
    <xf numFmtId="0" fontId="13" fillId="0" borderId="47" xfId="67" applyFont="1" applyFill="1" applyBorder="1" applyAlignment="1">
      <alignment horizontal="center"/>
      <protection/>
    </xf>
    <xf numFmtId="0" fontId="29" fillId="39" borderId="27" xfId="67" applyFont="1" applyFill="1" applyBorder="1" applyAlignment="1">
      <alignment horizontal="center"/>
      <protection/>
    </xf>
    <xf numFmtId="0" fontId="72" fillId="3" borderId="27" xfId="67" applyFont="1" applyFill="1" applyBorder="1" applyAlignment="1">
      <alignment horizontal="center"/>
      <protection/>
    </xf>
    <xf numFmtId="0" fontId="73" fillId="35" borderId="27" xfId="67" applyFont="1" applyFill="1" applyBorder="1" applyAlignment="1">
      <alignment horizontal="center"/>
      <protection/>
    </xf>
    <xf numFmtId="0" fontId="52" fillId="36" borderId="48" xfId="67" applyFont="1" applyFill="1" applyBorder="1" applyAlignment="1">
      <alignment horizontal="center"/>
      <protection/>
    </xf>
    <xf numFmtId="0" fontId="52" fillId="36" borderId="49" xfId="67" applyFont="1" applyFill="1" applyBorder="1" applyAlignment="1">
      <alignment horizontal="center"/>
      <protection/>
    </xf>
    <xf numFmtId="0" fontId="74" fillId="40" borderId="48" xfId="67" applyFont="1" applyFill="1" applyBorder="1" applyAlignment="1">
      <alignment horizontal="center"/>
      <protection/>
    </xf>
    <xf numFmtId="0" fontId="74" fillId="40" borderId="49" xfId="67" applyFont="1" applyFill="1" applyBorder="1" applyAlignment="1">
      <alignment horizontal="center"/>
      <protection/>
    </xf>
    <xf numFmtId="0" fontId="50" fillId="41" borderId="27" xfId="67" applyFont="1" applyFill="1" applyBorder="1" applyAlignment="1">
      <alignment horizontal="center"/>
      <protection/>
    </xf>
    <xf numFmtId="0" fontId="75" fillId="3" borderId="27" xfId="67" applyFont="1" applyFill="1" applyBorder="1" applyAlignment="1">
      <alignment horizontal="center"/>
      <protection/>
    </xf>
    <xf numFmtId="0" fontId="48" fillId="0" borderId="47" xfId="67" applyFont="1" applyFill="1" applyBorder="1" applyAlignment="1">
      <alignment horizontal="center"/>
      <protection/>
    </xf>
    <xf numFmtId="0" fontId="13" fillId="0" borderId="27" xfId="67" applyFont="1" applyBorder="1" applyAlignment="1" applyProtection="1">
      <alignment horizontal="center"/>
      <protection locked="0"/>
    </xf>
    <xf numFmtId="0" fontId="13" fillId="0" borderId="32" xfId="67" applyFont="1" applyBorder="1" applyAlignment="1" applyProtection="1">
      <alignment horizontal="center"/>
      <protection locked="0"/>
    </xf>
    <xf numFmtId="164" fontId="13" fillId="0" borderId="27" xfId="67" applyNumberFormat="1" applyFont="1" applyBorder="1" applyAlignment="1" applyProtection="1">
      <alignment horizontal="center"/>
      <protection locked="0"/>
    </xf>
    <xf numFmtId="1" fontId="13" fillId="0" borderId="49" xfId="67" applyNumberFormat="1" applyFont="1" applyBorder="1" applyAlignment="1" applyProtection="1" quotePrefix="1">
      <alignment horizontal="center"/>
      <protection locked="0"/>
    </xf>
    <xf numFmtId="174" fontId="63" fillId="36" borderId="28" xfId="67" applyNumberFormat="1" applyFont="1" applyFill="1" applyBorder="1" applyAlignment="1" applyProtection="1">
      <alignment horizontal="center"/>
      <protection/>
    </xf>
    <xf numFmtId="22" fontId="13" fillId="0" borderId="28" xfId="67" applyNumberFormat="1" applyFont="1" applyFill="1" applyBorder="1" applyAlignment="1" applyProtection="1">
      <alignment horizontal="center"/>
      <protection locked="0"/>
    </xf>
    <xf numFmtId="4" fontId="13" fillId="0" borderId="28" xfId="67" applyNumberFormat="1" applyFont="1" applyFill="1" applyBorder="1" applyAlignment="1" applyProtection="1">
      <alignment horizontal="center"/>
      <protection/>
    </xf>
    <xf numFmtId="3" fontId="13" fillId="0" borderId="28" xfId="67" applyNumberFormat="1" applyFont="1" applyFill="1" applyBorder="1" applyAlignment="1" applyProtection="1">
      <alignment horizontal="center"/>
      <protection/>
    </xf>
    <xf numFmtId="168" fontId="13" fillId="0" borderId="28" xfId="67" applyNumberFormat="1" applyFont="1" applyFill="1" applyBorder="1" applyAlignment="1" applyProtection="1">
      <alignment horizontal="center"/>
      <protection locked="0"/>
    </xf>
    <xf numFmtId="168" fontId="13" fillId="0" borderId="28" xfId="67" applyNumberFormat="1" applyFont="1" applyBorder="1" applyAlignment="1" applyProtection="1" quotePrefix="1">
      <alignment horizontal="center"/>
      <protection/>
    </xf>
    <xf numFmtId="164" fontId="29" fillId="39" borderId="28" xfId="67" applyNumberFormat="1" applyFont="1" applyFill="1" applyBorder="1" applyAlignment="1" applyProtection="1">
      <alignment horizontal="center"/>
      <protection/>
    </xf>
    <xf numFmtId="2" fontId="72" fillId="3" borderId="28" xfId="67" applyNumberFormat="1" applyFont="1" applyFill="1" applyBorder="1" applyAlignment="1">
      <alignment horizontal="center"/>
      <protection/>
    </xf>
    <xf numFmtId="2" fontId="73" fillId="35" borderId="28" xfId="67" applyNumberFormat="1" applyFont="1" applyFill="1" applyBorder="1" applyAlignment="1">
      <alignment horizontal="center"/>
      <protection/>
    </xf>
    <xf numFmtId="168" fontId="52" fillId="36" borderId="48" xfId="67" applyNumberFormat="1" applyFont="1" applyFill="1" applyBorder="1" applyAlignment="1" applyProtection="1" quotePrefix="1">
      <alignment horizontal="center"/>
      <protection/>
    </xf>
    <xf numFmtId="168" fontId="52" fillId="36" borderId="49" xfId="67" applyNumberFormat="1" applyFont="1" applyFill="1" applyBorder="1" applyAlignment="1" applyProtection="1" quotePrefix="1">
      <alignment horizontal="center"/>
      <protection/>
    </xf>
    <xf numFmtId="168" fontId="74" fillId="40" borderId="48" xfId="67" applyNumberFormat="1" applyFont="1" applyFill="1" applyBorder="1" applyAlignment="1" applyProtection="1" quotePrefix="1">
      <alignment horizontal="center"/>
      <protection/>
    </xf>
    <xf numFmtId="168" fontId="74" fillId="40" borderId="49" xfId="67" applyNumberFormat="1" applyFont="1" applyFill="1" applyBorder="1" applyAlignment="1" applyProtection="1" quotePrefix="1">
      <alignment horizontal="center"/>
      <protection/>
    </xf>
    <xf numFmtId="168" fontId="50" fillId="41" borderId="28" xfId="67" applyNumberFormat="1" applyFont="1" applyFill="1" applyBorder="1" applyAlignment="1" applyProtection="1" quotePrefix="1">
      <alignment horizontal="center"/>
      <protection/>
    </xf>
    <xf numFmtId="168" fontId="75" fillId="3" borderId="27" xfId="67" applyNumberFormat="1" applyFont="1" applyFill="1" applyBorder="1" applyAlignment="1" applyProtection="1" quotePrefix="1">
      <alignment horizontal="center"/>
      <protection/>
    </xf>
    <xf numFmtId="168" fontId="13" fillId="0" borderId="29" xfId="67" applyNumberFormat="1" applyFont="1" applyFill="1" applyBorder="1" applyAlignment="1">
      <alignment horizontal="center"/>
      <protection/>
    </xf>
    <xf numFmtId="0" fontId="13" fillId="0" borderId="47" xfId="67" applyFont="1" applyBorder="1" applyAlignment="1" applyProtection="1">
      <alignment horizontal="center"/>
      <protection locked="0"/>
    </xf>
    <xf numFmtId="0" fontId="76" fillId="0" borderId="36" xfId="67" applyFont="1" applyFill="1" applyBorder="1" applyAlignment="1" applyProtection="1">
      <alignment horizontal="center"/>
      <protection locked="0"/>
    </xf>
    <xf numFmtId="0" fontId="76" fillId="0" borderId="36" xfId="67" applyFont="1" applyFill="1" applyBorder="1" applyAlignment="1" applyProtection="1" quotePrefix="1">
      <alignment horizontal="center"/>
      <protection locked="0"/>
    </xf>
    <xf numFmtId="164" fontId="49" fillId="0" borderId="34" xfId="67" applyNumberFormat="1" applyFont="1" applyFill="1" applyBorder="1" applyAlignment="1" applyProtection="1">
      <alignment horizontal="center"/>
      <protection locked="0"/>
    </xf>
    <xf numFmtId="168" fontId="63" fillId="36" borderId="36" xfId="67" applyNumberFormat="1" applyFont="1" applyFill="1" applyBorder="1" applyAlignment="1" applyProtection="1">
      <alignment horizontal="center"/>
      <protection/>
    </xf>
    <xf numFmtId="0" fontId="13" fillId="0" borderId="36" xfId="67" applyFont="1" applyFill="1" applyBorder="1" applyAlignment="1" applyProtection="1">
      <alignment horizontal="center"/>
      <protection locked="0"/>
    </xf>
    <xf numFmtId="38" fontId="13" fillId="0" borderId="36" xfId="67" applyNumberFormat="1" applyFont="1" applyFill="1" applyBorder="1" applyAlignment="1" applyProtection="1">
      <alignment horizontal="center"/>
      <protection locked="0"/>
    </xf>
    <xf numFmtId="38" fontId="13" fillId="0" borderId="36" xfId="67" applyNumberFormat="1" applyFont="1" applyFill="1" applyBorder="1" applyAlignment="1" applyProtection="1">
      <alignment horizontal="center"/>
      <protection/>
    </xf>
    <xf numFmtId="164" fontId="13" fillId="0" borderId="36" xfId="67" applyNumberFormat="1" applyFont="1" applyFill="1" applyBorder="1" applyAlignment="1" applyProtection="1" quotePrefix="1">
      <alignment horizontal="center"/>
      <protection/>
    </xf>
    <xf numFmtId="168" fontId="13" fillId="0" borderId="36" xfId="67" applyNumberFormat="1" applyFont="1" applyFill="1" applyBorder="1" applyAlignment="1" applyProtection="1">
      <alignment horizontal="center"/>
      <protection locked="0"/>
    </xf>
    <xf numFmtId="168" fontId="13" fillId="0" borderId="50" xfId="67" applyNumberFormat="1" applyFont="1" applyFill="1" applyBorder="1" applyAlignment="1" applyProtection="1">
      <alignment horizontal="center"/>
      <protection locked="0"/>
    </xf>
    <xf numFmtId="164" fontId="29" fillId="39" borderId="36" xfId="67" applyNumberFormat="1" applyFont="1" applyFill="1" applyBorder="1" applyAlignment="1" applyProtection="1">
      <alignment horizontal="center"/>
      <protection/>
    </xf>
    <xf numFmtId="2" fontId="72" fillId="3" borderId="36" xfId="67" applyNumberFormat="1" applyFont="1" applyFill="1" applyBorder="1" applyAlignment="1">
      <alignment horizontal="center"/>
      <protection/>
    </xf>
    <xf numFmtId="2" fontId="73" fillId="35" borderId="36" xfId="67" applyNumberFormat="1" applyFont="1" applyFill="1" applyBorder="1" applyAlignment="1">
      <alignment horizontal="center"/>
      <protection/>
    </xf>
    <xf numFmtId="168" fontId="52" fillId="36" borderId="51" xfId="67" applyNumberFormat="1" applyFont="1" applyFill="1" applyBorder="1" applyAlignment="1" applyProtection="1" quotePrefix="1">
      <alignment horizontal="center"/>
      <protection/>
    </xf>
    <xf numFmtId="168" fontId="52" fillId="36" borderId="52" xfId="67" applyNumberFormat="1" applyFont="1" applyFill="1" applyBorder="1" applyAlignment="1" applyProtection="1" quotePrefix="1">
      <alignment horizontal="center"/>
      <protection/>
    </xf>
    <xf numFmtId="168" fontId="74" fillId="40" borderId="37" xfId="67" applyNumberFormat="1" applyFont="1" applyFill="1" applyBorder="1" applyAlignment="1" applyProtection="1" quotePrefix="1">
      <alignment horizontal="center"/>
      <protection/>
    </xf>
    <xf numFmtId="168" fontId="74" fillId="40" borderId="39" xfId="67" applyNumberFormat="1" applyFont="1" applyFill="1" applyBorder="1" applyAlignment="1" applyProtection="1" quotePrefix="1">
      <alignment horizontal="center"/>
      <protection/>
    </xf>
    <xf numFmtId="168" fontId="50" fillId="41" borderId="36" xfId="67" applyNumberFormat="1" applyFont="1" applyFill="1" applyBorder="1" applyAlignment="1" applyProtection="1" quotePrefix="1">
      <alignment horizontal="center"/>
      <protection/>
    </xf>
    <xf numFmtId="168" fontId="75" fillId="3" borderId="36" xfId="67" applyNumberFormat="1" applyFont="1" applyFill="1" applyBorder="1" applyAlignment="1" applyProtection="1" quotePrefix="1">
      <alignment horizontal="center"/>
      <protection/>
    </xf>
    <xf numFmtId="168" fontId="77" fillId="0" borderId="50" xfId="67" applyNumberFormat="1" applyFont="1" applyFill="1" applyBorder="1" applyAlignment="1">
      <alignment horizontal="center"/>
      <protection/>
    </xf>
    <xf numFmtId="168" fontId="66" fillId="0" borderId="53" xfId="67" applyNumberFormat="1" applyFont="1" applyFill="1" applyBorder="1" applyAlignment="1">
      <alignment horizontal="center"/>
      <protection/>
    </xf>
    <xf numFmtId="4" fontId="72" fillId="3" borderId="21" xfId="67" applyNumberFormat="1" applyFont="1" applyFill="1" applyBorder="1" applyAlignment="1">
      <alignment horizontal="center"/>
      <protection/>
    </xf>
    <xf numFmtId="4" fontId="73" fillId="35" borderId="21" xfId="67" applyNumberFormat="1" applyFont="1" applyFill="1" applyBorder="1" applyAlignment="1">
      <alignment horizontal="center"/>
      <protection/>
    </xf>
    <xf numFmtId="4" fontId="52" fillId="36" borderId="54" xfId="67" applyNumberFormat="1" applyFont="1" applyFill="1" applyBorder="1" applyAlignment="1">
      <alignment horizontal="center"/>
      <protection/>
    </xf>
    <xf numFmtId="4" fontId="52" fillId="36" borderId="17" xfId="67" applyNumberFormat="1" applyFont="1" applyFill="1" applyBorder="1" applyAlignment="1">
      <alignment horizontal="center"/>
      <protection/>
    </xf>
    <xf numFmtId="4" fontId="74" fillId="40" borderId="54" xfId="67" applyNumberFormat="1" applyFont="1" applyFill="1" applyBorder="1" applyAlignment="1">
      <alignment horizontal="center"/>
      <protection/>
    </xf>
    <xf numFmtId="4" fontId="74" fillId="40" borderId="55" xfId="67" applyNumberFormat="1" applyFont="1" applyFill="1" applyBorder="1" applyAlignment="1">
      <alignment horizontal="center"/>
      <protection/>
    </xf>
    <xf numFmtId="4" fontId="50" fillId="41" borderId="21" xfId="67" applyNumberFormat="1" applyFont="1" applyFill="1" applyBorder="1" applyAlignment="1">
      <alignment horizontal="center"/>
      <protection/>
    </xf>
    <xf numFmtId="4" fontId="75" fillId="3" borderId="21" xfId="67" applyNumberFormat="1" applyFont="1" applyFill="1" applyBorder="1" applyAlignment="1">
      <alignment horizontal="center"/>
      <protection/>
    </xf>
    <xf numFmtId="7" fontId="78" fillId="0" borderId="21" xfId="67" applyNumberFormat="1" applyFont="1" applyFill="1" applyBorder="1" applyAlignment="1">
      <alignment horizontal="right"/>
      <protection/>
    </xf>
    <xf numFmtId="0" fontId="13" fillId="0" borderId="18" xfId="67" applyFont="1" applyFill="1" applyBorder="1">
      <alignment/>
      <protection/>
    </xf>
    <xf numFmtId="0" fontId="13" fillId="0" borderId="19" xfId="67" applyFont="1" applyFill="1" applyBorder="1">
      <alignment/>
      <protection/>
    </xf>
    <xf numFmtId="0" fontId="13" fillId="0" borderId="20" xfId="67" applyFont="1" applyFill="1" applyBorder="1">
      <alignment/>
      <protection/>
    </xf>
    <xf numFmtId="0" fontId="3" fillId="0" borderId="0" xfId="67" applyFill="1">
      <alignment/>
      <protection/>
    </xf>
    <xf numFmtId="0" fontId="0" fillId="0" borderId="0" xfId="67" applyFont="1">
      <alignment/>
      <protection/>
    </xf>
    <xf numFmtId="0" fontId="20" fillId="0" borderId="0" xfId="67" applyFont="1" applyFill="1" applyBorder="1" applyAlignment="1">
      <alignment horizontal="left" vertical="top"/>
      <protection/>
    </xf>
    <xf numFmtId="0" fontId="13" fillId="0" borderId="0" xfId="67" applyFont="1" applyFill="1" applyAlignment="1">
      <alignment vertical="top"/>
      <protection/>
    </xf>
    <xf numFmtId="0" fontId="13" fillId="0" borderId="14" xfId="67" applyFont="1" applyFill="1" applyBorder="1" applyAlignment="1">
      <alignment vertical="top"/>
      <protection/>
    </xf>
    <xf numFmtId="0" fontId="13" fillId="0" borderId="0" xfId="67" applyFont="1" applyFill="1" applyBorder="1" applyAlignment="1">
      <alignment vertical="top"/>
      <protection/>
    </xf>
    <xf numFmtId="0" fontId="13" fillId="0" borderId="0" xfId="67" applyFont="1" applyFill="1" applyBorder="1" applyAlignment="1">
      <alignment horizontal="center" vertical="top"/>
      <protection/>
    </xf>
    <xf numFmtId="0" fontId="63" fillId="36" borderId="35" xfId="67" applyFont="1" applyFill="1" applyBorder="1" applyAlignment="1">
      <alignment horizontal="center"/>
      <protection/>
    </xf>
    <xf numFmtId="164" fontId="29" fillId="39" borderId="27" xfId="67" applyNumberFormat="1" applyFont="1" applyFill="1" applyBorder="1" applyAlignment="1" applyProtection="1">
      <alignment horizontal="center"/>
      <protection/>
    </xf>
    <xf numFmtId="168" fontId="13" fillId="0" borderId="27" xfId="67" applyNumberFormat="1" applyFont="1" applyBorder="1" applyAlignment="1" applyProtection="1" quotePrefix="1">
      <alignment horizontal="center"/>
      <protection/>
    </xf>
    <xf numFmtId="168" fontId="13" fillId="0" borderId="27" xfId="67" applyNumberFormat="1" applyFont="1" applyBorder="1" applyAlignment="1" applyProtection="1">
      <alignment horizontal="center"/>
      <protection/>
    </xf>
    <xf numFmtId="2" fontId="72" fillId="3" borderId="28" xfId="67" applyNumberFormat="1" applyFont="1" applyFill="1" applyBorder="1" applyAlignment="1" applyProtection="1">
      <alignment horizontal="center"/>
      <protection/>
    </xf>
    <xf numFmtId="2" fontId="73" fillId="35" borderId="28" xfId="67" applyNumberFormat="1" applyFont="1" applyFill="1" applyBorder="1" applyAlignment="1" applyProtection="1">
      <alignment horizontal="center"/>
      <protection/>
    </xf>
    <xf numFmtId="168" fontId="13" fillId="0" borderId="47" xfId="67" applyNumberFormat="1" applyFont="1" applyFill="1" applyBorder="1" applyAlignment="1" applyProtection="1">
      <alignment horizontal="center"/>
      <protection/>
    </xf>
    <xf numFmtId="2" fontId="72" fillId="3" borderId="36" xfId="67" applyNumberFormat="1" applyFont="1" applyFill="1" applyBorder="1" applyAlignment="1" applyProtection="1">
      <alignment horizontal="center"/>
      <protection locked="0"/>
    </xf>
    <xf numFmtId="2" fontId="73" fillId="35" borderId="36" xfId="67" applyNumberFormat="1" applyFont="1" applyFill="1" applyBorder="1" applyAlignment="1" applyProtection="1">
      <alignment horizontal="center"/>
      <protection locked="0"/>
    </xf>
    <xf numFmtId="168" fontId="52" fillId="36" borderId="51" xfId="67" applyNumberFormat="1" applyFont="1" applyFill="1" applyBorder="1" applyAlignment="1" applyProtection="1" quotePrefix="1">
      <alignment horizontal="center"/>
      <protection locked="0"/>
    </xf>
    <xf numFmtId="168" fontId="52" fillId="36" borderId="52" xfId="67" applyNumberFormat="1" applyFont="1" applyFill="1" applyBorder="1" applyAlignment="1" applyProtection="1" quotePrefix="1">
      <alignment horizontal="center"/>
      <protection locked="0"/>
    </xf>
    <xf numFmtId="168" fontId="74" fillId="40" borderId="37" xfId="67" applyNumberFormat="1" applyFont="1" applyFill="1" applyBorder="1" applyAlignment="1" applyProtection="1" quotePrefix="1">
      <alignment horizontal="center"/>
      <protection locked="0"/>
    </xf>
    <xf numFmtId="168" fontId="74" fillId="40" borderId="39" xfId="67" applyNumberFormat="1" applyFont="1" applyFill="1" applyBorder="1" applyAlignment="1" applyProtection="1" quotePrefix="1">
      <alignment horizontal="center"/>
      <protection locked="0"/>
    </xf>
    <xf numFmtId="168" fontId="50" fillId="41" borderId="36" xfId="67" applyNumberFormat="1" applyFont="1" applyFill="1" applyBorder="1" applyAlignment="1" applyProtection="1" quotePrefix="1">
      <alignment horizontal="center"/>
      <protection locked="0"/>
    </xf>
    <xf numFmtId="168" fontId="75" fillId="3" borderId="36" xfId="67" applyNumberFormat="1" applyFont="1" applyFill="1" applyBorder="1" applyAlignment="1" applyProtection="1" quotePrefix="1">
      <alignment horizontal="center"/>
      <protection locked="0"/>
    </xf>
    <xf numFmtId="168" fontId="77" fillId="0" borderId="50" xfId="67" applyNumberFormat="1" applyFont="1" applyFill="1" applyBorder="1" applyAlignment="1" applyProtection="1">
      <alignment horizontal="center"/>
      <protection locked="0"/>
    </xf>
    <xf numFmtId="0" fontId="13" fillId="0" borderId="0" xfId="67" applyFont="1" applyFill="1" applyBorder="1" applyAlignment="1">
      <alignment horizontal="left"/>
      <protection/>
    </xf>
    <xf numFmtId="0" fontId="16" fillId="0" borderId="0" xfId="67" applyFont="1" applyFill="1" applyAlignment="1">
      <alignment vertical="top"/>
      <protection/>
    </xf>
    <xf numFmtId="0" fontId="16" fillId="0" borderId="14" xfId="67" applyFont="1" applyFill="1" applyBorder="1" applyAlignment="1">
      <alignment vertical="top"/>
      <protection/>
    </xf>
    <xf numFmtId="0" fontId="16" fillId="0" borderId="0" xfId="67" applyFont="1" applyFill="1" applyBorder="1" applyAlignment="1">
      <alignment vertical="top"/>
      <protection/>
    </xf>
    <xf numFmtId="0" fontId="20" fillId="0" borderId="0" xfId="67" applyFont="1" applyFill="1" applyBorder="1" applyAlignment="1">
      <alignment vertical="top"/>
      <protection/>
    </xf>
    <xf numFmtId="168" fontId="13" fillId="0" borderId="29" xfId="67" applyNumberFormat="1" applyFont="1" applyFill="1" applyBorder="1" applyAlignment="1" applyProtection="1">
      <alignment horizontal="center"/>
      <protection/>
    </xf>
    <xf numFmtId="4" fontId="79" fillId="0" borderId="29" xfId="67" applyNumberFormat="1" applyFont="1" applyFill="1" applyBorder="1" applyAlignment="1">
      <alignment horizontal="right"/>
      <protection/>
    </xf>
    <xf numFmtId="164" fontId="29" fillId="39" borderId="36" xfId="67" applyNumberFormat="1" applyFont="1" applyFill="1" applyBorder="1" applyAlignment="1" applyProtection="1">
      <alignment horizontal="center"/>
      <protection locked="0"/>
    </xf>
    <xf numFmtId="0" fontId="13" fillId="0" borderId="56" xfId="67" applyFont="1" applyFill="1" applyBorder="1" applyAlignment="1">
      <alignment horizontal="center"/>
      <protection/>
    </xf>
    <xf numFmtId="0" fontId="29" fillId="39" borderId="23" xfId="67" applyFont="1" applyFill="1" applyBorder="1" applyAlignment="1">
      <alignment horizontal="center"/>
      <protection/>
    </xf>
    <xf numFmtId="0" fontId="72" fillId="3" borderId="23" xfId="67" applyFont="1" applyFill="1" applyBorder="1" applyAlignment="1">
      <alignment horizontal="center"/>
      <protection/>
    </xf>
    <xf numFmtId="0" fontId="73" fillId="35" borderId="23" xfId="67" applyFont="1" applyFill="1" applyBorder="1" applyAlignment="1">
      <alignment horizontal="center"/>
      <protection/>
    </xf>
    <xf numFmtId="0" fontId="74" fillId="40" borderId="24" xfId="67" applyFont="1" applyFill="1" applyBorder="1" applyAlignment="1">
      <alignment horizontal="center"/>
      <protection/>
    </xf>
    <xf numFmtId="0" fontId="74" fillId="40" borderId="26" xfId="67" applyFont="1" applyFill="1" applyBorder="1" applyAlignment="1">
      <alignment horizontal="center"/>
      <protection/>
    </xf>
    <xf numFmtId="0" fontId="50" fillId="41" borderId="23" xfId="67" applyFont="1" applyFill="1" applyBorder="1" applyAlignment="1">
      <alignment horizontal="center"/>
      <protection/>
    </xf>
    <xf numFmtId="0" fontId="75" fillId="3" borderId="23" xfId="67" applyFont="1" applyFill="1" applyBorder="1" applyAlignment="1">
      <alignment horizontal="center"/>
      <protection/>
    </xf>
    <xf numFmtId="7" fontId="48" fillId="0" borderId="56" xfId="67" applyNumberFormat="1" applyFont="1" applyFill="1" applyBorder="1" applyAlignment="1">
      <alignment/>
      <protection/>
    </xf>
    <xf numFmtId="173" fontId="13" fillId="0" borderId="27" xfId="67" applyNumberFormat="1" applyFont="1" applyBorder="1" applyAlignment="1" applyProtection="1" quotePrefix="1">
      <alignment horizontal="center"/>
      <protection/>
    </xf>
    <xf numFmtId="2" fontId="72" fillId="3" borderId="27" xfId="67" applyNumberFormat="1" applyFont="1" applyFill="1" applyBorder="1" applyAlignment="1" applyProtection="1">
      <alignment horizontal="center"/>
      <protection/>
    </xf>
    <xf numFmtId="2" fontId="73" fillId="35" borderId="27" xfId="67" applyNumberFormat="1" applyFont="1" applyFill="1" applyBorder="1" applyAlignment="1" applyProtection="1">
      <alignment horizontal="center"/>
      <protection/>
    </xf>
    <xf numFmtId="168" fontId="50" fillId="41" borderId="27" xfId="67" applyNumberFormat="1" applyFont="1" applyFill="1" applyBorder="1" applyAlignment="1" applyProtection="1" quotePrefix="1">
      <alignment horizontal="center"/>
      <protection/>
    </xf>
    <xf numFmtId="0" fontId="13" fillId="0" borderId="13" xfId="67" applyFont="1" applyBorder="1">
      <alignment/>
      <protection/>
    </xf>
    <xf numFmtId="0" fontId="20" fillId="0" borderId="0" xfId="67" applyFont="1" applyFill="1" applyBorder="1">
      <alignment/>
      <protection/>
    </xf>
    <xf numFmtId="0" fontId="16" fillId="0" borderId="15" xfId="67" applyFont="1" applyBorder="1">
      <alignment/>
      <protection/>
    </xf>
    <xf numFmtId="0" fontId="20" fillId="0" borderId="0" xfId="67" applyFont="1" applyFill="1">
      <alignment/>
      <protection/>
    </xf>
    <xf numFmtId="0" fontId="80" fillId="0" borderId="0" xfId="67" applyFont="1" applyFill="1">
      <alignment/>
      <protection/>
    </xf>
    <xf numFmtId="0" fontId="16" fillId="0" borderId="0" xfId="67" applyFont="1" applyFill="1" applyBorder="1" applyProtection="1">
      <alignment/>
      <protection/>
    </xf>
    <xf numFmtId="0" fontId="5" fillId="0" borderId="0" xfId="67" applyFont="1" applyFill="1">
      <alignment/>
      <protection/>
    </xf>
    <xf numFmtId="0" fontId="13" fillId="0" borderId="0" xfId="67" applyFont="1" applyFill="1" applyBorder="1" applyProtection="1">
      <alignment/>
      <protection/>
    </xf>
    <xf numFmtId="0" fontId="24" fillId="0" borderId="0" xfId="67" applyFont="1" applyBorder="1" applyAlignment="1" applyProtection="1">
      <alignment horizontal="centerContinuous"/>
      <protection/>
    </xf>
    <xf numFmtId="0" fontId="24" fillId="0" borderId="15" xfId="67" applyFont="1" applyBorder="1" applyAlignment="1">
      <alignment horizontal="centerContinuous"/>
      <protection/>
    </xf>
    <xf numFmtId="0" fontId="25" fillId="0" borderId="14" xfId="67" applyFont="1" applyBorder="1" applyAlignment="1">
      <alignment horizontal="centerContinuous"/>
      <protection/>
    </xf>
    <xf numFmtId="0" fontId="25" fillId="0" borderId="0" xfId="67" applyFont="1" applyBorder="1" applyAlignment="1">
      <alignment horizontal="centerContinuous"/>
      <protection/>
    </xf>
    <xf numFmtId="0" fontId="25" fillId="0" borderId="0" xfId="67" applyFont="1" applyBorder="1" applyAlignment="1" applyProtection="1">
      <alignment horizontal="centerContinuous"/>
      <protection/>
    </xf>
    <xf numFmtId="0" fontId="25" fillId="0" borderId="15" xfId="67" applyFont="1" applyBorder="1" applyAlignment="1">
      <alignment horizontal="centerContinuous"/>
      <protection/>
    </xf>
    <xf numFmtId="0" fontId="3" fillId="0" borderId="0" xfId="67" applyFont="1" applyBorder="1">
      <alignment/>
      <protection/>
    </xf>
    <xf numFmtId="0" fontId="3" fillId="0" borderId="21" xfId="67" applyFont="1" applyBorder="1" applyAlignment="1">
      <alignment horizontal="center"/>
      <protection/>
    </xf>
    <xf numFmtId="0" fontId="3" fillId="0" borderId="16" xfId="67" applyFont="1" applyBorder="1" applyAlignment="1" applyProtection="1">
      <alignment horizontal="left" vertical="center"/>
      <protection/>
    </xf>
    <xf numFmtId="174" fontId="3" fillId="0" borderId="17" xfId="67" applyNumberFormat="1" applyFont="1" applyBorder="1" applyAlignment="1" applyProtection="1">
      <alignment horizontal="center" vertical="center"/>
      <protection/>
    </xf>
    <xf numFmtId="0" fontId="3" fillId="0" borderId="21" xfId="67" applyFont="1" applyBorder="1" applyAlignment="1">
      <alignment horizontal="center" vertical="center"/>
      <protection/>
    </xf>
    <xf numFmtId="0" fontId="3" fillId="0" borderId="16" xfId="67" applyFont="1" applyBorder="1" applyAlignment="1">
      <alignment vertical="center"/>
      <protection/>
    </xf>
    <xf numFmtId="174" fontId="3" fillId="0" borderId="17" xfId="67" applyNumberFormat="1" applyFont="1" applyBorder="1" applyAlignment="1">
      <alignment horizontal="center" vertical="center"/>
      <protection/>
    </xf>
    <xf numFmtId="0" fontId="3" fillId="0" borderId="16" xfId="67" applyFont="1" applyBorder="1" applyAlignment="1">
      <alignment horizontal="left" vertical="center"/>
      <protection/>
    </xf>
    <xf numFmtId="0" fontId="30" fillId="0" borderId="17" xfId="67" applyFont="1" applyBorder="1" applyAlignment="1" applyProtection="1">
      <alignment horizontal="center" vertical="center"/>
      <protection/>
    </xf>
    <xf numFmtId="0" fontId="30" fillId="0" borderId="22" xfId="67" applyFont="1" applyBorder="1" applyAlignment="1">
      <alignment horizontal="center" vertical="center" wrapText="1"/>
      <protection/>
    </xf>
    <xf numFmtId="0" fontId="30" fillId="0" borderId="17" xfId="67" applyFont="1" applyBorder="1" applyAlignment="1" applyProtection="1">
      <alignment horizontal="center" vertical="center" wrapText="1"/>
      <protection/>
    </xf>
    <xf numFmtId="0" fontId="62" fillId="33" borderId="21" xfId="67" applyFont="1" applyFill="1" applyBorder="1" applyAlignment="1" applyProtection="1">
      <alignment horizontal="center" vertical="center"/>
      <protection/>
    </xf>
    <xf numFmtId="0" fontId="70" fillId="40" borderId="21" xfId="67" applyFont="1" applyFill="1" applyBorder="1" applyAlignment="1">
      <alignment horizontal="center" vertical="center" wrapText="1"/>
      <protection/>
    </xf>
    <xf numFmtId="0" fontId="35" fillId="35" borderId="16" xfId="67" applyFont="1" applyFill="1" applyBorder="1" applyAlignment="1" applyProtection="1">
      <alignment horizontal="centerContinuous" vertical="center" wrapText="1"/>
      <protection/>
    </xf>
    <xf numFmtId="0" fontId="35" fillId="35" borderId="17" xfId="67" applyFont="1" applyFill="1" applyBorder="1" applyAlignment="1">
      <alignment horizontal="centerContinuous" vertical="center"/>
      <protection/>
    </xf>
    <xf numFmtId="0" fontId="62" fillId="34" borderId="21" xfId="67" applyFont="1" applyFill="1" applyBorder="1" applyAlignment="1">
      <alignment horizontal="center" vertical="center" wrapText="1"/>
      <protection/>
    </xf>
    <xf numFmtId="0" fontId="76" fillId="0" borderId="28" xfId="67" applyFont="1" applyBorder="1" applyAlignment="1" applyProtection="1">
      <alignment horizontal="center"/>
      <protection/>
    </xf>
    <xf numFmtId="0" fontId="29" fillId="33" borderId="23" xfId="67" applyFont="1" applyFill="1" applyBorder="1" applyAlignment="1" applyProtection="1">
      <alignment horizontal="center"/>
      <protection/>
    </xf>
    <xf numFmtId="0" fontId="74" fillId="40" borderId="23" xfId="67" applyFont="1" applyFill="1" applyBorder="1" applyAlignment="1" applyProtection="1">
      <alignment horizontal="center"/>
      <protection/>
    </xf>
    <xf numFmtId="168" fontId="51" fillId="35" borderId="24" xfId="67" applyNumberFormat="1" applyFont="1" applyFill="1" applyBorder="1" applyAlignment="1" applyProtection="1" quotePrefix="1">
      <alignment horizontal="center"/>
      <protection/>
    </xf>
    <xf numFmtId="168" fontId="51" fillId="35" borderId="26" xfId="67" applyNumberFormat="1" applyFont="1" applyFill="1" applyBorder="1" applyAlignment="1" applyProtection="1" quotePrefix="1">
      <alignment horizontal="center"/>
      <protection/>
    </xf>
    <xf numFmtId="168" fontId="65" fillId="34" borderId="23" xfId="67" applyNumberFormat="1" applyFont="1" applyFill="1" applyBorder="1" applyAlignment="1" applyProtection="1" quotePrefix="1">
      <alignment horizontal="center"/>
      <protection/>
    </xf>
    <xf numFmtId="7" fontId="81" fillId="0" borderId="28" xfId="67" applyNumberFormat="1" applyFont="1" applyBorder="1" applyAlignment="1" applyProtection="1">
      <alignment/>
      <protection/>
    </xf>
    <xf numFmtId="0" fontId="76" fillId="0" borderId="33" xfId="67" applyFont="1" applyBorder="1" applyAlignment="1" applyProtection="1">
      <alignment horizontal="center"/>
      <protection/>
    </xf>
    <xf numFmtId="0" fontId="63" fillId="36" borderId="33" xfId="67" applyFont="1" applyFill="1" applyBorder="1" applyAlignment="1" applyProtection="1">
      <alignment horizontal="center"/>
      <protection/>
    </xf>
    <xf numFmtId="0" fontId="29" fillId="33" borderId="28" xfId="67" applyFont="1" applyFill="1" applyBorder="1" applyAlignment="1" applyProtection="1">
      <alignment horizontal="center"/>
      <protection/>
    </xf>
    <xf numFmtId="0" fontId="74" fillId="40" borderId="28" xfId="67" applyFont="1" applyFill="1" applyBorder="1" applyAlignment="1" applyProtection="1">
      <alignment horizontal="center"/>
      <protection/>
    </xf>
    <xf numFmtId="168" fontId="51" fillId="35" borderId="30" xfId="67" applyNumberFormat="1" applyFont="1" applyFill="1" applyBorder="1" applyAlignment="1" applyProtection="1" quotePrefix="1">
      <alignment horizontal="center"/>
      <protection/>
    </xf>
    <xf numFmtId="168" fontId="51" fillId="35" borderId="57" xfId="67" applyNumberFormat="1" applyFont="1" applyFill="1" applyBorder="1" applyAlignment="1" applyProtection="1" quotePrefix="1">
      <alignment horizontal="center"/>
      <protection/>
    </xf>
    <xf numFmtId="168" fontId="65" fillId="34" borderId="28" xfId="67" applyNumberFormat="1" applyFont="1" applyFill="1" applyBorder="1" applyAlignment="1" applyProtection="1" quotePrefix="1">
      <alignment horizontal="center"/>
      <protection/>
    </xf>
    <xf numFmtId="168" fontId="79" fillId="0" borderId="28" xfId="67" applyNumberFormat="1" applyFont="1" applyFill="1" applyBorder="1" applyAlignment="1">
      <alignment horizontal="center"/>
      <protection/>
    </xf>
    <xf numFmtId="0" fontId="76" fillId="0" borderId="33" xfId="67" applyFont="1" applyBorder="1" applyAlignment="1" applyProtection="1">
      <alignment horizontal="center"/>
      <protection locked="0"/>
    </xf>
    <xf numFmtId="164" fontId="49" fillId="0" borderId="28" xfId="67" applyNumberFormat="1" applyFont="1" applyBorder="1" applyAlignment="1" applyProtection="1" quotePrefix="1">
      <alignment horizontal="center"/>
      <protection locked="0"/>
    </xf>
    <xf numFmtId="168" fontId="63" fillId="36" borderId="28" xfId="67" applyNumberFormat="1" applyFont="1" applyFill="1" applyBorder="1" applyAlignment="1" applyProtection="1">
      <alignment horizontal="center"/>
      <protection/>
    </xf>
    <xf numFmtId="22" fontId="13" fillId="0" borderId="30" xfId="67" applyNumberFormat="1" applyFont="1" applyBorder="1" applyAlignment="1" applyProtection="1">
      <alignment horizontal="center"/>
      <protection locked="0"/>
    </xf>
    <xf numFmtId="22" fontId="13" fillId="0" borderId="28" xfId="67" applyNumberFormat="1" applyFont="1" applyBorder="1" applyAlignment="1" applyProtection="1">
      <alignment horizontal="center"/>
      <protection locked="0"/>
    </xf>
    <xf numFmtId="2" fontId="13" fillId="0" borderId="28" xfId="67" applyNumberFormat="1" applyFont="1" applyFill="1" applyBorder="1" applyAlignment="1" applyProtection="1" quotePrefix="1">
      <alignment horizontal="center"/>
      <protection/>
    </xf>
    <xf numFmtId="164" fontId="13" fillId="0" borderId="28" xfId="67" applyNumberFormat="1" applyFont="1" applyFill="1" applyBorder="1" applyAlignment="1" applyProtection="1" quotePrefix="1">
      <alignment horizontal="center"/>
      <protection/>
    </xf>
    <xf numFmtId="164" fontId="29" fillId="33" borderId="28" xfId="67" applyNumberFormat="1" applyFont="1" applyFill="1" applyBorder="1" applyAlignment="1" applyProtection="1">
      <alignment horizontal="center"/>
      <protection/>
    </xf>
    <xf numFmtId="2" fontId="74" fillId="40" borderId="28" xfId="67" applyNumberFormat="1" applyFont="1" applyFill="1" applyBorder="1" applyAlignment="1" applyProtection="1">
      <alignment horizontal="center"/>
      <protection/>
    </xf>
    <xf numFmtId="4" fontId="79" fillId="0" borderId="28" xfId="67" applyNumberFormat="1" applyFont="1" applyFill="1" applyBorder="1" applyAlignment="1">
      <alignment horizontal="right"/>
      <protection/>
    </xf>
    <xf numFmtId="168" fontId="13" fillId="0" borderId="50" xfId="67" applyNumberFormat="1" applyFont="1" applyBorder="1" applyAlignment="1" applyProtection="1">
      <alignment horizontal="center"/>
      <protection locked="0"/>
    </xf>
    <xf numFmtId="168" fontId="13" fillId="0" borderId="50" xfId="67" applyNumberFormat="1" applyFont="1" applyBorder="1" applyAlignment="1" applyProtection="1">
      <alignment horizontal="center"/>
      <protection/>
    </xf>
    <xf numFmtId="164" fontId="29" fillId="33" borderId="36" xfId="67" applyNumberFormat="1" applyFont="1" applyFill="1" applyBorder="1" applyAlignment="1" applyProtection="1">
      <alignment horizontal="center"/>
      <protection locked="0"/>
    </xf>
    <xf numFmtId="2" fontId="74" fillId="40" borderId="36" xfId="67" applyNumberFormat="1" applyFont="1" applyFill="1" applyBorder="1" applyAlignment="1" applyProtection="1">
      <alignment horizontal="center"/>
      <protection locked="0"/>
    </xf>
    <xf numFmtId="168" fontId="51" fillId="35" borderId="37" xfId="67" applyNumberFormat="1" applyFont="1" applyFill="1" applyBorder="1" applyAlignment="1" applyProtection="1" quotePrefix="1">
      <alignment horizontal="center"/>
      <protection locked="0"/>
    </xf>
    <xf numFmtId="168" fontId="51" fillId="35" borderId="39" xfId="67" applyNumberFormat="1" applyFont="1" applyFill="1" applyBorder="1" applyAlignment="1" applyProtection="1" quotePrefix="1">
      <alignment horizontal="center"/>
      <protection locked="0"/>
    </xf>
    <xf numFmtId="168" fontId="65" fillId="34" borderId="36" xfId="67" applyNumberFormat="1" applyFont="1" applyFill="1" applyBorder="1" applyAlignment="1" applyProtection="1" quotePrefix="1">
      <alignment horizontal="center"/>
      <protection locked="0"/>
    </xf>
    <xf numFmtId="7" fontId="66" fillId="0" borderId="40" xfId="67" applyNumberFormat="1" applyFont="1" applyFill="1" applyBorder="1" applyAlignment="1">
      <alignment horizontal="right"/>
      <protection/>
    </xf>
    <xf numFmtId="4" fontId="74" fillId="40" borderId="21" xfId="67" applyNumberFormat="1" applyFont="1" applyFill="1" applyBorder="1" applyAlignment="1">
      <alignment horizontal="center"/>
      <protection/>
    </xf>
    <xf numFmtId="4" fontId="51" fillId="35" borderId="54" xfId="67" applyNumberFormat="1" applyFont="1" applyFill="1" applyBorder="1" applyAlignment="1">
      <alignment horizontal="center"/>
      <protection/>
    </xf>
    <xf numFmtId="4" fontId="51" fillId="35" borderId="55" xfId="67" applyNumberFormat="1" applyFont="1" applyFill="1" applyBorder="1" applyAlignment="1">
      <alignment horizontal="center"/>
      <protection/>
    </xf>
    <xf numFmtId="4" fontId="65" fillId="34" borderId="21" xfId="67" applyNumberFormat="1" applyFont="1" applyFill="1" applyBorder="1" applyAlignment="1">
      <alignment horizontal="center"/>
      <protection/>
    </xf>
    <xf numFmtId="4" fontId="19" fillId="0" borderId="0" xfId="67" applyNumberFormat="1" applyFont="1" applyFill="1" applyBorder="1" applyAlignment="1">
      <alignment horizontal="center"/>
      <protection/>
    </xf>
    <xf numFmtId="7" fontId="4" fillId="0" borderId="21" xfId="67" applyNumberFormat="1" applyFont="1" applyFill="1" applyBorder="1" applyAlignment="1">
      <alignment horizontal="right"/>
      <protection/>
    </xf>
    <xf numFmtId="0" fontId="20" fillId="0" borderId="0" xfId="67" applyFont="1" applyFill="1" applyAlignment="1">
      <alignment vertical="top"/>
      <protection/>
    </xf>
    <xf numFmtId="0" fontId="80" fillId="0" borderId="0" xfId="67" applyFont="1" applyFill="1" applyAlignment="1">
      <alignment vertical="top"/>
      <protection/>
    </xf>
    <xf numFmtId="0" fontId="16" fillId="0" borderId="0" xfId="67" applyFont="1" applyFill="1" applyBorder="1" applyAlignment="1" applyProtection="1">
      <alignment vertical="top"/>
      <protection/>
    </xf>
    <xf numFmtId="0" fontId="16" fillId="0" borderId="15" xfId="67" applyFont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13" fillId="0" borderId="0" xfId="67" applyFont="1" applyFill="1" applyBorder="1" applyAlignment="1" applyProtection="1">
      <alignment vertical="top"/>
      <protection/>
    </xf>
    <xf numFmtId="0" fontId="25" fillId="0" borderId="0" xfId="67" applyFont="1" applyBorder="1" applyAlignment="1">
      <alignment vertical="top"/>
      <protection/>
    </xf>
    <xf numFmtId="0" fontId="13" fillId="0" borderId="15" xfId="67" applyFont="1" applyBorder="1" applyAlignment="1">
      <alignment vertical="top"/>
      <protection/>
    </xf>
    <xf numFmtId="174" fontId="3" fillId="0" borderId="17" xfId="67" applyNumberFormat="1" applyFont="1" applyBorder="1" applyAlignment="1" applyProtection="1">
      <alignment horizontal="center" vertical="center"/>
      <protection locked="0"/>
    </xf>
    <xf numFmtId="0" fontId="76" fillId="0" borderId="58" xfId="67" applyFont="1" applyBorder="1" applyAlignment="1" applyProtection="1">
      <alignment horizontal="center"/>
      <protection locked="0"/>
    </xf>
    <xf numFmtId="0" fontId="9" fillId="0" borderId="0" xfId="67" applyFont="1" applyAlignment="1">
      <alignment horizontal="centerContinuous"/>
      <protection/>
    </xf>
    <xf numFmtId="0" fontId="20" fillId="0" borderId="0" xfId="67" applyFont="1" applyBorder="1" applyAlignment="1">
      <alignment horizontal="centerContinuous"/>
      <protection/>
    </xf>
    <xf numFmtId="0" fontId="16" fillId="0" borderId="15" xfId="67" applyFont="1" applyBorder="1" applyAlignment="1">
      <alignment horizontal="centerContinuous"/>
      <protection/>
    </xf>
    <xf numFmtId="0" fontId="20" fillId="0" borderId="0" xfId="67" applyFont="1">
      <alignment/>
      <protection/>
    </xf>
    <xf numFmtId="0" fontId="16" fillId="0" borderId="0" xfId="67" applyFont="1" applyBorder="1" applyProtection="1">
      <alignment/>
      <protection/>
    </xf>
    <xf numFmtId="0" fontId="5" fillId="0" borderId="0" xfId="67" applyFont="1" applyBorder="1">
      <alignment/>
      <protection/>
    </xf>
    <xf numFmtId="0" fontId="24" fillId="0" borderId="0" xfId="67" applyFont="1" applyBorder="1" applyAlignment="1">
      <alignment horizontal="centerContinuous"/>
      <protection/>
    </xf>
    <xf numFmtId="0" fontId="24" fillId="0" borderId="0" xfId="67" applyFont="1" applyBorder="1" applyAlignment="1" applyProtection="1">
      <alignment horizontal="centerContinuous"/>
      <protection/>
    </xf>
    <xf numFmtId="0" fontId="24" fillId="0" borderId="15" xfId="67" applyFont="1" applyBorder="1" applyAlignment="1">
      <alignment horizontal="centerContinuous"/>
      <protection/>
    </xf>
    <xf numFmtId="0" fontId="3" fillId="0" borderId="16" xfId="67" applyFont="1" applyBorder="1" applyAlignment="1" applyProtection="1">
      <alignment horizontal="left"/>
      <protection/>
    </xf>
    <xf numFmtId="0" fontId="3" fillId="0" borderId="16" xfId="67" applyFont="1" applyBorder="1" applyAlignment="1" applyProtection="1" quotePrefix="1">
      <alignment horizontal="left"/>
      <protection/>
    </xf>
    <xf numFmtId="0" fontId="3" fillId="0" borderId="22" xfId="67" applyFont="1" applyBorder="1" applyAlignment="1" applyProtection="1">
      <alignment horizontal="center"/>
      <protection/>
    </xf>
    <xf numFmtId="164" fontId="3" fillId="0" borderId="21" xfId="67" applyNumberFormat="1" applyFont="1" applyBorder="1" applyAlignment="1" applyProtection="1">
      <alignment horizontal="center"/>
      <protection/>
    </xf>
    <xf numFmtId="0" fontId="30" fillId="0" borderId="21" xfId="67" applyFont="1" applyBorder="1" applyAlignment="1" applyProtection="1" quotePrefix="1">
      <alignment horizontal="center" vertical="center" wrapText="1"/>
      <protection/>
    </xf>
    <xf numFmtId="0" fontId="61" fillId="3" borderId="21" xfId="67" applyFont="1" applyFill="1" applyBorder="1" applyAlignment="1">
      <alignment horizontal="center" vertical="center" wrapText="1"/>
      <protection/>
    </xf>
    <xf numFmtId="0" fontId="34" fillId="42" borderId="16" xfId="67" applyFont="1" applyFill="1" applyBorder="1" applyAlignment="1" applyProtection="1">
      <alignment horizontal="centerContinuous" vertical="center" wrapText="1"/>
      <protection/>
    </xf>
    <xf numFmtId="0" fontId="34" fillId="42" borderId="17" xfId="67" applyFont="1" applyFill="1" applyBorder="1" applyAlignment="1">
      <alignment horizontal="centerContinuous" vertical="center"/>
      <protection/>
    </xf>
    <xf numFmtId="0" fontId="37" fillId="35" borderId="21" xfId="67" applyFont="1" applyFill="1" applyBorder="1" applyAlignment="1">
      <alignment horizontal="center" vertical="center" wrapText="1"/>
      <protection/>
    </xf>
    <xf numFmtId="0" fontId="61" fillId="0" borderId="21" xfId="67" applyFont="1" applyFill="1" applyBorder="1" applyAlignment="1">
      <alignment horizontal="center" vertical="center" wrapText="1"/>
      <protection/>
    </xf>
    <xf numFmtId="0" fontId="13" fillId="0" borderId="59" xfId="67" applyFont="1" applyBorder="1" applyAlignment="1">
      <alignment horizontal="center"/>
      <protection/>
    </xf>
    <xf numFmtId="0" fontId="13" fillId="0" borderId="60" xfId="67" applyFont="1" applyBorder="1" applyAlignment="1">
      <alignment horizontal="center"/>
      <protection/>
    </xf>
    <xf numFmtId="0" fontId="13" fillId="0" borderId="35" xfId="67" applyFont="1" applyBorder="1" applyAlignment="1">
      <alignment horizontal="center"/>
      <protection/>
    </xf>
    <xf numFmtId="0" fontId="63" fillId="36" borderId="0" xfId="67" applyFont="1" applyFill="1" applyBorder="1" applyAlignment="1">
      <alignment horizontal="center"/>
      <protection/>
    </xf>
    <xf numFmtId="0" fontId="82" fillId="3" borderId="43" xfId="67" applyFont="1" applyFill="1" applyBorder="1" applyAlignment="1">
      <alignment horizontal="center"/>
      <protection/>
    </xf>
    <xf numFmtId="0" fontId="50" fillId="42" borderId="24" xfId="67" applyFont="1" applyFill="1" applyBorder="1" applyAlignment="1">
      <alignment horizontal="center"/>
      <protection/>
    </xf>
    <xf numFmtId="0" fontId="50" fillId="42" borderId="26" xfId="67" applyFont="1" applyFill="1" applyBorder="1" applyAlignment="1">
      <alignment horizontal="center"/>
      <protection/>
    </xf>
    <xf numFmtId="0" fontId="53" fillId="35" borderId="43" xfId="67" applyFont="1" applyFill="1" applyBorder="1" applyAlignment="1">
      <alignment horizontal="center"/>
      <protection/>
    </xf>
    <xf numFmtId="0" fontId="13" fillId="0" borderId="43" xfId="67" applyFont="1" applyBorder="1" applyAlignment="1">
      <alignment horizontal="center"/>
      <protection/>
    </xf>
    <xf numFmtId="7" fontId="79" fillId="0" borderId="43" xfId="67" applyNumberFormat="1" applyFont="1" applyFill="1" applyBorder="1" applyAlignment="1">
      <alignment horizontal="center"/>
      <protection/>
    </xf>
    <xf numFmtId="0" fontId="76" fillId="0" borderId="32" xfId="67" applyFont="1" applyBorder="1" applyAlignment="1" applyProtection="1">
      <alignment horizontal="center"/>
      <protection/>
    </xf>
    <xf numFmtId="0" fontId="76" fillId="0" borderId="61" xfId="67" applyFont="1" applyBorder="1" applyAlignment="1" applyProtection="1">
      <alignment horizontal="center"/>
      <protection/>
    </xf>
    <xf numFmtId="0" fontId="76" fillId="0" borderId="27" xfId="67" applyFont="1" applyBorder="1" applyAlignment="1" applyProtection="1">
      <alignment horizontal="center"/>
      <protection/>
    </xf>
    <xf numFmtId="168" fontId="63" fillId="36" borderId="27" xfId="67" applyNumberFormat="1" applyFont="1" applyFill="1" applyBorder="1" applyAlignment="1" applyProtection="1">
      <alignment horizontal="center"/>
      <protection/>
    </xf>
    <xf numFmtId="22" fontId="13" fillId="0" borderId="48" xfId="67" applyNumberFormat="1" applyFont="1" applyBorder="1" applyAlignment="1">
      <alignment horizontal="center"/>
      <protection/>
    </xf>
    <xf numFmtId="22" fontId="13" fillId="0" borderId="61" xfId="67" applyNumberFormat="1" applyFont="1" applyBorder="1" applyAlignment="1" applyProtection="1">
      <alignment horizontal="center"/>
      <protection/>
    </xf>
    <xf numFmtId="2" fontId="13" fillId="0" borderId="27" xfId="67" applyNumberFormat="1" applyFont="1" applyFill="1" applyBorder="1" applyAlignment="1" applyProtection="1" quotePrefix="1">
      <alignment horizontal="center"/>
      <protection/>
    </xf>
    <xf numFmtId="164" fontId="13" fillId="0" borderId="27" xfId="67" applyNumberFormat="1" applyFont="1" applyFill="1" applyBorder="1" applyAlignment="1" applyProtection="1" quotePrefix="1">
      <alignment horizontal="center"/>
      <protection/>
    </xf>
    <xf numFmtId="168" fontId="13" fillId="0" borderId="47" xfId="67" applyNumberFormat="1" applyFont="1" applyBorder="1" applyAlignment="1" applyProtection="1">
      <alignment horizontal="center"/>
      <protection/>
    </xf>
    <xf numFmtId="164" fontId="63" fillId="36" borderId="32" xfId="67" applyNumberFormat="1" applyFont="1" applyFill="1" applyBorder="1" applyAlignment="1" applyProtection="1">
      <alignment horizontal="center"/>
      <protection/>
    </xf>
    <xf numFmtId="2" fontId="82" fillId="3" borderId="27" xfId="67" applyNumberFormat="1" applyFont="1" applyFill="1" applyBorder="1" applyAlignment="1">
      <alignment horizontal="center"/>
      <protection/>
    </xf>
    <xf numFmtId="168" fontId="50" fillId="42" borderId="48" xfId="67" applyNumberFormat="1" applyFont="1" applyFill="1" applyBorder="1" applyAlignment="1" applyProtection="1" quotePrefix="1">
      <alignment horizontal="center"/>
      <protection/>
    </xf>
    <xf numFmtId="168" fontId="50" fillId="42" borderId="49" xfId="67" applyNumberFormat="1" applyFont="1" applyFill="1" applyBorder="1" applyAlignment="1" applyProtection="1" quotePrefix="1">
      <alignment horizontal="center"/>
      <protection/>
    </xf>
    <xf numFmtId="168" fontId="53" fillId="35" borderId="27" xfId="67" applyNumberFormat="1" applyFont="1" applyFill="1" applyBorder="1" applyAlignment="1" applyProtection="1" quotePrefix="1">
      <alignment horizontal="center"/>
      <protection/>
    </xf>
    <xf numFmtId="168" fontId="79" fillId="0" borderId="27" xfId="67" applyNumberFormat="1" applyFont="1" applyFill="1" applyBorder="1" applyAlignment="1">
      <alignment horizontal="center"/>
      <protection/>
    </xf>
    <xf numFmtId="0" fontId="76" fillId="0" borderId="62" xfId="67" applyFont="1" applyBorder="1" applyAlignment="1" applyProtection="1">
      <alignment horizontal="center"/>
      <protection locked="0"/>
    </xf>
    <xf numFmtId="0" fontId="76" fillId="0" borderId="28" xfId="67" applyFont="1" applyBorder="1" applyAlignment="1" applyProtection="1">
      <alignment horizontal="center"/>
      <protection locked="0"/>
    </xf>
    <xf numFmtId="164" fontId="63" fillId="36" borderId="62" xfId="67" applyNumberFormat="1" applyFont="1" applyFill="1" applyBorder="1" applyAlignment="1" applyProtection="1">
      <alignment horizontal="center"/>
      <protection/>
    </xf>
    <xf numFmtId="2" fontId="82" fillId="3" borderId="28" xfId="67" applyNumberFormat="1" applyFont="1" applyFill="1" applyBorder="1" applyAlignment="1" applyProtection="1">
      <alignment horizontal="center"/>
      <protection/>
    </xf>
    <xf numFmtId="2" fontId="13" fillId="0" borderId="63" xfId="67" applyNumberFormat="1" applyFont="1" applyFill="1" applyBorder="1" applyAlignment="1" applyProtection="1" quotePrefix="1">
      <alignment horizontal="center"/>
      <protection/>
    </xf>
    <xf numFmtId="0" fontId="76" fillId="0" borderId="36" xfId="67" applyFont="1" applyBorder="1" applyAlignment="1" applyProtection="1">
      <alignment horizontal="center"/>
      <protection locked="0"/>
    </xf>
    <xf numFmtId="164" fontId="63" fillId="36" borderId="64" xfId="67" applyNumberFormat="1" applyFont="1" applyFill="1" applyBorder="1" applyAlignment="1" applyProtection="1">
      <alignment horizontal="center"/>
      <protection locked="0"/>
    </xf>
    <xf numFmtId="2" fontId="82" fillId="3" borderId="36" xfId="67" applyNumberFormat="1" applyFont="1" applyFill="1" applyBorder="1" applyAlignment="1" applyProtection="1">
      <alignment horizontal="center"/>
      <protection locked="0"/>
    </xf>
    <xf numFmtId="168" fontId="50" fillId="42" borderId="51" xfId="67" applyNumberFormat="1" applyFont="1" applyFill="1" applyBorder="1" applyAlignment="1" applyProtection="1" quotePrefix="1">
      <alignment horizontal="center"/>
      <protection locked="0"/>
    </xf>
    <xf numFmtId="168" fontId="50" fillId="42" borderId="52" xfId="67" applyNumberFormat="1" applyFont="1" applyFill="1" applyBorder="1" applyAlignment="1" applyProtection="1" quotePrefix="1">
      <alignment horizontal="center"/>
      <protection locked="0"/>
    </xf>
    <xf numFmtId="168" fontId="53" fillId="35" borderId="36" xfId="67" applyNumberFormat="1" applyFont="1" applyFill="1" applyBorder="1" applyAlignment="1" applyProtection="1" quotePrefix="1">
      <alignment horizontal="center"/>
      <protection locked="0"/>
    </xf>
    <xf numFmtId="168" fontId="79" fillId="0" borderId="40" xfId="67" applyNumberFormat="1" applyFont="1" applyFill="1" applyBorder="1" applyAlignment="1">
      <alignment horizontal="center"/>
      <protection/>
    </xf>
    <xf numFmtId="4" fontId="82" fillId="3" borderId="21" xfId="67" applyNumberFormat="1" applyFont="1" applyFill="1" applyBorder="1" applyAlignment="1">
      <alignment horizontal="center"/>
      <protection/>
    </xf>
    <xf numFmtId="4" fontId="50" fillId="42" borderId="54" xfId="67" applyNumberFormat="1" applyFont="1" applyFill="1" applyBorder="1" applyAlignment="1">
      <alignment horizontal="center"/>
      <protection/>
    </xf>
    <xf numFmtId="4" fontId="50" fillId="42" borderId="17" xfId="67" applyNumberFormat="1" applyFont="1" applyFill="1" applyBorder="1" applyAlignment="1">
      <alignment horizontal="center"/>
      <protection/>
    </xf>
    <xf numFmtId="4" fontId="53" fillId="35" borderId="21" xfId="67" applyNumberFormat="1" applyFont="1" applyFill="1" applyBorder="1" applyAlignment="1">
      <alignment horizontal="center"/>
      <protection/>
    </xf>
    <xf numFmtId="0" fontId="13" fillId="0" borderId="65" xfId="67" applyFont="1" applyBorder="1">
      <alignment/>
      <protection/>
    </xf>
    <xf numFmtId="0" fontId="0" fillId="0" borderId="0" xfId="67" applyFont="1" applyBorder="1">
      <alignment/>
      <protection/>
    </xf>
    <xf numFmtId="174" fontId="3" fillId="0" borderId="21" xfId="67" applyNumberFormat="1" applyFont="1" applyBorder="1" applyAlignment="1">
      <alignment horizontal="center"/>
      <protection/>
    </xf>
    <xf numFmtId="168" fontId="13" fillId="0" borderId="61" xfId="67" applyNumberFormat="1" applyFont="1" applyBorder="1" applyAlignment="1" applyProtection="1">
      <alignment horizontal="center"/>
      <protection/>
    </xf>
    <xf numFmtId="164" fontId="63" fillId="36" borderId="28" xfId="67" applyNumberFormat="1" applyFont="1" applyFill="1" applyBorder="1" applyAlignment="1" applyProtection="1">
      <alignment horizontal="center"/>
      <protection/>
    </xf>
    <xf numFmtId="0" fontId="83" fillId="0" borderId="0" xfId="67" applyFont="1" applyFill="1">
      <alignment/>
      <protection/>
    </xf>
    <xf numFmtId="0" fontId="84" fillId="0" borderId="0" xfId="67" applyFont="1" applyAlignment="1">
      <alignment horizontal="centerContinuous"/>
      <protection/>
    </xf>
    <xf numFmtId="0" fontId="83" fillId="0" borderId="0" xfId="67" applyFont="1" applyAlignment="1">
      <alignment horizontal="centerContinuous"/>
      <protection/>
    </xf>
    <xf numFmtId="0" fontId="83" fillId="0" borderId="0" xfId="67" applyFont="1">
      <alignment/>
      <protection/>
    </xf>
    <xf numFmtId="0" fontId="3" fillId="0" borderId="12" xfId="67" applyBorder="1">
      <alignment/>
      <protection/>
    </xf>
    <xf numFmtId="0" fontId="19" fillId="0" borderId="0" xfId="67" applyFont="1" applyBorder="1">
      <alignment/>
      <protection/>
    </xf>
    <xf numFmtId="0" fontId="23" fillId="0" borderId="0" xfId="67" applyFont="1" applyAlignment="1">
      <alignment horizontal="centerContinuous"/>
      <protection/>
    </xf>
    <xf numFmtId="0" fontId="23" fillId="0" borderId="0" xfId="67" applyFont="1" applyAlignment="1">
      <alignment/>
      <protection/>
    </xf>
    <xf numFmtId="0" fontId="85" fillId="0" borderId="0" xfId="67" applyFont="1" applyBorder="1" applyAlignment="1" quotePrefix="1">
      <alignment horizontal="left"/>
      <protection/>
    </xf>
    <xf numFmtId="168" fontId="48" fillId="0" borderId="0" xfId="67" applyNumberFormat="1" applyFont="1" applyBorder="1" applyAlignment="1" applyProtection="1">
      <alignment horizontal="left"/>
      <protection/>
    </xf>
    <xf numFmtId="0" fontId="21" fillId="0" borderId="14" xfId="67" applyFont="1" applyBorder="1">
      <alignment/>
      <protection/>
    </xf>
    <xf numFmtId="0" fontId="21" fillId="0" borderId="0" xfId="67" applyFont="1" applyBorder="1" applyAlignment="1">
      <alignment horizontal="right"/>
      <protection/>
    </xf>
    <xf numFmtId="7" fontId="21" fillId="0" borderId="0" xfId="67" applyNumberFormat="1" applyFont="1" applyBorder="1" applyAlignment="1">
      <alignment horizontal="center"/>
      <protection/>
    </xf>
    <xf numFmtId="0" fontId="21" fillId="0" borderId="0" xfId="67" applyFont="1" applyBorder="1" applyAlignment="1">
      <alignment horizontal="center"/>
      <protection/>
    </xf>
    <xf numFmtId="0" fontId="86" fillId="0" borderId="0" xfId="67" applyFont="1" applyBorder="1" applyAlignment="1" quotePrefix="1">
      <alignment horizontal="left"/>
      <protection/>
    </xf>
    <xf numFmtId="0" fontId="21" fillId="0" borderId="15" xfId="67" applyFont="1" applyFill="1" applyBorder="1">
      <alignment/>
      <protection/>
    </xf>
    <xf numFmtId="0" fontId="21" fillId="0" borderId="0" xfId="67" applyFont="1" applyBorder="1" applyAlignment="1" applyProtection="1">
      <alignment horizontal="left"/>
      <protection/>
    </xf>
    <xf numFmtId="174" fontId="21" fillId="0" borderId="0" xfId="67" applyNumberFormat="1" applyFont="1" applyBorder="1" applyAlignment="1">
      <alignment horizontal="center"/>
      <protection/>
    </xf>
    <xf numFmtId="168" fontId="21" fillId="0" borderId="0" xfId="67" applyNumberFormat="1" applyFont="1" applyBorder="1" applyAlignment="1" applyProtection="1">
      <alignment horizontal="left"/>
      <protection/>
    </xf>
    <xf numFmtId="0" fontId="21" fillId="0" borderId="0" xfId="67" applyFont="1" applyAlignment="1">
      <alignment horizontal="right"/>
      <protection/>
    </xf>
    <xf numFmtId="10" fontId="21" fillId="0" borderId="0" xfId="67" applyNumberFormat="1" applyFont="1" applyBorder="1" applyAlignment="1" applyProtection="1">
      <alignment horizontal="right"/>
      <protection/>
    </xf>
    <xf numFmtId="0" fontId="21" fillId="0" borderId="0" xfId="67" applyFont="1" applyBorder="1" applyAlignment="1">
      <alignment horizontal="left"/>
      <protection/>
    </xf>
    <xf numFmtId="173" fontId="48" fillId="0" borderId="0" xfId="67" applyNumberFormat="1" applyFont="1" applyBorder="1" applyAlignment="1" applyProtection="1">
      <alignment horizontal="center"/>
      <protection/>
    </xf>
    <xf numFmtId="7" fontId="21" fillId="0" borderId="0" xfId="67" applyNumberFormat="1" applyFont="1" applyBorder="1" applyAlignment="1">
      <alignment horizontal="centerContinuous"/>
      <protection/>
    </xf>
    <xf numFmtId="0" fontId="21" fillId="0" borderId="0" xfId="67" applyFont="1" applyBorder="1" applyAlignment="1" applyProtection="1">
      <alignment horizontal="center"/>
      <protection/>
    </xf>
    <xf numFmtId="168" fontId="4" fillId="0" borderId="16" xfId="67" applyNumberFormat="1" applyFont="1" applyBorder="1" applyAlignment="1" applyProtection="1">
      <alignment horizontal="center"/>
      <protection/>
    </xf>
    <xf numFmtId="183" fontId="21" fillId="0" borderId="17" xfId="67" applyNumberFormat="1" applyFont="1" applyBorder="1" applyAlignment="1" applyProtection="1">
      <alignment horizontal="centerContinuous"/>
      <protection/>
    </xf>
    <xf numFmtId="0" fontId="62" fillId="39" borderId="21" xfId="67" applyFont="1" applyFill="1" applyBorder="1" applyAlignment="1">
      <alignment horizontal="center" vertical="center" wrapText="1"/>
      <protection/>
    </xf>
    <xf numFmtId="0" fontId="61" fillId="43" borderId="21" xfId="67" applyFont="1" applyFill="1" applyBorder="1" applyAlignment="1">
      <alignment horizontal="center" vertical="center" wrapText="1"/>
      <protection/>
    </xf>
    <xf numFmtId="0" fontId="87" fillId="34" borderId="16" xfId="67" applyFont="1" applyFill="1" applyBorder="1" applyAlignment="1" applyProtection="1">
      <alignment horizontal="centerContinuous" vertical="center" wrapText="1"/>
      <protection/>
    </xf>
    <xf numFmtId="0" fontId="88" fillId="34" borderId="22" xfId="67" applyFont="1" applyFill="1" applyBorder="1" applyAlignment="1">
      <alignment horizontal="centerContinuous"/>
      <protection/>
    </xf>
    <xf numFmtId="0" fontId="87" fillId="34" borderId="17" xfId="67" applyFont="1" applyFill="1" applyBorder="1" applyAlignment="1">
      <alignment horizontal="centerContinuous" vertical="center"/>
      <protection/>
    </xf>
    <xf numFmtId="0" fontId="62" fillId="44" borderId="16" xfId="67" applyFont="1" applyFill="1" applyBorder="1" applyAlignment="1">
      <alignment horizontal="centerContinuous" vertical="center" wrapText="1"/>
      <protection/>
    </xf>
    <xf numFmtId="0" fontId="89" fillId="44" borderId="22" xfId="67" applyFont="1" applyFill="1" applyBorder="1" applyAlignment="1">
      <alignment horizontal="centerContinuous"/>
      <protection/>
    </xf>
    <xf numFmtId="0" fontId="62" fillId="44" borderId="17" xfId="67" applyFont="1" applyFill="1" applyBorder="1" applyAlignment="1">
      <alignment horizontal="centerContinuous" vertical="center"/>
      <protection/>
    </xf>
    <xf numFmtId="0" fontId="62" fillId="3" borderId="21" xfId="67" applyFont="1" applyFill="1" applyBorder="1" applyAlignment="1">
      <alignment horizontal="centerContinuous" vertical="center" wrapText="1"/>
      <protection/>
    </xf>
    <xf numFmtId="0" fontId="62" fillId="45" borderId="21" xfId="67" applyFont="1" applyFill="1" applyBorder="1" applyAlignment="1">
      <alignment horizontal="centerContinuous" vertical="center" wrapText="1"/>
      <protection/>
    </xf>
    <xf numFmtId="0" fontId="30" fillId="0" borderId="17" xfId="67" applyFont="1" applyBorder="1" applyAlignment="1">
      <alignment horizontal="center" vertical="center" wrapText="1"/>
      <protection/>
    </xf>
    <xf numFmtId="0" fontId="21" fillId="0" borderId="28" xfId="67" applyFont="1" applyBorder="1">
      <alignment/>
      <protection/>
    </xf>
    <xf numFmtId="164" fontId="21" fillId="0" borderId="29" xfId="67" applyNumberFormat="1" applyFont="1" applyBorder="1" applyProtection="1">
      <alignment/>
      <protection/>
    </xf>
    <xf numFmtId="164" fontId="21" fillId="0" borderId="28" xfId="67" applyNumberFormat="1" applyFont="1" applyBorder="1" applyAlignment="1" applyProtection="1">
      <alignment horizontal="center"/>
      <protection/>
    </xf>
    <xf numFmtId="164" fontId="21" fillId="0" borderId="23" xfId="67" applyNumberFormat="1" applyFont="1" applyBorder="1" applyAlignment="1" applyProtection="1">
      <alignment horizontal="center"/>
      <protection/>
    </xf>
    <xf numFmtId="164" fontId="90" fillId="36" borderId="23" xfId="67" applyNumberFormat="1" applyFont="1" applyFill="1" applyBorder="1" applyAlignment="1" applyProtection="1">
      <alignment horizontal="center"/>
      <protection/>
    </xf>
    <xf numFmtId="0" fontId="91" fillId="33" borderId="23" xfId="67" applyFont="1" applyFill="1" applyBorder="1" applyAlignment="1">
      <alignment horizontal="center"/>
      <protection/>
    </xf>
    <xf numFmtId="0" fontId="21" fillId="0" borderId="23" xfId="67" applyFont="1" applyBorder="1" applyAlignment="1">
      <alignment horizontal="center"/>
      <protection/>
    </xf>
    <xf numFmtId="0" fontId="21" fillId="0" borderId="66" xfId="67" applyFont="1" applyBorder="1" applyAlignment="1">
      <alignment horizontal="center"/>
      <protection/>
    </xf>
    <xf numFmtId="0" fontId="65" fillId="39" borderId="23" xfId="67" applyFont="1" applyFill="1" applyBorder="1" applyAlignment="1">
      <alignment horizontal="center"/>
      <protection/>
    </xf>
    <xf numFmtId="0" fontId="82" fillId="43" borderId="23" xfId="67" applyFont="1" applyFill="1" applyBorder="1" applyAlignment="1">
      <alignment horizontal="center"/>
      <protection/>
    </xf>
    <xf numFmtId="168" fontId="92" fillId="34" borderId="24" xfId="67" applyNumberFormat="1" applyFont="1" applyFill="1" applyBorder="1" applyAlignment="1" applyProtection="1" quotePrefix="1">
      <alignment horizontal="center"/>
      <protection/>
    </xf>
    <xf numFmtId="168" fontId="92" fillId="34" borderId="67" xfId="67" applyNumberFormat="1" applyFont="1" applyFill="1" applyBorder="1" applyAlignment="1" applyProtection="1" quotePrefix="1">
      <alignment horizontal="center"/>
      <protection/>
    </xf>
    <xf numFmtId="4" fontId="92" fillId="34" borderId="56" xfId="67" applyNumberFormat="1" applyFont="1" applyFill="1" applyBorder="1" applyAlignment="1" applyProtection="1">
      <alignment horizontal="center"/>
      <protection/>
    </xf>
    <xf numFmtId="168" fontId="65" fillId="44" borderId="24" xfId="67" applyNumberFormat="1" applyFont="1" applyFill="1" applyBorder="1" applyAlignment="1" applyProtection="1" quotePrefix="1">
      <alignment horizontal="center"/>
      <protection/>
    </xf>
    <xf numFmtId="168" fontId="65" fillId="44" borderId="67" xfId="67" applyNumberFormat="1" applyFont="1" applyFill="1" applyBorder="1" applyAlignment="1" applyProtection="1" quotePrefix="1">
      <alignment horizontal="center"/>
      <protection/>
    </xf>
    <xf numFmtId="4" fontId="65" fillId="44" borderId="56" xfId="67" applyNumberFormat="1" applyFont="1" applyFill="1" applyBorder="1" applyAlignment="1" applyProtection="1">
      <alignment horizontal="center"/>
      <protection/>
    </xf>
    <xf numFmtId="4" fontId="65" fillId="3" borderId="23" xfId="67" applyNumberFormat="1" applyFont="1" applyFill="1" applyBorder="1" applyAlignment="1" applyProtection="1">
      <alignment horizontal="center"/>
      <protection/>
    </xf>
    <xf numFmtId="4" fontId="65" fillId="45" borderId="23" xfId="67" applyNumberFormat="1" applyFont="1" applyFill="1" applyBorder="1" applyAlignment="1" applyProtection="1">
      <alignment horizontal="center"/>
      <protection/>
    </xf>
    <xf numFmtId="0" fontId="13" fillId="0" borderId="56" xfId="67" applyFont="1" applyBorder="1" applyAlignment="1">
      <alignment horizontal="left"/>
      <protection/>
    </xf>
    <xf numFmtId="0" fontId="48" fillId="0" borderId="56" xfId="67" applyFont="1" applyBorder="1" applyAlignment="1">
      <alignment horizontal="center"/>
      <protection/>
    </xf>
    <xf numFmtId="0" fontId="13" fillId="0" borderId="28" xfId="58" applyFont="1" applyBorder="1" applyAlignment="1" applyProtection="1">
      <alignment horizontal="center"/>
      <protection locked="0"/>
    </xf>
    <xf numFmtId="164" fontId="13" fillId="0" borderId="29" xfId="67" applyNumberFormat="1" applyFont="1" applyBorder="1" applyAlignment="1" applyProtection="1">
      <alignment horizontal="center"/>
      <protection/>
    </xf>
    <xf numFmtId="165" fontId="13" fillId="0" borderId="28" xfId="67" applyNumberFormat="1" applyFont="1" applyBorder="1" applyAlignment="1" applyProtection="1">
      <alignment horizontal="center"/>
      <protection/>
    </xf>
    <xf numFmtId="164" fontId="13" fillId="0" borderId="28" xfId="67" applyNumberFormat="1" applyFont="1" applyBorder="1" applyAlignment="1" applyProtection="1">
      <alignment horizontal="center"/>
      <protection/>
    </xf>
    <xf numFmtId="0" fontId="90" fillId="36" borderId="28" xfId="67" applyFont="1" applyFill="1" applyBorder="1" applyAlignment="1" applyProtection="1">
      <alignment horizontal="center"/>
      <protection/>
    </xf>
    <xf numFmtId="168" fontId="91" fillId="33" borderId="28" xfId="67" applyNumberFormat="1" applyFont="1" applyFill="1" applyBorder="1" applyAlignment="1" applyProtection="1">
      <alignment horizontal="center"/>
      <protection/>
    </xf>
    <xf numFmtId="22" fontId="13" fillId="0" borderId="28" xfId="67" applyNumberFormat="1" applyFont="1" applyBorder="1" applyAlignment="1">
      <alignment horizontal="center"/>
      <protection/>
    </xf>
    <xf numFmtId="22" fontId="13" fillId="0" borderId="32" xfId="67" applyNumberFormat="1" applyFont="1" applyBorder="1" applyAlignment="1">
      <alignment horizontal="center"/>
      <protection/>
    </xf>
    <xf numFmtId="4" fontId="13" fillId="0" borderId="28" xfId="67" applyNumberFormat="1" applyFont="1" applyFill="1" applyBorder="1" applyAlignment="1" applyProtection="1" quotePrefix="1">
      <alignment horizontal="center"/>
      <protection/>
    </xf>
    <xf numFmtId="168" fontId="13" fillId="0" borderId="29" xfId="67" applyNumberFormat="1" applyFont="1" applyBorder="1" applyAlignment="1" applyProtection="1">
      <alignment horizontal="center"/>
      <protection/>
    </xf>
    <xf numFmtId="2" fontId="65" fillId="39" borderId="28" xfId="67" applyNumberFormat="1" applyFont="1" applyFill="1" applyBorder="1" applyAlignment="1" applyProtection="1">
      <alignment horizontal="center"/>
      <protection/>
    </xf>
    <xf numFmtId="2" fontId="82" fillId="43" borderId="28" xfId="67" applyNumberFormat="1" applyFont="1" applyFill="1" applyBorder="1" applyAlignment="1" applyProtection="1">
      <alignment horizontal="center"/>
      <protection/>
    </xf>
    <xf numFmtId="168" fontId="92" fillId="34" borderId="30" xfId="67" applyNumberFormat="1" applyFont="1" applyFill="1" applyBorder="1" applyAlignment="1" applyProtection="1" quotePrefix="1">
      <alignment horizontal="center"/>
      <protection/>
    </xf>
    <xf numFmtId="168" fontId="92" fillId="34" borderId="31" xfId="67" applyNumberFormat="1" applyFont="1" applyFill="1" applyBorder="1" applyAlignment="1" applyProtection="1" quotePrefix="1">
      <alignment horizontal="center"/>
      <protection/>
    </xf>
    <xf numFmtId="4" fontId="92" fillId="34" borderId="29" xfId="67" applyNumberFormat="1" applyFont="1" applyFill="1" applyBorder="1" applyAlignment="1" applyProtection="1">
      <alignment horizontal="center"/>
      <protection/>
    </xf>
    <xf numFmtId="168" fontId="65" fillId="44" borderId="30" xfId="67" applyNumberFormat="1" applyFont="1" applyFill="1" applyBorder="1" applyAlignment="1" applyProtection="1" quotePrefix="1">
      <alignment horizontal="center"/>
      <protection/>
    </xf>
    <xf numFmtId="168" fontId="65" fillId="44" borderId="31" xfId="67" applyNumberFormat="1" applyFont="1" applyFill="1" applyBorder="1" applyAlignment="1" applyProtection="1" quotePrefix="1">
      <alignment horizontal="center"/>
      <protection/>
    </xf>
    <xf numFmtId="4" fontId="65" fillId="44" borderId="29" xfId="67" applyNumberFormat="1" applyFont="1" applyFill="1" applyBorder="1" applyAlignment="1" applyProtection="1">
      <alignment horizontal="center"/>
      <protection/>
    </xf>
    <xf numFmtId="4" fontId="65" fillId="3" borderId="28" xfId="67" applyNumberFormat="1" applyFont="1" applyFill="1" applyBorder="1" applyAlignment="1" applyProtection="1">
      <alignment horizontal="center"/>
      <protection/>
    </xf>
    <xf numFmtId="4" fontId="65" fillId="45" borderId="28" xfId="67" applyNumberFormat="1" applyFont="1" applyFill="1" applyBorder="1" applyAlignment="1" applyProtection="1">
      <alignment horizontal="center"/>
      <protection/>
    </xf>
    <xf numFmtId="4" fontId="13" fillId="0" borderId="29" xfId="67" applyNumberFormat="1" applyFont="1" applyBorder="1" applyAlignment="1" applyProtection="1">
      <alignment horizontal="center"/>
      <protection/>
    </xf>
    <xf numFmtId="0" fontId="13" fillId="0" borderId="36" xfId="67" applyFont="1" applyBorder="1" applyAlignment="1">
      <alignment horizontal="center"/>
      <protection/>
    </xf>
    <xf numFmtId="0" fontId="21" fillId="0" borderId="36" xfId="67" applyFont="1" applyBorder="1" applyAlignment="1">
      <alignment horizontal="center"/>
      <protection/>
    </xf>
    <xf numFmtId="164" fontId="93" fillId="0" borderId="36" xfId="67" applyNumberFormat="1" applyFont="1" applyBorder="1" applyAlignment="1" applyProtection="1">
      <alignment horizontal="center"/>
      <protection/>
    </xf>
    <xf numFmtId="0" fontId="21" fillId="0" borderId="36" xfId="67" applyFont="1" applyBorder="1" applyAlignment="1" applyProtection="1">
      <alignment horizontal="center"/>
      <protection/>
    </xf>
    <xf numFmtId="165" fontId="21" fillId="0" borderId="36" xfId="67" applyNumberFormat="1" applyFont="1" applyBorder="1" applyAlignment="1" applyProtection="1">
      <alignment horizontal="center"/>
      <protection/>
    </xf>
    <xf numFmtId="165" fontId="90" fillId="36" borderId="36" xfId="67" applyNumberFormat="1" applyFont="1" applyFill="1" applyBorder="1" applyAlignment="1" applyProtection="1">
      <alignment horizontal="center"/>
      <protection/>
    </xf>
    <xf numFmtId="168" fontId="91" fillId="33" borderId="36" xfId="67" applyNumberFormat="1" applyFont="1" applyFill="1" applyBorder="1" applyAlignment="1" applyProtection="1">
      <alignment horizontal="center"/>
      <protection/>
    </xf>
    <xf numFmtId="168" fontId="21" fillId="0" borderId="36" xfId="67" applyNumberFormat="1" applyFont="1" applyBorder="1" applyAlignment="1" applyProtection="1">
      <alignment horizontal="center"/>
      <protection/>
    </xf>
    <xf numFmtId="173" fontId="13" fillId="0" borderId="36" xfId="67" applyNumberFormat="1" applyFont="1" applyBorder="1" applyAlignment="1" applyProtection="1" quotePrefix="1">
      <alignment horizontal="center"/>
      <protection/>
    </xf>
    <xf numFmtId="2" fontId="65" fillId="39" borderId="36" xfId="67" applyNumberFormat="1" applyFont="1" applyFill="1" applyBorder="1" applyAlignment="1" applyProtection="1">
      <alignment horizontal="center"/>
      <protection/>
    </xf>
    <xf numFmtId="2" fontId="82" fillId="43" borderId="36" xfId="67" applyNumberFormat="1" applyFont="1" applyFill="1" applyBorder="1" applyAlignment="1" applyProtection="1">
      <alignment horizontal="center"/>
      <protection/>
    </xf>
    <xf numFmtId="168" fontId="92" fillId="34" borderId="37" xfId="67" applyNumberFormat="1" applyFont="1" applyFill="1" applyBorder="1" applyAlignment="1" applyProtection="1" quotePrefix="1">
      <alignment horizontal="center"/>
      <protection/>
    </xf>
    <xf numFmtId="168" fontId="92" fillId="34" borderId="68" xfId="67" applyNumberFormat="1" applyFont="1" applyFill="1" applyBorder="1" applyAlignment="1" applyProtection="1" quotePrefix="1">
      <alignment horizontal="center"/>
      <protection/>
    </xf>
    <xf numFmtId="4" fontId="92" fillId="34" borderId="50" xfId="67" applyNumberFormat="1" applyFont="1" applyFill="1" applyBorder="1" applyAlignment="1" applyProtection="1">
      <alignment horizontal="center"/>
      <protection/>
    </xf>
    <xf numFmtId="168" fontId="65" fillId="44" borderId="37" xfId="67" applyNumberFormat="1" applyFont="1" applyFill="1" applyBorder="1" applyAlignment="1" applyProtection="1" quotePrefix="1">
      <alignment horizontal="center"/>
      <protection/>
    </xf>
    <xf numFmtId="168" fontId="65" fillId="44" borderId="68" xfId="67" applyNumberFormat="1" applyFont="1" applyFill="1" applyBorder="1" applyAlignment="1" applyProtection="1" quotePrefix="1">
      <alignment horizontal="center"/>
      <protection/>
    </xf>
    <xf numFmtId="4" fontId="65" fillId="44" borderId="50" xfId="67" applyNumberFormat="1" applyFont="1" applyFill="1" applyBorder="1" applyAlignment="1" applyProtection="1">
      <alignment horizontal="center"/>
      <protection/>
    </xf>
    <xf numFmtId="4" fontId="65" fillId="3" borderId="36" xfId="67" applyNumberFormat="1" applyFont="1" applyFill="1" applyBorder="1" applyAlignment="1" applyProtection="1">
      <alignment horizontal="center"/>
      <protection/>
    </xf>
    <xf numFmtId="4" fontId="65" fillId="45" borderId="36" xfId="67" applyNumberFormat="1" applyFont="1" applyFill="1" applyBorder="1" applyAlignment="1" applyProtection="1">
      <alignment horizontal="center"/>
      <protection/>
    </xf>
    <xf numFmtId="4" fontId="49" fillId="0" borderId="36" xfId="67" applyNumberFormat="1" applyFont="1" applyBorder="1" applyAlignment="1" applyProtection="1">
      <alignment horizontal="center"/>
      <protection/>
    </xf>
    <xf numFmtId="168" fontId="66" fillId="0" borderId="36" xfId="67" applyNumberFormat="1" applyFont="1" applyFill="1" applyBorder="1" applyAlignment="1">
      <alignment horizontal="center"/>
      <protection/>
    </xf>
    <xf numFmtId="164" fontId="93" fillId="0" borderId="0" xfId="67" applyNumberFormat="1" applyFont="1" applyBorder="1" applyAlignment="1" applyProtection="1">
      <alignment horizontal="center"/>
      <protection/>
    </xf>
    <xf numFmtId="165" fontId="21" fillId="0" borderId="0" xfId="67" applyNumberFormat="1" applyFont="1" applyBorder="1" applyAlignment="1" applyProtection="1">
      <alignment horizontal="center"/>
      <protection/>
    </xf>
    <xf numFmtId="168" fontId="21" fillId="0" borderId="0" xfId="67" applyNumberFormat="1" applyFont="1" applyBorder="1" applyAlignment="1" applyProtection="1">
      <alignment horizontal="center"/>
      <protection/>
    </xf>
    <xf numFmtId="173" fontId="21" fillId="0" borderId="0" xfId="67" applyNumberFormat="1" applyFont="1" applyBorder="1" applyAlignment="1" applyProtection="1" quotePrefix="1">
      <alignment horizontal="center"/>
      <protection/>
    </xf>
    <xf numFmtId="2" fontId="91" fillId="39" borderId="21" xfId="67" applyNumberFormat="1" applyFont="1" applyFill="1" applyBorder="1" applyAlignment="1" applyProtection="1">
      <alignment horizontal="center"/>
      <protection/>
    </xf>
    <xf numFmtId="2" fontId="78" fillId="43" borderId="21" xfId="67" applyNumberFormat="1" applyFont="1" applyFill="1" applyBorder="1" applyAlignment="1" applyProtection="1">
      <alignment horizontal="center"/>
      <protection/>
    </xf>
    <xf numFmtId="2" fontId="94" fillId="34" borderId="21" xfId="67" applyNumberFormat="1" applyFont="1" applyFill="1" applyBorder="1" applyAlignment="1" applyProtection="1">
      <alignment horizontal="center"/>
      <protection/>
    </xf>
    <xf numFmtId="2" fontId="91" fillId="44" borderId="21" xfId="67" applyNumberFormat="1" applyFont="1" applyFill="1" applyBorder="1" applyAlignment="1" applyProtection="1">
      <alignment horizontal="center"/>
      <protection/>
    </xf>
    <xf numFmtId="2" fontId="91" fillId="3" borderId="21" xfId="67" applyNumberFormat="1" applyFont="1" applyFill="1" applyBorder="1" applyAlignment="1" applyProtection="1">
      <alignment horizontal="center"/>
      <protection/>
    </xf>
    <xf numFmtId="2" fontId="91" fillId="45" borderId="21" xfId="67" applyNumberFormat="1" applyFont="1" applyFill="1" applyBorder="1" applyAlignment="1" applyProtection="1">
      <alignment horizontal="center"/>
      <protection/>
    </xf>
    <xf numFmtId="2" fontId="21" fillId="0" borderId="44" xfId="67" applyNumberFormat="1" applyFont="1" applyBorder="1" applyAlignment="1" applyProtection="1">
      <alignment horizontal="center"/>
      <protection/>
    </xf>
    <xf numFmtId="7" fontId="48" fillId="0" borderId="21" xfId="67" applyNumberFormat="1" applyFont="1" applyBorder="1" applyAlignment="1" applyProtection="1">
      <alignment horizontal="right"/>
      <protection/>
    </xf>
    <xf numFmtId="0" fontId="48" fillId="0" borderId="0" xfId="67" applyFont="1" applyBorder="1" applyAlignment="1">
      <alignment horizontal="left"/>
      <protection/>
    </xf>
    <xf numFmtId="0" fontId="48" fillId="0" borderId="0" xfId="67" applyFont="1" applyBorder="1" applyAlignment="1">
      <alignment horizontal="center"/>
      <protection/>
    </xf>
    <xf numFmtId="165" fontId="48" fillId="0" borderId="0" xfId="67" applyNumberFormat="1" applyFont="1" applyBorder="1" applyAlignment="1" applyProtection="1">
      <alignment horizontal="center"/>
      <protection/>
    </xf>
    <xf numFmtId="0" fontId="30" fillId="0" borderId="0" xfId="67" applyFont="1">
      <alignment/>
      <protection/>
    </xf>
    <xf numFmtId="168" fontId="48" fillId="0" borderId="0" xfId="67" applyNumberFormat="1" applyFont="1" applyBorder="1" applyAlignment="1" applyProtection="1">
      <alignment horizontal="center"/>
      <protection/>
    </xf>
    <xf numFmtId="2" fontId="91" fillId="0" borderId="22" xfId="67" applyNumberFormat="1" applyFont="1" applyFill="1" applyBorder="1" applyAlignment="1" applyProtection="1">
      <alignment horizontal="center"/>
      <protection/>
    </xf>
    <xf numFmtId="2" fontId="78" fillId="0" borderId="22" xfId="67" applyNumberFormat="1" applyFont="1" applyFill="1" applyBorder="1" applyAlignment="1" applyProtection="1">
      <alignment horizontal="center"/>
      <protection/>
    </xf>
    <xf numFmtId="2" fontId="94" fillId="0" borderId="22" xfId="67" applyNumberFormat="1" applyFont="1" applyFill="1" applyBorder="1" applyAlignment="1" applyProtection="1">
      <alignment horizontal="center"/>
      <protection/>
    </xf>
    <xf numFmtId="2" fontId="21" fillId="0" borderId="0" xfId="67" applyNumberFormat="1" applyFont="1" applyBorder="1" applyAlignment="1" applyProtection="1">
      <alignment horizontal="center"/>
      <protection/>
    </xf>
    <xf numFmtId="7" fontId="21" fillId="0" borderId="0" xfId="67" applyNumberFormat="1" applyFont="1" applyBorder="1" applyAlignment="1" applyProtection="1">
      <alignment horizontal="center"/>
      <protection/>
    </xf>
    <xf numFmtId="0" fontId="60" fillId="46" borderId="21" xfId="67" applyFont="1" applyFill="1" applyBorder="1" applyAlignment="1" applyProtection="1">
      <alignment horizontal="center" vertical="center"/>
      <protection/>
    </xf>
    <xf numFmtId="0" fontId="62" fillId="47" borderId="21" xfId="67" applyFont="1" applyFill="1" applyBorder="1" applyAlignment="1">
      <alignment horizontal="center" vertical="center" wrapText="1"/>
      <protection/>
    </xf>
    <xf numFmtId="0" fontId="62" fillId="48" borderId="16" xfId="67" applyFont="1" applyFill="1" applyBorder="1" applyAlignment="1" applyProtection="1">
      <alignment horizontal="centerContinuous" vertical="center" wrapText="1"/>
      <protection/>
    </xf>
    <xf numFmtId="0" fontId="62" fillId="48" borderId="17" xfId="67" applyFont="1" applyFill="1" applyBorder="1" applyAlignment="1">
      <alignment horizontal="centerContinuous" vertical="center"/>
      <protection/>
    </xf>
    <xf numFmtId="0" fontId="62" fillId="34" borderId="21" xfId="67" applyFont="1" applyFill="1" applyBorder="1" applyAlignment="1">
      <alignment horizontal="centerContinuous" vertical="center" wrapText="1"/>
      <protection/>
    </xf>
    <xf numFmtId="0" fontId="62" fillId="49" borderId="21" xfId="67" applyFont="1" applyFill="1" applyBorder="1" applyAlignment="1">
      <alignment vertical="center" wrapText="1"/>
      <protection/>
    </xf>
    <xf numFmtId="0" fontId="62" fillId="46" borderId="41" xfId="67" applyFont="1" applyFill="1" applyBorder="1" applyAlignment="1">
      <alignment vertical="center" wrapText="1"/>
      <protection/>
    </xf>
    <xf numFmtId="0" fontId="62" fillId="46" borderId="44" xfId="67" applyFont="1" applyFill="1" applyBorder="1" applyAlignment="1">
      <alignment vertical="center" wrapText="1"/>
      <protection/>
    </xf>
    <xf numFmtId="0" fontId="95" fillId="46" borderId="28" xfId="67" applyFont="1" applyFill="1" applyBorder="1" applyAlignment="1">
      <alignment horizontal="center"/>
      <protection/>
    </xf>
    <xf numFmtId="0" fontId="13" fillId="0" borderId="29" xfId="67" applyFont="1" applyFill="1" applyBorder="1" applyAlignment="1">
      <alignment horizontal="center"/>
      <protection/>
    </xf>
    <xf numFmtId="0" fontId="29" fillId="46" borderId="0" xfId="67" applyFont="1" applyFill="1" applyBorder="1" applyAlignment="1">
      <alignment horizontal="left"/>
      <protection/>
    </xf>
    <xf numFmtId="0" fontId="29" fillId="46" borderId="59" xfId="67" applyFont="1" applyFill="1" applyBorder="1" applyAlignment="1">
      <alignment horizontal="left"/>
      <protection/>
    </xf>
    <xf numFmtId="0" fontId="48" fillId="0" borderId="29" xfId="67" applyFont="1" applyFill="1" applyBorder="1" applyAlignment="1">
      <alignment horizontal="center"/>
      <protection/>
    </xf>
    <xf numFmtId="0" fontId="13" fillId="0" borderId="27" xfId="67" applyFont="1" applyBorder="1" applyAlignment="1" applyProtection="1">
      <alignment horizontal="center"/>
      <protection/>
    </xf>
    <xf numFmtId="0" fontId="13" fillId="0" borderId="32" xfId="67" applyFont="1" applyBorder="1" applyAlignment="1" applyProtection="1">
      <alignment horizontal="center"/>
      <protection/>
    </xf>
    <xf numFmtId="168" fontId="95" fillId="36" borderId="28" xfId="67" applyNumberFormat="1" applyFont="1" applyFill="1" applyBorder="1" applyAlignment="1" applyProtection="1">
      <alignment horizontal="center"/>
      <protection/>
    </xf>
    <xf numFmtId="168" fontId="95" fillId="46" borderId="28" xfId="67" applyNumberFormat="1" applyFont="1" applyFill="1" applyBorder="1" applyAlignment="1" applyProtection="1">
      <alignment horizontal="center"/>
      <protection/>
    </xf>
    <xf numFmtId="168" fontId="13" fillId="0" borderId="28" xfId="67" applyNumberFormat="1" applyFont="1" applyFill="1" applyBorder="1" applyAlignment="1" applyProtection="1">
      <alignment horizontal="center"/>
      <protection/>
    </xf>
    <xf numFmtId="164" fontId="63" fillId="36" borderId="62" xfId="67" applyNumberFormat="1" applyFont="1" applyFill="1" applyBorder="1" applyAlignment="1" applyProtection="1">
      <alignment horizontal="center"/>
      <protection locked="0"/>
    </xf>
    <xf numFmtId="2" fontId="65" fillId="47" borderId="28" xfId="67" applyNumberFormat="1" applyFont="1" applyFill="1" applyBorder="1" applyAlignment="1">
      <alignment horizontal="center"/>
      <protection/>
    </xf>
    <xf numFmtId="168" fontId="65" fillId="48" borderId="48" xfId="67" applyNumberFormat="1" applyFont="1" applyFill="1" applyBorder="1" applyAlignment="1" applyProtection="1" quotePrefix="1">
      <alignment horizontal="center"/>
      <protection/>
    </xf>
    <xf numFmtId="168" fontId="65" fillId="48" borderId="49" xfId="67" applyNumberFormat="1" applyFont="1" applyFill="1" applyBorder="1" applyAlignment="1" applyProtection="1" quotePrefix="1">
      <alignment horizontal="center"/>
      <protection/>
    </xf>
    <xf numFmtId="2" fontId="65" fillId="49" borderId="28" xfId="67" applyNumberFormat="1" applyFont="1" applyFill="1" applyBorder="1" applyAlignment="1">
      <alignment horizontal="center"/>
      <protection/>
    </xf>
    <xf numFmtId="168" fontId="65" fillId="46" borderId="0" xfId="67" applyNumberFormat="1" applyFont="1" applyFill="1" applyBorder="1" applyAlignment="1" applyProtection="1" quotePrefix="1">
      <alignment horizontal="center"/>
      <protection/>
    </xf>
    <xf numFmtId="168" fontId="65" fillId="46" borderId="59" xfId="67" applyNumberFormat="1" applyFont="1" applyFill="1" applyBorder="1" applyAlignment="1" applyProtection="1" quotePrefix="1">
      <alignment horizontal="center"/>
      <protection/>
    </xf>
    <xf numFmtId="22" fontId="13" fillId="0" borderId="28" xfId="67" applyNumberFormat="1" applyFont="1" applyFill="1" applyBorder="1" applyAlignment="1">
      <alignment horizontal="center"/>
      <protection/>
    </xf>
    <xf numFmtId="22" fontId="13" fillId="0" borderId="28" xfId="67" applyNumberFormat="1" applyFont="1" applyFill="1" applyBorder="1" applyAlignment="1" applyProtection="1">
      <alignment horizontal="center"/>
      <protection/>
    </xf>
    <xf numFmtId="0" fontId="13" fillId="0" borderId="36" xfId="67" applyFont="1" applyFill="1" applyBorder="1" applyAlignment="1">
      <alignment horizontal="center"/>
      <protection/>
    </xf>
    <xf numFmtId="0" fontId="13" fillId="0" borderId="34" xfId="67" applyFont="1" applyBorder="1" applyAlignment="1" applyProtection="1">
      <alignment horizontal="center"/>
      <protection/>
    </xf>
    <xf numFmtId="0" fontId="13" fillId="0" borderId="69" xfId="67" applyFont="1" applyBorder="1" applyAlignment="1" applyProtection="1">
      <alignment horizontal="center"/>
      <protection/>
    </xf>
    <xf numFmtId="168" fontId="95" fillId="46" borderId="36" xfId="67" applyNumberFormat="1" applyFont="1" applyFill="1" applyBorder="1" applyAlignment="1" applyProtection="1">
      <alignment horizontal="center"/>
      <protection/>
    </xf>
    <xf numFmtId="22" fontId="13" fillId="0" borderId="36" xfId="67" applyNumberFormat="1" applyFont="1" applyFill="1" applyBorder="1" applyAlignment="1">
      <alignment horizontal="center"/>
      <protection/>
    </xf>
    <xf numFmtId="22" fontId="13" fillId="0" borderId="36" xfId="67" applyNumberFormat="1" applyFont="1" applyFill="1" applyBorder="1" applyAlignment="1" applyProtection="1">
      <alignment horizontal="center"/>
      <protection/>
    </xf>
    <xf numFmtId="4" fontId="13" fillId="0" borderId="36" xfId="67" applyNumberFormat="1" applyFont="1" applyFill="1" applyBorder="1" applyAlignment="1" applyProtection="1">
      <alignment horizontal="center"/>
      <protection/>
    </xf>
    <xf numFmtId="3" fontId="13" fillId="0" borderId="36" xfId="67" applyNumberFormat="1" applyFont="1" applyFill="1" applyBorder="1" applyAlignment="1" applyProtection="1">
      <alignment horizontal="center"/>
      <protection/>
    </xf>
    <xf numFmtId="168" fontId="13" fillId="0" borderId="36" xfId="67" applyNumberFormat="1" applyFont="1" applyFill="1" applyBorder="1" applyAlignment="1" applyProtection="1">
      <alignment horizontal="center"/>
      <protection/>
    </xf>
    <xf numFmtId="168" fontId="13" fillId="0" borderId="70" xfId="67" applyNumberFormat="1" applyFont="1" applyBorder="1" applyAlignment="1" applyProtection="1">
      <alignment horizontal="center"/>
      <protection/>
    </xf>
    <xf numFmtId="168" fontId="13" fillId="0" borderId="71" xfId="67" applyNumberFormat="1" applyFont="1" applyBorder="1" applyAlignment="1" applyProtection="1">
      <alignment horizontal="center"/>
      <protection/>
    </xf>
    <xf numFmtId="168" fontId="29" fillId="46" borderId="64" xfId="67" applyNumberFormat="1" applyFont="1" applyFill="1" applyBorder="1" applyAlignment="1" applyProtection="1" quotePrefix="1">
      <alignment horizontal="center"/>
      <protection/>
    </xf>
    <xf numFmtId="168" fontId="29" fillId="46" borderId="50" xfId="67" applyNumberFormat="1" applyFont="1" applyFill="1" applyBorder="1" applyAlignment="1" applyProtection="1" quotePrefix="1">
      <alignment horizontal="center"/>
      <protection/>
    </xf>
    <xf numFmtId="168" fontId="13" fillId="0" borderId="50" xfId="67" applyNumberFormat="1" applyFont="1" applyFill="1" applyBorder="1" applyAlignment="1">
      <alignment horizontal="center"/>
      <protection/>
    </xf>
    <xf numFmtId="4" fontId="79" fillId="0" borderId="50" xfId="67" applyNumberFormat="1" applyFont="1" applyFill="1" applyBorder="1" applyAlignment="1">
      <alignment horizontal="right"/>
      <protection/>
    </xf>
    <xf numFmtId="164" fontId="13" fillId="0" borderId="0" xfId="67" applyNumberFormat="1" applyFont="1" applyBorder="1" applyAlignment="1" applyProtection="1">
      <alignment horizontal="center"/>
      <protection/>
    </xf>
    <xf numFmtId="1" fontId="13" fillId="0" borderId="0" xfId="67" applyNumberFormat="1" applyFont="1" applyBorder="1" applyAlignment="1" applyProtection="1" quotePrefix="1">
      <alignment horizontal="center"/>
      <protection/>
    </xf>
    <xf numFmtId="168" fontId="13" fillId="0" borderId="0" xfId="67" applyNumberFormat="1" applyFont="1" applyFill="1" applyBorder="1" applyAlignment="1" applyProtection="1">
      <alignment horizontal="center"/>
      <protection/>
    </xf>
    <xf numFmtId="22" fontId="13" fillId="0" borderId="0" xfId="67" applyNumberFormat="1" applyFont="1" applyFill="1" applyBorder="1" applyAlignment="1">
      <alignment horizontal="center"/>
      <protection/>
    </xf>
    <xf numFmtId="22" fontId="13" fillId="0" borderId="0" xfId="67" applyNumberFormat="1" applyFont="1" applyFill="1" applyBorder="1" applyAlignment="1" applyProtection="1">
      <alignment horizontal="center"/>
      <protection/>
    </xf>
    <xf numFmtId="4" fontId="13" fillId="0" borderId="0" xfId="67" applyNumberFormat="1" applyFont="1" applyFill="1" applyBorder="1" applyAlignment="1" applyProtection="1">
      <alignment horizontal="center"/>
      <protection/>
    </xf>
    <xf numFmtId="3" fontId="13" fillId="0" borderId="0" xfId="67" applyNumberFormat="1" applyFont="1" applyFill="1" applyBorder="1" applyAlignment="1" applyProtection="1">
      <alignment horizontal="center"/>
      <protection/>
    </xf>
    <xf numFmtId="168" fontId="13" fillId="0" borderId="0" xfId="67" applyNumberFormat="1" applyFont="1" applyBorder="1" applyAlignment="1" applyProtection="1" quotePrefix="1">
      <alignment horizontal="center"/>
      <protection/>
    </xf>
    <xf numFmtId="164" fontId="13" fillId="0" borderId="0" xfId="67" applyNumberFormat="1" applyFont="1" applyFill="1" applyBorder="1" applyAlignment="1" applyProtection="1">
      <alignment horizontal="center"/>
      <protection/>
    </xf>
    <xf numFmtId="2" fontId="59" fillId="0" borderId="41" xfId="67" applyNumberFormat="1" applyFont="1" applyFill="1" applyBorder="1" applyAlignment="1">
      <alignment horizontal="center"/>
      <protection/>
    </xf>
    <xf numFmtId="168" fontId="49" fillId="0" borderId="41" xfId="67" applyNumberFormat="1" applyFont="1" applyFill="1" applyBorder="1" applyAlignment="1" applyProtection="1" quotePrefix="1">
      <alignment horizontal="center"/>
      <protection/>
    </xf>
    <xf numFmtId="168" fontId="13" fillId="0" borderId="41" xfId="67" applyNumberFormat="1" applyFont="1" applyFill="1" applyBorder="1" applyAlignment="1">
      <alignment horizontal="center"/>
      <protection/>
    </xf>
    <xf numFmtId="4" fontId="79" fillId="0" borderId="21" xfId="67" applyNumberFormat="1" applyFont="1" applyFill="1" applyBorder="1" applyAlignment="1">
      <alignment horizontal="right"/>
      <protection/>
    </xf>
    <xf numFmtId="168" fontId="29" fillId="46" borderId="0" xfId="67" applyNumberFormat="1" applyFont="1" applyFill="1" applyBorder="1" applyAlignment="1" applyProtection="1" quotePrefix="1">
      <alignment horizontal="center"/>
      <protection/>
    </xf>
    <xf numFmtId="0" fontId="60" fillId="36" borderId="17" xfId="67" applyFont="1" applyFill="1" applyBorder="1" applyAlignment="1" applyProtection="1">
      <alignment horizontal="center" vertical="center"/>
      <protection/>
    </xf>
    <xf numFmtId="0" fontId="76" fillId="0" borderId="61" xfId="67" applyFont="1" applyBorder="1" applyAlignment="1" applyProtection="1">
      <alignment horizontal="center"/>
      <protection locked="0"/>
    </xf>
    <xf numFmtId="0" fontId="76" fillId="0" borderId="47" xfId="67" applyFont="1" applyBorder="1" applyAlignment="1" applyProtection="1">
      <alignment horizontal="center"/>
      <protection locked="0"/>
    </xf>
    <xf numFmtId="4" fontId="21" fillId="0" borderId="15" xfId="67" applyNumberFormat="1" applyFont="1" applyFill="1" applyBorder="1" applyAlignment="1">
      <alignment horizontal="center"/>
      <protection/>
    </xf>
    <xf numFmtId="2" fontId="59" fillId="0" borderId="0" xfId="67" applyNumberFormat="1" applyFont="1" applyFill="1" applyBorder="1" applyAlignment="1">
      <alignment horizontal="center"/>
      <protection/>
    </xf>
    <xf numFmtId="168" fontId="13" fillId="0" borderId="0" xfId="67" applyNumberFormat="1" applyFont="1" applyFill="1" applyBorder="1" applyAlignment="1">
      <alignment horizontal="center"/>
      <protection/>
    </xf>
    <xf numFmtId="168" fontId="13" fillId="0" borderId="0" xfId="67" applyNumberFormat="1" applyFont="1" applyBorder="1" applyAlignment="1" applyProtection="1" quotePrefix="1">
      <alignment horizontal="centerContinuous"/>
      <protection/>
    </xf>
    <xf numFmtId="168" fontId="13" fillId="0" borderId="0" xfId="67" applyNumberFormat="1" applyFont="1" applyBorder="1" applyAlignment="1" applyProtection="1">
      <alignment horizontal="centerContinuous"/>
      <protection/>
    </xf>
    <xf numFmtId="168" fontId="49" fillId="0" borderId="0" xfId="67" applyNumberFormat="1" applyFont="1" applyFill="1" applyBorder="1" applyAlignment="1" applyProtection="1" quotePrefix="1">
      <alignment horizontal="center"/>
      <protection/>
    </xf>
    <xf numFmtId="4" fontId="79" fillId="0" borderId="0" xfId="67" applyNumberFormat="1" applyFont="1" applyFill="1" applyBorder="1" applyAlignment="1">
      <alignment horizontal="right"/>
      <protection/>
    </xf>
    <xf numFmtId="2" fontId="96" fillId="0" borderId="0" xfId="67" applyNumberFormat="1" applyFont="1" applyBorder="1" applyAlignment="1" applyProtection="1">
      <alignment horizontal="left"/>
      <protection/>
    </xf>
    <xf numFmtId="168" fontId="96" fillId="0" borderId="0" xfId="67" applyNumberFormat="1" applyFont="1" applyBorder="1" applyAlignment="1" applyProtection="1">
      <alignment horizontal="center"/>
      <protection/>
    </xf>
    <xf numFmtId="0" fontId="96" fillId="0" borderId="0" xfId="67" applyFont="1" applyBorder="1" applyAlignment="1" applyProtection="1">
      <alignment horizontal="center"/>
      <protection/>
    </xf>
    <xf numFmtId="165" fontId="96" fillId="0" borderId="0" xfId="67" applyNumberFormat="1" applyFont="1" applyBorder="1" applyAlignment="1" applyProtection="1">
      <alignment horizontal="center"/>
      <protection/>
    </xf>
    <xf numFmtId="0" fontId="97" fillId="0" borderId="0" xfId="67" applyFont="1">
      <alignment/>
      <protection/>
    </xf>
    <xf numFmtId="173" fontId="96" fillId="0" borderId="0" xfId="67" applyNumberFormat="1" applyFont="1" applyBorder="1" applyAlignment="1" applyProtection="1" quotePrefix="1">
      <alignment horizontal="center"/>
      <protection/>
    </xf>
    <xf numFmtId="0" fontId="96" fillId="0" borderId="0" xfId="67" applyFont="1">
      <alignment/>
      <protection/>
    </xf>
    <xf numFmtId="2" fontId="96" fillId="0" borderId="0" xfId="67" applyNumberFormat="1" applyFont="1" applyBorder="1" applyAlignment="1" applyProtection="1">
      <alignment horizontal="center"/>
      <protection/>
    </xf>
    <xf numFmtId="168" fontId="96" fillId="0" borderId="0" xfId="67" applyNumberFormat="1" applyFont="1" applyBorder="1" applyAlignment="1" applyProtection="1" quotePrefix="1">
      <alignment horizontal="center"/>
      <protection/>
    </xf>
    <xf numFmtId="0" fontId="76" fillId="0" borderId="70" xfId="67" applyFont="1" applyBorder="1" applyAlignment="1" applyProtection="1">
      <alignment horizontal="center"/>
      <protection/>
    </xf>
    <xf numFmtId="0" fontId="4" fillId="0" borderId="0" xfId="67" applyFont="1" applyBorder="1" applyAlignment="1">
      <alignment horizontal="center"/>
      <protection/>
    </xf>
    <xf numFmtId="2" fontId="98" fillId="0" borderId="0" xfId="67" applyNumberFormat="1" applyFont="1" applyBorder="1" applyAlignment="1" applyProtection="1">
      <alignment horizontal="left"/>
      <protection/>
    </xf>
    <xf numFmtId="0" fontId="21" fillId="0" borderId="0" xfId="67" applyFont="1" applyAlignment="1">
      <alignment horizontal="center"/>
      <protection/>
    </xf>
    <xf numFmtId="173" fontId="4" fillId="0" borderId="0" xfId="67" applyNumberFormat="1" applyFont="1" applyBorder="1" applyAlignment="1" applyProtection="1">
      <alignment horizontal="left"/>
      <protection/>
    </xf>
    <xf numFmtId="168" fontId="4" fillId="0" borderId="0" xfId="67" applyNumberFormat="1" applyFont="1" applyBorder="1" applyAlignment="1" applyProtection="1">
      <alignment horizontal="left"/>
      <protection/>
    </xf>
    <xf numFmtId="2" fontId="99" fillId="0" borderId="0" xfId="67" applyNumberFormat="1" applyFont="1" applyBorder="1" applyAlignment="1" applyProtection="1">
      <alignment horizontal="center"/>
      <protection/>
    </xf>
    <xf numFmtId="168" fontId="93" fillId="0" borderId="0" xfId="67" applyNumberFormat="1" applyFont="1" applyBorder="1" applyAlignment="1" applyProtection="1" quotePrefix="1">
      <alignment horizontal="center"/>
      <protection/>
    </xf>
    <xf numFmtId="4" fontId="93" fillId="0" borderId="0" xfId="67" applyNumberFormat="1" applyFont="1" applyBorder="1" applyAlignment="1" applyProtection="1">
      <alignment horizontal="center"/>
      <protection/>
    </xf>
    <xf numFmtId="7" fontId="4" fillId="0" borderId="0" xfId="67" applyNumberFormat="1" applyFont="1" applyBorder="1" applyAlignment="1">
      <alignment horizontal="centerContinuous"/>
      <protection/>
    </xf>
    <xf numFmtId="170" fontId="21" fillId="0" borderId="0" xfId="67" applyNumberFormat="1" applyFont="1" applyBorder="1" applyAlignment="1" applyProtection="1">
      <alignment horizontal="center"/>
      <protection/>
    </xf>
    <xf numFmtId="1" fontId="21" fillId="0" borderId="0" xfId="67" applyNumberFormat="1" applyFont="1" applyBorder="1" applyAlignment="1" applyProtection="1">
      <alignment horizontal="center"/>
      <protection/>
    </xf>
    <xf numFmtId="183" fontId="21" fillId="0" borderId="0" xfId="67" applyNumberFormat="1" applyFont="1" applyBorder="1" applyAlignment="1" applyProtection="1">
      <alignment horizontal="centerContinuous"/>
      <protection/>
    </xf>
    <xf numFmtId="183" fontId="96" fillId="0" borderId="0" xfId="67" applyNumberFormat="1" applyFont="1" applyBorder="1" applyAlignment="1" applyProtection="1">
      <alignment horizontal="centerContinuous"/>
      <protection/>
    </xf>
    <xf numFmtId="168" fontId="96" fillId="0" borderId="0" xfId="67" applyNumberFormat="1" applyFont="1" applyBorder="1" applyAlignment="1" applyProtection="1" quotePrefix="1">
      <alignment horizontal="left"/>
      <protection/>
    </xf>
    <xf numFmtId="168" fontId="21" fillId="0" borderId="0" xfId="67" applyNumberFormat="1" applyFont="1" applyBorder="1">
      <alignment/>
      <protection/>
    </xf>
    <xf numFmtId="0" fontId="21" fillId="0" borderId="0" xfId="67" applyFont="1" applyAlignment="1">
      <alignment horizontal="centerContinuous"/>
      <protection/>
    </xf>
    <xf numFmtId="168" fontId="21" fillId="0" borderId="0" xfId="67" applyNumberFormat="1" applyFont="1" applyBorder="1" applyAlignment="1" applyProtection="1">
      <alignment horizontal="centerContinuous"/>
      <protection/>
    </xf>
    <xf numFmtId="168" fontId="96" fillId="0" borderId="0" xfId="67" applyNumberFormat="1" applyFont="1" applyBorder="1" applyAlignment="1" applyProtection="1" quotePrefix="1">
      <alignment horizontal="right"/>
      <protection/>
    </xf>
    <xf numFmtId="7" fontId="21" fillId="0" borderId="62" xfId="67" applyNumberFormat="1" applyFont="1" applyBorder="1" applyAlignment="1">
      <alignment horizontal="centerContinuous"/>
      <protection/>
    </xf>
    <xf numFmtId="7" fontId="21" fillId="0" borderId="0" xfId="67" applyNumberFormat="1" applyFont="1" applyBorder="1" applyAlignment="1">
      <alignment horizontal="right"/>
      <protection/>
    </xf>
    <xf numFmtId="168" fontId="22" fillId="0" borderId="0" xfId="67" applyNumberFormat="1" applyFont="1" applyBorder="1" applyAlignment="1" applyProtection="1">
      <alignment horizontal="left"/>
      <protection/>
    </xf>
    <xf numFmtId="10" fontId="21" fillId="0" borderId="0" xfId="67" applyNumberFormat="1" applyFont="1" applyBorder="1" applyAlignment="1" applyProtection="1">
      <alignment horizontal="center"/>
      <protection/>
    </xf>
    <xf numFmtId="7" fontId="21" fillId="0" borderId="0" xfId="67" applyNumberFormat="1" applyFont="1" applyAlignment="1">
      <alignment horizontal="right"/>
      <protection/>
    </xf>
    <xf numFmtId="0" fontId="21" fillId="0" borderId="0" xfId="67" applyFont="1" quotePrefix="1">
      <alignment/>
      <protection/>
    </xf>
    <xf numFmtId="168" fontId="21" fillId="0" borderId="0" xfId="67" applyNumberFormat="1" applyFont="1" applyBorder="1" applyAlignment="1" applyProtection="1" quotePrefix="1">
      <alignment horizontal="center"/>
      <protection/>
    </xf>
    <xf numFmtId="7" fontId="21" fillId="0" borderId="0" xfId="67" applyNumberFormat="1" applyFont="1" applyBorder="1" applyAlignment="1" applyProtection="1">
      <alignment horizontal="left"/>
      <protection/>
    </xf>
    <xf numFmtId="0" fontId="97" fillId="0" borderId="0" xfId="67" applyFont="1" quotePrefix="1">
      <alignment/>
      <protection/>
    </xf>
    <xf numFmtId="0" fontId="100" fillId="0" borderId="0" xfId="67" applyFont="1" applyAlignment="1">
      <alignment vertical="center"/>
      <protection/>
    </xf>
    <xf numFmtId="0" fontId="23" fillId="0" borderId="14" xfId="67" applyFont="1" applyBorder="1" applyAlignment="1">
      <alignment vertical="center"/>
      <protection/>
    </xf>
    <xf numFmtId="0" fontId="23" fillId="0" borderId="0" xfId="67" applyFont="1" applyBorder="1" applyAlignment="1">
      <alignment horizontal="center" vertical="center"/>
      <protection/>
    </xf>
    <xf numFmtId="168" fontId="23" fillId="0" borderId="0" xfId="67" applyNumberFormat="1" applyFont="1" applyBorder="1" applyAlignment="1" applyProtection="1">
      <alignment horizontal="left" vertical="center"/>
      <protection/>
    </xf>
    <xf numFmtId="0" fontId="100" fillId="0" borderId="0" xfId="67" applyFont="1" applyAlignment="1" quotePrefix="1">
      <alignment vertical="center"/>
      <protection/>
    </xf>
    <xf numFmtId="0" fontId="23" fillId="0" borderId="0" xfId="67" applyFont="1" applyBorder="1" applyAlignment="1" applyProtection="1">
      <alignment horizontal="center" vertical="center"/>
      <protection/>
    </xf>
    <xf numFmtId="165" fontId="23" fillId="0" borderId="0" xfId="67" applyNumberFormat="1" applyFont="1" applyBorder="1" applyAlignment="1" applyProtection="1">
      <alignment horizontal="center" vertical="center"/>
      <protection/>
    </xf>
    <xf numFmtId="4" fontId="10" fillId="0" borderId="16" xfId="67" applyNumberFormat="1" applyFont="1" applyBorder="1" applyAlignment="1" applyProtection="1">
      <alignment horizontal="center" vertical="center"/>
      <protection/>
    </xf>
    <xf numFmtId="7" fontId="101" fillId="0" borderId="17" xfId="67" applyNumberFormat="1" applyFont="1" applyFill="1" applyBorder="1" applyAlignment="1">
      <alignment horizontal="center" vertical="center"/>
      <protection/>
    </xf>
    <xf numFmtId="168" fontId="23" fillId="0" borderId="0" xfId="67" applyNumberFormat="1" applyFont="1" applyBorder="1" applyAlignment="1" applyProtection="1">
      <alignment horizontal="center" vertical="center"/>
      <protection/>
    </xf>
    <xf numFmtId="173" fontId="23" fillId="0" borderId="0" xfId="67" applyNumberFormat="1" applyFont="1" applyBorder="1" applyAlignment="1" applyProtection="1" quotePrefix="1">
      <alignment horizontal="center" vertical="center"/>
      <protection/>
    </xf>
    <xf numFmtId="2" fontId="102" fillId="0" borderId="0" xfId="67" applyNumberFormat="1" applyFont="1" applyBorder="1" applyAlignment="1" applyProtection="1">
      <alignment horizontal="center" vertical="center"/>
      <protection/>
    </xf>
    <xf numFmtId="168" fontId="103" fillId="0" borderId="0" xfId="67" applyNumberFormat="1" applyFont="1" applyBorder="1" applyAlignment="1" applyProtection="1" quotePrefix="1">
      <alignment horizontal="center" vertical="center"/>
      <protection/>
    </xf>
    <xf numFmtId="4" fontId="23" fillId="0" borderId="15" xfId="67" applyNumberFormat="1" applyFont="1" applyFill="1" applyBorder="1" applyAlignment="1">
      <alignment horizontal="center" vertical="center"/>
      <protection/>
    </xf>
    <xf numFmtId="0" fontId="3" fillId="0" borderId="19" xfId="67" applyBorder="1">
      <alignment/>
      <protection/>
    </xf>
    <xf numFmtId="0" fontId="21" fillId="0" borderId="20" xfId="67" applyFont="1" applyFill="1" applyBorder="1">
      <alignment/>
      <protection/>
    </xf>
    <xf numFmtId="0" fontId="6" fillId="0" borderId="0" xfId="67" applyFont="1" applyFill="1" applyBorder="1" applyAlignment="1" applyProtection="1">
      <alignment horizontal="center"/>
      <protection/>
    </xf>
    <xf numFmtId="183" fontId="21" fillId="0" borderId="0" xfId="67" applyNumberFormat="1" applyFont="1" applyBorder="1">
      <alignment/>
      <protection/>
    </xf>
    <xf numFmtId="0" fontId="30" fillId="0" borderId="16" xfId="67" applyFont="1" applyFill="1" applyBorder="1" applyAlignment="1" applyProtection="1">
      <alignment horizontal="centerContinuous" vertical="center"/>
      <protection/>
    </xf>
    <xf numFmtId="164" fontId="13" fillId="0" borderId="28" xfId="67" applyNumberFormat="1" applyFont="1" applyFill="1" applyBorder="1" applyAlignment="1" applyProtection="1">
      <alignment horizontal="center"/>
      <protection/>
    </xf>
    <xf numFmtId="0" fontId="95" fillId="36" borderId="28" xfId="67" applyFont="1" applyFill="1" applyBorder="1" applyAlignment="1">
      <alignment horizontal="center"/>
      <protection/>
    </xf>
    <xf numFmtId="0" fontId="63" fillId="36" borderId="23" xfId="67" applyFont="1" applyFill="1" applyBorder="1" applyAlignment="1">
      <alignment horizontal="center"/>
      <protection/>
    </xf>
    <xf numFmtId="0" fontId="29" fillId="47" borderId="23" xfId="67" applyFont="1" applyFill="1" applyBorder="1" applyAlignment="1">
      <alignment horizontal="center"/>
      <protection/>
    </xf>
    <xf numFmtId="0" fontId="29" fillId="48" borderId="24" xfId="67" applyFont="1" applyFill="1" applyBorder="1" applyAlignment="1">
      <alignment horizontal="center"/>
      <protection/>
    </xf>
    <xf numFmtId="0" fontId="29" fillId="48" borderId="26" xfId="67" applyFont="1" applyFill="1" applyBorder="1" applyAlignment="1">
      <alignment horizontal="left"/>
      <protection/>
    </xf>
    <xf numFmtId="0" fontId="29" fillId="34" borderId="23" xfId="67" applyFont="1" applyFill="1" applyBorder="1" applyAlignment="1">
      <alignment horizontal="left"/>
      <protection/>
    </xf>
    <xf numFmtId="164" fontId="13" fillId="0" borderId="27" xfId="67" applyNumberFormat="1" applyFont="1" applyBorder="1" applyAlignment="1" applyProtection="1">
      <alignment horizontal="center"/>
      <protection/>
    </xf>
    <xf numFmtId="1" fontId="13" fillId="0" borderId="49" xfId="67" applyNumberFormat="1" applyFont="1" applyBorder="1" applyAlignment="1" applyProtection="1" quotePrefix="1">
      <alignment horizontal="center"/>
      <protection/>
    </xf>
    <xf numFmtId="164" fontId="13" fillId="0" borderId="34" xfId="67" applyNumberFormat="1" applyFont="1" applyBorder="1" applyAlignment="1" applyProtection="1">
      <alignment horizontal="center"/>
      <protection/>
    </xf>
    <xf numFmtId="1" fontId="13" fillId="0" borderId="52" xfId="67" applyNumberFormat="1" applyFont="1" applyBorder="1" applyAlignment="1" applyProtection="1" quotePrefix="1">
      <alignment horizontal="center"/>
      <protection/>
    </xf>
    <xf numFmtId="168" fontId="95" fillId="36" borderId="36" xfId="67" applyNumberFormat="1" applyFont="1" applyFill="1" applyBorder="1" applyAlignment="1" applyProtection="1">
      <alignment horizontal="center"/>
      <protection/>
    </xf>
    <xf numFmtId="164" fontId="63" fillId="36" borderId="36" xfId="67" applyNumberFormat="1" applyFont="1" applyFill="1" applyBorder="1" applyAlignment="1" applyProtection="1">
      <alignment horizontal="center"/>
      <protection/>
    </xf>
    <xf numFmtId="2" fontId="29" fillId="47" borderId="36" xfId="67" applyNumberFormat="1" applyFont="1" applyFill="1" applyBorder="1" applyAlignment="1">
      <alignment horizontal="center"/>
      <protection/>
    </xf>
    <xf numFmtId="168" fontId="29" fillId="48" borderId="51" xfId="67" applyNumberFormat="1" applyFont="1" applyFill="1" applyBorder="1" applyAlignment="1" applyProtection="1" quotePrefix="1">
      <alignment horizontal="center"/>
      <protection/>
    </xf>
    <xf numFmtId="168" fontId="29" fillId="48" borderId="52" xfId="67" applyNumberFormat="1" applyFont="1" applyFill="1" applyBorder="1" applyAlignment="1" applyProtection="1" quotePrefix="1">
      <alignment horizontal="center"/>
      <protection/>
    </xf>
    <xf numFmtId="168" fontId="29" fillId="34" borderId="36" xfId="67" applyNumberFormat="1" applyFont="1" applyFill="1" applyBorder="1" applyAlignment="1" applyProtection="1" quotePrefix="1">
      <alignment horizontal="center"/>
      <protection/>
    </xf>
    <xf numFmtId="0" fontId="76" fillId="0" borderId="47" xfId="67" applyFont="1" applyBorder="1" applyAlignment="1" applyProtection="1">
      <alignment horizontal="center"/>
      <protection/>
    </xf>
    <xf numFmtId="4" fontId="96" fillId="0" borderId="0" xfId="67" applyNumberFormat="1" applyFont="1" applyBorder="1" applyAlignment="1" applyProtection="1">
      <alignment horizontal="center"/>
      <protection/>
    </xf>
    <xf numFmtId="1" fontId="21" fillId="0" borderId="0" xfId="67" applyNumberFormat="1" applyFont="1" applyBorder="1" applyAlignment="1" applyProtection="1">
      <alignment horizontal="centerContinuous"/>
      <protection/>
    </xf>
    <xf numFmtId="0" fontId="11" fillId="0" borderId="0" xfId="67" applyFont="1" applyAlignment="1">
      <alignment horizontal="right" vertical="top"/>
      <protection/>
    </xf>
    <xf numFmtId="1" fontId="3" fillId="0" borderId="72" xfId="67" applyNumberFormat="1" applyBorder="1" applyAlignment="1">
      <alignment horizontal="center"/>
      <protection/>
    </xf>
    <xf numFmtId="0" fontId="21" fillId="0" borderId="0" xfId="67" applyFont="1" applyAlignment="1">
      <alignment/>
      <protection/>
    </xf>
    <xf numFmtId="0" fontId="48" fillId="0" borderId="73" xfId="67" applyFont="1" applyBorder="1" applyAlignment="1">
      <alignment horizontal="centerContinuous"/>
      <protection/>
    </xf>
    <xf numFmtId="0" fontId="48" fillId="0" borderId="74" xfId="67" applyFont="1" applyBorder="1" applyAlignment="1">
      <alignment horizontal="centerContinuous"/>
      <protection/>
    </xf>
    <xf numFmtId="174" fontId="48" fillId="0" borderId="75" xfId="67" applyNumberFormat="1" applyFont="1" applyBorder="1" applyAlignment="1">
      <alignment horizontal="center"/>
      <protection/>
    </xf>
    <xf numFmtId="1" fontId="48" fillId="0" borderId="75" xfId="67" applyNumberFormat="1" applyFont="1" applyBorder="1" applyAlignment="1">
      <alignment horizontal="center"/>
      <protection/>
    </xf>
    <xf numFmtId="0" fontId="48" fillId="0" borderId="76" xfId="67" applyFont="1" applyBorder="1" applyAlignment="1">
      <alignment horizontal="centerContinuous"/>
      <protection/>
    </xf>
    <xf numFmtId="0" fontId="48" fillId="0" borderId="77" xfId="67" applyFont="1" applyBorder="1" applyAlignment="1">
      <alignment horizontal="centerContinuous"/>
      <protection/>
    </xf>
    <xf numFmtId="174" fontId="48" fillId="0" borderId="78" xfId="67" applyNumberFormat="1" applyFont="1" applyBorder="1" applyAlignment="1">
      <alignment horizontal="center"/>
      <protection/>
    </xf>
    <xf numFmtId="1" fontId="48" fillId="0" borderId="78" xfId="67" applyNumberFormat="1" applyFont="1" applyBorder="1" applyAlignment="1">
      <alignment horizontal="center"/>
      <protection/>
    </xf>
    <xf numFmtId="0" fontId="48" fillId="0" borderId="79" xfId="67" applyFont="1" applyBorder="1" applyAlignment="1">
      <alignment horizontal="centerContinuous"/>
      <protection/>
    </xf>
    <xf numFmtId="0" fontId="48" fillId="0" borderId="80" xfId="67" applyFont="1" applyBorder="1" applyAlignment="1">
      <alignment horizontal="centerContinuous"/>
      <protection/>
    </xf>
    <xf numFmtId="174" fontId="48" fillId="0" borderId="81" xfId="67" applyNumberFormat="1" applyFont="1" applyFill="1" applyBorder="1" applyAlignment="1">
      <alignment horizontal="center"/>
      <protection/>
    </xf>
    <xf numFmtId="1" fontId="48" fillId="0" borderId="81" xfId="67" applyNumberFormat="1" applyFont="1" applyFill="1" applyBorder="1" applyAlignment="1">
      <alignment horizontal="center"/>
      <protection/>
    </xf>
    <xf numFmtId="183" fontId="4" fillId="0" borderId="17" xfId="67" applyNumberFormat="1" applyFont="1" applyBorder="1" applyAlignment="1" applyProtection="1">
      <alignment horizontal="centerContinuous"/>
      <protection/>
    </xf>
    <xf numFmtId="2" fontId="91" fillId="0" borderId="64" xfId="67" applyNumberFormat="1" applyFont="1" applyFill="1" applyBorder="1" applyAlignment="1" applyProtection="1">
      <alignment horizontal="center"/>
      <protection/>
    </xf>
    <xf numFmtId="2" fontId="78" fillId="0" borderId="64" xfId="67" applyNumberFormat="1" applyFont="1" applyFill="1" applyBorder="1" applyAlignment="1" applyProtection="1">
      <alignment horizontal="center"/>
      <protection/>
    </xf>
    <xf numFmtId="2" fontId="94" fillId="0" borderId="64" xfId="67" applyNumberFormat="1" applyFont="1" applyFill="1" applyBorder="1" applyAlignment="1" applyProtection="1">
      <alignment horizontal="center"/>
      <protection/>
    </xf>
    <xf numFmtId="0" fontId="13" fillId="0" borderId="23" xfId="67" applyFont="1" applyFill="1" applyBorder="1" applyAlignment="1">
      <alignment horizontal="centerContinuous"/>
      <protection/>
    </xf>
    <xf numFmtId="168" fontId="13" fillId="0" borderId="28" xfId="67" applyNumberFormat="1" applyFont="1" applyBorder="1" applyAlignment="1" applyProtection="1">
      <alignment horizontal="centerContinuous"/>
      <protection/>
    </xf>
    <xf numFmtId="168" fontId="13" fillId="0" borderId="36" xfId="67" applyNumberFormat="1" applyFont="1" applyBorder="1" applyAlignment="1" applyProtection="1">
      <alignment horizontal="centerContinuous"/>
      <protection/>
    </xf>
    <xf numFmtId="0" fontId="76" fillId="0" borderId="56" xfId="67" applyFont="1" applyBorder="1" applyAlignment="1" applyProtection="1">
      <alignment horizontal="center"/>
      <protection/>
    </xf>
    <xf numFmtId="164" fontId="49" fillId="0" borderId="28" xfId="67" applyNumberFormat="1" applyFont="1" applyBorder="1" applyAlignment="1" applyProtection="1" quotePrefix="1">
      <alignment horizontal="center"/>
      <protection/>
    </xf>
    <xf numFmtId="22" fontId="13" fillId="0" borderId="30" xfId="67" applyNumberFormat="1" applyFont="1" applyBorder="1" applyAlignment="1">
      <alignment horizontal="center"/>
      <protection/>
    </xf>
    <xf numFmtId="22" fontId="13" fillId="0" borderId="28" xfId="67" applyNumberFormat="1" applyFont="1" applyBorder="1" applyAlignment="1" applyProtection="1">
      <alignment horizontal="center"/>
      <protection/>
    </xf>
    <xf numFmtId="2" fontId="74" fillId="40" borderId="28" xfId="67" applyNumberFormat="1" applyFont="1" applyFill="1" applyBorder="1" applyAlignment="1">
      <alignment horizontal="center"/>
      <protection/>
    </xf>
    <xf numFmtId="168" fontId="13" fillId="0" borderId="28" xfId="67" applyNumberFormat="1" applyFont="1" applyBorder="1" applyAlignment="1">
      <alignment horizontal="center"/>
      <protection/>
    </xf>
    <xf numFmtId="164" fontId="49" fillId="0" borderId="34" xfId="67" applyNumberFormat="1" applyFont="1" applyBorder="1" applyAlignment="1" applyProtection="1" quotePrefix="1">
      <alignment horizontal="center"/>
      <protection/>
    </xf>
    <xf numFmtId="168" fontId="63" fillId="36" borderId="34" xfId="67" applyNumberFormat="1" applyFont="1" applyFill="1" applyBorder="1" applyAlignment="1" applyProtection="1">
      <alignment horizontal="center"/>
      <protection/>
    </xf>
    <xf numFmtId="22" fontId="13" fillId="0" borderId="51" xfId="67" applyNumberFormat="1" applyFont="1" applyBorder="1" applyAlignment="1">
      <alignment horizontal="center"/>
      <protection/>
    </xf>
    <xf numFmtId="22" fontId="13" fillId="0" borderId="34" xfId="67" applyNumberFormat="1" applyFont="1" applyBorder="1" applyAlignment="1" applyProtection="1">
      <alignment horizontal="center"/>
      <protection/>
    </xf>
    <xf numFmtId="2" fontId="13" fillId="0" borderId="34" xfId="67" applyNumberFormat="1" applyFont="1" applyFill="1" applyBorder="1" applyAlignment="1" applyProtection="1" quotePrefix="1">
      <alignment horizontal="center"/>
      <protection/>
    </xf>
    <xf numFmtId="164" fontId="13" fillId="0" borderId="34" xfId="67" applyNumberFormat="1" applyFont="1" applyFill="1" applyBorder="1" applyAlignment="1" applyProtection="1" quotePrefix="1">
      <alignment horizontal="center"/>
      <protection/>
    </xf>
    <xf numFmtId="164" fontId="29" fillId="33" borderId="34" xfId="67" applyNumberFormat="1" applyFont="1" applyFill="1" applyBorder="1" applyAlignment="1" applyProtection="1">
      <alignment horizontal="center"/>
      <protection/>
    </xf>
    <xf numFmtId="2" fontId="74" fillId="40" borderId="34" xfId="67" applyNumberFormat="1" applyFont="1" applyFill="1" applyBorder="1" applyAlignment="1">
      <alignment horizontal="center"/>
      <protection/>
    </xf>
    <xf numFmtId="168" fontId="51" fillId="35" borderId="51" xfId="67" applyNumberFormat="1" applyFont="1" applyFill="1" applyBorder="1" applyAlignment="1" applyProtection="1" quotePrefix="1">
      <alignment horizontal="center"/>
      <protection/>
    </xf>
    <xf numFmtId="168" fontId="51" fillId="35" borderId="52" xfId="67" applyNumberFormat="1" applyFont="1" applyFill="1" applyBorder="1" applyAlignment="1" applyProtection="1" quotePrefix="1">
      <alignment horizontal="center"/>
      <protection/>
    </xf>
    <xf numFmtId="168" fontId="65" fillId="34" borderId="34" xfId="67" applyNumberFormat="1" applyFont="1" applyFill="1" applyBorder="1" applyAlignment="1" applyProtection="1" quotePrefix="1">
      <alignment horizontal="center"/>
      <protection/>
    </xf>
    <xf numFmtId="168" fontId="13" fillId="0" borderId="34" xfId="67" applyNumberFormat="1" applyFont="1" applyBorder="1" applyAlignment="1">
      <alignment horizontal="center"/>
      <protection/>
    </xf>
    <xf numFmtId="4" fontId="79" fillId="0" borderId="34" xfId="67" applyNumberFormat="1" applyFont="1" applyFill="1" applyBorder="1" applyAlignment="1">
      <alignment horizontal="right"/>
      <protection/>
    </xf>
    <xf numFmtId="0" fontId="48" fillId="0" borderId="0" xfId="67" applyFont="1" applyFill="1" applyBorder="1">
      <alignment/>
      <protection/>
    </xf>
    <xf numFmtId="0" fontId="48" fillId="0" borderId="0" xfId="67" applyFont="1" applyFill="1" applyBorder="1" applyAlignment="1">
      <alignment horizontal="center"/>
      <protection/>
    </xf>
    <xf numFmtId="164" fontId="48" fillId="0" borderId="0" xfId="67" applyNumberFormat="1" applyFont="1" applyBorder="1" applyAlignment="1" applyProtection="1" quotePrefix="1">
      <alignment horizontal="center"/>
      <protection/>
    </xf>
    <xf numFmtId="0" fontId="48" fillId="0" borderId="0" xfId="67" applyFont="1" applyFill="1" applyBorder="1" applyAlignment="1">
      <alignment horizontal="centerContinuous"/>
      <protection/>
    </xf>
    <xf numFmtId="0" fontId="48" fillId="0" borderId="0" xfId="67" applyFont="1" applyBorder="1" applyAlignment="1" applyProtection="1">
      <alignment horizontal="center"/>
      <protection/>
    </xf>
    <xf numFmtId="0" fontId="13" fillId="0" borderId="34" xfId="67" applyFont="1" applyBorder="1" applyAlignment="1">
      <alignment horizontal="center"/>
      <protection/>
    </xf>
    <xf numFmtId="164" fontId="48" fillId="0" borderId="0" xfId="67" applyNumberFormat="1" applyFont="1" applyBorder="1" applyAlignment="1" applyProtection="1">
      <alignment horizontal="center"/>
      <protection/>
    </xf>
    <xf numFmtId="0" fontId="3" fillId="0" borderId="0" xfId="65" applyFont="1" applyFill="1">
      <alignment/>
      <protection/>
    </xf>
    <xf numFmtId="0" fontId="3" fillId="0" borderId="0" xfId="65">
      <alignment/>
      <protection/>
    </xf>
    <xf numFmtId="0" fontId="0" fillId="0" borderId="0" xfId="65" applyFont="1">
      <alignment/>
      <protection/>
    </xf>
    <xf numFmtId="0" fontId="11" fillId="0" borderId="0" xfId="65" applyFont="1" applyAlignment="1">
      <alignment horizontal="right" vertical="top"/>
      <protection/>
    </xf>
    <xf numFmtId="0" fontId="3" fillId="0" borderId="0" xfId="65" applyFill="1">
      <alignment/>
      <protection/>
    </xf>
    <xf numFmtId="0" fontId="9" fillId="0" borderId="0" xfId="65" applyFont="1" applyAlignment="1">
      <alignment horizontal="centerContinuous"/>
      <protection/>
    </xf>
    <xf numFmtId="0" fontId="3" fillId="0" borderId="0" xfId="65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6" fillId="0" borderId="0" xfId="65" applyFont="1" applyFill="1" applyBorder="1" applyAlignment="1" applyProtection="1">
      <alignment horizontal="left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>
      <alignment/>
      <protection/>
    </xf>
    <xf numFmtId="0" fontId="6" fillId="0" borderId="0" xfId="65" applyFont="1" applyFill="1" applyBorder="1" applyAlignment="1" applyProtection="1">
      <alignment horizontal="centerContinuous"/>
      <protection/>
    </xf>
    <xf numFmtId="0" fontId="3" fillId="0" borderId="11" xfId="65" applyBorder="1">
      <alignment/>
      <protection/>
    </xf>
    <xf numFmtId="0" fontId="3" fillId="0" borderId="12" xfId="65" applyBorder="1">
      <alignment/>
      <protection/>
    </xf>
    <xf numFmtId="0" fontId="0" fillId="0" borderId="12" xfId="65" applyFont="1" applyBorder="1">
      <alignment/>
      <protection/>
    </xf>
    <xf numFmtId="0" fontId="0" fillId="0" borderId="13" xfId="65" applyFont="1" applyFill="1" applyBorder="1">
      <alignment/>
      <protection/>
    </xf>
    <xf numFmtId="0" fontId="3" fillId="0" borderId="14" xfId="65" applyBorder="1">
      <alignment/>
      <protection/>
    </xf>
    <xf numFmtId="0" fontId="20" fillId="0" borderId="0" xfId="65" applyFont="1" applyBorder="1" applyAlignment="1">
      <alignment horizontal="left"/>
      <protection/>
    </xf>
    <xf numFmtId="0" fontId="16" fillId="0" borderId="0" xfId="65" applyFont="1" applyAlignment="1">
      <alignment horizontal="centerContinuous"/>
      <protection/>
    </xf>
    <xf numFmtId="0" fontId="0" fillId="0" borderId="0" xfId="65" applyFont="1" applyBorder="1" applyAlignment="1">
      <alignment horizontal="centerContinuous"/>
      <protection/>
    </xf>
    <xf numFmtId="0" fontId="0" fillId="0" borderId="15" xfId="65" applyFont="1" applyFill="1" applyBorder="1" applyAlignment="1">
      <alignment horizontal="centerContinuous"/>
      <protection/>
    </xf>
    <xf numFmtId="0" fontId="16" fillId="0" borderId="0" xfId="65" applyFont="1" applyBorder="1">
      <alignment/>
      <protection/>
    </xf>
    <xf numFmtId="0" fontId="80" fillId="0" borderId="0" xfId="65" applyFont="1" applyBorder="1" applyAlignment="1">
      <alignment horizontal="left"/>
      <protection/>
    </xf>
    <xf numFmtId="0" fontId="16" fillId="0" borderId="0" xfId="65" applyFont="1">
      <alignment/>
      <protection/>
    </xf>
    <xf numFmtId="0" fontId="0" fillId="0" borderId="0" xfId="65" applyFont="1" applyBorder="1">
      <alignment/>
      <protection/>
    </xf>
    <xf numFmtId="0" fontId="0" fillId="0" borderId="15" xfId="65" applyFont="1" applyFill="1" applyBorder="1">
      <alignment/>
      <protection/>
    </xf>
    <xf numFmtId="0" fontId="16" fillId="0" borderId="14" xfId="65" applyFont="1" applyBorder="1">
      <alignment/>
      <protection/>
    </xf>
    <xf numFmtId="0" fontId="20" fillId="0" borderId="0" xfId="65" applyFont="1" applyBorder="1">
      <alignment/>
      <protection/>
    </xf>
    <xf numFmtId="0" fontId="20" fillId="0" borderId="0" xfId="65" applyFont="1">
      <alignment/>
      <protection/>
    </xf>
    <xf numFmtId="0" fontId="16" fillId="0" borderId="0" xfId="65" applyFont="1" applyBorder="1" applyProtection="1">
      <alignment/>
      <protection/>
    </xf>
    <xf numFmtId="0" fontId="16" fillId="0" borderId="15" xfId="65" applyFont="1" applyBorder="1">
      <alignment/>
      <protection/>
    </xf>
    <xf numFmtId="0" fontId="13" fillId="0" borderId="0" xfId="65" applyFont="1">
      <alignment/>
      <protection/>
    </xf>
    <xf numFmtId="0" fontId="13" fillId="0" borderId="14" xfId="65" applyFont="1" applyBorder="1">
      <alignment/>
      <protection/>
    </xf>
    <xf numFmtId="0" fontId="13" fillId="0" borderId="0" xfId="65" applyFont="1" applyBorder="1">
      <alignment/>
      <protection/>
    </xf>
    <xf numFmtId="0" fontId="5" fillId="0" borderId="0" xfId="65" applyFont="1" applyBorder="1">
      <alignment/>
      <protection/>
    </xf>
    <xf numFmtId="0" fontId="19" fillId="0" borderId="0" xfId="65" applyFont="1">
      <alignment/>
      <protection/>
    </xf>
    <xf numFmtId="0" fontId="13" fillId="0" borderId="0" xfId="65" applyFont="1" applyBorder="1" applyProtection="1">
      <alignment/>
      <protection/>
    </xf>
    <xf numFmtId="0" fontId="13" fillId="0" borderId="15" xfId="65" applyFont="1" applyBorder="1">
      <alignment/>
      <protection/>
    </xf>
    <xf numFmtId="0" fontId="0" fillId="0" borderId="0" xfId="65" applyFont="1" applyBorder="1" applyProtection="1">
      <alignment/>
      <protection/>
    </xf>
    <xf numFmtId="0" fontId="16" fillId="0" borderId="0" xfId="65" applyFont="1" applyBorder="1" applyAlignment="1">
      <alignment horizontal="centerContinuous"/>
      <protection/>
    </xf>
    <xf numFmtId="0" fontId="3" fillId="0" borderId="0" xfId="65" applyBorder="1">
      <alignment/>
      <protection/>
    </xf>
    <xf numFmtId="0" fontId="0" fillId="0" borderId="16" xfId="65" applyFont="1" applyBorder="1" applyAlignment="1">
      <alignment horizontal="left" vertical="center"/>
      <protection/>
    </xf>
    <xf numFmtId="7" fontId="0" fillId="0" borderId="17" xfId="65" applyNumberFormat="1" applyFont="1" applyBorder="1" applyAlignment="1">
      <alignment horizontal="centerContinuous" vertical="center"/>
      <protection/>
    </xf>
    <xf numFmtId="0" fontId="0" fillId="0" borderId="64" xfId="65" applyFont="1" applyBorder="1">
      <alignment/>
      <protection/>
    </xf>
    <xf numFmtId="0" fontId="30" fillId="0" borderId="21" xfId="65" applyFont="1" applyBorder="1" applyAlignment="1">
      <alignment horizontal="center" vertical="center"/>
      <protection/>
    </xf>
    <xf numFmtId="0" fontId="30" fillId="0" borderId="21" xfId="65" applyFont="1" applyBorder="1" applyAlignment="1" applyProtection="1">
      <alignment horizontal="center" vertical="center"/>
      <protection/>
    </xf>
    <xf numFmtId="0" fontId="30" fillId="0" borderId="21" xfId="65" applyFont="1" applyBorder="1" applyAlignment="1" applyProtection="1">
      <alignment horizontal="center" vertical="center" wrapText="1"/>
      <protection/>
    </xf>
    <xf numFmtId="0" fontId="30" fillId="0" borderId="16" xfId="65" applyFont="1" applyBorder="1" applyAlignment="1" applyProtection="1">
      <alignment horizontal="center" vertical="center"/>
      <protection/>
    </xf>
    <xf numFmtId="0" fontId="61" fillId="40" borderId="21" xfId="65" applyFont="1" applyFill="1" applyBorder="1" applyAlignment="1" applyProtection="1">
      <alignment horizontal="center" vertical="center" wrapText="1"/>
      <protection/>
    </xf>
    <xf numFmtId="0" fontId="62" fillId="18" borderId="16" xfId="65" applyFont="1" applyFill="1" applyBorder="1" applyAlignment="1" applyProtection="1">
      <alignment horizontal="centerContinuous" vertical="center" wrapText="1"/>
      <protection/>
    </xf>
    <xf numFmtId="0" fontId="62" fillId="18" borderId="17" xfId="65" applyFont="1" applyFill="1" applyBorder="1" applyAlignment="1" applyProtection="1">
      <alignment horizontal="centerContinuous" vertical="center" wrapText="1"/>
      <protection/>
    </xf>
    <xf numFmtId="0" fontId="62" fillId="3" borderId="21" xfId="65" applyFont="1" applyFill="1" applyBorder="1" applyAlignment="1" applyProtection="1">
      <alignment horizontal="centerContinuous" vertical="center" wrapText="1"/>
      <protection/>
    </xf>
    <xf numFmtId="0" fontId="30" fillId="34" borderId="21" xfId="65" applyFont="1" applyFill="1" applyBorder="1" applyAlignment="1">
      <alignment horizontal="center" vertical="center" wrapText="1"/>
      <protection/>
    </xf>
    <xf numFmtId="0" fontId="30" fillId="0" borderId="21" xfId="65" applyFont="1" applyBorder="1" applyAlignment="1">
      <alignment horizontal="center" vertical="center" wrapText="1"/>
      <protection/>
    </xf>
    <xf numFmtId="0" fontId="3" fillId="0" borderId="15" xfId="65" applyFill="1" applyBorder="1" applyAlignment="1">
      <alignment horizontal="center"/>
      <protection/>
    </xf>
    <xf numFmtId="0" fontId="13" fillId="0" borderId="23" xfId="65" applyFont="1" applyBorder="1" applyAlignment="1">
      <alignment horizontal="center"/>
      <protection/>
    </xf>
    <xf numFmtId="0" fontId="13" fillId="0" borderId="56" xfId="65" applyFont="1" applyBorder="1" applyAlignment="1">
      <alignment horizontal="center"/>
      <protection/>
    </xf>
    <xf numFmtId="0" fontId="13" fillId="0" borderId="56" xfId="65" applyFont="1" applyBorder="1">
      <alignment/>
      <protection/>
    </xf>
    <xf numFmtId="0" fontId="13" fillId="0" borderId="66" xfId="65" applyFont="1" applyBorder="1" applyAlignment="1">
      <alignment horizontal="center"/>
      <protection/>
    </xf>
    <xf numFmtId="0" fontId="64" fillId="40" borderId="23" xfId="65" applyFont="1" applyFill="1" applyBorder="1" applyAlignment="1">
      <alignment horizontal="center"/>
      <protection/>
    </xf>
    <xf numFmtId="0" fontId="29" fillId="18" borderId="23" xfId="65" applyFont="1" applyFill="1" applyBorder="1" applyAlignment="1">
      <alignment horizontal="center"/>
      <protection/>
    </xf>
    <xf numFmtId="0" fontId="29" fillId="3" borderId="23" xfId="65" applyFont="1" applyFill="1" applyBorder="1" applyAlignment="1">
      <alignment horizontal="center"/>
      <protection/>
    </xf>
    <xf numFmtId="0" fontId="13" fillId="34" borderId="23" xfId="65" applyFont="1" applyFill="1" applyBorder="1" applyAlignment="1">
      <alignment horizontal="center"/>
      <protection/>
    </xf>
    <xf numFmtId="7" fontId="13" fillId="0" borderId="23" xfId="65" applyNumberFormat="1" applyFont="1" applyBorder="1">
      <alignment/>
      <protection/>
    </xf>
    <xf numFmtId="0" fontId="3" fillId="0" borderId="15" xfId="65" applyFill="1" applyBorder="1">
      <alignment/>
      <protection/>
    </xf>
    <xf numFmtId="0" fontId="13" fillId="0" borderId="27" xfId="65" applyFont="1" applyBorder="1" applyAlignment="1">
      <alignment horizontal="center"/>
      <protection/>
    </xf>
    <xf numFmtId="0" fontId="13" fillId="0" borderId="29" xfId="65" applyFont="1" applyBorder="1" applyAlignment="1">
      <alignment horizontal="center"/>
      <protection/>
    </xf>
    <xf numFmtId="0" fontId="13" fillId="0" borderId="29" xfId="65" applyFont="1" applyBorder="1">
      <alignment/>
      <protection/>
    </xf>
    <xf numFmtId="0" fontId="13" fillId="0" borderId="33" xfId="65" applyFont="1" applyBorder="1" applyAlignment="1">
      <alignment horizontal="center"/>
      <protection/>
    </xf>
    <xf numFmtId="0" fontId="13" fillId="0" borderId="28" xfId="65" applyFont="1" applyBorder="1" applyAlignment="1">
      <alignment horizontal="center"/>
      <protection/>
    </xf>
    <xf numFmtId="0" fontId="64" fillId="40" borderId="28" xfId="65" applyFont="1" applyFill="1" applyBorder="1" applyAlignment="1">
      <alignment horizontal="center"/>
      <protection/>
    </xf>
    <xf numFmtId="0" fontId="29" fillId="18" borderId="28" xfId="65" applyFont="1" applyFill="1" applyBorder="1" applyAlignment="1">
      <alignment horizontal="center"/>
      <protection/>
    </xf>
    <xf numFmtId="0" fontId="29" fillId="3" borderId="28" xfId="65" applyFont="1" applyFill="1" applyBorder="1" applyAlignment="1">
      <alignment horizontal="center"/>
      <protection/>
    </xf>
    <xf numFmtId="0" fontId="13" fillId="34" borderId="28" xfId="65" applyFont="1" applyFill="1" applyBorder="1" applyAlignment="1">
      <alignment horizontal="center"/>
      <protection/>
    </xf>
    <xf numFmtId="0" fontId="13" fillId="0" borderId="28" xfId="65" applyFont="1" applyBorder="1">
      <alignment/>
      <protection/>
    </xf>
    <xf numFmtId="0" fontId="13" fillId="0" borderId="27" xfId="65" applyFont="1" applyBorder="1" applyAlignment="1" applyProtection="1">
      <alignment horizontal="center"/>
      <protection locked="0"/>
    </xf>
    <xf numFmtId="0" fontId="13" fillId="0" borderId="29" xfId="65" applyFont="1" applyBorder="1" applyAlignment="1" applyProtection="1">
      <alignment horizontal="center"/>
      <protection locked="0"/>
    </xf>
    <xf numFmtId="0" fontId="13" fillId="0" borderId="29" xfId="65" applyFont="1" applyBorder="1" applyAlignment="1" applyProtection="1" quotePrefix="1">
      <alignment horizontal="center"/>
      <protection locked="0"/>
    </xf>
    <xf numFmtId="22" fontId="13" fillId="0" borderId="29" xfId="65" applyNumberFormat="1" applyFont="1" applyBorder="1" applyAlignment="1" applyProtection="1">
      <alignment horizontal="center"/>
      <protection locked="0"/>
    </xf>
    <xf numFmtId="22" fontId="13" fillId="0" borderId="33" xfId="65" applyNumberFormat="1" applyFont="1" applyBorder="1" applyAlignment="1" applyProtection="1">
      <alignment horizontal="center"/>
      <protection locked="0"/>
    </xf>
    <xf numFmtId="4" fontId="13" fillId="38" borderId="28" xfId="65" applyNumberFormat="1" applyFont="1" applyFill="1" applyBorder="1" applyAlignment="1" applyProtection="1" quotePrefix="1">
      <alignment horizontal="center"/>
      <protection/>
    </xf>
    <xf numFmtId="164" fontId="13" fillId="38" borderId="28" xfId="65" applyNumberFormat="1" applyFont="1" applyFill="1" applyBorder="1" applyAlignment="1" applyProtection="1" quotePrefix="1">
      <alignment horizontal="center"/>
      <protection/>
    </xf>
    <xf numFmtId="168" fontId="13" fillId="0" borderId="28" xfId="65" applyNumberFormat="1" applyFont="1" applyBorder="1" applyAlignment="1" applyProtection="1">
      <alignment horizontal="center"/>
      <protection locked="0"/>
    </xf>
    <xf numFmtId="2" fontId="82" fillId="40" borderId="28" xfId="65" applyNumberFormat="1" applyFont="1" applyFill="1" applyBorder="1" applyAlignment="1" applyProtection="1">
      <alignment horizontal="center"/>
      <protection locked="0"/>
    </xf>
    <xf numFmtId="168" fontId="65" fillId="18" borderId="28" xfId="65" applyNumberFormat="1" applyFont="1" applyFill="1" applyBorder="1" applyAlignment="1" applyProtection="1" quotePrefix="1">
      <alignment horizontal="center"/>
      <protection locked="0"/>
    </xf>
    <xf numFmtId="168" fontId="65" fillId="3" borderId="28" xfId="65" applyNumberFormat="1" applyFont="1" applyFill="1" applyBorder="1" applyAlignment="1" applyProtection="1" quotePrefix="1">
      <alignment horizontal="center"/>
      <protection locked="0"/>
    </xf>
    <xf numFmtId="168" fontId="13" fillId="34" borderId="28" xfId="65" applyNumberFormat="1" applyFont="1" applyFill="1" applyBorder="1" applyAlignment="1" applyProtection="1">
      <alignment horizontal="center"/>
      <protection locked="0"/>
    </xf>
    <xf numFmtId="4" fontId="48" fillId="0" borderId="28" xfId="65" applyNumberFormat="1" applyFont="1" applyFill="1" applyBorder="1" applyAlignment="1">
      <alignment horizontal="right"/>
      <protection/>
    </xf>
    <xf numFmtId="4" fontId="3" fillId="0" borderId="15" xfId="65" applyNumberFormat="1" applyFont="1" applyFill="1" applyBorder="1" applyAlignment="1">
      <alignment horizontal="center"/>
      <protection/>
    </xf>
    <xf numFmtId="0" fontId="13" fillId="0" borderId="34" xfId="65" applyFont="1" applyBorder="1" applyAlignment="1" applyProtection="1">
      <alignment horizontal="center"/>
      <protection locked="0"/>
    </xf>
    <xf numFmtId="0" fontId="13" fillId="0" borderId="71" xfId="65" applyFont="1" applyBorder="1" applyAlignment="1" applyProtection="1">
      <alignment horizontal="center"/>
      <protection locked="0"/>
    </xf>
    <xf numFmtId="0" fontId="13" fillId="0" borderId="71" xfId="65" applyFont="1" applyBorder="1" applyAlignment="1" applyProtection="1" quotePrefix="1">
      <alignment horizontal="center"/>
      <protection locked="0"/>
    </xf>
    <xf numFmtId="22" fontId="13" fillId="0" borderId="71" xfId="65" applyNumberFormat="1" applyFont="1" applyBorder="1" applyAlignment="1" applyProtection="1">
      <alignment horizontal="center"/>
      <protection locked="0"/>
    </xf>
    <xf numFmtId="22" fontId="13" fillId="0" borderId="70" xfId="65" applyNumberFormat="1" applyFont="1" applyBorder="1" applyAlignment="1" applyProtection="1">
      <alignment horizontal="center"/>
      <protection locked="0"/>
    </xf>
    <xf numFmtId="4" fontId="13" fillId="38" borderId="34" xfId="65" applyNumberFormat="1" applyFont="1" applyFill="1" applyBorder="1" applyAlignment="1" applyProtection="1" quotePrefix="1">
      <alignment horizontal="center"/>
      <protection/>
    </xf>
    <xf numFmtId="164" fontId="13" fillId="38" borderId="34" xfId="65" applyNumberFormat="1" applyFont="1" applyFill="1" applyBorder="1" applyAlignment="1" applyProtection="1" quotePrefix="1">
      <alignment horizontal="center"/>
      <protection/>
    </xf>
    <xf numFmtId="168" fontId="13" fillId="0" borderId="34" xfId="65" applyNumberFormat="1" applyFont="1" applyBorder="1" applyAlignment="1" applyProtection="1">
      <alignment horizontal="center"/>
      <protection locked="0"/>
    </xf>
    <xf numFmtId="2" fontId="82" fillId="40" borderId="34" xfId="65" applyNumberFormat="1" applyFont="1" applyFill="1" applyBorder="1" applyAlignment="1" applyProtection="1">
      <alignment horizontal="center"/>
      <protection locked="0"/>
    </xf>
    <xf numFmtId="168" fontId="65" fillId="18" borderId="34" xfId="65" applyNumberFormat="1" applyFont="1" applyFill="1" applyBorder="1" applyAlignment="1" applyProtection="1" quotePrefix="1">
      <alignment horizontal="center"/>
      <protection locked="0"/>
    </xf>
    <xf numFmtId="168" fontId="65" fillId="3" borderId="34" xfId="65" applyNumberFormat="1" applyFont="1" applyFill="1" applyBorder="1" applyAlignment="1" applyProtection="1" quotePrefix="1">
      <alignment horizontal="center"/>
      <protection locked="0"/>
    </xf>
    <xf numFmtId="168" fontId="13" fillId="34" borderId="34" xfId="65" applyNumberFormat="1" applyFont="1" applyFill="1" applyBorder="1" applyAlignment="1" applyProtection="1">
      <alignment horizontal="center"/>
      <protection locked="0"/>
    </xf>
    <xf numFmtId="4" fontId="48" fillId="0" borderId="34" xfId="65" applyNumberFormat="1" applyFont="1" applyFill="1" applyBorder="1" applyAlignment="1">
      <alignment horizontal="right"/>
      <protection/>
    </xf>
    <xf numFmtId="0" fontId="13" fillId="0" borderId="0" xfId="65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 quotePrefix="1">
      <alignment horizontal="center"/>
      <protection locked="0"/>
    </xf>
    <xf numFmtId="22" fontId="13" fillId="0" borderId="0" xfId="65" applyNumberFormat="1" applyFont="1" applyBorder="1" applyAlignment="1" applyProtection="1">
      <alignment horizontal="center"/>
      <protection locked="0"/>
    </xf>
    <xf numFmtId="168" fontId="13" fillId="0" borderId="0" xfId="65" applyNumberFormat="1" applyFont="1" applyBorder="1" applyAlignment="1" applyProtection="1">
      <alignment horizontal="center"/>
      <protection locked="0"/>
    </xf>
    <xf numFmtId="2" fontId="82" fillId="40" borderId="0" xfId="65" applyNumberFormat="1" applyFont="1" applyFill="1" applyBorder="1" applyAlignment="1" applyProtection="1">
      <alignment horizontal="center"/>
      <protection locked="0"/>
    </xf>
    <xf numFmtId="168" fontId="65" fillId="18" borderId="0" xfId="65" applyNumberFormat="1" applyFont="1" applyFill="1" applyBorder="1" applyAlignment="1" applyProtection="1" quotePrefix="1">
      <alignment horizontal="center"/>
      <protection locked="0"/>
    </xf>
    <xf numFmtId="168" fontId="65" fillId="3" borderId="0" xfId="65" applyNumberFormat="1" applyFont="1" applyFill="1" applyBorder="1" applyAlignment="1" applyProtection="1" quotePrefix="1">
      <alignment horizontal="center"/>
      <protection locked="0"/>
    </xf>
    <xf numFmtId="168" fontId="13" fillId="34" borderId="0" xfId="65" applyNumberFormat="1" applyFont="1" applyFill="1" applyBorder="1" applyAlignment="1" applyProtection="1">
      <alignment horizontal="center"/>
      <protection locked="0"/>
    </xf>
    <xf numFmtId="7" fontId="4" fillId="0" borderId="21" xfId="65" applyNumberFormat="1" applyFont="1" applyFill="1" applyBorder="1" applyAlignment="1">
      <alignment horizontal="right"/>
      <protection/>
    </xf>
    <xf numFmtId="7" fontId="4" fillId="0" borderId="0" xfId="65" applyNumberFormat="1" applyFont="1" applyFill="1" applyBorder="1" applyAlignment="1">
      <alignment horizontal="right"/>
      <protection/>
    </xf>
    <xf numFmtId="4" fontId="48" fillId="0" borderId="0" xfId="65" applyNumberFormat="1" applyFont="1" applyFill="1" applyBorder="1" applyAlignment="1">
      <alignment horizontal="right"/>
      <protection/>
    </xf>
    <xf numFmtId="0" fontId="0" fillId="0" borderId="16" xfId="65" applyFont="1" applyBorder="1" applyAlignment="1">
      <alignment horizontal="center" vertical="center"/>
      <protection/>
    </xf>
    <xf numFmtId="0" fontId="30" fillId="0" borderId="16" xfId="65" applyFont="1" applyBorder="1" applyAlignment="1" applyProtection="1">
      <alignment horizontal="left" vertical="center"/>
      <protection/>
    </xf>
    <xf numFmtId="0" fontId="30" fillId="0" borderId="22" xfId="65" applyFont="1" applyBorder="1" applyAlignment="1" applyProtection="1">
      <alignment horizontal="left" vertical="center"/>
      <protection/>
    </xf>
    <xf numFmtId="0" fontId="3" fillId="0" borderId="22" xfId="65" applyBorder="1">
      <alignment/>
      <protection/>
    </xf>
    <xf numFmtId="0" fontId="30" fillId="0" borderId="22" xfId="65" applyFont="1" applyBorder="1" applyAlignment="1" applyProtection="1">
      <alignment horizontal="center" vertical="center" wrapText="1"/>
      <protection/>
    </xf>
    <xf numFmtId="0" fontId="30" fillId="0" borderId="22" xfId="65" applyFont="1" applyBorder="1" applyAlignment="1" applyProtection="1">
      <alignment horizontal="center" vertical="center"/>
      <protection/>
    </xf>
    <xf numFmtId="0" fontId="61" fillId="40" borderId="22" xfId="65" applyFont="1" applyFill="1" applyBorder="1" applyAlignment="1" applyProtection="1">
      <alignment horizontal="center" vertical="center" wrapText="1"/>
      <protection/>
    </xf>
    <xf numFmtId="0" fontId="62" fillId="18" borderId="22" xfId="65" applyFont="1" applyFill="1" applyBorder="1" applyAlignment="1" applyProtection="1">
      <alignment horizontal="centerContinuous" vertical="center" wrapText="1"/>
      <protection/>
    </xf>
    <xf numFmtId="0" fontId="62" fillId="3" borderId="22" xfId="65" applyFont="1" applyFill="1" applyBorder="1" applyAlignment="1" applyProtection="1">
      <alignment horizontal="centerContinuous" vertical="center" wrapText="1"/>
      <protection/>
    </xf>
    <xf numFmtId="0" fontId="30" fillId="34" borderId="22" xfId="65" applyFont="1" applyFill="1" applyBorder="1" applyAlignment="1">
      <alignment horizontal="center" vertical="center" wrapText="1"/>
      <protection/>
    </xf>
    <xf numFmtId="0" fontId="13" fillId="0" borderId="66" xfId="65" applyFont="1" applyBorder="1">
      <alignment/>
      <protection/>
    </xf>
    <xf numFmtId="0" fontId="13" fillId="0" borderId="82" xfId="65" applyFont="1" applyBorder="1">
      <alignment/>
      <protection/>
    </xf>
    <xf numFmtId="0" fontId="13" fillId="0" borderId="82" xfId="65" applyFont="1" applyBorder="1" applyAlignment="1">
      <alignment horizontal="center"/>
      <protection/>
    </xf>
    <xf numFmtId="0" fontId="64" fillId="40" borderId="82" xfId="65" applyFont="1" applyFill="1" applyBorder="1" applyAlignment="1">
      <alignment horizontal="center"/>
      <protection/>
    </xf>
    <xf numFmtId="0" fontId="29" fillId="18" borderId="82" xfId="65" applyFont="1" applyFill="1" applyBorder="1" applyAlignment="1">
      <alignment horizontal="center"/>
      <protection/>
    </xf>
    <xf numFmtId="0" fontId="29" fillId="3" borderId="82" xfId="65" applyFont="1" applyFill="1" applyBorder="1" applyAlignment="1">
      <alignment horizontal="center"/>
      <protection/>
    </xf>
    <xf numFmtId="0" fontId="13" fillId="34" borderId="82" xfId="65" applyFont="1" applyFill="1" applyBorder="1" applyAlignment="1">
      <alignment horizontal="center"/>
      <protection/>
    </xf>
    <xf numFmtId="0" fontId="13" fillId="0" borderId="61" xfId="65" applyFont="1" applyBorder="1">
      <alignment/>
      <protection/>
    </xf>
    <xf numFmtId="0" fontId="13" fillId="0" borderId="32" xfId="65" applyFont="1" applyBorder="1">
      <alignment/>
      <protection/>
    </xf>
    <xf numFmtId="0" fontId="13" fillId="0" borderId="32" xfId="65" applyFont="1" applyBorder="1" applyAlignment="1">
      <alignment horizontal="center"/>
      <protection/>
    </xf>
    <xf numFmtId="0" fontId="64" fillId="40" borderId="32" xfId="65" applyFont="1" applyFill="1" applyBorder="1" applyAlignment="1">
      <alignment horizontal="center"/>
      <protection/>
    </xf>
    <xf numFmtId="0" fontId="29" fillId="18" borderId="32" xfId="65" applyFont="1" applyFill="1" applyBorder="1" applyAlignment="1">
      <alignment horizontal="center"/>
      <protection/>
    </xf>
    <xf numFmtId="0" fontId="29" fillId="3" borderId="32" xfId="65" applyFont="1" applyFill="1" applyBorder="1" applyAlignment="1">
      <alignment horizontal="center"/>
      <protection/>
    </xf>
    <xf numFmtId="0" fontId="13" fillId="34" borderId="32" xfId="65" applyFont="1" applyFill="1" applyBorder="1" applyAlignment="1">
      <alignment horizontal="center"/>
      <protection/>
    </xf>
    <xf numFmtId="0" fontId="13" fillId="0" borderId="70" xfId="65" applyFont="1" applyBorder="1" applyAlignment="1" applyProtection="1">
      <alignment horizontal="center"/>
      <protection locked="0"/>
    </xf>
    <xf numFmtId="0" fontId="13" fillId="0" borderId="69" xfId="65" applyFont="1" applyBorder="1" applyAlignment="1" applyProtection="1">
      <alignment horizontal="center"/>
      <protection locked="0"/>
    </xf>
    <xf numFmtId="0" fontId="13" fillId="0" borderId="69" xfId="65" applyFont="1" applyBorder="1" applyAlignment="1" applyProtection="1" quotePrefix="1">
      <alignment horizontal="center"/>
      <protection locked="0"/>
    </xf>
    <xf numFmtId="22" fontId="13" fillId="0" borderId="69" xfId="65" applyNumberFormat="1" applyFont="1" applyBorder="1" applyAlignment="1" applyProtection="1">
      <alignment horizontal="center"/>
      <protection locked="0"/>
    </xf>
    <xf numFmtId="168" fontId="13" fillId="0" borderId="69" xfId="65" applyNumberFormat="1" applyFont="1" applyBorder="1" applyAlignment="1" applyProtection="1">
      <alignment horizontal="center"/>
      <protection locked="0"/>
    </xf>
    <xf numFmtId="2" fontId="82" fillId="40" borderId="69" xfId="65" applyNumberFormat="1" applyFont="1" applyFill="1" applyBorder="1" applyAlignment="1" applyProtection="1">
      <alignment horizontal="center"/>
      <protection locked="0"/>
    </xf>
    <xf numFmtId="168" fontId="65" fillId="18" borderId="69" xfId="65" applyNumberFormat="1" applyFont="1" applyFill="1" applyBorder="1" applyAlignment="1" applyProtection="1" quotePrefix="1">
      <alignment horizontal="center"/>
      <protection locked="0"/>
    </xf>
    <xf numFmtId="168" fontId="65" fillId="3" borderId="69" xfId="65" applyNumberFormat="1" applyFont="1" applyFill="1" applyBorder="1" applyAlignment="1" applyProtection="1" quotePrefix="1">
      <alignment horizontal="center"/>
      <protection locked="0"/>
    </xf>
    <xf numFmtId="168" fontId="13" fillId="34" borderId="69" xfId="65" applyNumberFormat="1" applyFont="1" applyFill="1" applyBorder="1" applyAlignment="1" applyProtection="1">
      <alignment horizontal="center"/>
      <protection locked="0"/>
    </xf>
    <xf numFmtId="2" fontId="64" fillId="40" borderId="0" xfId="65" applyNumberFormat="1" applyFont="1" applyFill="1" applyBorder="1" applyAlignment="1" applyProtection="1">
      <alignment horizontal="center"/>
      <protection locked="0"/>
    </xf>
    <xf numFmtId="168" fontId="29" fillId="18" borderId="0" xfId="65" applyNumberFormat="1" applyFont="1" applyFill="1" applyBorder="1" applyAlignment="1" applyProtection="1" quotePrefix="1">
      <alignment horizontal="center"/>
      <protection locked="0"/>
    </xf>
    <xf numFmtId="168" fontId="29" fillId="3" borderId="0" xfId="65" applyNumberFormat="1" applyFont="1" applyFill="1" applyBorder="1" applyAlignment="1" applyProtection="1" quotePrefix="1">
      <alignment horizontal="center"/>
      <protection locked="0"/>
    </xf>
    <xf numFmtId="168" fontId="77" fillId="34" borderId="0" xfId="65" applyNumberFormat="1" applyFont="1" applyFill="1" applyBorder="1" applyAlignment="1" applyProtection="1">
      <alignment horizontal="center"/>
      <protection locked="0"/>
    </xf>
    <xf numFmtId="4" fontId="13" fillId="0" borderId="0" xfId="65" applyNumberFormat="1" applyFont="1" applyFill="1" applyBorder="1" applyAlignment="1">
      <alignment horizontal="center"/>
      <protection/>
    </xf>
    <xf numFmtId="0" fontId="57" fillId="0" borderId="0" xfId="65" applyFont="1" applyBorder="1" applyAlignment="1">
      <alignment horizontal="center"/>
      <protection/>
    </xf>
    <xf numFmtId="0" fontId="58" fillId="0" borderId="0" xfId="65" applyFont="1" applyBorder="1" applyAlignment="1" applyProtection="1">
      <alignment horizontal="left"/>
      <protection/>
    </xf>
    <xf numFmtId="0" fontId="13" fillId="0" borderId="0" xfId="65" applyFont="1" applyBorder="1" applyAlignment="1" quotePrefix="1">
      <alignment horizontal="center"/>
      <protection/>
    </xf>
    <xf numFmtId="168" fontId="13" fillId="0" borderId="0" xfId="65" applyNumberFormat="1" applyFont="1" applyBorder="1" applyAlignment="1" applyProtection="1">
      <alignment horizontal="center"/>
      <protection/>
    </xf>
    <xf numFmtId="168" fontId="65" fillId="18" borderId="36" xfId="65" applyNumberFormat="1" applyFont="1" applyFill="1" applyBorder="1" applyAlignment="1" applyProtection="1" quotePrefix="1">
      <alignment horizontal="center"/>
      <protection/>
    </xf>
    <xf numFmtId="168" fontId="65" fillId="3" borderId="36" xfId="65" applyNumberFormat="1" applyFont="1" applyFill="1" applyBorder="1" applyAlignment="1" applyProtection="1" quotePrefix="1">
      <alignment horizontal="center"/>
      <protection/>
    </xf>
    <xf numFmtId="168" fontId="65" fillId="34" borderId="36" xfId="65" applyNumberFormat="1" applyFont="1" applyFill="1" applyBorder="1" applyAlignment="1" applyProtection="1" quotePrefix="1">
      <alignment horizontal="center"/>
      <protection/>
    </xf>
    <xf numFmtId="0" fontId="104" fillId="0" borderId="14" xfId="65" applyFont="1" applyBorder="1">
      <alignment/>
      <protection/>
    </xf>
    <xf numFmtId="0" fontId="58" fillId="0" borderId="0" xfId="65" applyFont="1" applyBorder="1" applyAlignment="1" applyProtection="1">
      <alignment horizontal="left" vertical="top"/>
      <protection/>
    </xf>
    <xf numFmtId="0" fontId="104" fillId="0" borderId="0" xfId="65" applyFont="1">
      <alignment/>
      <protection/>
    </xf>
    <xf numFmtId="0" fontId="57" fillId="0" borderId="0" xfId="65" applyFont="1" applyBorder="1" applyAlignment="1" quotePrefix="1">
      <alignment horizontal="center"/>
      <protection/>
    </xf>
    <xf numFmtId="168" fontId="57" fillId="0" borderId="0" xfId="65" applyNumberFormat="1" applyFont="1" applyBorder="1" applyAlignment="1" applyProtection="1">
      <alignment horizontal="center"/>
      <protection/>
    </xf>
    <xf numFmtId="2" fontId="105" fillId="0" borderId="0" xfId="65" applyNumberFormat="1" applyFont="1" applyBorder="1" applyAlignment="1" applyProtection="1">
      <alignment horizontal="center"/>
      <protection/>
    </xf>
    <xf numFmtId="168" fontId="106" fillId="0" borderId="0" xfId="65" applyNumberFormat="1" applyFont="1" applyBorder="1" applyAlignment="1" applyProtection="1" quotePrefix="1">
      <alignment horizontal="center"/>
      <protection/>
    </xf>
    <xf numFmtId="168" fontId="57" fillId="0" borderId="0" xfId="65" applyNumberFormat="1" applyFont="1" applyFill="1" applyBorder="1" applyAlignment="1">
      <alignment horizontal="center"/>
      <protection/>
    </xf>
    <xf numFmtId="4" fontId="104" fillId="0" borderId="15" xfId="65" applyNumberFormat="1" applyFont="1" applyFill="1" applyBorder="1" applyAlignment="1">
      <alignment horizontal="center"/>
      <protection/>
    </xf>
    <xf numFmtId="0" fontId="3" fillId="0" borderId="18" xfId="65" applyBorder="1">
      <alignment/>
      <protection/>
    </xf>
    <xf numFmtId="0" fontId="3" fillId="0" borderId="19" xfId="65" applyBorder="1">
      <alignment/>
      <protection/>
    </xf>
    <xf numFmtId="0" fontId="3" fillId="0" borderId="19" xfId="65" applyFill="1" applyBorder="1">
      <alignment/>
      <protection/>
    </xf>
    <xf numFmtId="0" fontId="3" fillId="0" borderId="20" xfId="65" applyBorder="1">
      <alignment/>
      <protection/>
    </xf>
    <xf numFmtId="1" fontId="13" fillId="0" borderId="49" xfId="67" applyNumberFormat="1" applyFont="1" applyBorder="1" applyAlignment="1" applyProtection="1">
      <alignment horizontal="center"/>
      <protection locked="0"/>
    </xf>
    <xf numFmtId="173" fontId="13" fillId="0" borderId="29" xfId="67" applyNumberFormat="1" applyFont="1" applyBorder="1" applyAlignment="1" applyProtection="1">
      <alignment horizontal="center"/>
      <protection/>
    </xf>
    <xf numFmtId="1" fontId="13" fillId="0" borderId="49" xfId="67" applyNumberFormat="1" applyFont="1" applyBorder="1" applyAlignment="1" applyProtection="1">
      <alignment horizontal="center"/>
      <protection/>
    </xf>
    <xf numFmtId="0" fontId="21" fillId="0" borderId="0" xfId="67" applyFont="1" applyAlignment="1">
      <alignment horizontal="left"/>
      <protection/>
    </xf>
    <xf numFmtId="183" fontId="21" fillId="0" borderId="0" xfId="67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6" fillId="0" borderId="15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/>
    </xf>
    <xf numFmtId="174" fontId="0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>
      <alignment horizontal="centerContinuous"/>
    </xf>
    <xf numFmtId="22" fontId="13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3" fillId="0" borderId="64" xfId="0" applyFont="1" applyBorder="1" applyAlignment="1">
      <alignment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center" vertical="center"/>
      <protection/>
    </xf>
    <xf numFmtId="164" fontId="30" fillId="0" borderId="21" xfId="0" applyNumberFormat="1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168" fontId="30" fillId="0" borderId="21" xfId="0" applyNumberFormat="1" applyFont="1" applyBorder="1" applyAlignment="1" applyProtection="1">
      <alignment horizontal="center" vertical="center"/>
      <protection/>
    </xf>
    <xf numFmtId="168" fontId="31" fillId="32" borderId="21" xfId="0" applyNumberFormat="1" applyFont="1" applyFill="1" applyBorder="1" applyAlignment="1" applyProtection="1">
      <alignment horizontal="center" vertical="center"/>
      <protection/>
    </xf>
    <xf numFmtId="0" fontId="32" fillId="33" borderId="21" xfId="0" applyFont="1" applyFill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 applyProtection="1">
      <alignment horizontal="centerContinuous" vertical="center" wrapText="1"/>
      <protection/>
    </xf>
    <xf numFmtId="0" fontId="7" fillId="36" borderId="22" xfId="0" applyFont="1" applyFill="1" applyBorder="1" applyAlignment="1">
      <alignment horizontal="centerContinuous"/>
    </xf>
    <xf numFmtId="0" fontId="36" fillId="36" borderId="17" xfId="0" applyFont="1" applyFill="1" applyBorder="1" applyAlignment="1">
      <alignment horizontal="centerContinuous" vertical="center"/>
    </xf>
    <xf numFmtId="0" fontId="37" fillId="2" borderId="16" xfId="0" applyFont="1" applyFill="1" applyBorder="1" applyAlignment="1">
      <alignment horizontal="centerContinuous" vertical="center" wrapText="1"/>
    </xf>
    <xf numFmtId="0" fontId="38" fillId="2" borderId="22" xfId="0" applyFont="1" applyFill="1" applyBorder="1" applyAlignment="1">
      <alignment horizontal="centerContinuous"/>
    </xf>
    <xf numFmtId="0" fontId="37" fillId="2" borderId="17" xfId="0" applyFont="1" applyFill="1" applyBorder="1" applyAlignment="1">
      <alignment horizontal="centerContinuous" vertical="center"/>
    </xf>
    <xf numFmtId="0" fontId="39" fillId="3" borderId="21" xfId="0" applyFont="1" applyFill="1" applyBorder="1" applyAlignment="1">
      <alignment horizontal="center" vertical="center" wrapText="1"/>
    </xf>
    <xf numFmtId="0" fontId="40" fillId="37" borderId="21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28" xfId="0" applyFont="1" applyFill="1" applyBorder="1" applyAlignment="1" applyProtection="1">
      <alignment horizontal="center"/>
      <protection locked="0"/>
    </xf>
    <xf numFmtId="0" fontId="41" fillId="32" borderId="28" xfId="0" applyFont="1" applyFill="1" applyBorder="1" applyAlignment="1" applyProtection="1">
      <alignment horizontal="center"/>
      <protection/>
    </xf>
    <xf numFmtId="174" fontId="42" fillId="33" borderId="28" xfId="0" applyNumberFormat="1" applyFont="1" applyFill="1" applyBorder="1" applyAlignment="1" applyProtection="1">
      <alignment horizontal="center"/>
      <protection/>
    </xf>
    <xf numFmtId="4" fontId="13" fillId="38" borderId="28" xfId="0" applyNumberFormat="1" applyFont="1" applyFill="1" applyBorder="1" applyAlignment="1" applyProtection="1" quotePrefix="1">
      <alignment horizontal="center"/>
      <protection/>
    </xf>
    <xf numFmtId="164" fontId="13" fillId="38" borderId="28" xfId="0" applyNumberFormat="1" applyFont="1" applyFill="1" applyBorder="1" applyAlignment="1" applyProtection="1" quotePrefix="1">
      <alignment horizontal="center"/>
      <protection/>
    </xf>
    <xf numFmtId="168" fontId="13" fillId="0" borderId="29" xfId="0" applyNumberFormat="1" applyFont="1" applyBorder="1" applyAlignment="1" applyProtection="1">
      <alignment horizontal="center"/>
      <protection locked="0"/>
    </xf>
    <xf numFmtId="173" fontId="13" fillId="0" borderId="28" xfId="0" applyNumberFormat="1" applyFont="1" applyBorder="1" applyAlignment="1" applyProtection="1" quotePrefix="1">
      <alignment horizontal="center"/>
      <protection locked="0"/>
    </xf>
    <xf numFmtId="168" fontId="13" fillId="0" borderId="28" xfId="0" applyNumberFormat="1" applyFont="1" applyBorder="1" applyAlignment="1" applyProtection="1">
      <alignment horizontal="center"/>
      <protection locked="0"/>
    </xf>
    <xf numFmtId="2" fontId="50" fillId="34" borderId="28" xfId="0" applyNumberFormat="1" applyFont="1" applyFill="1" applyBorder="1" applyAlignment="1" applyProtection="1">
      <alignment horizontal="center"/>
      <protection locked="0"/>
    </xf>
    <xf numFmtId="2" fontId="51" fillId="35" borderId="29" xfId="0" applyNumberFormat="1" applyFont="1" applyFill="1" applyBorder="1" applyAlignment="1" applyProtection="1">
      <alignment horizontal="center"/>
      <protection locked="0"/>
    </xf>
    <xf numFmtId="168" fontId="52" fillId="36" borderId="30" xfId="0" applyNumberFormat="1" applyFont="1" applyFill="1" applyBorder="1" applyAlignment="1" applyProtection="1" quotePrefix="1">
      <alignment horizontal="center"/>
      <protection locked="0"/>
    </xf>
    <xf numFmtId="168" fontId="52" fillId="36" borderId="31" xfId="0" applyNumberFormat="1" applyFont="1" applyFill="1" applyBorder="1" applyAlignment="1" applyProtection="1" quotePrefix="1">
      <alignment horizontal="center"/>
      <protection locked="0"/>
    </xf>
    <xf numFmtId="4" fontId="52" fillId="36" borderId="29" xfId="0" applyNumberFormat="1" applyFont="1" applyFill="1" applyBorder="1" applyAlignment="1" applyProtection="1">
      <alignment horizontal="center"/>
      <protection locked="0"/>
    </xf>
    <xf numFmtId="168" fontId="53" fillId="2" borderId="30" xfId="0" applyNumberFormat="1" applyFont="1" applyFill="1" applyBorder="1" applyAlignment="1" applyProtection="1" quotePrefix="1">
      <alignment horizontal="center"/>
      <protection locked="0"/>
    </xf>
    <xf numFmtId="168" fontId="53" fillId="2" borderId="31" xfId="0" applyNumberFormat="1" applyFont="1" applyFill="1" applyBorder="1" applyAlignment="1" applyProtection="1" quotePrefix="1">
      <alignment horizontal="center"/>
      <protection locked="0"/>
    </xf>
    <xf numFmtId="4" fontId="53" fillId="2" borderId="29" xfId="0" applyNumberFormat="1" applyFont="1" applyFill="1" applyBorder="1" applyAlignment="1" applyProtection="1">
      <alignment horizontal="center"/>
      <protection locked="0"/>
    </xf>
    <xf numFmtId="4" fontId="54" fillId="3" borderId="28" xfId="0" applyNumberFormat="1" applyFont="1" applyFill="1" applyBorder="1" applyAlignment="1" applyProtection="1">
      <alignment horizontal="center"/>
      <protection locked="0"/>
    </xf>
    <xf numFmtId="4" fontId="55" fillId="37" borderId="28" xfId="0" applyNumberFormat="1" applyFont="1" applyFill="1" applyBorder="1" applyAlignment="1" applyProtection="1">
      <alignment horizontal="center"/>
      <protection locked="0"/>
    </xf>
    <xf numFmtId="4" fontId="49" fillId="0" borderId="28" xfId="0" applyNumberFormat="1" applyFont="1" applyBorder="1" applyAlignment="1" applyProtection="1">
      <alignment horizontal="center"/>
      <protection locked="0"/>
    </xf>
    <xf numFmtId="4" fontId="48" fillId="0" borderId="29" xfId="0" applyNumberFormat="1" applyFont="1" applyFill="1" applyBorder="1" applyAlignment="1">
      <alignment horizontal="right"/>
    </xf>
    <xf numFmtId="2" fontId="13" fillId="0" borderId="15" xfId="0" applyNumberFormat="1" applyFont="1" applyFill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 locked="0"/>
    </xf>
    <xf numFmtId="22" fontId="13" fillId="0" borderId="29" xfId="0" applyNumberFormat="1" applyFont="1" applyFill="1" applyBorder="1" applyAlignment="1" applyProtection="1">
      <alignment horizontal="center"/>
      <protection locked="0"/>
    </xf>
    <xf numFmtId="22" fontId="13" fillId="0" borderId="32" xfId="0" applyNumberFormat="1" applyFont="1" applyFill="1" applyBorder="1" applyAlignment="1" applyProtection="1">
      <alignment horizontal="center"/>
      <protection locked="0"/>
    </xf>
    <xf numFmtId="4" fontId="13" fillId="0" borderId="28" xfId="0" applyNumberFormat="1" applyFont="1" applyBorder="1" applyAlignment="1" applyProtection="1">
      <alignment horizontal="center"/>
      <protection locked="0"/>
    </xf>
    <xf numFmtId="0" fontId="13" fillId="0" borderId="27" xfId="0" applyFont="1" applyFill="1" applyBorder="1" applyAlignment="1">
      <alignment horizontal="center"/>
    </xf>
    <xf numFmtId="164" fontId="13" fillId="0" borderId="28" xfId="0" applyNumberFormat="1" applyFont="1" applyFill="1" applyBorder="1" applyAlignment="1" applyProtection="1">
      <alignment horizontal="center"/>
      <protection locked="0"/>
    </xf>
    <xf numFmtId="170" fontId="13" fillId="0" borderId="28" xfId="0" applyNumberFormat="1" applyFont="1" applyFill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164" fontId="49" fillId="0" borderId="36" xfId="0" applyNumberFormat="1" applyFont="1" applyBorder="1" applyAlignment="1" applyProtection="1">
      <alignment horizontal="center"/>
      <protection locked="0"/>
    </xf>
    <xf numFmtId="170" fontId="13" fillId="0" borderId="36" xfId="0" applyNumberFormat="1" applyFont="1" applyBorder="1" applyAlignment="1" applyProtection="1">
      <alignment horizontal="center"/>
      <protection locked="0"/>
    </xf>
    <xf numFmtId="165" fontId="13" fillId="0" borderId="36" xfId="0" applyNumberFormat="1" applyFont="1" applyBorder="1" applyAlignment="1" applyProtection="1">
      <alignment horizontal="center"/>
      <protection locked="0"/>
    </xf>
    <xf numFmtId="0" fontId="41" fillId="32" borderId="36" xfId="0" applyFont="1" applyFill="1" applyBorder="1" applyAlignment="1" applyProtection="1">
      <alignment horizontal="center"/>
      <protection/>
    </xf>
    <xf numFmtId="174" fontId="42" fillId="33" borderId="36" xfId="0" applyNumberFormat="1" applyFont="1" applyFill="1" applyBorder="1" applyAlignment="1" applyProtection="1">
      <alignment horizontal="center"/>
      <protection/>
    </xf>
    <xf numFmtId="22" fontId="13" fillId="0" borderId="36" xfId="0" applyNumberFormat="1" applyFont="1" applyBorder="1" applyAlignment="1" applyProtection="1">
      <alignment horizontal="center"/>
      <protection locked="0"/>
    </xf>
    <xf numFmtId="168" fontId="13" fillId="0" borderId="36" xfId="0" applyNumberFormat="1" applyFont="1" applyBorder="1" applyAlignment="1" applyProtection="1">
      <alignment horizontal="center"/>
      <protection/>
    </xf>
    <xf numFmtId="168" fontId="13" fillId="0" borderId="36" xfId="0" applyNumberFormat="1" applyFont="1" applyBorder="1" applyAlignment="1" applyProtection="1">
      <alignment horizontal="center"/>
      <protection locked="0"/>
    </xf>
    <xf numFmtId="173" fontId="13" fillId="0" borderId="36" xfId="0" applyNumberFormat="1" applyFont="1" applyBorder="1" applyAlignment="1" applyProtection="1" quotePrefix="1">
      <alignment horizontal="center"/>
      <protection locked="0"/>
    </xf>
    <xf numFmtId="2" fontId="43" fillId="34" borderId="36" xfId="0" applyNumberFormat="1" applyFont="1" applyFill="1" applyBorder="1" applyAlignment="1" applyProtection="1">
      <alignment horizontal="center"/>
      <protection locked="0"/>
    </xf>
    <xf numFmtId="2" fontId="51" fillId="35" borderId="36" xfId="0" applyNumberFormat="1" applyFont="1" applyFill="1" applyBorder="1" applyAlignment="1" applyProtection="1">
      <alignment horizontal="center"/>
      <protection locked="0"/>
    </xf>
    <xf numFmtId="168" fontId="52" fillId="36" borderId="37" xfId="0" applyNumberFormat="1" applyFont="1" applyFill="1" applyBorder="1" applyAlignment="1" applyProtection="1" quotePrefix="1">
      <alignment horizontal="center"/>
      <protection locked="0"/>
    </xf>
    <xf numFmtId="168" fontId="52" fillId="36" borderId="38" xfId="0" applyNumberFormat="1" applyFont="1" applyFill="1" applyBorder="1" applyAlignment="1" applyProtection="1" quotePrefix="1">
      <alignment horizontal="center"/>
      <protection locked="0"/>
    </xf>
    <xf numFmtId="4" fontId="52" fillId="36" borderId="39" xfId="0" applyNumberFormat="1" applyFont="1" applyFill="1" applyBorder="1" applyAlignment="1" applyProtection="1">
      <alignment horizontal="center"/>
      <protection locked="0"/>
    </xf>
    <xf numFmtId="168" fontId="53" fillId="2" borderId="37" xfId="0" applyNumberFormat="1" applyFont="1" applyFill="1" applyBorder="1" applyAlignment="1" applyProtection="1" quotePrefix="1">
      <alignment horizontal="center"/>
      <protection locked="0"/>
    </xf>
    <xf numFmtId="168" fontId="53" fillId="2" borderId="38" xfId="0" applyNumberFormat="1" applyFont="1" applyFill="1" applyBorder="1" applyAlignment="1" applyProtection="1" quotePrefix="1">
      <alignment horizontal="center"/>
      <protection locked="0"/>
    </xf>
    <xf numFmtId="4" fontId="53" fillId="2" borderId="39" xfId="0" applyNumberFormat="1" applyFont="1" applyFill="1" applyBorder="1" applyAlignment="1" applyProtection="1">
      <alignment horizontal="center"/>
      <protection locked="0"/>
    </xf>
    <xf numFmtId="4" fontId="54" fillId="3" borderId="36" xfId="0" applyNumberFormat="1" applyFont="1" applyFill="1" applyBorder="1" applyAlignment="1" applyProtection="1">
      <alignment horizontal="center"/>
      <protection locked="0"/>
    </xf>
    <xf numFmtId="4" fontId="55" fillId="37" borderId="36" xfId="0" applyNumberFormat="1" applyFont="1" applyFill="1" applyBorder="1" applyAlignment="1" applyProtection="1">
      <alignment horizontal="center"/>
      <protection locked="0"/>
    </xf>
    <xf numFmtId="4" fontId="49" fillId="0" borderId="36" xfId="0" applyNumberFormat="1" applyFont="1" applyBorder="1" applyAlignment="1" applyProtection="1">
      <alignment horizontal="center"/>
      <protection locked="0"/>
    </xf>
    <xf numFmtId="2" fontId="48" fillId="0" borderId="40" xfId="0" applyNumberFormat="1" applyFont="1" applyFill="1" applyBorder="1" applyAlignment="1">
      <alignment horizontal="right"/>
    </xf>
    <xf numFmtId="0" fontId="57" fillId="0" borderId="41" xfId="0" applyFont="1" applyBorder="1" applyAlignment="1">
      <alignment horizontal="center"/>
    </xf>
    <xf numFmtId="0" fontId="58" fillId="0" borderId="0" xfId="0" applyFont="1" applyBorder="1" applyAlignment="1" applyProtection="1">
      <alignment horizontal="left" vertical="top"/>
      <protection/>
    </xf>
    <xf numFmtId="164" fontId="49" fillId="0" borderId="0" xfId="0" applyNumberFormat="1" applyFont="1" applyBorder="1" applyAlignment="1" applyProtection="1">
      <alignment horizontal="center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168" fontId="13" fillId="0" borderId="0" xfId="0" applyNumberFormat="1" applyFont="1" applyBorder="1" applyAlignment="1" applyProtection="1">
      <alignment horizontal="center"/>
      <protection/>
    </xf>
    <xf numFmtId="173" fontId="13" fillId="0" borderId="0" xfId="0" applyNumberFormat="1" applyFont="1" applyBorder="1" applyAlignment="1" applyProtection="1" quotePrefix="1">
      <alignment horizontal="center"/>
      <protection/>
    </xf>
    <xf numFmtId="2" fontId="50" fillId="34" borderId="21" xfId="0" applyNumberFormat="1" applyFont="1" applyFill="1" applyBorder="1" applyAlignment="1" applyProtection="1">
      <alignment horizontal="center"/>
      <protection/>
    </xf>
    <xf numFmtId="2" fontId="51" fillId="35" borderId="21" xfId="0" applyNumberFormat="1" applyFont="1" applyFill="1" applyBorder="1" applyAlignment="1" applyProtection="1">
      <alignment horizontal="center"/>
      <protection/>
    </xf>
    <xf numFmtId="2" fontId="52" fillId="36" borderId="21" xfId="0" applyNumberFormat="1" applyFont="1" applyFill="1" applyBorder="1" applyAlignment="1" applyProtection="1">
      <alignment horizontal="center"/>
      <protection/>
    </xf>
    <xf numFmtId="2" fontId="53" fillId="2" borderId="21" xfId="0" applyNumberFormat="1" applyFont="1" applyFill="1" applyBorder="1" applyAlignment="1" applyProtection="1">
      <alignment horizontal="center"/>
      <protection/>
    </xf>
    <xf numFmtId="2" fontId="54" fillId="3" borderId="21" xfId="0" applyNumberFormat="1" applyFont="1" applyFill="1" applyBorder="1" applyAlignment="1" applyProtection="1">
      <alignment horizontal="center"/>
      <protection/>
    </xf>
    <xf numFmtId="2" fontId="55" fillId="37" borderId="21" xfId="0" applyNumberFormat="1" applyFont="1" applyFill="1" applyBorder="1" applyAlignment="1" applyProtection="1">
      <alignment horizontal="center"/>
      <protection/>
    </xf>
    <xf numFmtId="2" fontId="59" fillId="0" borderId="42" xfId="0" applyNumberFormat="1" applyFont="1" applyBorder="1" applyAlignment="1" applyProtection="1">
      <alignment horizontal="center"/>
      <protection/>
    </xf>
    <xf numFmtId="7" fontId="4" fillId="0" borderId="21" xfId="0" applyNumberFormat="1" applyFont="1" applyFill="1" applyBorder="1" applyAlignment="1" applyProtection="1">
      <alignment horizontal="right"/>
      <protection/>
    </xf>
    <xf numFmtId="0" fontId="57" fillId="0" borderId="0" xfId="0" applyFont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Border="1" applyAlignment="1">
      <alignment horizontal="center"/>
    </xf>
    <xf numFmtId="164" fontId="106" fillId="0" borderId="0" xfId="0" applyNumberFormat="1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165" fontId="57" fillId="0" borderId="0" xfId="0" applyNumberFormat="1" applyFont="1" applyBorder="1" applyAlignment="1" applyProtection="1">
      <alignment horizontal="center"/>
      <protection/>
    </xf>
    <xf numFmtId="168" fontId="57" fillId="0" borderId="0" xfId="0" applyNumberFormat="1" applyFont="1" applyBorder="1" applyAlignment="1" applyProtection="1">
      <alignment horizontal="center"/>
      <protection/>
    </xf>
    <xf numFmtId="173" fontId="57" fillId="0" borderId="0" xfId="0" applyNumberFormat="1" applyFont="1" applyBorder="1" applyAlignment="1" applyProtection="1" quotePrefix="1">
      <alignment horizontal="center"/>
      <protection/>
    </xf>
    <xf numFmtId="2" fontId="105" fillId="0" borderId="0" xfId="0" applyNumberFormat="1" applyFont="1" applyBorder="1" applyAlignment="1" applyProtection="1">
      <alignment horizontal="center"/>
      <protection/>
    </xf>
    <xf numFmtId="7" fontId="112" fillId="0" borderId="0" xfId="0" applyNumberFormat="1" applyFont="1" applyFill="1" applyBorder="1" applyAlignment="1" applyProtection="1">
      <alignment horizontal="right"/>
      <protection/>
    </xf>
    <xf numFmtId="4" fontId="57" fillId="0" borderId="15" xfId="0" applyNumberFormat="1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65" applyFont="1">
      <alignment/>
      <protection/>
    </xf>
    <xf numFmtId="0" fontId="9" fillId="0" borderId="0" xfId="65" applyFont="1" applyFill="1" applyAlignment="1">
      <alignment horizontal="centerContinuous"/>
      <protection/>
    </xf>
    <xf numFmtId="0" fontId="13" fillId="0" borderId="0" xfId="65" applyFont="1" applyFill="1">
      <alignment/>
      <protection/>
    </xf>
    <xf numFmtId="0" fontId="14" fillId="0" borderId="0" xfId="65" applyFont="1" applyFill="1">
      <alignment/>
      <protection/>
    </xf>
    <xf numFmtId="0" fontId="13" fillId="0" borderId="83" xfId="65" applyFont="1" applyBorder="1">
      <alignment/>
      <protection/>
    </xf>
    <xf numFmtId="0" fontId="13" fillId="0" borderId="84" xfId="65" applyFont="1" applyBorder="1">
      <alignment/>
      <protection/>
    </xf>
    <xf numFmtId="0" fontId="13" fillId="0" borderId="84" xfId="65" applyFont="1" applyBorder="1" applyAlignment="1" applyProtection="1">
      <alignment horizontal="left"/>
      <protection/>
    </xf>
    <xf numFmtId="0" fontId="13" fillId="0" borderId="84" xfId="65" applyFont="1" applyFill="1" applyBorder="1">
      <alignment/>
      <protection/>
    </xf>
    <xf numFmtId="0" fontId="13" fillId="0" borderId="85" xfId="65" applyFont="1" applyFill="1" applyBorder="1">
      <alignment/>
      <protection/>
    </xf>
    <xf numFmtId="0" fontId="16" fillId="0" borderId="86" xfId="65" applyFont="1" applyBorder="1">
      <alignment/>
      <protection/>
    </xf>
    <xf numFmtId="0" fontId="16" fillId="0" borderId="0" xfId="65" applyFont="1" applyFill="1" applyBorder="1">
      <alignment/>
      <protection/>
    </xf>
    <xf numFmtId="0" fontId="16" fillId="0" borderId="87" xfId="65" applyFont="1" applyFill="1" applyBorder="1">
      <alignment/>
      <protection/>
    </xf>
    <xf numFmtId="0" fontId="13" fillId="0" borderId="86" xfId="65" applyFont="1" applyBorder="1">
      <alignment/>
      <protection/>
    </xf>
    <xf numFmtId="0" fontId="13" fillId="0" borderId="0" xfId="65" applyFont="1" applyFill="1" applyBorder="1">
      <alignment/>
      <protection/>
    </xf>
    <xf numFmtId="0" fontId="13" fillId="0" borderId="87" xfId="65" applyFont="1" applyFill="1" applyBorder="1">
      <alignment/>
      <protection/>
    </xf>
    <xf numFmtId="0" fontId="20" fillId="0" borderId="0" xfId="65" applyFont="1" applyBorder="1" applyProtection="1">
      <alignment/>
      <protection locked="0"/>
    </xf>
    <xf numFmtId="0" fontId="24" fillId="0" borderId="86" xfId="0" applyFont="1" applyBorder="1" applyAlignment="1">
      <alignment horizontal="centerContinuous"/>
    </xf>
    <xf numFmtId="0" fontId="24" fillId="0" borderId="0" xfId="65" applyFont="1" applyBorder="1" applyAlignment="1">
      <alignment horizontal="centerContinuous"/>
      <protection/>
    </xf>
    <xf numFmtId="0" fontId="24" fillId="0" borderId="0" xfId="65" applyFont="1" applyFill="1" applyBorder="1" applyAlignment="1">
      <alignment horizontal="centerContinuous"/>
      <protection/>
    </xf>
    <xf numFmtId="0" fontId="24" fillId="0" borderId="87" xfId="65" applyFont="1" applyFill="1" applyBorder="1" applyAlignment="1">
      <alignment horizontal="centerContinuous"/>
      <protection/>
    </xf>
    <xf numFmtId="0" fontId="23" fillId="0" borderId="0" xfId="65" applyFont="1">
      <alignment/>
      <protection/>
    </xf>
    <xf numFmtId="0" fontId="13" fillId="0" borderId="0" xfId="65" applyFont="1" applyBorder="1" applyAlignment="1">
      <alignment horizontal="center"/>
      <protection/>
    </xf>
    <xf numFmtId="0" fontId="25" fillId="0" borderId="0" xfId="65" applyFont="1" applyBorder="1" applyAlignment="1">
      <alignment horizontal="left"/>
      <protection/>
    </xf>
    <xf numFmtId="0" fontId="3" fillId="0" borderId="16" xfId="65" applyFont="1" applyBorder="1" applyAlignment="1" applyProtection="1">
      <alignment horizontal="center"/>
      <protection/>
    </xf>
    <xf numFmtId="174" fontId="48" fillId="0" borderId="0" xfId="57" applyNumberFormat="1" applyFont="1" applyBorder="1" applyAlignment="1">
      <alignment horizontal="center"/>
      <protection/>
    </xf>
    <xf numFmtId="0" fontId="5" fillId="50" borderId="11" xfId="65" applyFont="1" applyFill="1" applyBorder="1" applyAlignment="1">
      <alignment horizontal="left"/>
      <protection/>
    </xf>
    <xf numFmtId="2" fontId="13" fillId="50" borderId="12" xfId="65" applyNumberFormat="1" applyFont="1" applyFill="1" applyBorder="1" applyAlignment="1">
      <alignment horizontal="left"/>
      <protection/>
    </xf>
    <xf numFmtId="0" fontId="13" fillId="50" borderId="13" xfId="65" applyFont="1" applyFill="1" applyBorder="1" applyAlignment="1">
      <alignment horizontal="left"/>
      <protection/>
    </xf>
    <xf numFmtId="0" fontId="5" fillId="51" borderId="83" xfId="65" applyFont="1" applyFill="1" applyBorder="1">
      <alignment/>
      <protection/>
    </xf>
    <xf numFmtId="0" fontId="5" fillId="51" borderId="84" xfId="65" applyFont="1" applyFill="1" applyBorder="1">
      <alignment/>
      <protection/>
    </xf>
    <xf numFmtId="0" fontId="5" fillId="51" borderId="85" xfId="65" applyFont="1" applyFill="1" applyBorder="1">
      <alignment/>
      <protection/>
    </xf>
    <xf numFmtId="174" fontId="3" fillId="0" borderId="0" xfId="65" applyNumberFormat="1" applyFont="1" applyBorder="1" applyAlignment="1">
      <alignment horizontal="centerContinuous"/>
      <protection/>
    </xf>
    <xf numFmtId="0" fontId="13" fillId="50" borderId="14" xfId="65" applyFont="1" applyFill="1" applyBorder="1" applyAlignment="1">
      <alignment horizontal="left"/>
      <protection/>
    </xf>
    <xf numFmtId="0" fontId="13" fillId="50" borderId="0" xfId="65" applyFont="1" applyFill="1" applyBorder="1" applyAlignment="1">
      <alignment horizontal="left"/>
      <protection/>
    </xf>
    <xf numFmtId="22" fontId="13" fillId="50" borderId="15" xfId="65" applyNumberFormat="1" applyFont="1" applyFill="1" applyBorder="1" applyAlignment="1">
      <alignment horizontal="left"/>
      <protection/>
    </xf>
    <xf numFmtId="22" fontId="13" fillId="0" borderId="0" xfId="65" applyNumberFormat="1" applyFont="1" applyBorder="1">
      <alignment/>
      <protection/>
    </xf>
    <xf numFmtId="0" fontId="5" fillId="51" borderId="86" xfId="65" applyFont="1" applyFill="1" applyBorder="1">
      <alignment/>
      <protection/>
    </xf>
    <xf numFmtId="0" fontId="5" fillId="51" borderId="0" xfId="65" applyFont="1" applyFill="1" applyBorder="1">
      <alignment/>
      <protection/>
    </xf>
    <xf numFmtId="0" fontId="5" fillId="51" borderId="87" xfId="65" applyFont="1" applyFill="1" applyBorder="1">
      <alignment/>
      <protection/>
    </xf>
    <xf numFmtId="0" fontId="5" fillId="0" borderId="0" xfId="65" applyFont="1" applyFill="1" applyBorder="1">
      <alignment/>
      <protection/>
    </xf>
    <xf numFmtId="0" fontId="5" fillId="0" borderId="87" xfId="65" applyFont="1" applyFill="1" applyBorder="1">
      <alignment/>
      <protection/>
    </xf>
    <xf numFmtId="0" fontId="13" fillId="0" borderId="0" xfId="65" applyFont="1" applyBorder="1" applyAlignment="1" applyProtection="1">
      <alignment horizontal="center"/>
      <protection/>
    </xf>
    <xf numFmtId="0" fontId="13" fillId="0" borderId="64" xfId="65" applyFont="1" applyBorder="1">
      <alignment/>
      <protection/>
    </xf>
    <xf numFmtId="0" fontId="13" fillId="50" borderId="18" xfId="65" applyFont="1" applyFill="1" applyBorder="1" applyAlignment="1">
      <alignment horizontal="left"/>
      <protection/>
    </xf>
    <xf numFmtId="0" fontId="5" fillId="50" borderId="19" xfId="65" applyFont="1" applyFill="1" applyBorder="1" applyAlignment="1">
      <alignment horizontal="left"/>
      <protection/>
    </xf>
    <xf numFmtId="0" fontId="5" fillId="50" borderId="20" xfId="65" applyFont="1" applyFill="1" applyBorder="1" applyAlignment="1">
      <alignment horizontal="left"/>
      <protection/>
    </xf>
    <xf numFmtId="0" fontId="5" fillId="51" borderId="88" xfId="65" applyFont="1" applyFill="1" applyBorder="1">
      <alignment/>
      <protection/>
    </xf>
    <xf numFmtId="0" fontId="5" fillId="51" borderId="89" xfId="65" applyFont="1" applyFill="1" applyBorder="1">
      <alignment/>
      <protection/>
    </xf>
    <xf numFmtId="0" fontId="5" fillId="51" borderId="90" xfId="65" applyFont="1" applyFill="1" applyBorder="1">
      <alignment/>
      <protection/>
    </xf>
    <xf numFmtId="0" fontId="13" fillId="0" borderId="86" xfId="65" applyFont="1" applyBorder="1" applyAlignment="1">
      <alignment vertical="center" wrapText="1"/>
      <protection/>
    </xf>
    <xf numFmtId="0" fontId="13" fillId="0" borderId="0" xfId="65" applyFont="1" applyBorder="1" applyAlignment="1">
      <alignment vertical="center" wrapText="1"/>
      <protection/>
    </xf>
    <xf numFmtId="0" fontId="30" fillId="0" borderId="21" xfId="65" applyFont="1" applyBorder="1" applyAlignment="1" applyProtection="1">
      <alignment horizontal="center" vertical="center" textRotation="90" wrapText="1"/>
      <protection/>
    </xf>
    <xf numFmtId="164" fontId="30" fillId="0" borderId="21" xfId="65" applyNumberFormat="1" applyFont="1" applyBorder="1" applyAlignment="1" applyProtection="1">
      <alignment horizontal="center" vertical="center" wrapText="1"/>
      <protection/>
    </xf>
    <xf numFmtId="168" fontId="30" fillId="0" borderId="21" xfId="65" applyNumberFormat="1" applyFont="1" applyBorder="1" applyAlignment="1" applyProtection="1">
      <alignment horizontal="center" vertical="center" wrapText="1"/>
      <protection/>
    </xf>
    <xf numFmtId="168" fontId="31" fillId="32" borderId="21" xfId="65" applyNumberFormat="1" applyFont="1" applyFill="1" applyBorder="1" applyAlignment="1" applyProtection="1">
      <alignment horizontal="center" vertical="center" wrapText="1"/>
      <protection/>
    </xf>
    <xf numFmtId="0" fontId="32" fillId="33" borderId="21" xfId="65" applyFont="1" applyFill="1" applyBorder="1" applyAlignment="1" applyProtection="1">
      <alignment horizontal="center" vertical="center" wrapText="1"/>
      <protection/>
    </xf>
    <xf numFmtId="0" fontId="30" fillId="0" borderId="16" xfId="65" applyFont="1" applyBorder="1" applyAlignment="1" applyProtection="1">
      <alignment horizontal="center" vertical="center" wrapText="1"/>
      <protection/>
    </xf>
    <xf numFmtId="0" fontId="30" fillId="0" borderId="16" xfId="65" applyFont="1" applyFill="1" applyBorder="1" applyAlignment="1" applyProtection="1">
      <alignment horizontal="center" vertical="center" wrapText="1"/>
      <protection/>
    </xf>
    <xf numFmtId="0" fontId="30" fillId="0" borderId="21" xfId="65" applyFont="1" applyFill="1" applyBorder="1" applyAlignment="1" applyProtection="1">
      <alignment horizontal="center" vertical="center" wrapText="1"/>
      <protection/>
    </xf>
    <xf numFmtId="0" fontId="36" fillId="36" borderId="58" xfId="65" applyFont="1" applyFill="1" applyBorder="1" applyAlignment="1" applyProtection="1">
      <alignment horizontal="centerContinuous" vertical="center" wrapText="1"/>
      <protection/>
    </xf>
    <xf numFmtId="0" fontId="7" fillId="36" borderId="64" xfId="65" applyFont="1" applyFill="1" applyBorder="1" applyAlignment="1">
      <alignment horizontal="centerContinuous" vertical="center" wrapText="1"/>
      <protection/>
    </xf>
    <xf numFmtId="0" fontId="36" fillId="36" borderId="50" xfId="65" applyFont="1" applyFill="1" applyBorder="1" applyAlignment="1">
      <alignment horizontal="centerContinuous" vertical="center" wrapText="1"/>
      <protection/>
    </xf>
    <xf numFmtId="0" fontId="30" fillId="0" borderId="21" xfId="65" applyFont="1" applyFill="1" applyBorder="1" applyAlignment="1">
      <alignment horizontal="center" vertical="center" wrapText="1"/>
      <protection/>
    </xf>
    <xf numFmtId="0" fontId="30" fillId="50" borderId="21" xfId="65" applyFont="1" applyFill="1" applyBorder="1" applyAlignment="1">
      <alignment horizontal="center" vertical="center" wrapText="1"/>
      <protection/>
    </xf>
    <xf numFmtId="0" fontId="13" fillId="0" borderId="87" xfId="65" applyFont="1" applyFill="1" applyBorder="1" applyAlignment="1">
      <alignment horizontal="center" vertical="center" wrapText="1"/>
      <protection/>
    </xf>
    <xf numFmtId="0" fontId="13" fillId="0" borderId="0" xfId="65" applyFont="1" applyAlignment="1">
      <alignment vertical="center" wrapText="1"/>
      <protection/>
    </xf>
    <xf numFmtId="0" fontId="13" fillId="0" borderId="23" xfId="65" applyFont="1" applyBorder="1">
      <alignment/>
      <protection/>
    </xf>
    <xf numFmtId="0" fontId="41" fillId="32" borderId="23" xfId="65" applyFont="1" applyFill="1" applyBorder="1">
      <alignment/>
      <protection/>
    </xf>
    <xf numFmtId="0" fontId="42" fillId="33" borderId="23" xfId="65" applyFont="1" applyFill="1" applyBorder="1">
      <alignment/>
      <protection/>
    </xf>
    <xf numFmtId="0" fontId="13" fillId="0" borderId="23" xfId="65" applyFont="1" applyFill="1" applyBorder="1">
      <alignment/>
      <protection/>
    </xf>
    <xf numFmtId="0" fontId="13" fillId="10" borderId="23" xfId="65" applyFont="1" applyFill="1" applyBorder="1">
      <alignment/>
      <protection/>
    </xf>
    <xf numFmtId="0" fontId="13" fillId="36" borderId="24" xfId="65" applyFont="1" applyFill="1" applyBorder="1">
      <alignment/>
      <protection/>
    </xf>
    <xf numFmtId="0" fontId="13" fillId="36" borderId="25" xfId="65" applyFont="1" applyFill="1" applyBorder="1">
      <alignment/>
      <protection/>
    </xf>
    <xf numFmtId="0" fontId="13" fillId="36" borderId="26" xfId="65" applyFont="1" applyFill="1" applyBorder="1">
      <alignment/>
      <protection/>
    </xf>
    <xf numFmtId="7" fontId="48" fillId="0" borderId="23" xfId="65" applyNumberFormat="1" applyFont="1" applyFill="1" applyBorder="1" applyAlignment="1">
      <alignment/>
      <protection/>
    </xf>
    <xf numFmtId="7" fontId="48" fillId="0" borderId="0" xfId="65" applyNumberFormat="1" applyFont="1" applyBorder="1" applyAlignment="1">
      <alignment/>
      <protection/>
    </xf>
    <xf numFmtId="7" fontId="48" fillId="0" borderId="0" xfId="65" applyNumberFormat="1" applyFont="1" applyFill="1" applyBorder="1" applyAlignment="1">
      <alignment/>
      <protection/>
    </xf>
    <xf numFmtId="7" fontId="48" fillId="0" borderId="86" xfId="65" applyNumberFormat="1" applyFont="1" applyFill="1" applyBorder="1" applyAlignment="1">
      <alignment/>
      <protection/>
    </xf>
    <xf numFmtId="7" fontId="48" fillId="50" borderId="0" xfId="65" applyNumberFormat="1" applyFont="1" applyFill="1" applyBorder="1" applyAlignment="1">
      <alignment/>
      <protection/>
    </xf>
    <xf numFmtId="0" fontId="13" fillId="0" borderId="86" xfId="65" applyFont="1" applyFill="1" applyBorder="1">
      <alignment/>
      <protection/>
    </xf>
    <xf numFmtId="0" fontId="13" fillId="0" borderId="43" xfId="65" applyFont="1" applyFill="1" applyBorder="1">
      <alignment/>
      <protection/>
    </xf>
    <xf numFmtId="0" fontId="13" fillId="0" borderId="35" xfId="65" applyFont="1" applyFill="1" applyBorder="1">
      <alignment/>
      <protection/>
    </xf>
    <xf numFmtId="0" fontId="13" fillId="0" borderId="59" xfId="65" applyFont="1" applyFill="1" applyBorder="1">
      <alignment/>
      <protection/>
    </xf>
    <xf numFmtId="0" fontId="13" fillId="0" borderId="35" xfId="65" applyFont="1" applyFill="1" applyBorder="1" applyProtection="1">
      <alignment/>
      <protection locked="0"/>
    </xf>
    <xf numFmtId="0" fontId="13" fillId="0" borderId="35" xfId="65" applyFont="1" applyFill="1" applyBorder="1" applyAlignment="1" applyProtection="1">
      <alignment horizontal="center"/>
      <protection locked="0"/>
    </xf>
    <xf numFmtId="0" fontId="41" fillId="0" borderId="35" xfId="65" applyFont="1" applyFill="1" applyBorder="1" applyProtection="1">
      <alignment/>
      <protection locked="0"/>
    </xf>
    <xf numFmtId="0" fontId="42" fillId="0" borderId="35" xfId="65" applyFont="1" applyFill="1" applyBorder="1" applyProtection="1">
      <alignment/>
      <protection locked="0"/>
    </xf>
    <xf numFmtId="22" fontId="13" fillId="0" borderId="59" xfId="65" applyNumberFormat="1" applyFont="1" applyFill="1" applyBorder="1" applyAlignment="1" applyProtection="1">
      <alignment horizontal="center"/>
      <protection locked="0"/>
    </xf>
    <xf numFmtId="0" fontId="13" fillId="0" borderId="0" xfId="65" applyFont="1" applyFill="1" applyBorder="1" applyProtection="1">
      <alignment/>
      <protection locked="0"/>
    </xf>
    <xf numFmtId="0" fontId="13" fillId="0" borderId="59" xfId="65" applyFont="1" applyFill="1" applyBorder="1" applyProtection="1">
      <alignment/>
      <protection locked="0"/>
    </xf>
    <xf numFmtId="168" fontId="49" fillId="0" borderId="91" xfId="65" applyNumberFormat="1" applyFont="1" applyFill="1" applyBorder="1" applyAlignment="1" applyProtection="1" quotePrefix="1">
      <alignment horizontal="center"/>
      <protection/>
    </xf>
    <xf numFmtId="4" fontId="49" fillId="0" borderId="91" xfId="65" applyNumberFormat="1" applyFont="1" applyFill="1" applyBorder="1" applyAlignment="1" applyProtection="1">
      <alignment horizontal="center"/>
      <protection/>
    </xf>
    <xf numFmtId="0" fontId="48" fillId="0" borderId="59" xfId="65" applyFont="1" applyFill="1" applyBorder="1">
      <alignment/>
      <protection/>
    </xf>
    <xf numFmtId="0" fontId="48" fillId="0" borderId="59" xfId="65" applyFont="1" applyFill="1" applyBorder="1" applyProtection="1">
      <alignment/>
      <protection locked="0"/>
    </xf>
    <xf numFmtId="0" fontId="48" fillId="0" borderId="92" xfId="65" applyFont="1" applyFill="1" applyBorder="1">
      <alignment/>
      <protection/>
    </xf>
    <xf numFmtId="0" fontId="13" fillId="0" borderId="93" xfId="65" applyFont="1" applyFill="1" applyBorder="1" applyAlignment="1">
      <alignment horizontal="center"/>
      <protection/>
    </xf>
    <xf numFmtId="0" fontId="13" fillId="0" borderId="93" xfId="57" applyFont="1" applyFill="1" applyBorder="1" applyAlignment="1" applyProtection="1">
      <alignment horizontal="center"/>
      <protection locked="0"/>
    </xf>
    <xf numFmtId="0" fontId="41" fillId="0" borderId="93" xfId="0" applyFont="1" applyFill="1" applyBorder="1" applyAlignment="1" applyProtection="1">
      <alignment horizontal="center"/>
      <protection/>
    </xf>
    <xf numFmtId="0" fontId="42" fillId="0" borderId="93" xfId="65" applyFont="1" applyFill="1" applyBorder="1" applyProtection="1">
      <alignment/>
      <protection locked="0"/>
    </xf>
    <xf numFmtId="22" fontId="13" fillId="0" borderId="93" xfId="57" applyNumberFormat="1" applyFont="1" applyFill="1" applyBorder="1" applyAlignment="1" applyProtection="1">
      <alignment horizontal="center"/>
      <protection locked="0"/>
    </xf>
    <xf numFmtId="4" fontId="13" fillId="0" borderId="93" xfId="65" applyNumberFormat="1" applyFont="1" applyFill="1" applyBorder="1" applyAlignment="1" applyProtection="1" quotePrefix="1">
      <alignment horizontal="center"/>
      <protection/>
    </xf>
    <xf numFmtId="164" fontId="13" fillId="0" borderId="93" xfId="65" applyNumberFormat="1" applyFont="1" applyFill="1" applyBorder="1" applyAlignment="1" applyProtection="1" quotePrefix="1">
      <alignment horizontal="center"/>
      <protection/>
    </xf>
    <xf numFmtId="168" fontId="13" fillId="0" borderId="93" xfId="65" applyNumberFormat="1" applyFont="1" applyFill="1" applyBorder="1" applyAlignment="1" applyProtection="1">
      <alignment horizontal="center"/>
      <protection locked="0"/>
    </xf>
    <xf numFmtId="173" fontId="13" fillId="0" borderId="93" xfId="65" applyNumberFormat="1" applyFont="1" applyFill="1" applyBorder="1" applyAlignment="1" applyProtection="1" quotePrefix="1">
      <alignment horizontal="center"/>
      <protection/>
    </xf>
    <xf numFmtId="168" fontId="13" fillId="0" borderId="93" xfId="65" applyNumberFormat="1" applyFont="1" applyFill="1" applyBorder="1" applyAlignment="1" applyProtection="1">
      <alignment horizontal="center"/>
      <protection/>
    </xf>
    <xf numFmtId="168" fontId="49" fillId="0" borderId="93" xfId="65" applyNumberFormat="1" applyFont="1" applyFill="1" applyBorder="1" applyAlignment="1" applyProtection="1" quotePrefix="1">
      <alignment horizontal="center"/>
      <protection/>
    </xf>
    <xf numFmtId="4" fontId="49" fillId="0" borderId="93" xfId="65" applyNumberFormat="1" applyFont="1" applyFill="1" applyBorder="1" applyAlignment="1" applyProtection="1">
      <alignment horizontal="center"/>
      <protection/>
    </xf>
    <xf numFmtId="4" fontId="48" fillId="0" borderId="93" xfId="65" applyNumberFormat="1" applyFont="1" applyFill="1" applyBorder="1" applyAlignment="1">
      <alignment horizontal="right"/>
      <protection/>
    </xf>
    <xf numFmtId="4" fontId="13" fillId="0" borderId="93" xfId="65" applyNumberFormat="1" applyFont="1" applyFill="1" applyBorder="1" applyAlignment="1" applyProtection="1">
      <alignment horizontal="center"/>
      <protection/>
    </xf>
    <xf numFmtId="179" fontId="48" fillId="0" borderId="93" xfId="65" applyNumberFormat="1" applyFont="1" applyFill="1" applyBorder="1" applyAlignment="1" applyProtection="1">
      <alignment horizontal="center"/>
      <protection locked="0"/>
    </xf>
    <xf numFmtId="3" fontId="48" fillId="0" borderId="93" xfId="65" applyNumberFormat="1" applyFont="1" applyFill="1" applyBorder="1" applyAlignment="1">
      <alignment horizontal="center"/>
      <protection/>
    </xf>
    <xf numFmtId="4" fontId="48" fillId="0" borderId="93" xfId="65" applyNumberFormat="1" applyFont="1" applyFill="1" applyBorder="1" applyAlignment="1" applyProtection="1">
      <alignment horizontal="center"/>
      <protection locked="0"/>
    </xf>
    <xf numFmtId="170" fontId="48" fillId="0" borderId="93" xfId="65" applyNumberFormat="1" applyFont="1" applyFill="1" applyBorder="1" applyAlignment="1">
      <alignment horizontal="center"/>
      <protection/>
    </xf>
    <xf numFmtId="4" fontId="48" fillId="0" borderId="93" xfId="65" applyNumberFormat="1" applyFont="1" applyFill="1" applyBorder="1" applyAlignment="1">
      <alignment horizontal="center"/>
      <protection/>
    </xf>
    <xf numFmtId="4" fontId="114" fillId="0" borderId="93" xfId="65" applyNumberFormat="1" applyFont="1" applyFill="1" applyBorder="1" applyAlignment="1">
      <alignment horizontal="right"/>
      <protection/>
    </xf>
    <xf numFmtId="180" fontId="114" fillId="0" borderId="93" xfId="65" applyNumberFormat="1" applyFont="1" applyFill="1" applyBorder="1" applyAlignment="1">
      <alignment horizontal="right"/>
      <protection/>
    </xf>
    <xf numFmtId="4" fontId="48" fillId="0" borderId="94" xfId="65" applyNumberFormat="1" applyFont="1" applyFill="1" applyBorder="1" applyAlignment="1">
      <alignment horizontal="center"/>
      <protection/>
    </xf>
    <xf numFmtId="2" fontId="13" fillId="0" borderId="87" xfId="65" applyNumberFormat="1" applyFont="1" applyFill="1" applyBorder="1" applyAlignment="1">
      <alignment horizontal="center"/>
      <protection/>
    </xf>
    <xf numFmtId="0" fontId="13" fillId="0" borderId="27" xfId="65" applyFont="1" applyFill="1" applyBorder="1" applyAlignment="1">
      <alignment horizontal="center"/>
      <protection/>
    </xf>
    <xf numFmtId="0" fontId="13" fillId="0" borderId="27" xfId="57" applyFont="1" applyFill="1" applyBorder="1" applyAlignment="1" applyProtection="1">
      <alignment horizontal="center"/>
      <protection locked="0"/>
    </xf>
    <xf numFmtId="164" fontId="13" fillId="0" borderId="27" xfId="57" applyNumberFormat="1" applyFont="1" applyFill="1" applyBorder="1" applyAlignment="1" applyProtection="1">
      <alignment horizontal="center"/>
      <protection locked="0"/>
    </xf>
    <xf numFmtId="0" fontId="41" fillId="0" borderId="27" xfId="0" applyFont="1" applyFill="1" applyBorder="1" applyAlignment="1" applyProtection="1">
      <alignment horizontal="center"/>
      <protection/>
    </xf>
    <xf numFmtId="0" fontId="42" fillId="0" borderId="27" xfId="65" applyFont="1" applyFill="1" applyBorder="1" applyProtection="1">
      <alignment/>
      <protection locked="0"/>
    </xf>
    <xf numFmtId="22" fontId="13" fillId="0" borderId="27" xfId="57" applyNumberFormat="1" applyFont="1" applyFill="1" applyBorder="1" applyAlignment="1" applyProtection="1">
      <alignment horizontal="center"/>
      <protection locked="0"/>
    </xf>
    <xf numFmtId="4" fontId="13" fillId="0" borderId="27" xfId="65" applyNumberFormat="1" applyFont="1" applyFill="1" applyBorder="1" applyAlignment="1" applyProtection="1" quotePrefix="1">
      <alignment horizontal="center"/>
      <protection/>
    </xf>
    <xf numFmtId="164" fontId="13" fillId="0" borderId="27" xfId="65" applyNumberFormat="1" applyFont="1" applyFill="1" applyBorder="1" applyAlignment="1" applyProtection="1" quotePrefix="1">
      <alignment horizontal="center"/>
      <protection/>
    </xf>
    <xf numFmtId="168" fontId="13" fillId="0" borderId="27" xfId="65" applyNumberFormat="1" applyFont="1" applyFill="1" applyBorder="1" applyAlignment="1" applyProtection="1">
      <alignment horizontal="center"/>
      <protection locked="0"/>
    </xf>
    <xf numFmtId="173" fontId="13" fillId="0" borderId="27" xfId="65" applyNumberFormat="1" applyFont="1" applyFill="1" applyBorder="1" applyAlignment="1" applyProtection="1" quotePrefix="1">
      <alignment horizontal="center"/>
      <protection/>
    </xf>
    <xf numFmtId="168" fontId="13" fillId="0" borderId="27" xfId="65" applyNumberFormat="1" applyFont="1" applyFill="1" applyBorder="1" applyAlignment="1" applyProtection="1">
      <alignment horizontal="center"/>
      <protection/>
    </xf>
    <xf numFmtId="168" fontId="49" fillId="0" borderId="27" xfId="65" applyNumberFormat="1" applyFont="1" applyFill="1" applyBorder="1" applyAlignment="1" applyProtection="1" quotePrefix="1">
      <alignment horizontal="center"/>
      <protection/>
    </xf>
    <xf numFmtId="4" fontId="49" fillId="0" borderId="27" xfId="65" applyNumberFormat="1" applyFont="1" applyFill="1" applyBorder="1" applyAlignment="1" applyProtection="1">
      <alignment horizontal="center"/>
      <protection/>
    </xf>
    <xf numFmtId="4" fontId="48" fillId="0" borderId="27" xfId="65" applyNumberFormat="1" applyFont="1" applyFill="1" applyBorder="1" applyAlignment="1">
      <alignment horizontal="right"/>
      <protection/>
    </xf>
    <xf numFmtId="179" fontId="48" fillId="0" borderId="27" xfId="65" applyNumberFormat="1" applyFont="1" applyFill="1" applyBorder="1" applyAlignment="1" applyProtection="1">
      <alignment horizontal="right"/>
      <protection locked="0"/>
    </xf>
    <xf numFmtId="3" fontId="48" fillId="0" borderId="27" xfId="65" applyNumberFormat="1" applyFont="1" applyFill="1" applyBorder="1" applyAlignment="1">
      <alignment horizontal="right"/>
      <protection/>
    </xf>
    <xf numFmtId="4" fontId="48" fillId="0" borderId="27" xfId="65" applyNumberFormat="1" applyFont="1" applyFill="1" applyBorder="1" applyAlignment="1" applyProtection="1">
      <alignment horizontal="right"/>
      <protection locked="0"/>
    </xf>
    <xf numFmtId="170" fontId="48" fillId="0" borderId="27" xfId="65" applyNumberFormat="1" applyFont="1" applyFill="1" applyBorder="1" applyAlignment="1">
      <alignment horizontal="center"/>
      <protection/>
    </xf>
    <xf numFmtId="4" fontId="114" fillId="0" borderId="27" xfId="65" applyNumberFormat="1" applyFont="1" applyFill="1" applyBorder="1" applyAlignment="1">
      <alignment horizontal="right"/>
      <protection/>
    </xf>
    <xf numFmtId="180" fontId="114" fillId="0" borderId="27" xfId="65" applyNumberFormat="1" applyFont="1" applyFill="1" applyBorder="1" applyAlignment="1">
      <alignment horizontal="right"/>
      <protection/>
    </xf>
    <xf numFmtId="4" fontId="48" fillId="0" borderId="95" xfId="65" applyNumberFormat="1" applyFont="1" applyFill="1" applyBorder="1" applyAlignment="1">
      <alignment horizontal="right"/>
      <protection/>
    </xf>
    <xf numFmtId="165" fontId="13" fillId="0" borderId="27" xfId="57" applyNumberFormat="1" applyFont="1" applyFill="1" applyBorder="1" applyAlignment="1" applyProtection="1">
      <alignment horizontal="center"/>
      <protection locked="0"/>
    </xf>
    <xf numFmtId="0" fontId="41" fillId="0" borderId="27" xfId="65" applyFont="1" applyFill="1" applyBorder="1" applyProtection="1">
      <alignment/>
      <protection locked="0"/>
    </xf>
    <xf numFmtId="180" fontId="48" fillId="0" borderId="27" xfId="65" applyNumberFormat="1" applyFont="1" applyFill="1" applyBorder="1" applyAlignment="1">
      <alignment horizontal="right"/>
      <protection/>
    </xf>
    <xf numFmtId="0" fontId="13" fillId="0" borderId="96" xfId="65" applyFont="1" applyFill="1" applyBorder="1" applyAlignment="1">
      <alignment horizontal="center"/>
      <protection/>
    </xf>
    <xf numFmtId="0" fontId="13" fillId="0" borderId="96" xfId="57" applyFont="1" applyFill="1" applyBorder="1" applyAlignment="1" applyProtection="1">
      <alignment horizontal="center"/>
      <protection locked="0"/>
    </xf>
    <xf numFmtId="164" fontId="13" fillId="0" borderId="96" xfId="57" applyNumberFormat="1" applyFont="1" applyFill="1" applyBorder="1" applyAlignment="1" applyProtection="1">
      <alignment horizontal="center"/>
      <protection locked="0"/>
    </xf>
    <xf numFmtId="165" fontId="13" fillId="0" borderId="96" xfId="57" applyNumberFormat="1" applyFont="1" applyFill="1" applyBorder="1" applyAlignment="1" applyProtection="1">
      <alignment horizontal="center"/>
      <protection locked="0"/>
    </xf>
    <xf numFmtId="0" fontId="41" fillId="0" borderId="96" xfId="65" applyFont="1" applyFill="1" applyBorder="1" applyProtection="1">
      <alignment/>
      <protection locked="0"/>
    </xf>
    <xf numFmtId="0" fontId="42" fillId="0" borderId="96" xfId="65" applyFont="1" applyFill="1" applyBorder="1" applyProtection="1">
      <alignment/>
      <protection locked="0"/>
    </xf>
    <xf numFmtId="22" fontId="13" fillId="0" borderId="96" xfId="57" applyNumberFormat="1" applyFont="1" applyFill="1" applyBorder="1" applyAlignment="1" applyProtection="1">
      <alignment horizontal="center"/>
      <protection locked="0"/>
    </xf>
    <xf numFmtId="4" fontId="13" fillId="0" borderId="96" xfId="65" applyNumberFormat="1" applyFont="1" applyFill="1" applyBorder="1" applyAlignment="1" applyProtection="1" quotePrefix="1">
      <alignment horizontal="center"/>
      <protection/>
    </xf>
    <xf numFmtId="164" fontId="13" fillId="0" borderId="96" xfId="65" applyNumberFormat="1" applyFont="1" applyFill="1" applyBorder="1" applyAlignment="1" applyProtection="1" quotePrefix="1">
      <alignment horizontal="center"/>
      <protection/>
    </xf>
    <xf numFmtId="168" fontId="13" fillId="0" borderId="96" xfId="65" applyNumberFormat="1" applyFont="1" applyFill="1" applyBorder="1" applyAlignment="1" applyProtection="1">
      <alignment horizontal="center"/>
      <protection locked="0"/>
    </xf>
    <xf numFmtId="173" fontId="13" fillId="0" borderId="96" xfId="65" applyNumberFormat="1" applyFont="1" applyFill="1" applyBorder="1" applyAlignment="1" applyProtection="1" quotePrefix="1">
      <alignment horizontal="center"/>
      <protection/>
    </xf>
    <xf numFmtId="168" fontId="13" fillId="0" borderId="96" xfId="65" applyNumberFormat="1" applyFont="1" applyFill="1" applyBorder="1" applyAlignment="1" applyProtection="1">
      <alignment horizontal="center"/>
      <protection/>
    </xf>
    <xf numFmtId="168" fontId="49" fillId="0" borderId="96" xfId="65" applyNumberFormat="1" applyFont="1" applyFill="1" applyBorder="1" applyAlignment="1" applyProtection="1" quotePrefix="1">
      <alignment horizontal="center"/>
      <protection/>
    </xf>
    <xf numFmtId="4" fontId="49" fillId="0" borderId="96" xfId="65" applyNumberFormat="1" applyFont="1" applyFill="1" applyBorder="1" applyAlignment="1" applyProtection="1">
      <alignment horizontal="center"/>
      <protection/>
    </xf>
    <xf numFmtId="4" fontId="48" fillId="0" borderId="96" xfId="65" applyNumberFormat="1" applyFont="1" applyFill="1" applyBorder="1" applyAlignment="1">
      <alignment horizontal="right"/>
      <protection/>
    </xf>
    <xf numFmtId="179" fontId="48" fillId="0" borderId="96" xfId="65" applyNumberFormat="1" applyFont="1" applyFill="1" applyBorder="1" applyAlignment="1" applyProtection="1">
      <alignment horizontal="right"/>
      <protection locked="0"/>
    </xf>
    <xf numFmtId="3" fontId="48" fillId="0" borderId="96" xfId="65" applyNumberFormat="1" applyFont="1" applyFill="1" applyBorder="1" applyAlignment="1">
      <alignment horizontal="right"/>
      <protection/>
    </xf>
    <xf numFmtId="4" fontId="48" fillId="0" borderId="96" xfId="65" applyNumberFormat="1" applyFont="1" applyFill="1" applyBorder="1" applyAlignment="1" applyProtection="1">
      <alignment horizontal="right"/>
      <protection locked="0"/>
    </xf>
    <xf numFmtId="170" fontId="48" fillId="0" borderId="96" xfId="65" applyNumberFormat="1" applyFont="1" applyFill="1" applyBorder="1" applyAlignment="1">
      <alignment horizontal="center"/>
      <protection/>
    </xf>
    <xf numFmtId="180" fontId="48" fillId="0" borderId="96" xfId="65" applyNumberFormat="1" applyFont="1" applyFill="1" applyBorder="1" applyAlignment="1">
      <alignment horizontal="right"/>
      <protection/>
    </xf>
    <xf numFmtId="4" fontId="48" fillId="0" borderId="97" xfId="65" applyNumberFormat="1" applyFont="1" applyFill="1" applyBorder="1" applyAlignment="1">
      <alignment horizontal="right"/>
      <protection/>
    </xf>
    <xf numFmtId="0" fontId="13" fillId="0" borderId="36" xfId="65" applyFont="1" applyFill="1" applyBorder="1">
      <alignment/>
      <protection/>
    </xf>
    <xf numFmtId="0" fontId="13" fillId="0" borderId="36" xfId="65" applyFont="1" applyFill="1" applyBorder="1" applyAlignment="1">
      <alignment horizontal="center"/>
      <protection/>
    </xf>
    <xf numFmtId="0" fontId="13" fillId="0" borderId="50" xfId="65" applyFont="1" applyFill="1" applyBorder="1" applyAlignment="1">
      <alignment horizontal="center"/>
      <protection/>
    </xf>
    <xf numFmtId="0" fontId="13" fillId="0" borderId="36" xfId="65" applyFont="1" applyFill="1" applyBorder="1" applyAlignment="1" applyProtection="1">
      <alignment horizontal="center"/>
      <protection locked="0"/>
    </xf>
    <xf numFmtId="164" fontId="49" fillId="0" borderId="36" xfId="65" applyNumberFormat="1" applyFont="1" applyFill="1" applyBorder="1" applyAlignment="1" applyProtection="1">
      <alignment horizontal="center"/>
      <protection locked="0"/>
    </xf>
    <xf numFmtId="165" fontId="13" fillId="0" borderId="36" xfId="65" applyNumberFormat="1" applyFont="1" applyFill="1" applyBorder="1" applyAlignment="1" applyProtection="1">
      <alignment horizontal="center"/>
      <protection locked="0"/>
    </xf>
    <xf numFmtId="0" fontId="41" fillId="0" borderId="36" xfId="65" applyFont="1" applyFill="1" applyBorder="1" applyAlignment="1" applyProtection="1">
      <alignment horizontal="center"/>
      <protection locked="0"/>
    </xf>
    <xf numFmtId="174" fontId="42" fillId="0" borderId="36" xfId="65" applyNumberFormat="1" applyFont="1" applyFill="1" applyBorder="1" applyAlignment="1" applyProtection="1">
      <alignment horizontal="center"/>
      <protection locked="0"/>
    </xf>
    <xf numFmtId="168" fontId="13" fillId="0" borderId="36" xfId="65" applyNumberFormat="1" applyFont="1" applyFill="1" applyBorder="1" applyAlignment="1" applyProtection="1">
      <alignment horizontal="center"/>
      <protection locked="0"/>
    </xf>
    <xf numFmtId="168" fontId="13" fillId="0" borderId="36" xfId="65" applyNumberFormat="1" applyFont="1" applyFill="1" applyBorder="1" applyAlignment="1" applyProtection="1">
      <alignment horizontal="center"/>
      <protection/>
    </xf>
    <xf numFmtId="173" fontId="13" fillId="0" borderId="36" xfId="65" applyNumberFormat="1" applyFont="1" applyFill="1" applyBorder="1" applyAlignment="1" applyProtection="1" quotePrefix="1">
      <alignment horizontal="center"/>
      <protection/>
    </xf>
    <xf numFmtId="168" fontId="52" fillId="0" borderId="36" xfId="65" applyNumberFormat="1" applyFont="1" applyFill="1" applyBorder="1" applyAlignment="1" applyProtection="1" quotePrefix="1">
      <alignment horizontal="center"/>
      <protection/>
    </xf>
    <xf numFmtId="4" fontId="52" fillId="0" borderId="36" xfId="65" applyNumberFormat="1" applyFont="1" applyFill="1" applyBorder="1" applyAlignment="1" applyProtection="1">
      <alignment horizontal="center"/>
      <protection/>
    </xf>
    <xf numFmtId="2" fontId="48" fillId="0" borderId="36" xfId="65" applyNumberFormat="1" applyFont="1" applyFill="1" applyBorder="1" applyAlignment="1">
      <alignment horizontal="right"/>
      <protection/>
    </xf>
    <xf numFmtId="4" fontId="49" fillId="0" borderId="36" xfId="65" applyNumberFormat="1" applyFont="1" applyFill="1" applyBorder="1" applyAlignment="1" applyProtection="1">
      <alignment horizontal="center"/>
      <protection/>
    </xf>
    <xf numFmtId="0" fontId="48" fillId="0" borderId="36" xfId="65" applyFont="1" applyFill="1" applyBorder="1" applyProtection="1">
      <alignment/>
      <protection locked="0"/>
    </xf>
    <xf numFmtId="0" fontId="48" fillId="0" borderId="36" xfId="65" applyFont="1" applyFill="1" applyBorder="1">
      <alignment/>
      <protection/>
    </xf>
    <xf numFmtId="170" fontId="48" fillId="0" borderId="36" xfId="65" applyNumberFormat="1" applyFont="1" applyFill="1" applyBorder="1" applyAlignment="1">
      <alignment horizontal="center"/>
      <protection/>
    </xf>
    <xf numFmtId="4" fontId="48" fillId="0" borderId="36" xfId="65" applyNumberFormat="1" applyFont="1" applyFill="1" applyBorder="1" applyAlignment="1">
      <alignment horizontal="right"/>
      <protection/>
    </xf>
    <xf numFmtId="0" fontId="48" fillId="0" borderId="35" xfId="65" applyFont="1" applyFill="1" applyBorder="1">
      <alignment/>
      <protection/>
    </xf>
    <xf numFmtId="0" fontId="57" fillId="0" borderId="41" xfId="65" applyFont="1" applyBorder="1" applyAlignment="1">
      <alignment horizontal="center"/>
      <protection/>
    </xf>
    <xf numFmtId="164" fontId="49" fillId="0" borderId="0" xfId="65" applyNumberFormat="1" applyFont="1" applyBorder="1" applyAlignment="1" applyProtection="1">
      <alignment horizontal="center"/>
      <protection/>
    </xf>
    <xf numFmtId="165" fontId="13" fillId="0" borderId="0" xfId="65" applyNumberFormat="1" applyFont="1" applyBorder="1" applyAlignment="1" applyProtection="1">
      <alignment horizontal="center"/>
      <protection/>
    </xf>
    <xf numFmtId="168" fontId="13" fillId="0" borderId="0" xfId="65" applyNumberFormat="1" applyFont="1" applyFill="1" applyBorder="1" applyAlignment="1" applyProtection="1">
      <alignment horizontal="center"/>
      <protection/>
    </xf>
    <xf numFmtId="173" fontId="13" fillId="0" borderId="0" xfId="65" applyNumberFormat="1" applyFont="1" applyBorder="1" applyAlignment="1" applyProtection="1" quotePrefix="1">
      <alignment horizontal="center"/>
      <protection/>
    </xf>
    <xf numFmtId="2" fontId="52" fillId="36" borderId="36" xfId="65" applyNumberFormat="1" applyFont="1" applyFill="1" applyBorder="1" applyAlignment="1" applyProtection="1">
      <alignment horizontal="center"/>
      <protection/>
    </xf>
    <xf numFmtId="7" fontId="4" fillId="0" borderId="0" xfId="65" applyNumberFormat="1" applyFont="1" applyFill="1" applyBorder="1" applyAlignment="1" applyProtection="1">
      <alignment horizontal="right"/>
      <protection/>
    </xf>
    <xf numFmtId="2" fontId="59" fillId="0" borderId="0" xfId="65" applyNumberFormat="1" applyFont="1" applyBorder="1" applyAlignment="1" applyProtection="1">
      <alignment horizontal="center"/>
      <protection/>
    </xf>
    <xf numFmtId="7" fontId="4" fillId="0" borderId="98" xfId="65" applyNumberFormat="1" applyFont="1" applyFill="1" applyBorder="1" applyAlignment="1" applyProtection="1">
      <alignment horizontal="right"/>
      <protection/>
    </xf>
    <xf numFmtId="0" fontId="3" fillId="0" borderId="0" xfId="65" applyFont="1" applyBorder="1">
      <alignment/>
      <protection/>
    </xf>
    <xf numFmtId="2" fontId="52" fillId="36" borderId="0" xfId="65" applyNumberFormat="1" applyFont="1" applyFill="1" applyBorder="1" applyAlignment="1" applyProtection="1">
      <alignment horizontal="center"/>
      <protection/>
    </xf>
    <xf numFmtId="7" fontId="23" fillId="0" borderId="0" xfId="65" applyNumberFormat="1" applyFont="1" applyFill="1" applyBorder="1" applyAlignment="1" applyProtection="1">
      <alignment horizontal="right"/>
      <protection/>
    </xf>
    <xf numFmtId="2" fontId="103" fillId="36" borderId="0" xfId="65" applyNumberFormat="1" applyFont="1" applyFill="1" applyBorder="1" applyAlignment="1" applyProtection="1">
      <alignment horizontal="center"/>
      <protection/>
    </xf>
    <xf numFmtId="17" fontId="23" fillId="0" borderId="0" xfId="65" applyNumberFormat="1" applyFont="1" applyFill="1" applyBorder="1" applyAlignment="1" applyProtection="1">
      <alignment horizontal="right"/>
      <protection/>
    </xf>
    <xf numFmtId="7" fontId="10" fillId="0" borderId="0" xfId="65" applyNumberFormat="1" applyFont="1" applyFill="1" applyBorder="1" applyAlignment="1" applyProtection="1">
      <alignment horizontal="right"/>
      <protection/>
    </xf>
    <xf numFmtId="7" fontId="4" fillId="0" borderId="0" xfId="65" applyNumberFormat="1" applyFont="1" applyFill="1" applyBorder="1" applyAlignment="1" applyProtection="1">
      <alignment horizontal="center"/>
      <protection/>
    </xf>
    <xf numFmtId="0" fontId="3" fillId="0" borderId="88" xfId="65" applyBorder="1">
      <alignment/>
      <protection/>
    </xf>
    <xf numFmtId="0" fontId="3" fillId="0" borderId="89" xfId="65" applyBorder="1">
      <alignment/>
      <protection/>
    </xf>
    <xf numFmtId="0" fontId="3" fillId="0" borderId="89" xfId="65" applyFont="1" applyFill="1" applyBorder="1">
      <alignment/>
      <protection/>
    </xf>
    <xf numFmtId="0" fontId="3" fillId="0" borderId="89" xfId="65" applyFill="1" applyBorder="1">
      <alignment/>
      <protection/>
    </xf>
    <xf numFmtId="7" fontId="3" fillId="0" borderId="89" xfId="65" applyNumberFormat="1" applyBorder="1">
      <alignment/>
      <protection/>
    </xf>
    <xf numFmtId="0" fontId="3" fillId="0" borderId="90" xfId="65" applyBorder="1">
      <alignment/>
      <protection/>
    </xf>
    <xf numFmtId="0" fontId="3" fillId="0" borderId="0" xfId="65" applyFont="1" applyFill="1">
      <alignment/>
      <protection/>
    </xf>
    <xf numFmtId="183" fontId="3" fillId="0" borderId="0" xfId="67" applyNumberFormat="1">
      <alignment/>
      <protection/>
    </xf>
    <xf numFmtId="0" fontId="48" fillId="0" borderId="0" xfId="62" applyFont="1" applyBorder="1" applyAlignment="1">
      <alignment horizontal="center"/>
      <protection/>
    </xf>
    <xf numFmtId="6" fontId="48" fillId="0" borderId="0" xfId="53" applyFont="1" applyBorder="1" applyAlignment="1">
      <alignment horizontal="center"/>
    </xf>
    <xf numFmtId="0" fontId="8" fillId="0" borderId="0" xfId="68" applyFont="1">
      <alignment/>
      <protection/>
    </xf>
    <xf numFmtId="0" fontId="11" fillId="0" borderId="0" xfId="68" applyFont="1" applyAlignment="1">
      <alignment horizontal="right" vertical="top"/>
      <protection/>
    </xf>
    <xf numFmtId="0" fontId="8" fillId="0" borderId="0" xfId="68" applyFont="1" applyFill="1">
      <alignment/>
      <protection/>
    </xf>
    <xf numFmtId="0" fontId="9" fillId="0" borderId="0" xfId="68" applyFont="1" applyAlignment="1">
      <alignment horizontal="centerContinuous"/>
      <protection/>
    </xf>
    <xf numFmtId="0" fontId="13" fillId="0" borderId="0" xfId="68" applyFont="1" applyFill="1">
      <alignment/>
      <protection/>
    </xf>
    <xf numFmtId="0" fontId="13" fillId="0" borderId="0" xfId="68" applyFont="1">
      <alignment/>
      <protection/>
    </xf>
    <xf numFmtId="0" fontId="6" fillId="0" borderId="0" xfId="68" applyFont="1" applyFill="1" applyBorder="1" applyAlignment="1" applyProtection="1">
      <alignment horizontal="centerContinuous"/>
      <protection/>
    </xf>
    <xf numFmtId="0" fontId="14" fillId="0" borderId="0" xfId="68" applyFont="1" applyAlignment="1">
      <alignment horizontal="centerContinuous"/>
      <protection/>
    </xf>
    <xf numFmtId="0" fontId="14" fillId="0" borderId="0" xfId="68" applyFont="1">
      <alignment/>
      <protection/>
    </xf>
    <xf numFmtId="0" fontId="13" fillId="0" borderId="11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6" fillId="0" borderId="0" xfId="68" applyFont="1">
      <alignment/>
      <protection/>
    </xf>
    <xf numFmtId="0" fontId="16" fillId="0" borderId="14" xfId="68" applyFont="1" applyBorder="1">
      <alignment/>
      <protection/>
    </xf>
    <xf numFmtId="0" fontId="16" fillId="0" borderId="0" xfId="68" applyFont="1" applyBorder="1">
      <alignment/>
      <protection/>
    </xf>
    <xf numFmtId="0" fontId="20" fillId="0" borderId="0" xfId="68" applyFont="1" applyBorder="1" applyAlignment="1">
      <alignment horizontal="left"/>
      <protection/>
    </xf>
    <xf numFmtId="0" fontId="20" fillId="0" borderId="0" xfId="68" applyFont="1" applyBorder="1" applyAlignment="1">
      <alignment horizontal="centerContinuous"/>
      <protection/>
    </xf>
    <xf numFmtId="0" fontId="16" fillId="0" borderId="0" xfId="68" applyFont="1" applyBorder="1" applyAlignment="1">
      <alignment horizontal="centerContinuous"/>
      <protection/>
    </xf>
    <xf numFmtId="0" fontId="16" fillId="0" borderId="0" xfId="68" applyFont="1" applyAlignment="1">
      <alignment horizontal="centerContinuous"/>
      <protection/>
    </xf>
    <xf numFmtId="0" fontId="16" fillId="0" borderId="15" xfId="68" applyFont="1" applyBorder="1" applyAlignment="1">
      <alignment horizontal="centerContinuous"/>
      <protection/>
    </xf>
    <xf numFmtId="0" fontId="13" fillId="0" borderId="14" xfId="68" applyFont="1" applyBorder="1">
      <alignment/>
      <protection/>
    </xf>
    <xf numFmtId="0" fontId="13" fillId="0" borderId="0" xfId="68" applyFont="1" applyBorder="1">
      <alignment/>
      <protection/>
    </xf>
    <xf numFmtId="0" fontId="13" fillId="0" borderId="15" xfId="68" applyFont="1" applyBorder="1">
      <alignment/>
      <protection/>
    </xf>
    <xf numFmtId="0" fontId="20" fillId="0" borderId="0" xfId="68" applyFont="1" applyBorder="1">
      <alignment/>
      <protection/>
    </xf>
    <xf numFmtId="0" fontId="20" fillId="0" borderId="0" xfId="68" applyFont="1">
      <alignment/>
      <protection/>
    </xf>
    <xf numFmtId="0" fontId="16" fillId="0" borderId="0" xfId="68" applyFont="1" applyBorder="1" applyProtection="1">
      <alignment/>
      <protection/>
    </xf>
    <xf numFmtId="0" fontId="16" fillId="0" borderId="15" xfId="68" applyFont="1" applyBorder="1">
      <alignment/>
      <protection/>
    </xf>
    <xf numFmtId="0" fontId="5" fillId="0" borderId="0" xfId="68" applyFont="1" applyBorder="1">
      <alignment/>
      <protection/>
    </xf>
    <xf numFmtId="0" fontId="19" fillId="0" borderId="0" xfId="68" applyFont="1">
      <alignment/>
      <protection/>
    </xf>
    <xf numFmtId="0" fontId="13" fillId="0" borderId="0" xfId="68" applyFont="1" applyBorder="1" applyProtection="1">
      <alignment/>
      <protection/>
    </xf>
    <xf numFmtId="0" fontId="23" fillId="0" borderId="0" xfId="68" applyFont="1">
      <alignment/>
      <protection/>
    </xf>
    <xf numFmtId="0" fontId="24" fillId="0" borderId="14" xfId="68" applyFont="1" applyBorder="1" applyAlignment="1">
      <alignment horizontal="centerContinuous"/>
      <protection/>
    </xf>
    <xf numFmtId="0" fontId="24" fillId="0" borderId="0" xfId="68" applyFont="1" applyBorder="1" applyAlignment="1">
      <alignment horizontal="centerContinuous"/>
      <protection/>
    </xf>
    <xf numFmtId="0" fontId="24" fillId="0" borderId="0" xfId="68" applyFont="1" applyBorder="1" applyAlignment="1" applyProtection="1">
      <alignment horizontal="centerContinuous"/>
      <protection/>
    </xf>
    <xf numFmtId="0" fontId="24" fillId="0" borderId="15" xfId="68" applyFont="1" applyBorder="1" applyAlignment="1">
      <alignment horizontal="centerContinuous"/>
      <protection/>
    </xf>
    <xf numFmtId="0" fontId="3" fillId="0" borderId="0" xfId="68" applyFont="1" applyBorder="1" applyAlignment="1" applyProtection="1">
      <alignment horizontal="left"/>
      <protection/>
    </xf>
    <xf numFmtId="0" fontId="3" fillId="0" borderId="0" xfId="68" applyFont="1" applyBorder="1" applyAlignment="1" applyProtection="1">
      <alignment horizontal="center"/>
      <protection/>
    </xf>
    <xf numFmtId="221" fontId="3" fillId="0" borderId="0" xfId="68" applyNumberFormat="1" applyFont="1" applyBorder="1" applyAlignment="1">
      <alignment horizontal="center"/>
      <protection/>
    </xf>
    <xf numFmtId="0" fontId="3" fillId="0" borderId="0" xfId="68" applyFont="1" applyBorder="1">
      <alignment/>
      <protection/>
    </xf>
    <xf numFmtId="0" fontId="3" fillId="0" borderId="0" xfId="68">
      <alignment/>
      <protection/>
    </xf>
    <xf numFmtId="0" fontId="3" fillId="0" borderId="16" xfId="68" applyFont="1" applyBorder="1" applyAlignment="1" applyProtection="1" quotePrefix="1">
      <alignment horizontal="left"/>
      <protection/>
    </xf>
    <xf numFmtId="0" fontId="3" fillId="0" borderId="22" xfId="68" applyFont="1" applyBorder="1" applyAlignment="1" applyProtection="1">
      <alignment horizontal="center"/>
      <protection/>
    </xf>
    <xf numFmtId="164" fontId="3" fillId="0" borderId="21" xfId="68" applyNumberFormat="1" applyFont="1" applyBorder="1" applyAlignment="1" applyProtection="1">
      <alignment horizontal="center"/>
      <protection/>
    </xf>
    <xf numFmtId="174" fontId="3" fillId="0" borderId="0" xfId="68" applyNumberFormat="1" applyFont="1" applyBorder="1" applyAlignment="1">
      <alignment horizontal="centerContinuous"/>
      <protection/>
    </xf>
    <xf numFmtId="22" fontId="13" fillId="0" borderId="0" xfId="68" applyNumberFormat="1" applyFont="1" applyBorder="1">
      <alignment/>
      <protection/>
    </xf>
    <xf numFmtId="0" fontId="29" fillId="0" borderId="0" xfId="68" applyFont="1" applyBorder="1">
      <alignment/>
      <protection/>
    </xf>
    <xf numFmtId="0" fontId="30" fillId="0" borderId="21" xfId="68" applyFont="1" applyFill="1" applyBorder="1" applyAlignment="1">
      <alignment horizontal="center" vertical="center"/>
      <protection/>
    </xf>
    <xf numFmtId="0" fontId="30" fillId="0" borderId="21" xfId="68" applyFont="1" applyBorder="1" applyAlignment="1">
      <alignment horizontal="center" vertical="center"/>
      <protection/>
    </xf>
    <xf numFmtId="0" fontId="30" fillId="0" borderId="21" xfId="68" applyFont="1" applyBorder="1" applyAlignment="1" applyProtection="1">
      <alignment horizontal="center" vertical="center" wrapText="1"/>
      <protection/>
    </xf>
    <xf numFmtId="0" fontId="30" fillId="0" borderId="21" xfId="68" applyFont="1" applyBorder="1" applyAlignment="1" applyProtection="1">
      <alignment horizontal="center" vertical="center"/>
      <protection/>
    </xf>
    <xf numFmtId="0" fontId="30" fillId="0" borderId="21" xfId="68" applyFont="1" applyBorder="1" applyAlignment="1" applyProtection="1" quotePrefix="1">
      <alignment horizontal="center" vertical="center" wrapText="1"/>
      <protection/>
    </xf>
    <xf numFmtId="0" fontId="60" fillId="36" borderId="21" xfId="68" applyFont="1" applyFill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 wrapText="1"/>
      <protection/>
    </xf>
    <xf numFmtId="0" fontId="61" fillId="3" borderId="21" xfId="68" applyFont="1" applyFill="1" applyBorder="1" applyAlignment="1">
      <alignment horizontal="center" vertical="center" wrapText="1"/>
      <protection/>
    </xf>
    <xf numFmtId="0" fontId="34" fillId="42" borderId="16" xfId="68" applyFont="1" applyFill="1" applyBorder="1" applyAlignment="1" applyProtection="1">
      <alignment horizontal="centerContinuous" vertical="center" wrapText="1"/>
      <protection/>
    </xf>
    <xf numFmtId="0" fontId="34" fillId="42" borderId="17" xfId="68" applyFont="1" applyFill="1" applyBorder="1" applyAlignment="1">
      <alignment horizontal="centerContinuous" vertical="center"/>
      <protection/>
    </xf>
    <xf numFmtId="0" fontId="37" fillId="35" borderId="21" xfId="68" applyFont="1" applyFill="1" applyBorder="1" applyAlignment="1">
      <alignment horizontal="center" vertical="center" wrapText="1"/>
      <protection/>
    </xf>
    <xf numFmtId="0" fontId="69" fillId="35" borderId="21" xfId="68" applyFont="1" applyFill="1" applyBorder="1" applyAlignment="1">
      <alignment horizontal="center" vertical="center" wrapText="1"/>
      <protection/>
    </xf>
    <xf numFmtId="0" fontId="30" fillId="0" borderId="21" xfId="68" applyFont="1" applyBorder="1" applyAlignment="1">
      <alignment horizontal="center" vertical="center" wrapText="1"/>
      <protection/>
    </xf>
    <xf numFmtId="0" fontId="61" fillId="0" borderId="21" xfId="68" applyFont="1" applyFill="1" applyBorder="1" applyAlignment="1">
      <alignment horizontal="center" vertical="center" wrapText="1"/>
      <protection/>
    </xf>
    <xf numFmtId="0" fontId="13" fillId="0" borderId="43" xfId="68" applyFont="1" applyFill="1" applyBorder="1" applyAlignment="1">
      <alignment horizontal="center"/>
      <protection/>
    </xf>
    <xf numFmtId="0" fontId="13" fillId="0" borderId="59" xfId="68" applyFont="1" applyBorder="1" applyAlignment="1">
      <alignment horizontal="center"/>
      <protection/>
    </xf>
    <xf numFmtId="0" fontId="63" fillId="36" borderId="35" xfId="68" applyFont="1" applyFill="1" applyBorder="1" applyAlignment="1">
      <alignment horizontal="center"/>
      <protection/>
    </xf>
    <xf numFmtId="0" fontId="13" fillId="0" borderId="60" xfId="68" applyFont="1" applyBorder="1" applyAlignment="1">
      <alignment horizontal="center"/>
      <protection/>
    </xf>
    <xf numFmtId="0" fontId="13" fillId="0" borderId="35" xfId="68" applyFont="1" applyBorder="1" applyAlignment="1">
      <alignment horizontal="center"/>
      <protection/>
    </xf>
    <xf numFmtId="0" fontId="13" fillId="0" borderId="28" xfId="68" applyFont="1" applyBorder="1">
      <alignment/>
      <protection/>
    </xf>
    <xf numFmtId="0" fontId="63" fillId="36" borderId="0" xfId="68" applyFont="1" applyFill="1" applyBorder="1" applyAlignment="1">
      <alignment horizontal="center"/>
      <protection/>
    </xf>
    <xf numFmtId="0" fontId="82" fillId="3" borderId="43" xfId="68" applyFont="1" applyFill="1" applyBorder="1" applyAlignment="1">
      <alignment horizontal="center"/>
      <protection/>
    </xf>
    <xf numFmtId="0" fontId="50" fillId="42" borderId="24" xfId="68" applyFont="1" applyFill="1" applyBorder="1" applyAlignment="1">
      <alignment horizontal="center"/>
      <protection/>
    </xf>
    <xf numFmtId="0" fontId="50" fillId="42" borderId="26" xfId="68" applyFont="1" applyFill="1" applyBorder="1" applyAlignment="1">
      <alignment horizontal="center"/>
      <protection/>
    </xf>
    <xf numFmtId="0" fontId="53" fillId="35" borderId="43" xfId="68" applyFont="1" applyFill="1" applyBorder="1" applyAlignment="1">
      <alignment horizontal="center"/>
      <protection/>
    </xf>
    <xf numFmtId="0" fontId="13" fillId="0" borderId="43" xfId="68" applyFont="1" applyBorder="1" applyAlignment="1">
      <alignment horizontal="center"/>
      <protection/>
    </xf>
    <xf numFmtId="7" fontId="79" fillId="0" borderId="43" xfId="68" applyNumberFormat="1" applyFont="1" applyFill="1" applyBorder="1" applyAlignment="1">
      <alignment horizontal="center"/>
      <protection/>
    </xf>
    <xf numFmtId="0" fontId="13" fillId="0" borderId="27" xfId="68" applyFont="1" applyFill="1" applyBorder="1" applyAlignment="1">
      <alignment horizontal="center"/>
      <protection/>
    </xf>
    <xf numFmtId="0" fontId="76" fillId="0" borderId="32" xfId="68" applyFont="1" applyBorder="1" applyAlignment="1" applyProtection="1">
      <alignment horizontal="center"/>
      <protection/>
    </xf>
    <xf numFmtId="0" fontId="76" fillId="0" borderId="61" xfId="68" applyFont="1" applyBorder="1" applyAlignment="1" applyProtection="1">
      <alignment horizontal="center"/>
      <protection/>
    </xf>
    <xf numFmtId="0" fontId="76" fillId="0" borderId="27" xfId="68" applyFont="1" applyBorder="1" applyAlignment="1" applyProtection="1">
      <alignment horizontal="center"/>
      <protection/>
    </xf>
    <xf numFmtId="168" fontId="63" fillId="36" borderId="27" xfId="68" applyNumberFormat="1" applyFont="1" applyFill="1" applyBorder="1" applyAlignment="1" applyProtection="1">
      <alignment horizontal="center"/>
      <protection/>
    </xf>
    <xf numFmtId="22" fontId="13" fillId="0" borderId="48" xfId="68" applyNumberFormat="1" applyFont="1" applyBorder="1" applyAlignment="1">
      <alignment horizontal="center"/>
      <protection/>
    </xf>
    <xf numFmtId="22" fontId="13" fillId="0" borderId="61" xfId="68" applyNumberFormat="1" applyFont="1" applyBorder="1" applyAlignment="1" applyProtection="1">
      <alignment horizontal="center"/>
      <protection/>
    </xf>
    <xf numFmtId="2" fontId="13" fillId="0" borderId="27" xfId="68" applyNumberFormat="1" applyFont="1" applyFill="1" applyBorder="1" applyAlignment="1" applyProtection="1" quotePrefix="1">
      <alignment horizontal="center"/>
      <protection/>
    </xf>
    <xf numFmtId="164" fontId="13" fillId="0" borderId="27" xfId="68" applyNumberFormat="1" applyFont="1" applyFill="1" applyBorder="1" applyAlignment="1" applyProtection="1" quotePrefix="1">
      <alignment horizontal="center"/>
      <protection/>
    </xf>
    <xf numFmtId="168" fontId="13" fillId="0" borderId="47" xfId="68" applyNumberFormat="1" applyFont="1" applyBorder="1" applyAlignment="1" applyProtection="1">
      <alignment horizontal="center"/>
      <protection/>
    </xf>
    <xf numFmtId="0" fontId="13" fillId="0" borderId="29" xfId="68" applyFont="1" applyBorder="1">
      <alignment/>
      <protection/>
    </xf>
    <xf numFmtId="168" fontId="13" fillId="0" borderId="27" xfId="68" applyNumberFormat="1" applyFont="1" applyBorder="1" applyAlignment="1" applyProtection="1">
      <alignment horizontal="center"/>
      <protection/>
    </xf>
    <xf numFmtId="164" fontId="63" fillId="36" borderId="32" xfId="68" applyNumberFormat="1" applyFont="1" applyFill="1" applyBorder="1" applyAlignment="1" applyProtection="1">
      <alignment horizontal="center"/>
      <protection/>
    </xf>
    <xf numFmtId="2" fontId="82" fillId="3" borderId="27" xfId="68" applyNumberFormat="1" applyFont="1" applyFill="1" applyBorder="1" applyAlignment="1">
      <alignment horizontal="center"/>
      <protection/>
    </xf>
    <xf numFmtId="168" fontId="50" fillId="42" borderId="48" xfId="68" applyNumberFormat="1" applyFont="1" applyFill="1" applyBorder="1" applyAlignment="1" applyProtection="1" quotePrefix="1">
      <alignment horizontal="center"/>
      <protection/>
    </xf>
    <xf numFmtId="168" fontId="50" fillId="42" borderId="49" xfId="68" applyNumberFormat="1" applyFont="1" applyFill="1" applyBorder="1" applyAlignment="1" applyProtection="1" quotePrefix="1">
      <alignment horizontal="center"/>
      <protection/>
    </xf>
    <xf numFmtId="168" fontId="53" fillId="35" borderId="27" xfId="68" applyNumberFormat="1" applyFont="1" applyFill="1" applyBorder="1" applyAlignment="1" applyProtection="1" quotePrefix="1">
      <alignment horizontal="center"/>
      <protection/>
    </xf>
    <xf numFmtId="168" fontId="79" fillId="0" borderId="27" xfId="68" applyNumberFormat="1" applyFont="1" applyFill="1" applyBorder="1" applyAlignment="1">
      <alignment horizontal="center"/>
      <protection/>
    </xf>
    <xf numFmtId="0" fontId="76" fillId="0" borderId="62" xfId="68" applyFont="1" applyBorder="1" applyAlignment="1" applyProtection="1">
      <alignment horizontal="center"/>
      <protection locked="0"/>
    </xf>
    <xf numFmtId="0" fontId="76" fillId="0" borderId="33" xfId="68" applyFont="1" applyBorder="1" applyAlignment="1" applyProtection="1">
      <alignment horizontal="center"/>
      <protection locked="0"/>
    </xf>
    <xf numFmtId="0" fontId="76" fillId="0" borderId="28" xfId="68" applyFont="1" applyBorder="1" applyAlignment="1" applyProtection="1">
      <alignment horizontal="center"/>
      <protection locked="0"/>
    </xf>
    <xf numFmtId="174" fontId="63" fillId="36" borderId="28" xfId="68" applyNumberFormat="1" applyFont="1" applyFill="1" applyBorder="1" applyAlignment="1" applyProtection="1">
      <alignment horizontal="center"/>
      <protection/>
    </xf>
    <xf numFmtId="22" fontId="13" fillId="0" borderId="30" xfId="68" applyNumberFormat="1" applyFont="1" applyBorder="1" applyAlignment="1" applyProtection="1">
      <alignment horizontal="center"/>
      <protection locked="0"/>
    </xf>
    <xf numFmtId="22" fontId="13" fillId="0" borderId="33" xfId="68" applyNumberFormat="1" applyFont="1" applyBorder="1" applyAlignment="1" applyProtection="1">
      <alignment horizontal="center"/>
      <protection locked="0"/>
    </xf>
    <xf numFmtId="2" fontId="13" fillId="0" borderId="28" xfId="68" applyNumberFormat="1" applyFont="1" applyFill="1" applyBorder="1" applyAlignment="1" applyProtection="1" quotePrefix="1">
      <alignment horizontal="center"/>
      <protection/>
    </xf>
    <xf numFmtId="164" fontId="13" fillId="0" borderId="28" xfId="68" applyNumberFormat="1" applyFont="1" applyFill="1" applyBorder="1" applyAlignment="1" applyProtection="1" quotePrefix="1">
      <alignment horizontal="center"/>
      <protection/>
    </xf>
    <xf numFmtId="168" fontId="13" fillId="0" borderId="29" xfId="68" applyNumberFormat="1" applyFont="1" applyBorder="1" applyAlignment="1" applyProtection="1">
      <alignment horizontal="center"/>
      <protection locked="0"/>
    </xf>
    <xf numFmtId="173" fontId="13" fillId="0" borderId="29" xfId="68" applyNumberFormat="1" applyFont="1" applyBorder="1" applyAlignment="1" applyProtection="1" quotePrefix="1">
      <alignment horizontal="center"/>
      <protection/>
    </xf>
    <xf numFmtId="168" fontId="13" fillId="0" borderId="28" xfId="68" applyNumberFormat="1" applyFont="1" applyBorder="1" applyAlignment="1" applyProtection="1">
      <alignment horizontal="center"/>
      <protection/>
    </xf>
    <xf numFmtId="164" fontId="63" fillId="36" borderId="62" xfId="68" applyNumberFormat="1" applyFont="1" applyFill="1" applyBorder="1" applyAlignment="1" applyProtection="1">
      <alignment horizontal="center"/>
      <protection/>
    </xf>
    <xf numFmtId="2" fontId="82" fillId="3" borderId="28" xfId="68" applyNumberFormat="1" applyFont="1" applyFill="1" applyBorder="1" applyAlignment="1" applyProtection="1">
      <alignment horizontal="center"/>
      <protection/>
    </xf>
    <xf numFmtId="2" fontId="73" fillId="35" borderId="28" xfId="68" applyNumberFormat="1" applyFont="1" applyFill="1" applyBorder="1" applyAlignment="1" applyProtection="1">
      <alignment horizontal="center"/>
      <protection/>
    </xf>
    <xf numFmtId="4" fontId="79" fillId="0" borderId="28" xfId="68" applyNumberFormat="1" applyFont="1" applyFill="1" applyBorder="1" applyAlignment="1">
      <alignment horizontal="right"/>
      <protection/>
    </xf>
    <xf numFmtId="2" fontId="13" fillId="0" borderId="63" xfId="68" applyNumberFormat="1" applyFont="1" applyFill="1" applyBorder="1" applyAlignment="1" applyProtection="1" quotePrefix="1">
      <alignment horizontal="center"/>
      <protection/>
    </xf>
    <xf numFmtId="0" fontId="76" fillId="0" borderId="70" xfId="68" applyFont="1" applyBorder="1" applyAlignment="1" applyProtection="1">
      <alignment horizontal="center"/>
      <protection locked="0"/>
    </xf>
    <xf numFmtId="0" fontId="76" fillId="0" borderId="36" xfId="68" applyFont="1" applyBorder="1" applyAlignment="1" applyProtection="1">
      <alignment horizontal="center"/>
      <protection locked="0"/>
    </xf>
    <xf numFmtId="168" fontId="63" fillId="36" borderId="36" xfId="68" applyNumberFormat="1" applyFont="1" applyFill="1" applyBorder="1" applyAlignment="1" applyProtection="1">
      <alignment horizontal="center"/>
      <protection/>
    </xf>
    <xf numFmtId="168" fontId="13" fillId="0" borderId="50" xfId="68" applyNumberFormat="1" applyFont="1" applyBorder="1" applyAlignment="1" applyProtection="1">
      <alignment horizontal="center"/>
      <protection locked="0"/>
    </xf>
    <xf numFmtId="168" fontId="13" fillId="0" borderId="50" xfId="68" applyNumberFormat="1" applyFont="1" applyBorder="1" applyAlignment="1" applyProtection="1">
      <alignment horizontal="center"/>
      <protection/>
    </xf>
    <xf numFmtId="173" fontId="13" fillId="0" borderId="36" xfId="68" applyNumberFormat="1" applyFont="1" applyBorder="1" applyAlignment="1" applyProtection="1" quotePrefix="1">
      <alignment horizontal="center"/>
      <protection locked="0"/>
    </xf>
    <xf numFmtId="168" fontId="13" fillId="0" borderId="36" xfId="68" applyNumberFormat="1" applyFont="1" applyBorder="1" applyAlignment="1" applyProtection="1">
      <alignment horizontal="center"/>
      <protection locked="0"/>
    </xf>
    <xf numFmtId="164" fontId="63" fillId="36" borderId="64" xfId="68" applyNumberFormat="1" applyFont="1" applyFill="1" applyBorder="1" applyAlignment="1" applyProtection="1">
      <alignment horizontal="center"/>
      <protection locked="0"/>
    </xf>
    <xf numFmtId="2" fontId="82" fillId="3" borderId="36" xfId="68" applyNumberFormat="1" applyFont="1" applyFill="1" applyBorder="1" applyAlignment="1" applyProtection="1">
      <alignment horizontal="center"/>
      <protection locked="0"/>
    </xf>
    <xf numFmtId="168" fontId="50" fillId="42" borderId="51" xfId="68" applyNumberFormat="1" applyFont="1" applyFill="1" applyBorder="1" applyAlignment="1" applyProtection="1" quotePrefix="1">
      <alignment horizontal="center"/>
      <protection locked="0"/>
    </xf>
    <xf numFmtId="168" fontId="50" fillId="42" borderId="52" xfId="68" applyNumberFormat="1" applyFont="1" applyFill="1" applyBorder="1" applyAlignment="1" applyProtection="1" quotePrefix="1">
      <alignment horizontal="center"/>
      <protection locked="0"/>
    </xf>
    <xf numFmtId="168" fontId="53" fillId="35" borderId="36" xfId="68" applyNumberFormat="1" applyFont="1" applyFill="1" applyBorder="1" applyAlignment="1" applyProtection="1" quotePrefix="1">
      <alignment horizontal="center"/>
      <protection locked="0"/>
    </xf>
    <xf numFmtId="168" fontId="79" fillId="0" borderId="40" xfId="68" applyNumberFormat="1" applyFont="1" applyFill="1" applyBorder="1" applyAlignment="1">
      <alignment horizontal="center"/>
      <protection/>
    </xf>
    <xf numFmtId="0" fontId="57" fillId="0" borderId="41" xfId="68" applyFont="1" applyBorder="1" applyAlignment="1">
      <alignment horizontal="center"/>
      <protection/>
    </xf>
    <xf numFmtId="0" fontId="115" fillId="0" borderId="0" xfId="68" applyFont="1" applyBorder="1" applyAlignment="1" applyProtection="1">
      <alignment horizontal="left"/>
      <protection/>
    </xf>
    <xf numFmtId="4" fontId="82" fillId="3" borderId="21" xfId="68" applyNumberFormat="1" applyFont="1" applyFill="1" applyBorder="1" applyAlignment="1">
      <alignment horizontal="center"/>
      <protection/>
    </xf>
    <xf numFmtId="4" fontId="50" fillId="42" borderId="54" xfId="68" applyNumberFormat="1" applyFont="1" applyFill="1" applyBorder="1" applyAlignment="1">
      <alignment horizontal="center"/>
      <protection/>
    </xf>
    <xf numFmtId="4" fontId="50" fillId="42" borderId="17" xfId="68" applyNumberFormat="1" applyFont="1" applyFill="1" applyBorder="1" applyAlignment="1">
      <alignment horizontal="center"/>
      <protection/>
    </xf>
    <xf numFmtId="4" fontId="53" fillId="35" borderId="21" xfId="68" applyNumberFormat="1" applyFont="1" applyFill="1" applyBorder="1" applyAlignment="1">
      <alignment horizontal="center"/>
      <protection/>
    </xf>
    <xf numFmtId="7" fontId="4" fillId="0" borderId="21" xfId="68" applyNumberFormat="1" applyFont="1" applyFill="1" applyBorder="1" applyAlignment="1">
      <alignment horizontal="right"/>
      <protection/>
    </xf>
    <xf numFmtId="0" fontId="13" fillId="0" borderId="65" xfId="68" applyFont="1" applyBorder="1">
      <alignment/>
      <protection/>
    </xf>
    <xf numFmtId="0" fontId="13" fillId="0" borderId="18" xfId="68" applyFont="1" applyBorder="1">
      <alignment/>
      <protection/>
    </xf>
    <xf numFmtId="0" fontId="13" fillId="0" borderId="19" xfId="68" applyFont="1" applyBorder="1">
      <alignment/>
      <protection/>
    </xf>
    <xf numFmtId="0" fontId="13" fillId="0" borderId="20" xfId="68" applyFont="1" applyBorder="1">
      <alignment/>
      <protection/>
    </xf>
    <xf numFmtId="0" fontId="0" fillId="0" borderId="0" xfId="68" applyFont="1" applyBorder="1">
      <alignment/>
      <protection/>
    </xf>
    <xf numFmtId="0" fontId="0" fillId="0" borderId="0" xfId="68" applyFont="1">
      <alignment/>
      <protection/>
    </xf>
    <xf numFmtId="0" fontId="13" fillId="0" borderId="0" xfId="63" applyFont="1">
      <alignment/>
      <protection/>
    </xf>
    <xf numFmtId="0" fontId="116" fillId="0" borderId="0" xfId="63" applyFont="1" applyAlignment="1">
      <alignment horizontal="right" vertical="top"/>
      <protection/>
    </xf>
    <xf numFmtId="0" fontId="13" fillId="0" borderId="0" xfId="63" applyFont="1" applyAlignment="1">
      <alignment/>
      <protection/>
    </xf>
    <xf numFmtId="0" fontId="8" fillId="0" borderId="0" xfId="63" applyFont="1">
      <alignment/>
      <protection/>
    </xf>
    <xf numFmtId="0" fontId="9" fillId="0" borderId="0" xfId="63" applyFont="1" applyAlignment="1">
      <alignment horizontal="centerContinuous"/>
      <protection/>
    </xf>
    <xf numFmtId="0" fontId="8" fillId="0" borderId="0" xfId="63" applyFont="1" applyAlignment="1">
      <alignment/>
      <protection/>
    </xf>
    <xf numFmtId="0" fontId="6" fillId="0" borderId="0" xfId="63" applyFont="1" applyFill="1" applyBorder="1" applyAlignment="1" applyProtection="1">
      <alignment horizontal="centerContinuous"/>
      <protection/>
    </xf>
    <xf numFmtId="0" fontId="14" fillId="0" borderId="0" xfId="63" applyFont="1" applyAlignment="1">
      <alignment horizontal="centerContinuous"/>
      <protection/>
    </xf>
    <xf numFmtId="0" fontId="14" fillId="0" borderId="0" xfId="63" applyFont="1">
      <alignment/>
      <protection/>
    </xf>
    <xf numFmtId="0" fontId="14" fillId="0" borderId="0" xfId="63" applyFont="1" applyAlignment="1">
      <alignment/>
      <protection/>
    </xf>
    <xf numFmtId="0" fontId="13" fillId="0" borderId="0" xfId="63" applyFont="1" applyAlignment="1">
      <alignment horizontal="centerContinuous"/>
      <protection/>
    </xf>
    <xf numFmtId="0" fontId="117" fillId="0" borderId="0" xfId="63" applyFont="1">
      <alignment/>
      <protection/>
    </xf>
    <xf numFmtId="0" fontId="117" fillId="0" borderId="0" xfId="63" applyFont="1" applyAlignment="1">
      <alignment horizontal="centerContinuous"/>
      <protection/>
    </xf>
    <xf numFmtId="0" fontId="118" fillId="0" borderId="0" xfId="63" applyFont="1" applyAlignment="1">
      <alignment horizontal="centerContinuous"/>
      <protection/>
    </xf>
    <xf numFmtId="0" fontId="117" fillId="0" borderId="0" xfId="63" applyFont="1" applyAlignment="1">
      <alignment/>
      <protection/>
    </xf>
    <xf numFmtId="0" fontId="21" fillId="0" borderId="0" xfId="63" applyFont="1">
      <alignment/>
      <protection/>
    </xf>
    <xf numFmtId="0" fontId="21" fillId="0" borderId="0" xfId="63" applyFont="1" applyAlignment="1">
      <alignment horizontal="centerContinuous"/>
      <protection/>
    </xf>
    <xf numFmtId="0" fontId="21" fillId="0" borderId="0" xfId="63" applyFont="1" applyAlignment="1">
      <alignment/>
      <protection/>
    </xf>
    <xf numFmtId="0" fontId="118" fillId="0" borderId="0" xfId="63" applyFont="1">
      <alignment/>
      <protection/>
    </xf>
    <xf numFmtId="0" fontId="118" fillId="0" borderId="0" xfId="63" applyFont="1" applyAlignment="1">
      <alignment/>
      <protection/>
    </xf>
    <xf numFmtId="0" fontId="21" fillId="0" borderId="11" xfId="63" applyFont="1" applyBorder="1" applyAlignment="1">
      <alignment horizontal="centerContinuous"/>
      <protection/>
    </xf>
    <xf numFmtId="0" fontId="21" fillId="0" borderId="12" xfId="63" applyFont="1" applyBorder="1" applyAlignment="1">
      <alignment horizontal="centerContinuous"/>
      <protection/>
    </xf>
    <xf numFmtId="0" fontId="21" fillId="0" borderId="13" xfId="63" applyFont="1" applyBorder="1" applyAlignment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21" fillId="0" borderId="0" xfId="63" applyFont="1" applyBorder="1" applyAlignment="1">
      <alignment horizontal="centerContinuous"/>
      <protection/>
    </xf>
    <xf numFmtId="0" fontId="21" fillId="0" borderId="15" xfId="63" applyFont="1" applyBorder="1" applyAlignment="1">
      <alignment/>
      <protection/>
    </xf>
    <xf numFmtId="0" fontId="21" fillId="0" borderId="14" xfId="63" applyFont="1" applyBorder="1">
      <alignment/>
      <protection/>
    </xf>
    <xf numFmtId="0" fontId="21" fillId="0" borderId="0" xfId="63" applyFont="1" applyBorder="1">
      <alignment/>
      <protection/>
    </xf>
    <xf numFmtId="0" fontId="21" fillId="0" borderId="15" xfId="63" applyFont="1" applyBorder="1">
      <alignment/>
      <protection/>
    </xf>
    <xf numFmtId="0" fontId="30" fillId="0" borderId="0" xfId="63" applyFont="1" applyAlignment="1">
      <alignment horizontal="center" vertical="center"/>
      <protection/>
    </xf>
    <xf numFmtId="0" fontId="30" fillId="0" borderId="14" xfId="63" applyFont="1" applyBorder="1" applyAlignment="1">
      <alignment horizontal="center" vertical="center"/>
      <protection/>
    </xf>
    <xf numFmtId="0" fontId="30" fillId="0" borderId="21" xfId="63" applyFont="1" applyBorder="1" applyAlignment="1">
      <alignment horizontal="center" vertical="center"/>
      <protection/>
    </xf>
    <xf numFmtId="0" fontId="30" fillId="0" borderId="21" xfId="63" applyFont="1" applyBorder="1" applyAlignment="1">
      <alignment horizontal="center" vertical="center" wrapText="1"/>
      <protection/>
    </xf>
    <xf numFmtId="17" fontId="30" fillId="0" borderId="21" xfId="63" applyNumberFormat="1" applyFont="1" applyBorder="1" applyAlignment="1">
      <alignment horizontal="center" vertical="center"/>
      <protection/>
    </xf>
    <xf numFmtId="0" fontId="30" fillId="0" borderId="15" xfId="63" applyFont="1" applyBorder="1" applyAlignment="1">
      <alignment horizontal="center" vertical="center"/>
      <protection/>
    </xf>
    <xf numFmtId="0" fontId="119" fillId="0" borderId="0" xfId="63" applyFont="1" applyAlignment="1">
      <alignment vertical="center"/>
      <protection/>
    </xf>
    <xf numFmtId="0" fontId="119" fillId="0" borderId="14" xfId="63" applyFont="1" applyBorder="1" applyAlignment="1">
      <alignment vertical="center"/>
      <protection/>
    </xf>
    <xf numFmtId="0" fontId="119" fillId="0" borderId="33" xfId="63" applyFont="1" applyBorder="1" applyAlignment="1">
      <alignment vertical="center"/>
      <protection/>
    </xf>
    <xf numFmtId="0" fontId="119" fillId="0" borderId="28" xfId="63" applyFont="1" applyBorder="1" applyAlignment="1">
      <alignment vertical="center"/>
      <protection/>
    </xf>
    <xf numFmtId="0" fontId="119" fillId="0" borderId="28" xfId="63" applyFont="1" applyFill="1" applyBorder="1" applyAlignment="1">
      <alignment vertical="center"/>
      <protection/>
    </xf>
    <xf numFmtId="0" fontId="119" fillId="0" borderId="43" xfId="63" applyFont="1" applyBorder="1" applyAlignment="1">
      <alignment vertical="center"/>
      <protection/>
    </xf>
    <xf numFmtId="0" fontId="119" fillId="0" borderId="15" xfId="63" applyFont="1" applyBorder="1" applyAlignment="1">
      <alignment vertical="center"/>
      <protection/>
    </xf>
    <xf numFmtId="0" fontId="119" fillId="1" borderId="30" xfId="63" applyFont="1" applyFill="1" applyBorder="1" applyAlignment="1">
      <alignment horizontal="center" vertical="center"/>
      <protection/>
    </xf>
    <xf numFmtId="0" fontId="119" fillId="52" borderId="27" xfId="63" applyFont="1" applyFill="1" applyBorder="1" applyAlignment="1">
      <alignment horizontal="center" vertical="center"/>
      <protection/>
    </xf>
    <xf numFmtId="0" fontId="119" fillId="0" borderId="35" xfId="63" applyFont="1" applyBorder="1" applyAlignment="1">
      <alignment vertical="center"/>
      <protection/>
    </xf>
    <xf numFmtId="0" fontId="119" fillId="0" borderId="51" xfId="63" applyFont="1" applyFill="1" applyBorder="1" applyAlignment="1">
      <alignment horizontal="center" vertical="center"/>
      <protection/>
    </xf>
    <xf numFmtId="0" fontId="119" fillId="0" borderId="34" xfId="63" applyFont="1" applyFill="1" applyBorder="1" applyAlignment="1">
      <alignment horizontal="center" vertical="center"/>
      <protection/>
    </xf>
    <xf numFmtId="0" fontId="119" fillId="1" borderId="34" xfId="63" applyFont="1" applyFill="1" applyBorder="1" applyAlignment="1">
      <alignment horizontal="center" vertical="center"/>
      <protection/>
    </xf>
    <xf numFmtId="0" fontId="119" fillId="0" borderId="27" xfId="63" applyFont="1" applyFill="1" applyBorder="1" applyAlignment="1">
      <alignment horizontal="center" vertical="center"/>
      <protection/>
    </xf>
    <xf numFmtId="0" fontId="119" fillId="0" borderId="0" xfId="63" applyFont="1" applyFill="1" applyBorder="1" applyAlignment="1">
      <alignment horizontal="center" vertical="center"/>
      <protection/>
    </xf>
    <xf numFmtId="0" fontId="119" fillId="0" borderId="0" xfId="63" applyFont="1" applyFill="1" applyBorder="1" applyAlignment="1">
      <alignment vertical="center"/>
      <protection/>
    </xf>
    <xf numFmtId="0" fontId="120" fillId="0" borderId="0" xfId="63" applyFont="1" applyFill="1" applyBorder="1" applyAlignment="1">
      <alignment horizontal="right" vertical="center"/>
      <protection/>
    </xf>
    <xf numFmtId="0" fontId="119" fillId="1" borderId="21" xfId="63" applyFont="1" applyFill="1" applyBorder="1" applyAlignment="1">
      <alignment horizontal="center" vertical="center"/>
      <protection/>
    </xf>
    <xf numFmtId="0" fontId="119" fillId="0" borderId="16" xfId="63" applyFont="1" applyFill="1" applyBorder="1" applyAlignment="1">
      <alignment horizontal="center" vertical="center"/>
      <protection/>
    </xf>
    <xf numFmtId="0" fontId="119" fillId="0" borderId="22" xfId="63" applyFont="1" applyFill="1" applyBorder="1" applyAlignment="1">
      <alignment horizontal="center" vertical="center"/>
      <protection/>
    </xf>
    <xf numFmtId="0" fontId="119" fillId="0" borderId="0" xfId="63" applyFont="1" applyBorder="1" applyAlignment="1">
      <alignment horizontal="center" vertical="center"/>
      <protection/>
    </xf>
    <xf numFmtId="0" fontId="119" fillId="0" borderId="0" xfId="63" applyFont="1" applyBorder="1" applyAlignment="1">
      <alignment vertical="center"/>
      <protection/>
    </xf>
    <xf numFmtId="0" fontId="119" fillId="0" borderId="0" xfId="63" applyFont="1" applyBorder="1" applyAlignment="1">
      <alignment horizontal="right" vertical="center"/>
      <protection/>
    </xf>
    <xf numFmtId="0" fontId="120" fillId="0" borderId="0" xfId="63" applyFont="1" applyBorder="1" applyAlignment="1">
      <alignment horizontal="right" vertical="center"/>
      <protection/>
    </xf>
    <xf numFmtId="0" fontId="119" fillId="0" borderId="21" xfId="63" applyFont="1" applyBorder="1" applyAlignment="1">
      <alignment horizontal="center" vertical="center"/>
      <protection/>
    </xf>
    <xf numFmtId="0" fontId="119" fillId="0" borderId="36" xfId="63" applyFont="1" applyBorder="1" applyAlignment="1">
      <alignment vertical="center"/>
      <protection/>
    </xf>
    <xf numFmtId="2" fontId="120" fillId="52" borderId="21" xfId="63" applyNumberFormat="1" applyFont="1" applyFill="1" applyBorder="1" applyAlignment="1">
      <alignment horizontal="center" vertical="center"/>
      <protection/>
    </xf>
    <xf numFmtId="0" fontId="3" fillId="0" borderId="0" xfId="63">
      <alignment/>
      <protection/>
    </xf>
    <xf numFmtId="0" fontId="13" fillId="0" borderId="0" xfId="64" applyFont="1" applyBorder="1" applyAlignment="1">
      <alignment horizontal="left" vertical="center"/>
      <protection/>
    </xf>
    <xf numFmtId="0" fontId="13" fillId="0" borderId="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right" vertical="center"/>
      <protection/>
    </xf>
    <xf numFmtId="2" fontId="5" fillId="0" borderId="0" xfId="63" applyNumberFormat="1" applyFont="1" applyFill="1" applyBorder="1" applyAlignment="1">
      <alignment horizontal="center" vertical="center"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Border="1">
      <alignment/>
      <protection/>
    </xf>
    <xf numFmtId="0" fontId="13" fillId="0" borderId="0" xfId="63" applyFont="1" applyBorder="1" applyAlignment="1">
      <alignment horizontal="center"/>
      <protection/>
    </xf>
    <xf numFmtId="0" fontId="13" fillId="0" borderId="16" xfId="63" applyFont="1" applyBorder="1">
      <alignment/>
      <protection/>
    </xf>
    <xf numFmtId="0" fontId="13" fillId="0" borderId="22" xfId="63" applyFont="1" applyBorder="1" applyAlignment="1">
      <alignment horizontal="center"/>
      <protection/>
    </xf>
    <xf numFmtId="2" fontId="10" fillId="0" borderId="22" xfId="63" applyNumberFormat="1" applyFont="1" applyBorder="1" applyAlignment="1">
      <alignment horizontal="center"/>
      <protection/>
    </xf>
    <xf numFmtId="0" fontId="21" fillId="0" borderId="22" xfId="63" applyFont="1" applyBorder="1">
      <alignment/>
      <protection/>
    </xf>
    <xf numFmtId="0" fontId="13" fillId="0" borderId="22" xfId="63" applyFont="1" applyBorder="1">
      <alignment/>
      <protection/>
    </xf>
    <xf numFmtId="0" fontId="3" fillId="0" borderId="17" xfId="63" applyBorder="1">
      <alignment/>
      <protection/>
    </xf>
    <xf numFmtId="0" fontId="13" fillId="0" borderId="0" xfId="63" applyFont="1" applyAlignment="1">
      <alignment vertical="center"/>
      <protection/>
    </xf>
    <xf numFmtId="0" fontId="13" fillId="0" borderId="14" xfId="63" applyFont="1" applyBorder="1" applyAlignment="1">
      <alignment vertical="center"/>
      <protection/>
    </xf>
    <xf numFmtId="0" fontId="13" fillId="0" borderId="15" xfId="63" applyFont="1" applyBorder="1" applyAlignment="1">
      <alignment vertical="center"/>
      <protection/>
    </xf>
    <xf numFmtId="0" fontId="21" fillId="0" borderId="18" xfId="63" applyFont="1" applyBorder="1">
      <alignment/>
      <protection/>
    </xf>
    <xf numFmtId="0" fontId="21" fillId="0" borderId="19" xfId="63" applyFont="1" applyBorder="1" applyAlignment="1">
      <alignment horizontal="center"/>
      <protection/>
    </xf>
    <xf numFmtId="0" fontId="21" fillId="0" borderId="19" xfId="63" applyFont="1" applyBorder="1">
      <alignment/>
      <protection/>
    </xf>
    <xf numFmtId="0" fontId="21" fillId="0" borderId="20" xfId="63" applyFont="1" applyBorder="1">
      <alignment/>
      <protection/>
    </xf>
    <xf numFmtId="0" fontId="13" fillId="0" borderId="0" xfId="63" applyFont="1" applyAlignment="1">
      <alignment horizontal="center"/>
      <protection/>
    </xf>
    <xf numFmtId="2" fontId="13" fillId="0" borderId="0" xfId="63" applyNumberFormat="1" applyFont="1" applyBorder="1" applyAlignment="1">
      <alignment horizontal="center"/>
      <protection/>
    </xf>
    <xf numFmtId="174" fontId="13" fillId="0" borderId="0" xfId="63" applyNumberFormat="1" applyFont="1" applyBorder="1" applyAlignment="1">
      <alignment horizontal="center"/>
      <protection/>
    </xf>
    <xf numFmtId="4" fontId="21" fillId="0" borderId="0" xfId="67" applyNumberFormat="1" applyFont="1" applyFill="1" applyBorder="1" applyAlignment="1">
      <alignment horizontal="center"/>
      <protection/>
    </xf>
    <xf numFmtId="0" fontId="13" fillId="0" borderId="0" xfId="69" applyFont="1" applyFill="1">
      <alignment/>
      <protection/>
    </xf>
    <xf numFmtId="0" fontId="13" fillId="0" borderId="0" xfId="69" applyFont="1">
      <alignment/>
      <protection/>
    </xf>
    <xf numFmtId="0" fontId="3" fillId="0" borderId="0" xfId="69">
      <alignment/>
      <protection/>
    </xf>
    <xf numFmtId="0" fontId="11" fillId="0" borderId="0" xfId="69" applyFont="1" applyAlignment="1">
      <alignment horizontal="right" vertical="top"/>
      <protection/>
    </xf>
    <xf numFmtId="0" fontId="83" fillId="0" borderId="0" xfId="69" applyFont="1" applyFill="1">
      <alignment/>
      <protection/>
    </xf>
    <xf numFmtId="0" fontId="84" fillId="0" borderId="0" xfId="69" applyFont="1" applyAlignment="1">
      <alignment horizontal="centerContinuous"/>
      <protection/>
    </xf>
    <xf numFmtId="0" fontId="83" fillId="0" borderId="0" xfId="69" applyFont="1" applyAlignment="1">
      <alignment horizontal="centerContinuous"/>
      <protection/>
    </xf>
    <xf numFmtId="0" fontId="83" fillId="0" borderId="0" xfId="69" applyFont="1">
      <alignment/>
      <protection/>
    </xf>
    <xf numFmtId="0" fontId="6" fillId="0" borderId="0" xfId="69" applyFont="1" applyFill="1" applyBorder="1" applyAlignment="1" applyProtection="1">
      <alignment horizontal="center"/>
      <protection/>
    </xf>
    <xf numFmtId="0" fontId="6" fillId="0" borderId="0" xfId="69" applyFont="1" applyFill="1" applyBorder="1" applyAlignment="1" applyProtection="1">
      <alignment horizontal="left"/>
      <protection/>
    </xf>
    <xf numFmtId="0" fontId="14" fillId="0" borderId="0" xfId="69" applyFont="1">
      <alignment/>
      <protection/>
    </xf>
    <xf numFmtId="0" fontId="13" fillId="0" borderId="11" xfId="69" applyFont="1" applyBorder="1">
      <alignment/>
      <protection/>
    </xf>
    <xf numFmtId="0" fontId="13" fillId="0" borderId="12" xfId="69" applyFont="1" applyBorder="1">
      <alignment/>
      <protection/>
    </xf>
    <xf numFmtId="0" fontId="13" fillId="0" borderId="12" xfId="69" applyFont="1" applyBorder="1" applyAlignment="1" applyProtection="1">
      <alignment horizontal="left"/>
      <protection/>
    </xf>
    <xf numFmtId="0" fontId="3" fillId="0" borderId="12" xfId="69" applyBorder="1">
      <alignment/>
      <protection/>
    </xf>
    <xf numFmtId="0" fontId="13" fillId="0" borderId="13" xfId="69" applyFont="1" applyFill="1" applyBorder="1">
      <alignment/>
      <protection/>
    </xf>
    <xf numFmtId="0" fontId="13" fillId="0" borderId="14" xfId="69" applyFont="1" applyBorder="1">
      <alignment/>
      <protection/>
    </xf>
    <xf numFmtId="0" fontId="13" fillId="0" borderId="0" xfId="69" applyFont="1" applyBorder="1">
      <alignment/>
      <protection/>
    </xf>
    <xf numFmtId="0" fontId="20" fillId="0" borderId="0" xfId="69" applyFont="1" applyBorder="1" applyAlignment="1">
      <alignment horizontal="left"/>
      <protection/>
    </xf>
    <xf numFmtId="0" fontId="19" fillId="0" borderId="0" xfId="69" applyFont="1" applyBorder="1">
      <alignment/>
      <protection/>
    </xf>
    <xf numFmtId="0" fontId="13" fillId="0" borderId="15" xfId="69" applyFont="1" applyFill="1" applyBorder="1">
      <alignment/>
      <protection/>
    </xf>
    <xf numFmtId="0" fontId="23" fillId="0" borderId="0" xfId="69" applyFont="1">
      <alignment/>
      <protection/>
    </xf>
    <xf numFmtId="0" fontId="23" fillId="0" borderId="14" xfId="69" applyFont="1" applyBorder="1">
      <alignment/>
      <protection/>
    </xf>
    <xf numFmtId="0" fontId="23" fillId="0" borderId="0" xfId="69" applyFont="1" applyBorder="1">
      <alignment/>
      <protection/>
    </xf>
    <xf numFmtId="0" fontId="17" fillId="0" borderId="0" xfId="69" applyFont="1" applyBorder="1">
      <alignment/>
      <protection/>
    </xf>
    <xf numFmtId="0" fontId="23" fillId="0" borderId="15" xfId="69" applyFont="1" applyFill="1" applyBorder="1">
      <alignment/>
      <protection/>
    </xf>
    <xf numFmtId="0" fontId="13" fillId="0" borderId="0" xfId="69" applyFont="1" applyBorder="1" applyProtection="1">
      <alignment/>
      <protection/>
    </xf>
    <xf numFmtId="0" fontId="24" fillId="0" borderId="14" xfId="69" applyFont="1" applyBorder="1" applyAlignment="1">
      <alignment horizontal="centerContinuous"/>
      <protection/>
    </xf>
    <xf numFmtId="0" fontId="3" fillId="0" borderId="0" xfId="69" applyNumberFormat="1" applyAlignment="1">
      <alignment horizontal="centerContinuous"/>
      <protection/>
    </xf>
    <xf numFmtId="0" fontId="24" fillId="0" borderId="0" xfId="69" applyFont="1" applyBorder="1" applyAlignment="1">
      <alignment horizontal="centerContinuous"/>
      <protection/>
    </xf>
    <xf numFmtId="0" fontId="23" fillId="0" borderId="0" xfId="69" applyFont="1" applyBorder="1" applyAlignment="1">
      <alignment horizontal="centerContinuous"/>
      <protection/>
    </xf>
    <xf numFmtId="0" fontId="3" fillId="0" borderId="0" xfId="69" applyAlignment="1">
      <alignment horizontal="centerContinuous"/>
      <protection/>
    </xf>
    <xf numFmtId="0" fontId="23" fillId="0" borderId="0" xfId="69" applyFont="1" applyAlignment="1">
      <alignment horizontal="centerContinuous"/>
      <protection/>
    </xf>
    <xf numFmtId="0" fontId="23" fillId="0" borderId="0" xfId="69" applyFont="1" applyAlignment="1">
      <alignment/>
      <protection/>
    </xf>
    <xf numFmtId="0" fontId="23" fillId="0" borderId="15" xfId="69" applyFont="1" applyBorder="1" applyAlignment="1">
      <alignment horizontal="centerContinuous"/>
      <protection/>
    </xf>
    <xf numFmtId="0" fontId="13" fillId="0" borderId="0" xfId="69" applyFont="1" applyBorder="1" applyAlignment="1">
      <alignment horizontal="center"/>
      <protection/>
    </xf>
    <xf numFmtId="0" fontId="85" fillId="0" borderId="0" xfId="69" applyFont="1" applyBorder="1" applyAlignment="1" quotePrefix="1">
      <alignment horizontal="left"/>
      <protection/>
    </xf>
    <xf numFmtId="168" fontId="48" fillId="0" borderId="0" xfId="69" applyNumberFormat="1" applyFont="1" applyBorder="1" applyAlignment="1" applyProtection="1">
      <alignment horizontal="left"/>
      <protection/>
    </xf>
    <xf numFmtId="0" fontId="3" fillId="0" borderId="0" xfId="69" applyBorder="1">
      <alignment/>
      <protection/>
    </xf>
    <xf numFmtId="0" fontId="10" fillId="0" borderId="0" xfId="69" applyFont="1" applyBorder="1" applyAlignment="1">
      <alignment horizontal="center"/>
      <protection/>
    </xf>
    <xf numFmtId="0" fontId="10" fillId="0" borderId="0" xfId="69" applyFont="1" applyBorder="1">
      <alignment/>
      <protection/>
    </xf>
    <xf numFmtId="0" fontId="21" fillId="0" borderId="0" xfId="69" applyFont="1">
      <alignment/>
      <protection/>
    </xf>
    <xf numFmtId="0" fontId="21" fillId="0" borderId="14" xfId="69" applyFont="1" applyBorder="1">
      <alignment/>
      <protection/>
    </xf>
    <xf numFmtId="0" fontId="21" fillId="0" borderId="0" xfId="69" applyFont="1" applyBorder="1">
      <alignment/>
      <protection/>
    </xf>
    <xf numFmtId="0" fontId="21" fillId="0" borderId="0" xfId="69" applyFont="1" applyBorder="1" applyAlignment="1">
      <alignment horizontal="right"/>
      <protection/>
    </xf>
    <xf numFmtId="7" fontId="21" fillId="0" borderId="0" xfId="69" applyNumberFormat="1" applyFont="1" applyBorder="1" applyAlignment="1">
      <alignment horizontal="center"/>
      <protection/>
    </xf>
    <xf numFmtId="0" fontId="21" fillId="0" borderId="0" xfId="69" applyFont="1" applyBorder="1" applyAlignment="1">
      <alignment horizontal="center"/>
      <protection/>
    </xf>
    <xf numFmtId="0" fontId="86" fillId="0" borderId="0" xfId="69" applyFont="1" applyBorder="1" applyAlignment="1" quotePrefix="1">
      <alignment horizontal="left"/>
      <protection/>
    </xf>
    <xf numFmtId="0" fontId="21" fillId="0" borderId="15" xfId="69" applyFont="1" applyFill="1" applyBorder="1">
      <alignment/>
      <protection/>
    </xf>
    <xf numFmtId="0" fontId="21" fillId="0" borderId="0" xfId="69" applyFont="1" applyAlignment="1">
      <alignment horizontal="left"/>
      <protection/>
    </xf>
    <xf numFmtId="0" fontId="21" fillId="0" borderId="0" xfId="69" applyFont="1" applyAlignment="1">
      <alignment horizontal="right"/>
      <protection/>
    </xf>
    <xf numFmtId="183" fontId="21" fillId="0" borderId="0" xfId="69" applyNumberFormat="1" applyFont="1" applyBorder="1" applyAlignment="1" applyProtection="1">
      <alignment horizontal="centerContinuous"/>
      <protection/>
    </xf>
    <xf numFmtId="0" fontId="21" fillId="0" borderId="0" xfId="69" applyFont="1" applyBorder="1" applyAlignment="1" applyProtection="1">
      <alignment horizontal="left"/>
      <protection/>
    </xf>
    <xf numFmtId="174" fontId="21" fillId="0" borderId="0" xfId="62" applyNumberFormat="1" applyFont="1" applyBorder="1" applyAlignment="1">
      <alignment horizontal="center"/>
      <protection/>
    </xf>
    <xf numFmtId="168" fontId="21" fillId="0" borderId="0" xfId="69" applyNumberFormat="1" applyFont="1" applyBorder="1" applyAlignment="1" applyProtection="1">
      <alignment horizontal="left"/>
      <protection/>
    </xf>
    <xf numFmtId="10" fontId="21" fillId="0" borderId="0" xfId="69" applyNumberFormat="1" applyFont="1" applyBorder="1" applyAlignment="1" applyProtection="1">
      <alignment horizontal="right"/>
      <protection/>
    </xf>
    <xf numFmtId="183" fontId="21" fillId="0" borderId="0" xfId="69" applyNumberFormat="1" applyFont="1" applyBorder="1">
      <alignment/>
      <protection/>
    </xf>
    <xf numFmtId="0" fontId="3" fillId="0" borderId="0" xfId="69" applyFont="1" applyBorder="1" applyAlignment="1" applyProtection="1">
      <alignment horizontal="center"/>
      <protection/>
    </xf>
    <xf numFmtId="174" fontId="3" fillId="0" borderId="0" xfId="69" applyNumberFormat="1" applyFont="1" applyBorder="1" applyAlignment="1">
      <alignment horizontal="centerContinuous"/>
      <protection/>
    </xf>
    <xf numFmtId="0" fontId="21" fillId="0" borderId="0" xfId="69" applyFont="1" applyBorder="1" applyAlignment="1" applyProtection="1">
      <alignment horizontal="center"/>
      <protection/>
    </xf>
    <xf numFmtId="0" fontId="22" fillId="0" borderId="0" xfId="69" applyFont="1" applyBorder="1">
      <alignment/>
      <protection/>
    </xf>
    <xf numFmtId="168" fontId="4" fillId="0" borderId="16" xfId="69" applyNumberFormat="1" applyFont="1" applyBorder="1" applyAlignment="1" applyProtection="1">
      <alignment horizontal="center"/>
      <protection/>
    </xf>
    <xf numFmtId="183" fontId="21" fillId="0" borderId="17" xfId="69" applyNumberFormat="1" applyFont="1" applyBorder="1" applyAlignment="1" applyProtection="1">
      <alignment horizontal="centerContinuous"/>
      <protection/>
    </xf>
    <xf numFmtId="0" fontId="13" fillId="0" borderId="0" xfId="69" applyFont="1" applyBorder="1" applyAlignment="1" applyProtection="1">
      <alignment horizontal="center"/>
      <protection/>
    </xf>
    <xf numFmtId="0" fontId="30" fillId="0" borderId="21" xfId="69" applyFont="1" applyBorder="1" applyAlignment="1">
      <alignment horizontal="center" vertical="center"/>
      <protection/>
    </xf>
    <xf numFmtId="164" fontId="30" fillId="0" borderId="17" xfId="69" applyNumberFormat="1" applyFont="1" applyBorder="1" applyAlignment="1" applyProtection="1">
      <alignment horizontal="center" vertical="center" wrapText="1"/>
      <protection/>
    </xf>
    <xf numFmtId="0" fontId="30" fillId="0" borderId="22" xfId="69" applyFont="1" applyBorder="1" applyAlignment="1" applyProtection="1">
      <alignment horizontal="center" vertical="center" wrapText="1"/>
      <protection/>
    </xf>
    <xf numFmtId="168" fontId="30" fillId="0" borderId="21" xfId="69" applyNumberFormat="1" applyFont="1" applyBorder="1" applyAlignment="1" applyProtection="1">
      <alignment horizontal="center" vertical="center"/>
      <protection/>
    </xf>
    <xf numFmtId="168" fontId="60" fillId="36" borderId="21" xfId="69" applyNumberFormat="1" applyFont="1" applyFill="1" applyBorder="1" applyAlignment="1" applyProtection="1">
      <alignment horizontal="center" vertical="center"/>
      <protection/>
    </xf>
    <xf numFmtId="0" fontId="62" fillId="33" borderId="21" xfId="69" applyFont="1" applyFill="1" applyBorder="1" applyAlignment="1" applyProtection="1">
      <alignment horizontal="center" vertical="center"/>
      <protection/>
    </xf>
    <xf numFmtId="0" fontId="30" fillId="0" borderId="21" xfId="69" applyFont="1" applyBorder="1" applyAlignment="1" applyProtection="1">
      <alignment horizontal="center" vertical="center"/>
      <protection/>
    </xf>
    <xf numFmtId="0" fontId="30" fillId="0" borderId="16" xfId="69" applyFont="1" applyBorder="1" applyAlignment="1" applyProtection="1">
      <alignment horizontal="center" vertical="center"/>
      <protection/>
    </xf>
    <xf numFmtId="0" fontId="30" fillId="0" borderId="16" xfId="69" applyFont="1" applyBorder="1" applyAlignment="1" applyProtection="1">
      <alignment horizontal="center" vertical="center" wrapText="1"/>
      <protection/>
    </xf>
    <xf numFmtId="0" fontId="30" fillId="0" borderId="21" xfId="69" applyFont="1" applyBorder="1" applyAlignment="1" applyProtection="1">
      <alignment horizontal="center" vertical="center" wrapText="1"/>
      <protection/>
    </xf>
    <xf numFmtId="0" fontId="62" fillId="39" borderId="21" xfId="69" applyFont="1" applyFill="1" applyBorder="1" applyAlignment="1">
      <alignment horizontal="center" vertical="center" wrapText="1"/>
      <protection/>
    </xf>
    <xf numFmtId="0" fontId="61" fillId="43" borderId="21" xfId="69" applyFont="1" applyFill="1" applyBorder="1" applyAlignment="1">
      <alignment horizontal="center" vertical="center" wrapText="1"/>
      <protection/>
    </xf>
    <xf numFmtId="0" fontId="87" fillId="34" borderId="16" xfId="69" applyFont="1" applyFill="1" applyBorder="1" applyAlignment="1" applyProtection="1">
      <alignment horizontal="centerContinuous" vertical="center" wrapText="1"/>
      <protection/>
    </xf>
    <xf numFmtId="0" fontId="88" fillId="34" borderId="22" xfId="69" applyFont="1" applyFill="1" applyBorder="1" applyAlignment="1">
      <alignment horizontal="centerContinuous"/>
      <protection/>
    </xf>
    <xf numFmtId="0" fontId="87" fillId="34" borderId="17" xfId="69" applyFont="1" applyFill="1" applyBorder="1" applyAlignment="1">
      <alignment horizontal="centerContinuous" vertical="center"/>
      <protection/>
    </xf>
    <xf numFmtId="0" fontId="62" fillId="44" borderId="16" xfId="69" applyFont="1" applyFill="1" applyBorder="1" applyAlignment="1">
      <alignment horizontal="centerContinuous" vertical="center" wrapText="1"/>
      <protection/>
    </xf>
    <xf numFmtId="0" fontId="89" fillId="44" borderId="22" xfId="69" applyFont="1" applyFill="1" applyBorder="1" applyAlignment="1">
      <alignment horizontal="centerContinuous"/>
      <protection/>
    </xf>
    <xf numFmtId="0" fontId="62" fillId="44" borderId="17" xfId="69" applyFont="1" applyFill="1" applyBorder="1" applyAlignment="1">
      <alignment horizontal="centerContinuous" vertical="center"/>
      <protection/>
    </xf>
    <xf numFmtId="0" fontId="62" fillId="3" borderId="21" xfId="69" applyFont="1" applyFill="1" applyBorder="1" applyAlignment="1">
      <alignment horizontal="centerContinuous" vertical="center" wrapText="1"/>
      <protection/>
    </xf>
    <xf numFmtId="0" fontId="62" fillId="45" borderId="21" xfId="69" applyFont="1" applyFill="1" applyBorder="1" applyAlignment="1">
      <alignment horizontal="centerContinuous" vertical="center" wrapText="1"/>
      <protection/>
    </xf>
    <xf numFmtId="0" fontId="30" fillId="0" borderId="17" xfId="69" applyFont="1" applyBorder="1" applyAlignment="1">
      <alignment horizontal="center" vertical="center" wrapText="1"/>
      <protection/>
    </xf>
    <xf numFmtId="0" fontId="30" fillId="0" borderId="21" xfId="69" applyFont="1" applyFill="1" applyBorder="1" applyAlignment="1">
      <alignment horizontal="center" vertical="center" wrapText="1"/>
      <protection/>
    </xf>
    <xf numFmtId="0" fontId="13" fillId="0" borderId="15" xfId="69" applyFont="1" applyFill="1" applyBorder="1" applyAlignment="1">
      <alignment horizontal="center"/>
      <protection/>
    </xf>
    <xf numFmtId="0" fontId="13" fillId="0" borderId="28" xfId="69" applyFont="1" applyBorder="1" applyAlignment="1">
      <alignment horizontal="center"/>
      <protection/>
    </xf>
    <xf numFmtId="0" fontId="21" fillId="0" borderId="28" xfId="69" applyFont="1" applyBorder="1">
      <alignment/>
      <protection/>
    </xf>
    <xf numFmtId="164" fontId="21" fillId="0" borderId="29" xfId="69" applyNumberFormat="1" applyFont="1" applyBorder="1" applyProtection="1">
      <alignment/>
      <protection/>
    </xf>
    <xf numFmtId="164" fontId="21" fillId="0" borderId="28" xfId="69" applyNumberFormat="1" applyFont="1" applyBorder="1" applyAlignment="1" applyProtection="1">
      <alignment horizontal="center"/>
      <protection/>
    </xf>
    <xf numFmtId="164" fontId="21" fillId="0" borderId="23" xfId="69" applyNumberFormat="1" applyFont="1" applyBorder="1" applyAlignment="1" applyProtection="1">
      <alignment horizontal="center"/>
      <protection/>
    </xf>
    <xf numFmtId="164" fontId="90" fillId="36" borderId="23" xfId="69" applyNumberFormat="1" applyFont="1" applyFill="1" applyBorder="1" applyAlignment="1" applyProtection="1">
      <alignment horizontal="center"/>
      <protection/>
    </xf>
    <xf numFmtId="0" fontId="91" fillId="33" borderId="23" xfId="69" applyFont="1" applyFill="1" applyBorder="1" applyAlignment="1">
      <alignment horizontal="center"/>
      <protection/>
    </xf>
    <xf numFmtId="0" fontId="21" fillId="0" borderId="23" xfId="69" applyFont="1" applyBorder="1" applyAlignment="1">
      <alignment horizontal="center"/>
      <protection/>
    </xf>
    <xf numFmtId="0" fontId="21" fillId="0" borderId="66" xfId="69" applyFont="1" applyBorder="1" applyAlignment="1">
      <alignment horizontal="center"/>
      <protection/>
    </xf>
    <xf numFmtId="0" fontId="13" fillId="0" borderId="29" xfId="69" applyFont="1" applyBorder="1" applyAlignment="1">
      <alignment horizontal="center"/>
      <protection/>
    </xf>
    <xf numFmtId="0" fontId="13" fillId="0" borderId="23" xfId="69" applyFont="1" applyBorder="1" applyAlignment="1">
      <alignment horizontal="center"/>
      <protection/>
    </xf>
    <xf numFmtId="0" fontId="65" fillId="39" borderId="23" xfId="69" applyFont="1" applyFill="1" applyBorder="1" applyAlignment="1">
      <alignment horizontal="center"/>
      <protection/>
    </xf>
    <xf numFmtId="0" fontId="82" fillId="43" borderId="23" xfId="69" applyFont="1" applyFill="1" applyBorder="1" applyAlignment="1">
      <alignment horizontal="center"/>
      <protection/>
    </xf>
    <xf numFmtId="168" fontId="92" fillId="34" borderId="24" xfId="69" applyNumberFormat="1" applyFont="1" applyFill="1" applyBorder="1" applyAlignment="1" applyProtection="1" quotePrefix="1">
      <alignment horizontal="center"/>
      <protection/>
    </xf>
    <xf numFmtId="168" fontId="92" fillId="34" borderId="67" xfId="69" applyNumberFormat="1" applyFont="1" applyFill="1" applyBorder="1" applyAlignment="1" applyProtection="1" quotePrefix="1">
      <alignment horizontal="center"/>
      <protection/>
    </xf>
    <xf numFmtId="4" fontId="92" fillId="34" borderId="56" xfId="69" applyNumberFormat="1" applyFont="1" applyFill="1" applyBorder="1" applyAlignment="1" applyProtection="1">
      <alignment horizontal="center"/>
      <protection/>
    </xf>
    <xf numFmtId="168" fontId="65" fillId="44" borderId="24" xfId="69" applyNumberFormat="1" applyFont="1" applyFill="1" applyBorder="1" applyAlignment="1" applyProtection="1" quotePrefix="1">
      <alignment horizontal="center"/>
      <protection/>
    </xf>
    <xf numFmtId="168" fontId="65" fillId="44" borderId="67" xfId="69" applyNumberFormat="1" applyFont="1" applyFill="1" applyBorder="1" applyAlignment="1" applyProtection="1" quotePrefix="1">
      <alignment horizontal="center"/>
      <protection/>
    </xf>
    <xf numFmtId="4" fontId="65" fillId="44" borderId="56" xfId="69" applyNumberFormat="1" applyFont="1" applyFill="1" applyBorder="1" applyAlignment="1" applyProtection="1">
      <alignment horizontal="center"/>
      <protection/>
    </xf>
    <xf numFmtId="4" fontId="65" fillId="3" borderId="23" xfId="69" applyNumberFormat="1" applyFont="1" applyFill="1" applyBorder="1" applyAlignment="1" applyProtection="1">
      <alignment horizontal="center"/>
      <protection/>
    </xf>
    <xf numFmtId="4" fontId="65" fillId="45" borderId="23" xfId="69" applyNumberFormat="1" applyFont="1" applyFill="1" applyBorder="1" applyAlignment="1" applyProtection="1">
      <alignment horizontal="center"/>
      <protection/>
    </xf>
    <xf numFmtId="0" fontId="13" fillId="0" borderId="56" xfId="69" applyFont="1" applyBorder="1" applyAlignment="1">
      <alignment horizontal="left"/>
      <protection/>
    </xf>
    <xf numFmtId="0" fontId="48" fillId="0" borderId="56" xfId="69" applyFont="1" applyBorder="1" applyAlignment="1">
      <alignment horizontal="center"/>
      <protection/>
    </xf>
    <xf numFmtId="0" fontId="13" fillId="0" borderId="28" xfId="59" applyFont="1" applyBorder="1" applyAlignment="1" applyProtection="1">
      <alignment horizontal="center"/>
      <protection locked="0"/>
    </xf>
    <xf numFmtId="0" fontId="13" fillId="0" borderId="28" xfId="66" applyFont="1" applyFill="1" applyBorder="1" applyAlignment="1" applyProtection="1">
      <alignment horizontal="center"/>
      <protection locked="0"/>
    </xf>
    <xf numFmtId="164" fontId="13" fillId="0" borderId="28" xfId="66" applyNumberFormat="1" applyFont="1" applyFill="1" applyBorder="1" applyAlignment="1" applyProtection="1">
      <alignment horizontal="center"/>
      <protection locked="0"/>
    </xf>
    <xf numFmtId="0" fontId="90" fillId="36" borderId="28" xfId="69" applyFont="1" applyFill="1" applyBorder="1" applyAlignment="1" applyProtection="1">
      <alignment horizontal="center"/>
      <protection/>
    </xf>
    <xf numFmtId="174" fontId="42" fillId="33" borderId="28" xfId="69" applyNumberFormat="1" applyFont="1" applyFill="1" applyBorder="1" applyAlignment="1" applyProtection="1">
      <alignment horizontal="center"/>
      <protection/>
    </xf>
    <xf numFmtId="22" fontId="13" fillId="0" borderId="29" xfId="69" applyNumberFormat="1" applyFont="1" applyFill="1" applyBorder="1" applyAlignment="1" applyProtection="1">
      <alignment horizontal="center"/>
      <protection locked="0"/>
    </xf>
    <xf numFmtId="22" fontId="13" fillId="0" borderId="32" xfId="69" applyNumberFormat="1" applyFont="1" applyFill="1" applyBorder="1" applyAlignment="1" applyProtection="1">
      <alignment horizontal="center"/>
      <protection locked="0"/>
    </xf>
    <xf numFmtId="4" fontId="13" fillId="0" borderId="28" xfId="69" applyNumberFormat="1" applyFont="1" applyFill="1" applyBorder="1" applyAlignment="1" applyProtection="1" quotePrefix="1">
      <alignment horizontal="center"/>
      <protection/>
    </xf>
    <xf numFmtId="164" fontId="13" fillId="0" borderId="28" xfId="69" applyNumberFormat="1" applyFont="1" applyFill="1" applyBorder="1" applyAlignment="1" applyProtection="1" quotePrefix="1">
      <alignment horizontal="center"/>
      <protection/>
    </xf>
    <xf numFmtId="168" fontId="13" fillId="0" borderId="29" xfId="69" applyNumberFormat="1" applyFont="1" applyBorder="1" applyAlignment="1" applyProtection="1">
      <alignment horizontal="center"/>
      <protection/>
    </xf>
    <xf numFmtId="173" fontId="13" fillId="0" borderId="29" xfId="69" applyNumberFormat="1" applyFont="1" applyBorder="1" applyAlignment="1" applyProtection="1" quotePrefix="1">
      <alignment horizontal="center"/>
      <protection/>
    </xf>
    <xf numFmtId="168" fontId="13" fillId="0" borderId="28" xfId="69" applyNumberFormat="1" applyFont="1" applyBorder="1" applyAlignment="1" applyProtection="1">
      <alignment horizontal="center"/>
      <protection/>
    </xf>
    <xf numFmtId="2" fontId="65" fillId="39" borderId="28" xfId="69" applyNumberFormat="1" applyFont="1" applyFill="1" applyBorder="1" applyAlignment="1" applyProtection="1">
      <alignment horizontal="center"/>
      <protection/>
    </xf>
    <xf numFmtId="2" fontId="82" fillId="43" borderId="28" xfId="69" applyNumberFormat="1" applyFont="1" applyFill="1" applyBorder="1" applyAlignment="1" applyProtection="1">
      <alignment horizontal="center"/>
      <protection/>
    </xf>
    <xf numFmtId="168" fontId="92" fillId="34" borderId="30" xfId="69" applyNumberFormat="1" applyFont="1" applyFill="1" applyBorder="1" applyAlignment="1" applyProtection="1" quotePrefix="1">
      <alignment horizontal="center"/>
      <protection/>
    </xf>
    <xf numFmtId="168" fontId="92" fillId="34" borderId="31" xfId="69" applyNumberFormat="1" applyFont="1" applyFill="1" applyBorder="1" applyAlignment="1" applyProtection="1" quotePrefix="1">
      <alignment horizontal="center"/>
      <protection/>
    </xf>
    <xf numFmtId="4" fontId="92" fillId="34" borderId="29" xfId="69" applyNumberFormat="1" applyFont="1" applyFill="1" applyBorder="1" applyAlignment="1" applyProtection="1">
      <alignment horizontal="center"/>
      <protection/>
    </xf>
    <xf numFmtId="168" fontId="65" fillId="44" borderId="30" xfId="69" applyNumberFormat="1" applyFont="1" applyFill="1" applyBorder="1" applyAlignment="1" applyProtection="1" quotePrefix="1">
      <alignment horizontal="center"/>
      <protection/>
    </xf>
    <xf numFmtId="168" fontId="65" fillId="44" borderId="31" xfId="69" applyNumberFormat="1" applyFont="1" applyFill="1" applyBorder="1" applyAlignment="1" applyProtection="1" quotePrefix="1">
      <alignment horizontal="center"/>
      <protection/>
    </xf>
    <xf numFmtId="4" fontId="65" fillId="44" borderId="29" xfId="69" applyNumberFormat="1" applyFont="1" applyFill="1" applyBorder="1" applyAlignment="1" applyProtection="1">
      <alignment horizontal="center"/>
      <protection/>
    </xf>
    <xf numFmtId="4" fontId="65" fillId="3" borderId="28" xfId="69" applyNumberFormat="1" applyFont="1" applyFill="1" applyBorder="1" applyAlignment="1" applyProtection="1">
      <alignment horizontal="center"/>
      <protection/>
    </xf>
    <xf numFmtId="4" fontId="65" fillId="45" borderId="28" xfId="69" applyNumberFormat="1" applyFont="1" applyFill="1" applyBorder="1" applyAlignment="1" applyProtection="1">
      <alignment horizontal="center"/>
      <protection/>
    </xf>
    <xf numFmtId="4" fontId="13" fillId="0" borderId="29" xfId="69" applyNumberFormat="1" applyFont="1" applyBorder="1" applyAlignment="1" applyProtection="1">
      <alignment horizontal="center"/>
      <protection/>
    </xf>
    <xf numFmtId="4" fontId="48" fillId="0" borderId="29" xfId="69" applyNumberFormat="1" applyFont="1" applyFill="1" applyBorder="1" applyAlignment="1">
      <alignment horizontal="right"/>
      <protection/>
    </xf>
    <xf numFmtId="170" fontId="13" fillId="0" borderId="28" xfId="66" applyNumberFormat="1" applyFont="1" applyFill="1" applyBorder="1" applyAlignment="1" applyProtection="1">
      <alignment horizontal="center"/>
      <protection locked="0"/>
    </xf>
    <xf numFmtId="164" fontId="13" fillId="0" borderId="28" xfId="69" applyNumberFormat="1" applyFont="1" applyBorder="1" applyAlignment="1" applyProtection="1">
      <alignment horizontal="center"/>
      <protection/>
    </xf>
    <xf numFmtId="22" fontId="13" fillId="0" borderId="28" xfId="69" applyNumberFormat="1" applyFont="1" applyBorder="1" applyAlignment="1">
      <alignment horizontal="center"/>
      <protection/>
    </xf>
    <xf numFmtId="22" fontId="13" fillId="0" borderId="32" xfId="69" applyNumberFormat="1" applyFont="1" applyBorder="1" applyAlignment="1">
      <alignment horizontal="center"/>
      <protection/>
    </xf>
    <xf numFmtId="0" fontId="13" fillId="0" borderId="36" xfId="69" applyFont="1" applyFill="1" applyBorder="1" applyAlignment="1">
      <alignment horizontal="center"/>
      <protection/>
    </xf>
    <xf numFmtId="0" fontId="21" fillId="0" borderId="36" xfId="69" applyFont="1" applyBorder="1" applyAlignment="1">
      <alignment horizontal="center"/>
      <protection/>
    </xf>
    <xf numFmtId="164" fontId="93" fillId="0" borderId="36" xfId="69" applyNumberFormat="1" applyFont="1" applyBorder="1" applyAlignment="1" applyProtection="1">
      <alignment horizontal="center"/>
      <protection/>
    </xf>
    <xf numFmtId="0" fontId="21" fillId="0" borderId="36" xfId="69" applyFont="1" applyBorder="1" applyAlignment="1" applyProtection="1">
      <alignment horizontal="center"/>
      <protection/>
    </xf>
    <xf numFmtId="165" fontId="21" fillId="0" borderId="36" xfId="69" applyNumberFormat="1" applyFont="1" applyBorder="1" applyAlignment="1" applyProtection="1">
      <alignment horizontal="center"/>
      <protection/>
    </xf>
    <xf numFmtId="165" fontId="90" fillId="36" borderId="36" xfId="69" applyNumberFormat="1" applyFont="1" applyFill="1" applyBorder="1" applyAlignment="1" applyProtection="1">
      <alignment horizontal="center"/>
      <protection/>
    </xf>
    <xf numFmtId="168" fontId="91" fillId="33" borderId="36" xfId="69" applyNumberFormat="1" applyFont="1" applyFill="1" applyBorder="1" applyAlignment="1" applyProtection="1">
      <alignment horizontal="center"/>
      <protection/>
    </xf>
    <xf numFmtId="168" fontId="21" fillId="0" borderId="36" xfId="69" applyNumberFormat="1" applyFont="1" applyBorder="1" applyAlignment="1" applyProtection="1">
      <alignment horizontal="center"/>
      <protection/>
    </xf>
    <xf numFmtId="168" fontId="13" fillId="0" borderId="36" xfId="69" applyNumberFormat="1" applyFont="1" applyBorder="1" applyAlignment="1" applyProtection="1">
      <alignment horizontal="center"/>
      <protection/>
    </xf>
    <xf numFmtId="173" fontId="13" fillId="0" borderId="36" xfId="69" applyNumberFormat="1" applyFont="1" applyBorder="1" applyAlignment="1" applyProtection="1" quotePrefix="1">
      <alignment horizontal="center"/>
      <protection/>
    </xf>
    <xf numFmtId="2" fontId="65" fillId="39" borderId="36" xfId="69" applyNumberFormat="1" applyFont="1" applyFill="1" applyBorder="1" applyAlignment="1" applyProtection="1">
      <alignment horizontal="center"/>
      <protection/>
    </xf>
    <xf numFmtId="2" fontId="82" fillId="43" borderId="36" xfId="69" applyNumberFormat="1" applyFont="1" applyFill="1" applyBorder="1" applyAlignment="1" applyProtection="1">
      <alignment horizontal="center"/>
      <protection/>
    </xf>
    <xf numFmtId="168" fontId="92" fillId="34" borderId="37" xfId="69" applyNumberFormat="1" applyFont="1" applyFill="1" applyBorder="1" applyAlignment="1" applyProtection="1" quotePrefix="1">
      <alignment horizontal="center"/>
      <protection/>
    </xf>
    <xf numFmtId="168" fontId="92" fillId="34" borderId="68" xfId="69" applyNumberFormat="1" applyFont="1" applyFill="1" applyBorder="1" applyAlignment="1" applyProtection="1" quotePrefix="1">
      <alignment horizontal="center"/>
      <protection/>
    </xf>
    <xf numFmtId="4" fontId="92" fillId="34" borderId="50" xfId="69" applyNumberFormat="1" applyFont="1" applyFill="1" applyBorder="1" applyAlignment="1" applyProtection="1">
      <alignment horizontal="center"/>
      <protection/>
    </xf>
    <xf numFmtId="168" fontId="65" fillId="44" borderId="37" xfId="69" applyNumberFormat="1" applyFont="1" applyFill="1" applyBorder="1" applyAlignment="1" applyProtection="1" quotePrefix="1">
      <alignment horizontal="center"/>
      <protection/>
    </xf>
    <xf numFmtId="168" fontId="65" fillId="44" borderId="68" xfId="69" applyNumberFormat="1" applyFont="1" applyFill="1" applyBorder="1" applyAlignment="1" applyProtection="1" quotePrefix="1">
      <alignment horizontal="center"/>
      <protection/>
    </xf>
    <xf numFmtId="4" fontId="65" fillId="44" borderId="50" xfId="69" applyNumberFormat="1" applyFont="1" applyFill="1" applyBorder="1" applyAlignment="1" applyProtection="1">
      <alignment horizontal="center"/>
      <protection/>
    </xf>
    <xf numFmtId="4" fontId="65" fillId="3" borderId="36" xfId="69" applyNumberFormat="1" applyFont="1" applyFill="1" applyBorder="1" applyAlignment="1" applyProtection="1">
      <alignment horizontal="center"/>
      <protection/>
    </xf>
    <xf numFmtId="4" fontId="65" fillId="45" borderId="36" xfId="69" applyNumberFormat="1" applyFont="1" applyFill="1" applyBorder="1" applyAlignment="1" applyProtection="1">
      <alignment horizontal="center"/>
      <protection/>
    </xf>
    <xf numFmtId="4" fontId="49" fillId="0" borderId="36" xfId="69" applyNumberFormat="1" applyFont="1" applyBorder="1" applyAlignment="1" applyProtection="1">
      <alignment horizontal="center"/>
      <protection/>
    </xf>
    <xf numFmtId="168" fontId="66" fillId="0" borderId="36" xfId="69" applyNumberFormat="1" applyFont="1" applyFill="1" applyBorder="1" applyAlignment="1">
      <alignment horizontal="center"/>
      <protection/>
    </xf>
    <xf numFmtId="4" fontId="13" fillId="0" borderId="15" xfId="69" applyNumberFormat="1" applyFont="1" applyFill="1" applyBorder="1" applyAlignment="1">
      <alignment horizontal="center"/>
      <protection/>
    </xf>
    <xf numFmtId="164" fontId="93" fillId="0" borderId="0" xfId="69" applyNumberFormat="1" applyFont="1" applyBorder="1" applyAlignment="1" applyProtection="1">
      <alignment horizontal="center"/>
      <protection/>
    </xf>
    <xf numFmtId="165" fontId="21" fillId="0" borderId="0" xfId="69" applyNumberFormat="1" applyFont="1" applyBorder="1" applyAlignment="1" applyProtection="1">
      <alignment horizontal="center"/>
      <protection/>
    </xf>
    <xf numFmtId="168" fontId="21" fillId="0" borderId="0" xfId="69" applyNumberFormat="1" applyFont="1" applyBorder="1" applyAlignment="1" applyProtection="1">
      <alignment horizontal="center"/>
      <protection/>
    </xf>
    <xf numFmtId="173" fontId="21" fillId="0" borderId="0" xfId="69" applyNumberFormat="1" applyFont="1" applyBorder="1" applyAlignment="1" applyProtection="1" quotePrefix="1">
      <alignment horizontal="center"/>
      <protection/>
    </xf>
    <xf numFmtId="2" fontId="21" fillId="0" borderId="44" xfId="69" applyNumberFormat="1" applyFont="1" applyBorder="1" applyAlignment="1" applyProtection="1">
      <alignment horizontal="center"/>
      <protection/>
    </xf>
    <xf numFmtId="7" fontId="48" fillId="0" borderId="21" xfId="69" applyNumberFormat="1" applyFont="1" applyBorder="1" applyAlignment="1" applyProtection="1">
      <alignment horizontal="right"/>
      <protection/>
    </xf>
    <xf numFmtId="2" fontId="21" fillId="0" borderId="0" xfId="69" applyNumberFormat="1" applyFont="1" applyBorder="1" applyAlignment="1" applyProtection="1">
      <alignment horizontal="center"/>
      <protection/>
    </xf>
    <xf numFmtId="7" fontId="21" fillId="0" borderId="0" xfId="69" applyNumberFormat="1" applyFont="1" applyBorder="1" applyAlignment="1" applyProtection="1">
      <alignment horizontal="center"/>
      <protection/>
    </xf>
    <xf numFmtId="0" fontId="13" fillId="0" borderId="14" xfId="69" applyFont="1" applyFill="1" applyBorder="1">
      <alignment/>
      <protection/>
    </xf>
    <xf numFmtId="0" fontId="30" fillId="0" borderId="21" xfId="69" applyFont="1" applyFill="1" applyBorder="1" applyAlignment="1">
      <alignment horizontal="center" vertical="center"/>
      <protection/>
    </xf>
    <xf numFmtId="0" fontId="30" fillId="0" borderId="21" xfId="69" applyFont="1" applyFill="1" applyBorder="1" applyAlignment="1" applyProtection="1">
      <alignment horizontal="center" vertical="center" wrapText="1"/>
      <protection/>
    </xf>
    <xf numFmtId="0" fontId="30" fillId="0" borderId="21" xfId="69" applyFont="1" applyFill="1" applyBorder="1" applyAlignment="1" applyProtection="1">
      <alignment horizontal="center" vertical="center"/>
      <protection/>
    </xf>
    <xf numFmtId="0" fontId="30" fillId="0" borderId="21" xfId="69" applyFont="1" applyFill="1" applyBorder="1" applyAlignment="1" applyProtection="1" quotePrefix="1">
      <alignment horizontal="center" vertical="center" wrapText="1"/>
      <protection/>
    </xf>
    <xf numFmtId="0" fontId="60" fillId="36" borderId="21" xfId="69" applyFont="1" applyFill="1" applyBorder="1" applyAlignment="1" applyProtection="1">
      <alignment horizontal="center" vertical="center"/>
      <protection/>
    </xf>
    <xf numFmtId="0" fontId="60" fillId="46" borderId="21" xfId="69" applyFont="1" applyFill="1" applyBorder="1" applyAlignment="1" applyProtection="1">
      <alignment horizontal="center" vertical="center"/>
      <protection/>
    </xf>
    <xf numFmtId="0" fontId="30" fillId="0" borderId="16" xfId="69" applyFont="1" applyFill="1" applyBorder="1" applyAlignment="1" applyProtection="1">
      <alignment horizontal="centerContinuous" vertical="center"/>
      <protection/>
    </xf>
    <xf numFmtId="0" fontId="30" fillId="0" borderId="22" xfId="69" applyFont="1" applyFill="1" applyBorder="1" applyAlignment="1" applyProtection="1">
      <alignment horizontal="centerContinuous" vertical="center"/>
      <protection/>
    </xf>
    <xf numFmtId="0" fontId="62" fillId="47" borderId="21" xfId="69" applyFont="1" applyFill="1" applyBorder="1" applyAlignment="1">
      <alignment horizontal="center" vertical="center" wrapText="1"/>
      <protection/>
    </xf>
    <xf numFmtId="0" fontId="62" fillId="48" borderId="16" xfId="69" applyFont="1" applyFill="1" applyBorder="1" applyAlignment="1" applyProtection="1">
      <alignment horizontal="centerContinuous" vertical="center" wrapText="1"/>
      <protection/>
    </xf>
    <xf numFmtId="0" fontId="62" fillId="48" borderId="17" xfId="69" applyFont="1" applyFill="1" applyBorder="1" applyAlignment="1">
      <alignment horizontal="centerContinuous" vertical="center"/>
      <protection/>
    </xf>
    <xf numFmtId="0" fontId="62" fillId="34" borderId="21" xfId="69" applyFont="1" applyFill="1" applyBorder="1" applyAlignment="1">
      <alignment horizontal="centerContinuous" vertical="center" wrapText="1"/>
      <protection/>
    </xf>
    <xf numFmtId="0" fontId="62" fillId="46" borderId="99" xfId="69" applyFont="1" applyFill="1" applyBorder="1" applyAlignment="1">
      <alignment vertical="center" wrapText="1"/>
      <protection/>
    </xf>
    <xf numFmtId="0" fontId="62" fillId="46" borderId="41" xfId="69" applyFont="1" applyFill="1" applyBorder="1" applyAlignment="1">
      <alignment vertical="center" wrapText="1"/>
      <protection/>
    </xf>
    <xf numFmtId="0" fontId="62" fillId="46" borderId="44" xfId="69" applyFont="1" applyFill="1" applyBorder="1" applyAlignment="1">
      <alignment vertical="center" wrapText="1"/>
      <protection/>
    </xf>
    <xf numFmtId="0" fontId="30" fillId="0" borderId="21" xfId="69" applyFont="1" applyBorder="1" applyAlignment="1">
      <alignment horizontal="center" vertical="center" wrapText="1"/>
      <protection/>
    </xf>
    <xf numFmtId="0" fontId="13" fillId="0" borderId="28" xfId="69" applyFont="1" applyFill="1" applyBorder="1" applyAlignment="1">
      <alignment horizontal="center"/>
      <protection/>
    </xf>
    <xf numFmtId="164" fontId="13" fillId="0" borderId="28" xfId="69" applyNumberFormat="1" applyFont="1" applyFill="1" applyBorder="1" applyAlignment="1" applyProtection="1">
      <alignment horizontal="center"/>
      <protection/>
    </xf>
    <xf numFmtId="0" fontId="95" fillId="36" borderId="28" xfId="69" applyFont="1" applyFill="1" applyBorder="1" applyAlignment="1">
      <alignment horizontal="center"/>
      <protection/>
    </xf>
    <xf numFmtId="0" fontId="95" fillId="46" borderId="28" xfId="69" applyFont="1" applyFill="1" applyBorder="1" applyAlignment="1">
      <alignment horizontal="center"/>
      <protection/>
    </xf>
    <xf numFmtId="0" fontId="13" fillId="0" borderId="29" xfId="69" applyFont="1" applyFill="1" applyBorder="1" applyAlignment="1">
      <alignment horizontal="center"/>
      <protection/>
    </xf>
    <xf numFmtId="0" fontId="63" fillId="36" borderId="23" xfId="69" applyFont="1" applyFill="1" applyBorder="1" applyAlignment="1">
      <alignment horizontal="center"/>
      <protection/>
    </xf>
    <xf numFmtId="0" fontId="29" fillId="47" borderId="23" xfId="69" applyFont="1" applyFill="1" applyBorder="1" applyAlignment="1">
      <alignment horizontal="center"/>
      <protection/>
    </xf>
    <xf numFmtId="0" fontId="29" fillId="48" borderId="24" xfId="69" applyFont="1" applyFill="1" applyBorder="1" applyAlignment="1">
      <alignment horizontal="center"/>
      <protection/>
    </xf>
    <xf numFmtId="0" fontId="29" fillId="48" borderId="26" xfId="69" applyFont="1" applyFill="1" applyBorder="1" applyAlignment="1">
      <alignment horizontal="left"/>
      <protection/>
    </xf>
    <xf numFmtId="0" fontId="29" fillId="34" borderId="23" xfId="69" applyFont="1" applyFill="1" applyBorder="1" applyAlignment="1">
      <alignment horizontal="left"/>
      <protection/>
    </xf>
    <xf numFmtId="0" fontId="29" fillId="46" borderId="60" xfId="69" applyFont="1" applyFill="1" applyBorder="1" applyAlignment="1">
      <alignment horizontal="left"/>
      <protection/>
    </xf>
    <xf numFmtId="0" fontId="29" fillId="46" borderId="0" xfId="69" applyFont="1" applyFill="1" applyBorder="1" applyAlignment="1">
      <alignment horizontal="left"/>
      <protection/>
    </xf>
    <xf numFmtId="0" fontId="29" fillId="46" borderId="59" xfId="69" applyFont="1" applyFill="1" applyBorder="1" applyAlignment="1">
      <alignment horizontal="left"/>
      <protection/>
    </xf>
    <xf numFmtId="0" fontId="48" fillId="0" borderId="29" xfId="69" applyFont="1" applyFill="1" applyBorder="1" applyAlignment="1">
      <alignment horizontal="center"/>
      <protection/>
    </xf>
    <xf numFmtId="0" fontId="13" fillId="0" borderId="27" xfId="69" applyFont="1" applyFill="1" applyBorder="1" applyAlignment="1">
      <alignment horizontal="center"/>
      <protection/>
    </xf>
    <xf numFmtId="164" fontId="13" fillId="0" borderId="27" xfId="69" applyNumberFormat="1" applyFont="1" applyFill="1" applyBorder="1" applyAlignment="1" applyProtection="1">
      <alignment horizontal="center"/>
      <protection/>
    </xf>
    <xf numFmtId="168" fontId="95" fillId="36" borderId="28" xfId="69" applyNumberFormat="1" applyFont="1" applyFill="1" applyBorder="1" applyAlignment="1" applyProtection="1">
      <alignment horizontal="center"/>
      <protection/>
    </xf>
    <xf numFmtId="168" fontId="95" fillId="46" borderId="28" xfId="69" applyNumberFormat="1" applyFont="1" applyFill="1" applyBorder="1" applyAlignment="1" applyProtection="1">
      <alignment horizontal="center"/>
      <protection/>
    </xf>
    <xf numFmtId="22" fontId="13" fillId="0" borderId="28" xfId="69" applyNumberFormat="1" applyFont="1" applyFill="1" applyBorder="1" applyAlignment="1" applyProtection="1">
      <alignment horizontal="center"/>
      <protection/>
    </xf>
    <xf numFmtId="4" fontId="13" fillId="0" borderId="28" xfId="69" applyNumberFormat="1" applyFont="1" applyFill="1" applyBorder="1" applyAlignment="1" applyProtection="1">
      <alignment horizontal="center"/>
      <protection/>
    </xf>
    <xf numFmtId="3" fontId="13" fillId="0" borderId="28" xfId="69" applyNumberFormat="1" applyFont="1" applyFill="1" applyBorder="1" applyAlignment="1" applyProtection="1">
      <alignment horizontal="center"/>
      <protection/>
    </xf>
    <xf numFmtId="168" fontId="13" fillId="0" borderId="28" xfId="69" applyNumberFormat="1" applyFont="1" applyFill="1" applyBorder="1" applyAlignment="1" applyProtection="1">
      <alignment horizontal="center"/>
      <protection/>
    </xf>
    <xf numFmtId="168" fontId="13" fillId="0" borderId="28" xfId="69" applyNumberFormat="1" applyFont="1" applyBorder="1" applyAlignment="1" applyProtection="1" quotePrefix="1">
      <alignment horizontal="center"/>
      <protection/>
    </xf>
    <xf numFmtId="168" fontId="13" fillId="0" borderId="47" xfId="69" applyNumberFormat="1" applyFont="1" applyBorder="1" applyAlignment="1" applyProtection="1">
      <alignment horizontal="center"/>
      <protection/>
    </xf>
    <xf numFmtId="164" fontId="63" fillId="36" borderId="28" xfId="69" applyNumberFormat="1" applyFont="1" applyFill="1" applyBorder="1" applyAlignment="1" applyProtection="1">
      <alignment horizontal="center"/>
      <protection/>
    </xf>
    <xf numFmtId="2" fontId="65" fillId="47" borderId="28" xfId="69" applyNumberFormat="1" applyFont="1" applyFill="1" applyBorder="1" applyAlignment="1">
      <alignment horizontal="center"/>
      <protection/>
    </xf>
    <xf numFmtId="168" fontId="65" fillId="48" borderId="48" xfId="69" applyNumberFormat="1" applyFont="1" applyFill="1" applyBorder="1" applyAlignment="1" applyProtection="1" quotePrefix="1">
      <alignment horizontal="center"/>
      <protection/>
    </xf>
    <xf numFmtId="168" fontId="65" fillId="48" borderId="49" xfId="69" applyNumberFormat="1" applyFont="1" applyFill="1" applyBorder="1" applyAlignment="1" applyProtection="1" quotePrefix="1">
      <alignment horizontal="center"/>
      <protection/>
    </xf>
    <xf numFmtId="168" fontId="65" fillId="34" borderId="28" xfId="69" applyNumberFormat="1" applyFont="1" applyFill="1" applyBorder="1" applyAlignment="1" applyProtection="1" quotePrefix="1">
      <alignment horizontal="center"/>
      <protection/>
    </xf>
    <xf numFmtId="168" fontId="65" fillId="46" borderId="60" xfId="69" applyNumberFormat="1" applyFont="1" applyFill="1" applyBorder="1" applyAlignment="1" applyProtection="1" quotePrefix="1">
      <alignment horizontal="center"/>
      <protection/>
    </xf>
    <xf numFmtId="168" fontId="65" fillId="46" borderId="0" xfId="69" applyNumberFormat="1" applyFont="1" applyFill="1" applyBorder="1" applyAlignment="1" applyProtection="1" quotePrefix="1">
      <alignment horizontal="center"/>
      <protection/>
    </xf>
    <xf numFmtId="168" fontId="65" fillId="46" borderId="59" xfId="69" applyNumberFormat="1" applyFont="1" applyFill="1" applyBorder="1" applyAlignment="1" applyProtection="1" quotePrefix="1">
      <alignment horizontal="center"/>
      <protection/>
    </xf>
    <xf numFmtId="168" fontId="13" fillId="0" borderId="29" xfId="69" applyNumberFormat="1" applyFont="1" applyFill="1" applyBorder="1" applyAlignment="1">
      <alignment horizontal="center"/>
      <protection/>
    </xf>
    <xf numFmtId="4" fontId="79" fillId="0" borderId="29" xfId="69" applyNumberFormat="1" applyFont="1" applyFill="1" applyBorder="1" applyAlignment="1">
      <alignment horizontal="right"/>
      <protection/>
    </xf>
    <xf numFmtId="0" fontId="13" fillId="0" borderId="34" xfId="69" applyFont="1" applyBorder="1" applyAlignment="1" applyProtection="1">
      <alignment horizontal="center"/>
      <protection/>
    </xf>
    <xf numFmtId="0" fontId="13" fillId="0" borderId="69" xfId="69" applyFont="1" applyBorder="1" applyAlignment="1" applyProtection="1">
      <alignment horizontal="center"/>
      <protection/>
    </xf>
    <xf numFmtId="164" fontId="13" fillId="0" borderId="34" xfId="69" applyNumberFormat="1" applyFont="1" applyBorder="1" applyAlignment="1" applyProtection="1">
      <alignment horizontal="center"/>
      <protection/>
    </xf>
    <xf numFmtId="1" fontId="13" fillId="0" borderId="52" xfId="69" applyNumberFormat="1" applyFont="1" applyBorder="1" applyAlignment="1" applyProtection="1" quotePrefix="1">
      <alignment horizontal="center"/>
      <protection/>
    </xf>
    <xf numFmtId="168" fontId="95" fillId="36" borderId="36" xfId="69" applyNumberFormat="1" applyFont="1" applyFill="1" applyBorder="1" applyAlignment="1" applyProtection="1">
      <alignment horizontal="center"/>
      <protection/>
    </xf>
    <xf numFmtId="168" fontId="95" fillId="46" borderId="36" xfId="69" applyNumberFormat="1" applyFont="1" applyFill="1" applyBorder="1" applyAlignment="1" applyProtection="1">
      <alignment horizontal="center"/>
      <protection/>
    </xf>
    <xf numFmtId="22" fontId="13" fillId="0" borderId="36" xfId="69" applyNumberFormat="1" applyFont="1" applyFill="1" applyBorder="1" applyAlignment="1">
      <alignment horizontal="center"/>
      <protection/>
    </xf>
    <xf numFmtId="22" fontId="13" fillId="0" borderId="36" xfId="69" applyNumberFormat="1" applyFont="1" applyFill="1" applyBorder="1" applyAlignment="1" applyProtection="1">
      <alignment horizontal="center"/>
      <protection/>
    </xf>
    <xf numFmtId="4" fontId="13" fillId="0" borderId="36" xfId="69" applyNumberFormat="1" applyFont="1" applyFill="1" applyBorder="1" applyAlignment="1" applyProtection="1">
      <alignment horizontal="center"/>
      <protection/>
    </xf>
    <xf numFmtId="3" fontId="13" fillId="0" borderId="36" xfId="69" applyNumberFormat="1" applyFont="1" applyFill="1" applyBorder="1" applyAlignment="1" applyProtection="1">
      <alignment horizontal="center"/>
      <protection/>
    </xf>
    <xf numFmtId="168" fontId="13" fillId="0" borderId="36" xfId="69" applyNumberFormat="1" applyFont="1" applyFill="1" applyBorder="1" applyAlignment="1" applyProtection="1">
      <alignment horizontal="center"/>
      <protection/>
    </xf>
    <xf numFmtId="164" fontId="63" fillId="36" borderId="36" xfId="69" applyNumberFormat="1" applyFont="1" applyFill="1" applyBorder="1" applyAlignment="1" applyProtection="1">
      <alignment horizontal="center"/>
      <protection/>
    </xf>
    <xf numFmtId="2" fontId="29" fillId="47" borderId="36" xfId="69" applyNumberFormat="1" applyFont="1" applyFill="1" applyBorder="1" applyAlignment="1">
      <alignment horizontal="center"/>
      <protection/>
    </xf>
    <xf numFmtId="168" fontId="29" fillId="48" borderId="51" xfId="69" applyNumberFormat="1" applyFont="1" applyFill="1" applyBorder="1" applyAlignment="1" applyProtection="1" quotePrefix="1">
      <alignment horizontal="center"/>
      <protection/>
    </xf>
    <xf numFmtId="168" fontId="29" fillId="48" borderId="52" xfId="69" applyNumberFormat="1" applyFont="1" applyFill="1" applyBorder="1" applyAlignment="1" applyProtection="1" quotePrefix="1">
      <alignment horizontal="center"/>
      <protection/>
    </xf>
    <xf numFmtId="168" fontId="29" fillId="34" borderId="36" xfId="69" applyNumberFormat="1" applyFont="1" applyFill="1" applyBorder="1" applyAlignment="1" applyProtection="1" quotePrefix="1">
      <alignment horizontal="center"/>
      <protection/>
    </xf>
    <xf numFmtId="168" fontId="29" fillId="46" borderId="58" xfId="69" applyNumberFormat="1" applyFont="1" applyFill="1" applyBorder="1" applyAlignment="1" applyProtection="1" quotePrefix="1">
      <alignment horizontal="center"/>
      <protection/>
    </xf>
    <xf numFmtId="168" fontId="29" fillId="46" borderId="64" xfId="69" applyNumberFormat="1" applyFont="1" applyFill="1" applyBorder="1" applyAlignment="1" applyProtection="1" quotePrefix="1">
      <alignment horizontal="center"/>
      <protection/>
    </xf>
    <xf numFmtId="168" fontId="29" fillId="46" borderId="50" xfId="69" applyNumberFormat="1" applyFont="1" applyFill="1" applyBorder="1" applyAlignment="1" applyProtection="1" quotePrefix="1">
      <alignment horizontal="center"/>
      <protection/>
    </xf>
    <xf numFmtId="168" fontId="13" fillId="0" borderId="50" xfId="69" applyNumberFormat="1" applyFont="1" applyFill="1" applyBorder="1" applyAlignment="1">
      <alignment horizontal="center"/>
      <protection/>
    </xf>
    <xf numFmtId="4" fontId="79" fillId="0" borderId="50" xfId="69" applyNumberFormat="1" applyFont="1" applyFill="1" applyBorder="1" applyAlignment="1">
      <alignment horizontal="right"/>
      <protection/>
    </xf>
    <xf numFmtId="0" fontId="13" fillId="0" borderId="0" xfId="69" applyFont="1" applyFill="1" applyBorder="1" applyAlignment="1">
      <alignment horizontal="center"/>
      <protection/>
    </xf>
    <xf numFmtId="164" fontId="13" fillId="0" borderId="0" xfId="69" applyNumberFormat="1" applyFont="1" applyBorder="1" applyAlignment="1" applyProtection="1">
      <alignment horizontal="center"/>
      <protection/>
    </xf>
    <xf numFmtId="1" fontId="13" fillId="0" borderId="0" xfId="69" applyNumberFormat="1" applyFont="1" applyBorder="1" applyAlignment="1" applyProtection="1" quotePrefix="1">
      <alignment horizontal="center"/>
      <protection/>
    </xf>
    <xf numFmtId="22" fontId="13" fillId="0" borderId="0" xfId="69" applyNumberFormat="1" applyFont="1" applyFill="1" applyBorder="1" applyAlignment="1">
      <alignment horizontal="center"/>
      <protection/>
    </xf>
    <xf numFmtId="22" fontId="13" fillId="0" borderId="0" xfId="69" applyNumberFormat="1" applyFont="1" applyFill="1" applyBorder="1" applyAlignment="1" applyProtection="1">
      <alignment horizontal="center"/>
      <protection/>
    </xf>
    <xf numFmtId="4" fontId="13" fillId="0" borderId="0" xfId="69" applyNumberFormat="1" applyFont="1" applyFill="1" applyBorder="1" applyAlignment="1" applyProtection="1">
      <alignment horizontal="center"/>
      <protection/>
    </xf>
    <xf numFmtId="3" fontId="13" fillId="0" borderId="0" xfId="69" applyNumberFormat="1" applyFont="1" applyFill="1" applyBorder="1" applyAlignment="1" applyProtection="1">
      <alignment horizontal="center"/>
      <protection/>
    </xf>
    <xf numFmtId="168" fontId="13" fillId="0" borderId="0" xfId="69" applyNumberFormat="1" applyFont="1" applyFill="1" applyBorder="1" applyAlignment="1" applyProtection="1">
      <alignment horizontal="center"/>
      <protection/>
    </xf>
    <xf numFmtId="168" fontId="13" fillId="0" borderId="0" xfId="69" applyNumberFormat="1" applyFont="1" applyBorder="1" applyAlignment="1" applyProtection="1">
      <alignment horizontal="center"/>
      <protection/>
    </xf>
    <xf numFmtId="168" fontId="13" fillId="0" borderId="0" xfId="69" applyNumberFormat="1" applyFont="1" applyBorder="1" applyAlignment="1" applyProtection="1">
      <alignment horizontal="centerContinuous"/>
      <protection/>
    </xf>
    <xf numFmtId="168" fontId="13" fillId="0" borderId="0" xfId="69" applyNumberFormat="1" applyFont="1" applyFill="1" applyBorder="1" applyAlignment="1">
      <alignment horizontal="center"/>
      <protection/>
    </xf>
    <xf numFmtId="8" fontId="79" fillId="0" borderId="21" xfId="54" applyNumberFormat="1" applyFont="1" applyFill="1" applyBorder="1" applyAlignment="1">
      <alignment horizontal="right"/>
    </xf>
    <xf numFmtId="0" fontId="70" fillId="40" borderId="21" xfId="69" applyFont="1" applyFill="1" applyBorder="1" applyAlignment="1">
      <alignment horizontal="center" vertical="center" wrapText="1"/>
      <protection/>
    </xf>
    <xf numFmtId="0" fontId="35" fillId="35" borderId="16" xfId="69" applyFont="1" applyFill="1" applyBorder="1" applyAlignment="1" applyProtection="1">
      <alignment horizontal="centerContinuous" vertical="center" wrapText="1"/>
      <protection/>
    </xf>
    <xf numFmtId="0" fontId="35" fillId="35" borderId="17" xfId="69" applyFont="1" applyFill="1" applyBorder="1" applyAlignment="1">
      <alignment horizontal="centerContinuous" vertical="center"/>
      <protection/>
    </xf>
    <xf numFmtId="0" fontId="62" fillId="34" borderId="21" xfId="69" applyFont="1" applyFill="1" applyBorder="1" applyAlignment="1">
      <alignment horizontal="center" vertical="center" wrapText="1"/>
      <protection/>
    </xf>
    <xf numFmtId="164" fontId="29" fillId="33" borderId="28" xfId="69" applyNumberFormat="1" applyFont="1" applyFill="1" applyBorder="1" applyAlignment="1" applyProtection="1">
      <alignment horizontal="center"/>
      <protection/>
    </xf>
    <xf numFmtId="0" fontId="74" fillId="40" borderId="23" xfId="69" applyFont="1" applyFill="1" applyBorder="1" applyAlignment="1" applyProtection="1">
      <alignment horizontal="center"/>
      <protection/>
    </xf>
    <xf numFmtId="168" fontId="51" fillId="35" borderId="24" xfId="69" applyNumberFormat="1" applyFont="1" applyFill="1" applyBorder="1" applyAlignment="1" applyProtection="1" quotePrefix="1">
      <alignment horizontal="center"/>
      <protection/>
    </xf>
    <xf numFmtId="168" fontId="51" fillId="35" borderId="26" xfId="69" applyNumberFormat="1" applyFont="1" applyFill="1" applyBorder="1" applyAlignment="1" applyProtection="1" quotePrefix="1">
      <alignment horizontal="center"/>
      <protection/>
    </xf>
    <xf numFmtId="168" fontId="65" fillId="34" borderId="23" xfId="69" applyNumberFormat="1" applyFont="1" applyFill="1" applyBorder="1" applyAlignment="1" applyProtection="1" quotePrefix="1">
      <alignment horizontal="center"/>
      <protection/>
    </xf>
    <xf numFmtId="0" fontId="13" fillId="0" borderId="27" xfId="69" applyFont="1" applyBorder="1" applyAlignment="1" applyProtection="1">
      <alignment horizontal="center"/>
      <protection/>
    </xf>
    <xf numFmtId="0" fontId="13" fillId="0" borderId="32" xfId="69" applyFont="1" applyBorder="1" applyAlignment="1" applyProtection="1">
      <alignment horizontal="center"/>
      <protection/>
    </xf>
    <xf numFmtId="22" fontId="13" fillId="0" borderId="30" xfId="69" applyNumberFormat="1" applyFont="1" applyBorder="1" applyAlignment="1" applyProtection="1">
      <alignment horizontal="center"/>
      <protection locked="0"/>
    </xf>
    <xf numFmtId="22" fontId="13" fillId="0" borderId="33" xfId="69" applyNumberFormat="1" applyFont="1" applyBorder="1" applyAlignment="1" applyProtection="1">
      <alignment horizontal="center"/>
      <protection locked="0"/>
    </xf>
    <xf numFmtId="2" fontId="74" fillId="40" borderId="28" xfId="69" applyNumberFormat="1" applyFont="1" applyFill="1" applyBorder="1" applyAlignment="1" applyProtection="1">
      <alignment horizontal="center"/>
      <protection/>
    </xf>
    <xf numFmtId="168" fontId="51" fillId="35" borderId="30" xfId="69" applyNumberFormat="1" applyFont="1" applyFill="1" applyBorder="1" applyAlignment="1" applyProtection="1" quotePrefix="1">
      <alignment horizontal="center"/>
      <protection/>
    </xf>
    <xf numFmtId="168" fontId="51" fillId="35" borderId="57" xfId="69" applyNumberFormat="1" applyFont="1" applyFill="1" applyBorder="1" applyAlignment="1" applyProtection="1" quotePrefix="1">
      <alignment horizontal="center"/>
      <protection/>
    </xf>
    <xf numFmtId="4" fontId="79" fillId="0" borderId="28" xfId="69" applyNumberFormat="1" applyFont="1" applyFill="1" applyBorder="1" applyAlignment="1">
      <alignment horizontal="right"/>
      <protection/>
    </xf>
    <xf numFmtId="0" fontId="29" fillId="0" borderId="0" xfId="69" applyFont="1" applyFill="1" applyBorder="1" applyAlignment="1">
      <alignment horizontal="center"/>
      <protection/>
    </xf>
    <xf numFmtId="0" fontId="29" fillId="0" borderId="0" xfId="69" applyFont="1" applyBorder="1" applyAlignment="1" applyProtection="1">
      <alignment horizontal="center"/>
      <protection/>
    </xf>
    <xf numFmtId="168" fontId="29" fillId="46" borderId="0" xfId="69" applyNumberFormat="1" applyFont="1" applyFill="1" applyBorder="1" applyAlignment="1" applyProtection="1" quotePrefix="1">
      <alignment horizontal="center"/>
      <protection/>
    </xf>
    <xf numFmtId="0" fontId="60" fillId="36" borderId="17" xfId="69" applyFont="1" applyFill="1" applyBorder="1" applyAlignment="1" applyProtection="1">
      <alignment horizontal="center" vertical="center"/>
      <protection/>
    </xf>
    <xf numFmtId="0" fontId="61" fillId="3" borderId="21" xfId="69" applyFont="1" applyFill="1" applyBorder="1" applyAlignment="1">
      <alignment horizontal="center" vertical="center" wrapText="1"/>
      <protection/>
    </xf>
    <xf numFmtId="0" fontId="34" fillId="42" borderId="16" xfId="69" applyFont="1" applyFill="1" applyBorder="1" applyAlignment="1" applyProtection="1">
      <alignment horizontal="centerContinuous" vertical="center" wrapText="1"/>
      <protection/>
    </xf>
    <xf numFmtId="0" fontId="34" fillId="42" borderId="17" xfId="69" applyFont="1" applyFill="1" applyBorder="1" applyAlignment="1">
      <alignment horizontal="centerContinuous" vertical="center"/>
      <protection/>
    </xf>
    <xf numFmtId="0" fontId="70" fillId="40" borderId="16" xfId="69" applyFont="1" applyFill="1" applyBorder="1" applyAlignment="1" applyProtection="1">
      <alignment horizontal="centerContinuous" vertical="center" wrapText="1"/>
      <protection/>
    </xf>
    <xf numFmtId="0" fontId="70" fillId="40" borderId="17" xfId="69" applyFont="1" applyFill="1" applyBorder="1" applyAlignment="1">
      <alignment horizontal="centerContinuous" vertical="center"/>
      <protection/>
    </xf>
    <xf numFmtId="0" fontId="37" fillId="35" borderId="21" xfId="69" applyFont="1" applyFill="1" applyBorder="1" applyAlignment="1">
      <alignment horizontal="center" vertical="center" wrapText="1"/>
      <protection/>
    </xf>
    <xf numFmtId="0" fontId="69" fillId="35" borderId="21" xfId="69" applyFont="1" applyFill="1" applyBorder="1" applyAlignment="1">
      <alignment horizontal="center" vertical="center" wrapText="1"/>
      <protection/>
    </xf>
    <xf numFmtId="0" fontId="61" fillId="0" borderId="21" xfId="69" applyFont="1" applyFill="1" applyBorder="1" applyAlignment="1">
      <alignment horizontal="center" vertical="center" wrapText="1"/>
      <protection/>
    </xf>
    <xf numFmtId="4" fontId="21" fillId="0" borderId="15" xfId="69" applyNumberFormat="1" applyFont="1" applyFill="1" applyBorder="1" applyAlignment="1">
      <alignment horizontal="center"/>
      <protection/>
    </xf>
    <xf numFmtId="0" fontId="13" fillId="0" borderId="43" xfId="69" applyFont="1" applyFill="1" applyBorder="1" applyAlignment="1">
      <alignment horizontal="center"/>
      <protection/>
    </xf>
    <xf numFmtId="0" fontId="13" fillId="0" borderId="59" xfId="69" applyFont="1" applyBorder="1" applyAlignment="1">
      <alignment horizontal="center"/>
      <protection/>
    </xf>
    <xf numFmtId="0" fontId="63" fillId="36" borderId="35" xfId="69" applyFont="1" applyFill="1" applyBorder="1" applyAlignment="1">
      <alignment horizontal="center"/>
      <protection/>
    </xf>
    <xf numFmtId="0" fontId="13" fillId="0" borderId="60" xfId="69" applyFont="1" applyBorder="1" applyAlignment="1">
      <alignment horizontal="center"/>
      <protection/>
    </xf>
    <xf numFmtId="0" fontId="13" fillId="0" borderId="35" xfId="69" applyFont="1" applyBorder="1" applyAlignment="1">
      <alignment horizontal="center"/>
      <protection/>
    </xf>
    <xf numFmtId="0" fontId="13" fillId="0" borderId="28" xfId="69" applyFont="1" applyBorder="1">
      <alignment/>
      <protection/>
    </xf>
    <xf numFmtId="0" fontId="63" fillId="36" borderId="0" xfId="69" applyFont="1" applyFill="1" applyBorder="1" applyAlignment="1">
      <alignment horizontal="center"/>
      <protection/>
    </xf>
    <xf numFmtId="0" fontId="82" fillId="3" borderId="43" xfId="69" applyFont="1" applyFill="1" applyBorder="1" applyAlignment="1">
      <alignment horizontal="center"/>
      <protection/>
    </xf>
    <xf numFmtId="0" fontId="50" fillId="42" borderId="24" xfId="69" applyFont="1" applyFill="1" applyBorder="1" applyAlignment="1">
      <alignment horizontal="center"/>
      <protection/>
    </xf>
    <xf numFmtId="0" fontId="50" fillId="42" borderId="26" xfId="69" applyFont="1" applyFill="1" applyBorder="1" applyAlignment="1">
      <alignment horizontal="center"/>
      <protection/>
    </xf>
    <xf numFmtId="0" fontId="74" fillId="40" borderId="45" xfId="69" applyFont="1" applyFill="1" applyBorder="1" applyAlignment="1">
      <alignment horizontal="center"/>
      <protection/>
    </xf>
    <xf numFmtId="0" fontId="74" fillId="40" borderId="46" xfId="69" applyFont="1" applyFill="1" applyBorder="1" applyAlignment="1">
      <alignment horizontal="center"/>
      <protection/>
    </xf>
    <xf numFmtId="0" fontId="53" fillId="35" borderId="43" xfId="69" applyFont="1" applyFill="1" applyBorder="1" applyAlignment="1">
      <alignment horizontal="center"/>
      <protection/>
    </xf>
    <xf numFmtId="0" fontId="13" fillId="0" borderId="43" xfId="69" applyFont="1" applyBorder="1" applyAlignment="1">
      <alignment horizontal="center"/>
      <protection/>
    </xf>
    <xf numFmtId="7" fontId="79" fillId="0" borderId="43" xfId="69" applyNumberFormat="1" applyFont="1" applyFill="1" applyBorder="1" applyAlignment="1">
      <alignment horizontal="center"/>
      <protection/>
    </xf>
    <xf numFmtId="0" fontId="76" fillId="0" borderId="32" xfId="69" applyFont="1" applyBorder="1" applyAlignment="1" applyProtection="1">
      <alignment horizontal="center"/>
      <protection/>
    </xf>
    <xf numFmtId="0" fontId="76" fillId="0" borderId="61" xfId="69" applyFont="1" applyBorder="1" applyAlignment="1" applyProtection="1">
      <alignment horizontal="center"/>
      <protection/>
    </xf>
    <xf numFmtId="168" fontId="63" fillId="36" borderId="27" xfId="69" applyNumberFormat="1" applyFont="1" applyFill="1" applyBorder="1" applyAlignment="1" applyProtection="1">
      <alignment horizontal="center"/>
      <protection/>
    </xf>
    <xf numFmtId="22" fontId="13" fillId="0" borderId="48" xfId="69" applyNumberFormat="1" applyFont="1" applyBorder="1" applyAlignment="1">
      <alignment horizontal="center"/>
      <protection/>
    </xf>
    <xf numFmtId="22" fontId="13" fillId="0" borderId="61" xfId="69" applyNumberFormat="1" applyFont="1" applyBorder="1" applyAlignment="1" applyProtection="1">
      <alignment horizontal="center"/>
      <protection/>
    </xf>
    <xf numFmtId="2" fontId="13" fillId="0" borderId="27" xfId="69" applyNumberFormat="1" applyFont="1" applyFill="1" applyBorder="1" applyAlignment="1" applyProtection="1" quotePrefix="1">
      <alignment horizontal="center"/>
      <protection/>
    </xf>
    <xf numFmtId="164" fontId="13" fillId="0" borderId="27" xfId="69" applyNumberFormat="1" applyFont="1" applyFill="1" applyBorder="1" applyAlignment="1" applyProtection="1" quotePrefix="1">
      <alignment horizontal="center"/>
      <protection/>
    </xf>
    <xf numFmtId="0" fontId="13" fillId="0" borderId="29" xfId="69" applyFont="1" applyBorder="1">
      <alignment/>
      <protection/>
    </xf>
    <xf numFmtId="164" fontId="63" fillId="36" borderId="32" xfId="69" applyNumberFormat="1" applyFont="1" applyFill="1" applyBorder="1" applyAlignment="1" applyProtection="1">
      <alignment horizontal="center"/>
      <protection/>
    </xf>
    <xf numFmtId="2" fontId="82" fillId="3" borderId="27" xfId="69" applyNumberFormat="1" applyFont="1" applyFill="1" applyBorder="1" applyAlignment="1">
      <alignment horizontal="center"/>
      <protection/>
    </xf>
    <xf numFmtId="168" fontId="50" fillId="42" borderId="48" xfId="69" applyNumberFormat="1" applyFont="1" applyFill="1" applyBorder="1" applyAlignment="1" applyProtection="1" quotePrefix="1">
      <alignment horizontal="center"/>
      <protection/>
    </xf>
    <xf numFmtId="168" fontId="50" fillId="42" borderId="49" xfId="69" applyNumberFormat="1" applyFont="1" applyFill="1" applyBorder="1" applyAlignment="1" applyProtection="1" quotePrefix="1">
      <alignment horizontal="center"/>
      <protection/>
    </xf>
    <xf numFmtId="0" fontId="74" fillId="40" borderId="48" xfId="69" applyFont="1" applyFill="1" applyBorder="1" applyAlignment="1">
      <alignment horizontal="center"/>
      <protection/>
    </xf>
    <xf numFmtId="0" fontId="74" fillId="40" borderId="49" xfId="69" applyFont="1" applyFill="1" applyBorder="1" applyAlignment="1">
      <alignment horizontal="center"/>
      <protection/>
    </xf>
    <xf numFmtId="168" fontId="53" fillId="35" borderId="27" xfId="69" applyNumberFormat="1" applyFont="1" applyFill="1" applyBorder="1" applyAlignment="1" applyProtection="1" quotePrefix="1">
      <alignment horizontal="center"/>
      <protection/>
    </xf>
    <xf numFmtId="168" fontId="13" fillId="0" borderId="27" xfId="69" applyNumberFormat="1" applyFont="1" applyBorder="1" applyAlignment="1" applyProtection="1">
      <alignment horizontal="center"/>
      <protection/>
    </xf>
    <xf numFmtId="168" fontId="79" fillId="0" borderId="27" xfId="69" applyNumberFormat="1" applyFont="1" applyFill="1" applyBorder="1" applyAlignment="1">
      <alignment horizontal="center"/>
      <protection/>
    </xf>
    <xf numFmtId="0" fontId="76" fillId="0" borderId="62" xfId="69" applyFont="1" applyBorder="1" applyAlignment="1" applyProtection="1">
      <alignment horizontal="center"/>
      <protection locked="0"/>
    </xf>
    <xf numFmtId="0" fontId="76" fillId="0" borderId="33" xfId="69" applyFont="1" applyBorder="1" applyAlignment="1" applyProtection="1">
      <alignment horizontal="center"/>
      <protection locked="0"/>
    </xf>
    <xf numFmtId="174" fontId="63" fillId="36" borderId="28" xfId="69" applyNumberFormat="1" applyFont="1" applyFill="1" applyBorder="1" applyAlignment="1" applyProtection="1">
      <alignment horizontal="center"/>
      <protection/>
    </xf>
    <xf numFmtId="2" fontId="13" fillId="0" borderId="28" xfId="69" applyNumberFormat="1" applyFont="1" applyFill="1" applyBorder="1" applyAlignment="1" applyProtection="1" quotePrefix="1">
      <alignment horizontal="center"/>
      <protection/>
    </xf>
    <xf numFmtId="168" fontId="13" fillId="0" borderId="29" xfId="69" applyNumberFormat="1" applyFont="1" applyBorder="1" applyAlignment="1" applyProtection="1">
      <alignment horizontal="center"/>
      <protection locked="0"/>
    </xf>
    <xf numFmtId="164" fontId="63" fillId="36" borderId="62" xfId="69" applyNumberFormat="1" applyFont="1" applyFill="1" applyBorder="1" applyAlignment="1" applyProtection="1">
      <alignment horizontal="center"/>
      <protection/>
    </xf>
    <xf numFmtId="2" fontId="82" fillId="3" borderId="28" xfId="69" applyNumberFormat="1" applyFont="1" applyFill="1" applyBorder="1" applyAlignment="1" applyProtection="1">
      <alignment horizontal="center"/>
      <protection/>
    </xf>
    <xf numFmtId="168" fontId="74" fillId="40" borderId="48" xfId="69" applyNumberFormat="1" applyFont="1" applyFill="1" applyBorder="1" applyAlignment="1" applyProtection="1" quotePrefix="1">
      <alignment horizontal="center"/>
      <protection/>
    </xf>
    <xf numFmtId="168" fontId="74" fillId="40" borderId="49" xfId="69" applyNumberFormat="1" applyFont="1" applyFill="1" applyBorder="1" applyAlignment="1" applyProtection="1" quotePrefix="1">
      <alignment horizontal="center"/>
      <protection/>
    </xf>
    <xf numFmtId="2" fontId="73" fillId="35" borderId="28" xfId="69" applyNumberFormat="1" applyFont="1" applyFill="1" applyBorder="1" applyAlignment="1" applyProtection="1">
      <alignment horizontal="center"/>
      <protection/>
    </xf>
    <xf numFmtId="0" fontId="13" fillId="0" borderId="34" xfId="69" applyFont="1" applyFill="1" applyBorder="1" applyAlignment="1">
      <alignment horizontal="center"/>
      <protection/>
    </xf>
    <xf numFmtId="0" fontId="76" fillId="0" borderId="64" xfId="69" applyFont="1" applyBorder="1" applyAlignment="1" applyProtection="1">
      <alignment horizontal="center"/>
      <protection locked="0"/>
    </xf>
    <xf numFmtId="0" fontId="76" fillId="0" borderId="58" xfId="69" applyFont="1" applyBorder="1" applyAlignment="1" applyProtection="1">
      <alignment horizontal="center"/>
      <protection locked="0"/>
    </xf>
    <xf numFmtId="22" fontId="13" fillId="0" borderId="37" xfId="69" applyNumberFormat="1" applyFont="1" applyBorder="1" applyAlignment="1" applyProtection="1">
      <alignment horizontal="center"/>
      <protection locked="0"/>
    </xf>
    <xf numFmtId="22" fontId="13" fillId="0" borderId="58" xfId="69" applyNumberFormat="1" applyFont="1" applyBorder="1" applyAlignment="1" applyProtection="1">
      <alignment horizontal="center"/>
      <protection locked="0"/>
    </xf>
    <xf numFmtId="2" fontId="13" fillId="0" borderId="36" xfId="69" applyNumberFormat="1" applyFont="1" applyFill="1" applyBorder="1" applyAlignment="1" applyProtection="1" quotePrefix="1">
      <alignment horizontal="center"/>
      <protection/>
    </xf>
    <xf numFmtId="164" fontId="13" fillId="0" borderId="36" xfId="69" applyNumberFormat="1" applyFont="1" applyFill="1" applyBorder="1" applyAlignment="1" applyProtection="1" quotePrefix="1">
      <alignment horizontal="center"/>
      <protection/>
    </xf>
    <xf numFmtId="168" fontId="13" fillId="0" borderId="50" xfId="69" applyNumberFormat="1" applyFont="1" applyBorder="1" applyAlignment="1" applyProtection="1">
      <alignment horizontal="center"/>
      <protection locked="0"/>
    </xf>
    <xf numFmtId="173" fontId="13" fillId="0" borderId="50" xfId="69" applyNumberFormat="1" applyFont="1" applyBorder="1" applyAlignment="1" applyProtection="1" quotePrefix="1">
      <alignment horizontal="center"/>
      <protection/>
    </xf>
    <xf numFmtId="164" fontId="63" fillId="36" borderId="64" xfId="69" applyNumberFormat="1" applyFont="1" applyFill="1" applyBorder="1" applyAlignment="1" applyProtection="1">
      <alignment horizontal="center"/>
      <protection/>
    </xf>
    <xf numFmtId="2" fontId="82" fillId="3" borderId="36" xfId="69" applyNumberFormat="1" applyFont="1" applyFill="1" applyBorder="1" applyAlignment="1" applyProtection="1">
      <alignment horizontal="center"/>
      <protection/>
    </xf>
    <xf numFmtId="168" fontId="50" fillId="42" borderId="51" xfId="69" applyNumberFormat="1" applyFont="1" applyFill="1" applyBorder="1" applyAlignment="1" applyProtection="1" quotePrefix="1">
      <alignment horizontal="center"/>
      <protection/>
    </xf>
    <xf numFmtId="168" fontId="50" fillId="42" borderId="52" xfId="69" applyNumberFormat="1" applyFont="1" applyFill="1" applyBorder="1" applyAlignment="1" applyProtection="1" quotePrefix="1">
      <alignment horizontal="center"/>
      <protection/>
    </xf>
    <xf numFmtId="168" fontId="74" fillId="40" borderId="51" xfId="69" applyNumberFormat="1" applyFont="1" applyFill="1" applyBorder="1" applyAlignment="1" applyProtection="1" quotePrefix="1">
      <alignment horizontal="center"/>
      <protection/>
    </xf>
    <xf numFmtId="168" fontId="74" fillId="40" borderId="52" xfId="69" applyNumberFormat="1" applyFont="1" applyFill="1" applyBorder="1" applyAlignment="1" applyProtection="1" quotePrefix="1">
      <alignment horizontal="center"/>
      <protection/>
    </xf>
    <xf numFmtId="168" fontId="53" fillId="35" borderId="34" xfId="69" applyNumberFormat="1" applyFont="1" applyFill="1" applyBorder="1" applyAlignment="1" applyProtection="1" quotePrefix="1">
      <alignment horizontal="center"/>
      <protection/>
    </xf>
    <xf numFmtId="2" fontId="73" fillId="35" borderId="36" xfId="69" applyNumberFormat="1" applyFont="1" applyFill="1" applyBorder="1" applyAlignment="1" applyProtection="1">
      <alignment horizontal="center"/>
      <protection/>
    </xf>
    <xf numFmtId="4" fontId="79" fillId="0" borderId="36" xfId="69" applyNumberFormat="1" applyFont="1" applyFill="1" applyBorder="1" applyAlignment="1">
      <alignment horizontal="right"/>
      <protection/>
    </xf>
    <xf numFmtId="168" fontId="13" fillId="0" borderId="0" xfId="69" applyNumberFormat="1" applyFont="1" applyBorder="1" applyAlignment="1" applyProtection="1" quotePrefix="1">
      <alignment horizontal="center"/>
      <protection/>
    </xf>
    <xf numFmtId="164" fontId="13" fillId="0" borderId="0" xfId="69" applyNumberFormat="1" applyFont="1" applyFill="1" applyBorder="1" applyAlignment="1" applyProtection="1">
      <alignment horizontal="center"/>
      <protection/>
    </xf>
    <xf numFmtId="2" fontId="59" fillId="0" borderId="0" xfId="69" applyNumberFormat="1" applyFont="1" applyFill="1" applyBorder="1" applyAlignment="1">
      <alignment horizontal="center"/>
      <protection/>
    </xf>
    <xf numFmtId="168" fontId="49" fillId="0" borderId="0" xfId="69" applyNumberFormat="1" applyFont="1" applyFill="1" applyBorder="1" applyAlignment="1" applyProtection="1" quotePrefix="1">
      <alignment horizontal="center"/>
      <protection/>
    </xf>
    <xf numFmtId="8" fontId="79" fillId="0" borderId="0" xfId="54" applyNumberFormat="1" applyFont="1" applyFill="1" applyBorder="1" applyAlignment="1">
      <alignment horizontal="right"/>
    </xf>
    <xf numFmtId="168" fontId="13" fillId="0" borderId="0" xfId="69" applyNumberFormat="1" applyFont="1" applyBorder="1" applyAlignment="1" applyProtection="1" quotePrefix="1">
      <alignment horizontal="centerContinuous"/>
      <protection/>
    </xf>
    <xf numFmtId="4" fontId="79" fillId="0" borderId="0" xfId="69" applyNumberFormat="1" applyFont="1" applyFill="1" applyBorder="1" applyAlignment="1">
      <alignment horizontal="right"/>
      <protection/>
    </xf>
    <xf numFmtId="2" fontId="96" fillId="0" borderId="0" xfId="69" applyNumberFormat="1" applyFont="1" applyBorder="1" applyAlignment="1" applyProtection="1">
      <alignment horizontal="left"/>
      <protection/>
    </xf>
    <xf numFmtId="168" fontId="96" fillId="0" borderId="0" xfId="69" applyNumberFormat="1" applyFont="1" applyBorder="1" applyAlignment="1" applyProtection="1">
      <alignment horizontal="center"/>
      <protection/>
    </xf>
    <xf numFmtId="0" fontId="96" fillId="0" borderId="0" xfId="69" applyFont="1" applyBorder="1" applyAlignment="1" applyProtection="1">
      <alignment horizontal="center"/>
      <protection/>
    </xf>
    <xf numFmtId="165" fontId="96" fillId="0" borderId="0" xfId="69" applyNumberFormat="1" applyFont="1" applyBorder="1" applyAlignment="1" applyProtection="1">
      <alignment horizontal="center"/>
      <protection/>
    </xf>
    <xf numFmtId="0" fontId="97" fillId="0" borderId="0" xfId="69" applyFont="1">
      <alignment/>
      <protection/>
    </xf>
    <xf numFmtId="173" fontId="96" fillId="0" borderId="0" xfId="69" applyNumberFormat="1" applyFont="1" applyBorder="1" applyAlignment="1" applyProtection="1" quotePrefix="1">
      <alignment horizontal="center"/>
      <protection/>
    </xf>
    <xf numFmtId="0" fontId="96" fillId="0" borderId="0" xfId="69" applyFont="1">
      <alignment/>
      <protection/>
    </xf>
    <xf numFmtId="2" fontId="96" fillId="0" borderId="0" xfId="69" applyNumberFormat="1" applyFont="1" applyBorder="1" applyAlignment="1" applyProtection="1">
      <alignment horizontal="center"/>
      <protection/>
    </xf>
    <xf numFmtId="168" fontId="96" fillId="0" borderId="0" xfId="69" applyNumberFormat="1" applyFont="1" applyBorder="1" applyAlignment="1" applyProtection="1" quotePrefix="1">
      <alignment horizontal="center"/>
      <protection/>
    </xf>
    <xf numFmtId="0" fontId="4" fillId="0" borderId="0" xfId="69" applyFont="1" applyBorder="1" applyAlignment="1">
      <alignment horizontal="center"/>
      <protection/>
    </xf>
    <xf numFmtId="2" fontId="98" fillId="0" borderId="0" xfId="69" applyNumberFormat="1" applyFont="1" applyBorder="1" applyAlignment="1" applyProtection="1">
      <alignment horizontal="left"/>
      <protection/>
    </xf>
    <xf numFmtId="0" fontId="21" fillId="0" borderId="0" xfId="69" applyFont="1" applyAlignment="1">
      <alignment horizontal="center"/>
      <protection/>
    </xf>
    <xf numFmtId="173" fontId="4" fillId="0" borderId="0" xfId="69" applyNumberFormat="1" applyFont="1" applyBorder="1" applyAlignment="1" applyProtection="1">
      <alignment horizontal="left"/>
      <protection/>
    </xf>
    <xf numFmtId="168" fontId="4" fillId="0" borderId="0" xfId="69" applyNumberFormat="1" applyFont="1" applyBorder="1" applyAlignment="1" applyProtection="1">
      <alignment horizontal="left"/>
      <protection/>
    </xf>
    <xf numFmtId="4" fontId="93" fillId="0" borderId="0" xfId="69" applyNumberFormat="1" applyFont="1" applyBorder="1" applyAlignment="1" applyProtection="1">
      <alignment horizontal="center"/>
      <protection/>
    </xf>
    <xf numFmtId="7" fontId="4" fillId="0" borderId="0" xfId="69" applyNumberFormat="1" applyFont="1" applyBorder="1" applyAlignment="1">
      <alignment horizontal="centerContinuous"/>
      <protection/>
    </xf>
    <xf numFmtId="1" fontId="21" fillId="0" borderId="0" xfId="69" applyNumberFormat="1" applyFont="1" applyBorder="1" applyAlignment="1" applyProtection="1">
      <alignment horizontal="center"/>
      <protection/>
    </xf>
    <xf numFmtId="183" fontId="96" fillId="0" borderId="0" xfId="69" applyNumberFormat="1" applyFont="1" applyBorder="1" applyAlignment="1" applyProtection="1">
      <alignment horizontal="centerContinuous"/>
      <protection/>
    </xf>
    <xf numFmtId="168" fontId="96" fillId="0" borderId="0" xfId="69" applyNumberFormat="1" applyFont="1" applyBorder="1" applyAlignment="1" applyProtection="1" quotePrefix="1">
      <alignment horizontal="left"/>
      <protection/>
    </xf>
    <xf numFmtId="168" fontId="21" fillId="0" borderId="0" xfId="69" applyNumberFormat="1" applyFont="1" applyBorder="1">
      <alignment/>
      <protection/>
    </xf>
    <xf numFmtId="7" fontId="21" fillId="0" borderId="0" xfId="69" applyNumberFormat="1" applyFont="1" applyBorder="1" applyAlignment="1">
      <alignment horizontal="centerContinuous"/>
      <protection/>
    </xf>
    <xf numFmtId="0" fontId="21" fillId="0" borderId="0" xfId="69" applyFont="1" applyAlignment="1">
      <alignment horizontal="centerContinuous"/>
      <protection/>
    </xf>
    <xf numFmtId="168" fontId="96" fillId="0" borderId="0" xfId="69" applyNumberFormat="1" applyFont="1" applyBorder="1" applyAlignment="1" applyProtection="1" quotePrefix="1">
      <alignment horizontal="right"/>
      <protection/>
    </xf>
    <xf numFmtId="0" fontId="100" fillId="0" borderId="0" xfId="69" applyFont="1" applyAlignment="1">
      <alignment vertical="center"/>
      <protection/>
    </xf>
    <xf numFmtId="168" fontId="93" fillId="0" borderId="0" xfId="69" applyNumberFormat="1" applyFont="1" applyBorder="1" applyAlignment="1" applyProtection="1" quotePrefix="1">
      <alignment horizontal="center"/>
      <protection/>
    </xf>
    <xf numFmtId="2" fontId="99" fillId="0" borderId="0" xfId="69" applyNumberFormat="1" applyFont="1" applyBorder="1" applyAlignment="1" applyProtection="1">
      <alignment horizontal="center"/>
      <protection/>
    </xf>
    <xf numFmtId="4" fontId="96" fillId="0" borderId="0" xfId="69" applyNumberFormat="1" applyFont="1" applyBorder="1" applyAlignment="1" applyProtection="1">
      <alignment horizontal="center"/>
      <protection/>
    </xf>
    <xf numFmtId="7" fontId="96" fillId="0" borderId="0" xfId="69" applyNumberFormat="1" applyFont="1" applyFill="1" applyBorder="1" applyAlignment="1">
      <alignment horizontal="center"/>
      <protection/>
    </xf>
    <xf numFmtId="183" fontId="3" fillId="0" borderId="0" xfId="69" applyNumberFormat="1">
      <alignment/>
      <protection/>
    </xf>
    <xf numFmtId="168" fontId="21" fillId="0" borderId="0" xfId="69" applyNumberFormat="1" applyFont="1" applyBorder="1" applyAlignment="1" applyProtection="1">
      <alignment horizontal="centerContinuous"/>
      <protection/>
    </xf>
    <xf numFmtId="4" fontId="3" fillId="0" borderId="0" xfId="69" applyNumberFormat="1">
      <alignment/>
      <protection/>
    </xf>
    <xf numFmtId="1" fontId="21" fillId="0" borderId="0" xfId="69" applyNumberFormat="1" applyFont="1" applyBorder="1" applyAlignment="1" applyProtection="1">
      <alignment horizontal="left"/>
      <protection/>
    </xf>
    <xf numFmtId="1" fontId="21" fillId="0" borderId="0" xfId="69" applyNumberFormat="1" applyFont="1" applyBorder="1" applyAlignment="1" applyProtection="1">
      <alignment horizontal="centerContinuous"/>
      <protection/>
    </xf>
    <xf numFmtId="0" fontId="21" fillId="0" borderId="0" xfId="62" applyFont="1">
      <alignment/>
      <protection/>
    </xf>
    <xf numFmtId="0" fontId="21" fillId="0" borderId="14" xfId="62" applyFont="1" applyBorder="1">
      <alignment/>
      <protection/>
    </xf>
    <xf numFmtId="0" fontId="21" fillId="0" borderId="0" xfId="62" applyFont="1" applyBorder="1" applyAlignment="1">
      <alignment horizontal="center"/>
      <protection/>
    </xf>
    <xf numFmtId="168" fontId="21" fillId="0" borderId="0" xfId="62" applyNumberFormat="1" applyFont="1" applyBorder="1" applyAlignment="1" applyProtection="1">
      <alignment horizontal="center"/>
      <protection/>
    </xf>
    <xf numFmtId="1" fontId="21" fillId="0" borderId="0" xfId="62" applyNumberFormat="1" applyFont="1" applyBorder="1" applyAlignment="1" applyProtection="1">
      <alignment horizontal="center"/>
      <protection/>
    </xf>
    <xf numFmtId="0" fontId="3" fillId="0" borderId="0" xfId="62" applyAlignment="1">
      <alignment horizontal="centerContinuous"/>
      <protection/>
    </xf>
    <xf numFmtId="173" fontId="4" fillId="0" borderId="0" xfId="62" applyNumberFormat="1" applyFont="1" applyBorder="1" applyAlignment="1" applyProtection="1">
      <alignment horizontal="left"/>
      <protection/>
    </xf>
    <xf numFmtId="0" fontId="3" fillId="0" borderId="0" xfId="62">
      <alignment/>
      <protection/>
    </xf>
    <xf numFmtId="183" fontId="96" fillId="0" borderId="0" xfId="62" applyNumberFormat="1" applyFont="1" applyBorder="1" applyAlignment="1" applyProtection="1">
      <alignment horizontal="centerContinuous"/>
      <protection/>
    </xf>
    <xf numFmtId="168" fontId="96" fillId="0" borderId="0" xfId="62" applyNumberFormat="1" applyFont="1" applyBorder="1" applyAlignment="1" applyProtection="1" quotePrefix="1">
      <alignment horizontal="left"/>
      <protection/>
    </xf>
    <xf numFmtId="4" fontId="96" fillId="0" borderId="0" xfId="62" applyNumberFormat="1" applyFont="1" applyBorder="1" applyAlignment="1" applyProtection="1">
      <alignment horizontal="center"/>
      <protection/>
    </xf>
    <xf numFmtId="0" fontId="3" fillId="0" borderId="0" xfId="62" applyBorder="1">
      <alignment/>
      <protection/>
    </xf>
    <xf numFmtId="7" fontId="96" fillId="0" borderId="0" xfId="62" applyNumberFormat="1" applyFont="1" applyFill="1" applyBorder="1" applyAlignment="1">
      <alignment horizontal="center"/>
      <protection/>
    </xf>
    <xf numFmtId="4" fontId="21" fillId="0" borderId="15" xfId="62" applyNumberFormat="1" applyFont="1" applyFill="1" applyBorder="1" applyAlignment="1">
      <alignment horizontal="center"/>
      <protection/>
    </xf>
    <xf numFmtId="1" fontId="21" fillId="0" borderId="0" xfId="62" applyNumberFormat="1" applyFont="1" applyBorder="1" applyAlignment="1" applyProtection="1">
      <alignment horizontal="centerContinuous"/>
      <protection/>
    </xf>
    <xf numFmtId="183" fontId="21" fillId="0" borderId="0" xfId="62" applyNumberFormat="1" applyFont="1" applyBorder="1" applyAlignment="1" applyProtection="1">
      <alignment horizontal="centerContinuous"/>
      <protection/>
    </xf>
    <xf numFmtId="7" fontId="21" fillId="0" borderId="0" xfId="69" applyNumberFormat="1" applyFont="1" applyBorder="1" applyAlignment="1">
      <alignment horizontal="right"/>
      <protection/>
    </xf>
    <xf numFmtId="7" fontId="21" fillId="0" borderId="100" xfId="69" applyNumberFormat="1" applyFont="1" applyBorder="1" applyAlignment="1">
      <alignment horizontal="center"/>
      <protection/>
    </xf>
    <xf numFmtId="168" fontId="22" fillId="0" borderId="0" xfId="69" applyNumberFormat="1" applyFont="1" applyBorder="1" applyAlignment="1" applyProtection="1">
      <alignment horizontal="left"/>
      <protection/>
    </xf>
    <xf numFmtId="10" fontId="21" fillId="0" borderId="0" xfId="69" applyNumberFormat="1" applyFont="1" applyBorder="1" applyAlignment="1" applyProtection="1">
      <alignment horizontal="center"/>
      <protection/>
    </xf>
    <xf numFmtId="7" fontId="21" fillId="0" borderId="0" xfId="69" applyNumberFormat="1" applyFont="1" applyAlignment="1">
      <alignment horizontal="right"/>
      <protection/>
    </xf>
    <xf numFmtId="0" fontId="21" fillId="0" borderId="0" xfId="69" applyFont="1" quotePrefix="1">
      <alignment/>
      <protection/>
    </xf>
    <xf numFmtId="168" fontId="21" fillId="0" borderId="0" xfId="69" applyNumberFormat="1" applyFont="1" applyBorder="1" applyAlignment="1" applyProtection="1" quotePrefix="1">
      <alignment horizontal="center"/>
      <protection/>
    </xf>
    <xf numFmtId="7" fontId="21" fillId="0" borderId="0" xfId="69" applyNumberFormat="1" applyFont="1" applyBorder="1" applyAlignment="1" applyProtection="1">
      <alignment horizontal="left"/>
      <protection/>
    </xf>
    <xf numFmtId="0" fontId="97" fillId="0" borderId="0" xfId="69" applyFont="1" quotePrefix="1">
      <alignment/>
      <protection/>
    </xf>
    <xf numFmtId="0" fontId="23" fillId="0" borderId="14" xfId="69" applyFont="1" applyBorder="1" applyAlignment="1">
      <alignment vertical="center"/>
      <protection/>
    </xf>
    <xf numFmtId="0" fontId="23" fillId="0" borderId="0" xfId="69" applyFont="1" applyBorder="1" applyAlignment="1">
      <alignment horizontal="center" vertical="center"/>
      <protection/>
    </xf>
    <xf numFmtId="168" fontId="23" fillId="0" borderId="0" xfId="69" applyNumberFormat="1" applyFont="1" applyBorder="1" applyAlignment="1" applyProtection="1">
      <alignment horizontal="left" vertical="center"/>
      <protection/>
    </xf>
    <xf numFmtId="0" fontId="100" fillId="0" borderId="0" xfId="69" applyFont="1" applyAlignment="1" quotePrefix="1">
      <alignment vertical="center"/>
      <protection/>
    </xf>
    <xf numFmtId="0" fontId="23" fillId="0" borderId="0" xfId="69" applyFont="1" applyBorder="1" applyAlignment="1" applyProtection="1">
      <alignment horizontal="center" vertical="center"/>
      <protection/>
    </xf>
    <xf numFmtId="165" fontId="23" fillId="0" borderId="0" xfId="69" applyNumberFormat="1" applyFont="1" applyBorder="1" applyAlignment="1" applyProtection="1">
      <alignment horizontal="center" vertical="center"/>
      <protection/>
    </xf>
    <xf numFmtId="4" fontId="10" fillId="0" borderId="16" xfId="69" applyNumberFormat="1" applyFont="1" applyBorder="1" applyAlignment="1" applyProtection="1">
      <alignment horizontal="center" vertical="center"/>
      <protection/>
    </xf>
    <xf numFmtId="7" fontId="101" fillId="0" borderId="17" xfId="69" applyNumberFormat="1" applyFont="1" applyFill="1" applyBorder="1" applyAlignment="1">
      <alignment horizontal="center" vertical="center"/>
      <protection/>
    </xf>
    <xf numFmtId="0" fontId="121" fillId="0" borderId="0" xfId="69" applyFont="1" applyBorder="1">
      <alignment/>
      <protection/>
    </xf>
    <xf numFmtId="168" fontId="122" fillId="0" borderId="0" xfId="69" applyNumberFormat="1" applyFont="1" applyBorder="1" applyAlignment="1" applyProtection="1">
      <alignment horizontal="left" vertical="center"/>
      <protection/>
    </xf>
    <xf numFmtId="168" fontId="23" fillId="0" borderId="0" xfId="69" applyNumberFormat="1" applyFont="1" applyBorder="1" applyAlignment="1" applyProtection="1">
      <alignment horizontal="center" vertical="center"/>
      <protection/>
    </xf>
    <xf numFmtId="2" fontId="102" fillId="0" borderId="0" xfId="69" applyNumberFormat="1" applyFont="1" applyBorder="1" applyAlignment="1" applyProtection="1">
      <alignment horizontal="center" vertical="center"/>
      <protection/>
    </xf>
    <xf numFmtId="168" fontId="103" fillId="0" borderId="0" xfId="69" applyNumberFormat="1" applyFont="1" applyBorder="1" applyAlignment="1" applyProtection="1" quotePrefix="1">
      <alignment horizontal="center" vertical="center"/>
      <protection/>
    </xf>
    <xf numFmtId="4" fontId="23" fillId="0" borderId="15" xfId="69" applyNumberFormat="1" applyFont="1" applyFill="1" applyBorder="1" applyAlignment="1">
      <alignment horizontal="center" vertical="center"/>
      <protection/>
    </xf>
    <xf numFmtId="0" fontId="21" fillId="0" borderId="18" xfId="69" applyFont="1" applyBorder="1">
      <alignment/>
      <protection/>
    </xf>
    <xf numFmtId="0" fontId="21" fillId="0" borderId="19" xfId="69" applyFont="1" applyBorder="1">
      <alignment/>
      <protection/>
    </xf>
    <xf numFmtId="0" fontId="3" fillId="0" borderId="19" xfId="69" applyBorder="1">
      <alignment/>
      <protection/>
    </xf>
    <xf numFmtId="0" fontId="21" fillId="0" borderId="20" xfId="69" applyFont="1" applyFill="1" applyBorder="1">
      <alignment/>
      <protection/>
    </xf>
    <xf numFmtId="0" fontId="13" fillId="0" borderId="0" xfId="69" applyFont="1" applyBorder="1" applyAlignment="1">
      <alignment horizontal="left"/>
      <protection/>
    </xf>
    <xf numFmtId="0" fontId="9" fillId="0" borderId="0" xfId="60" applyFont="1" applyAlignment="1">
      <alignment horizontal="center"/>
      <protection/>
    </xf>
    <xf numFmtId="0" fontId="13" fillId="0" borderId="101" xfId="65" applyFont="1" applyFill="1" applyBorder="1" applyAlignment="1">
      <alignment horizontal="center" vertical="center" textRotation="90"/>
      <protection/>
    </xf>
    <xf numFmtId="0" fontId="13" fillId="0" borderId="102" xfId="65" applyFont="1" applyFill="1" applyBorder="1" applyAlignment="1">
      <alignment horizontal="center" vertical="center" textRotation="90"/>
      <protection/>
    </xf>
    <xf numFmtId="0" fontId="13" fillId="0" borderId="103" xfId="65" applyFont="1" applyFill="1" applyBorder="1" applyAlignment="1">
      <alignment horizontal="center" vertical="center" textRotation="90"/>
      <protection/>
    </xf>
    <xf numFmtId="7" fontId="23" fillId="0" borderId="0" xfId="65" applyNumberFormat="1" applyFont="1" applyFill="1" applyBorder="1" applyAlignment="1" applyProtection="1">
      <alignment horizontal="right"/>
      <protection/>
    </xf>
    <xf numFmtId="0" fontId="30" fillId="0" borderId="16" xfId="67" applyFont="1" applyFill="1" applyBorder="1" applyAlignment="1" applyProtection="1" quotePrefix="1">
      <alignment horizontal="center" vertical="center" wrapText="1"/>
      <protection/>
    </xf>
    <xf numFmtId="0" fontId="30" fillId="0" borderId="17" xfId="67" applyFont="1" applyFill="1" applyBorder="1" applyAlignment="1" applyProtection="1" quotePrefix="1">
      <alignment horizontal="center" vertical="center" wrapText="1"/>
      <protection/>
    </xf>
    <xf numFmtId="0" fontId="13" fillId="0" borderId="66" xfId="67" applyFont="1" applyFill="1" applyBorder="1" applyAlignment="1">
      <alignment horizontal="center"/>
      <protection/>
    </xf>
    <xf numFmtId="0" fontId="13" fillId="0" borderId="56" xfId="67" applyFont="1" applyFill="1" applyBorder="1" applyAlignment="1">
      <alignment horizontal="center"/>
      <protection/>
    </xf>
    <xf numFmtId="164" fontId="13" fillId="0" borderId="61" xfId="67" applyNumberFormat="1" applyFont="1" applyBorder="1" applyAlignment="1" applyProtection="1">
      <alignment horizontal="center"/>
      <protection/>
    </xf>
    <xf numFmtId="164" fontId="13" fillId="0" borderId="47" xfId="67" applyNumberFormat="1" applyFont="1" applyBorder="1" applyAlignment="1" applyProtection="1">
      <alignment horizontal="center"/>
      <protection/>
    </xf>
    <xf numFmtId="164" fontId="13" fillId="0" borderId="70" xfId="67" applyNumberFormat="1" applyFont="1" applyBorder="1" applyAlignment="1" applyProtection="1">
      <alignment horizontal="center"/>
      <protection/>
    </xf>
    <xf numFmtId="164" fontId="13" fillId="0" borderId="71" xfId="67" applyNumberFormat="1" applyFont="1" applyBorder="1" applyAlignment="1" applyProtection="1">
      <alignment horizontal="center"/>
      <protection/>
    </xf>
    <xf numFmtId="165" fontId="13" fillId="0" borderId="61" xfId="67" applyNumberFormat="1" applyFont="1" applyBorder="1" applyAlignment="1" applyProtection="1">
      <alignment horizontal="center"/>
      <protection/>
    </xf>
    <xf numFmtId="165" fontId="13" fillId="0" borderId="47" xfId="67" applyNumberFormat="1" applyFont="1" applyBorder="1" applyAlignment="1" applyProtection="1">
      <alignment horizontal="center"/>
      <protection/>
    </xf>
    <xf numFmtId="168" fontId="13" fillId="0" borderId="70" xfId="67" applyNumberFormat="1" applyFont="1" applyBorder="1" applyAlignment="1" applyProtection="1">
      <alignment horizontal="center"/>
      <protection/>
    </xf>
    <xf numFmtId="168" fontId="13" fillId="0" borderId="71" xfId="67" applyNumberFormat="1" applyFont="1" applyBorder="1" applyAlignment="1" applyProtection="1">
      <alignment horizontal="center"/>
      <protection/>
    </xf>
    <xf numFmtId="0" fontId="30" fillId="0" borderId="16" xfId="67" applyFont="1" applyFill="1" applyBorder="1" applyAlignment="1" applyProtection="1">
      <alignment horizontal="center" vertical="center"/>
      <protection/>
    </xf>
    <xf numFmtId="0" fontId="30" fillId="0" borderId="17" xfId="67" applyFont="1" applyFill="1" applyBorder="1" applyAlignment="1" applyProtection="1">
      <alignment horizontal="center" vertical="center"/>
      <protection/>
    </xf>
    <xf numFmtId="0" fontId="30" fillId="0" borderId="16" xfId="67" applyFont="1" applyBorder="1" applyAlignment="1" applyProtection="1" quotePrefix="1">
      <alignment horizontal="center" vertical="center" wrapText="1"/>
      <protection/>
    </xf>
    <xf numFmtId="0" fontId="30" fillId="0" borderId="17" xfId="67" applyFont="1" applyBorder="1" applyAlignment="1" applyProtection="1" quotePrefix="1">
      <alignment horizontal="center" vertical="center" wrapText="1"/>
      <protection/>
    </xf>
    <xf numFmtId="0" fontId="30" fillId="0" borderId="16" xfId="67" applyFont="1" applyBorder="1" applyAlignment="1" applyProtection="1">
      <alignment horizontal="center" vertical="center"/>
      <protection/>
    </xf>
    <xf numFmtId="0" fontId="30" fillId="0" borderId="17" xfId="67" applyFont="1" applyBorder="1" applyAlignment="1" applyProtection="1">
      <alignment horizontal="center" vertical="center"/>
      <protection/>
    </xf>
    <xf numFmtId="0" fontId="76" fillId="0" borderId="61" xfId="67" applyFont="1" applyBorder="1" applyAlignment="1" applyProtection="1">
      <alignment horizontal="center"/>
      <protection locked="0"/>
    </xf>
    <xf numFmtId="0" fontId="76" fillId="0" borderId="47" xfId="67" applyFont="1" applyBorder="1" applyAlignment="1" applyProtection="1">
      <alignment horizontal="center"/>
      <protection locked="0"/>
    </xf>
    <xf numFmtId="168" fontId="13" fillId="0" borderId="61" xfId="67" applyNumberFormat="1" applyFont="1" applyBorder="1" applyAlignment="1" applyProtection="1">
      <alignment horizontal="center"/>
      <protection/>
    </xf>
    <xf numFmtId="168" fontId="13" fillId="0" borderId="47" xfId="67" applyNumberFormat="1" applyFont="1" applyBorder="1" applyAlignment="1" applyProtection="1">
      <alignment horizontal="center"/>
      <protection/>
    </xf>
    <xf numFmtId="0" fontId="21" fillId="0" borderId="0" xfId="62" applyFont="1" applyBorder="1" applyAlignment="1" applyProtection="1">
      <alignment horizontal="center"/>
      <protection/>
    </xf>
    <xf numFmtId="7" fontId="48" fillId="0" borderId="62" xfId="67" applyNumberFormat="1" applyFont="1" applyFill="1" applyBorder="1" applyAlignment="1">
      <alignment horizontal="center"/>
      <protection/>
    </xf>
    <xf numFmtId="7" fontId="48" fillId="0" borderId="0" xfId="67" applyNumberFormat="1" applyFont="1" applyFill="1" applyBorder="1" applyAlignment="1">
      <alignment horizontal="center"/>
      <protection/>
    </xf>
    <xf numFmtId="0" fontId="30" fillId="0" borderId="22" xfId="67" applyFont="1" applyBorder="1" applyAlignment="1" applyProtection="1">
      <alignment horizontal="center" vertical="center"/>
      <protection/>
    </xf>
    <xf numFmtId="0" fontId="76" fillId="0" borderId="61" xfId="67" applyFont="1" applyBorder="1" applyAlignment="1" applyProtection="1">
      <alignment horizontal="center"/>
      <protection/>
    </xf>
    <xf numFmtId="0" fontId="76" fillId="0" borderId="47" xfId="67" applyFont="1" applyBorder="1" applyAlignment="1" applyProtection="1">
      <alignment horizontal="center"/>
      <protection/>
    </xf>
    <xf numFmtId="0" fontId="76" fillId="0" borderId="66" xfId="67" applyFont="1" applyBorder="1" applyAlignment="1" applyProtection="1">
      <alignment horizontal="center"/>
      <protection/>
    </xf>
    <xf numFmtId="0" fontId="76" fillId="0" borderId="56" xfId="67" applyFont="1" applyBorder="1" applyAlignment="1" applyProtection="1">
      <alignment horizontal="center"/>
      <protection/>
    </xf>
    <xf numFmtId="0" fontId="76" fillId="0" borderId="70" xfId="67" applyFont="1" applyBorder="1" applyAlignment="1" applyProtection="1">
      <alignment horizontal="center"/>
      <protection/>
    </xf>
    <xf numFmtId="0" fontId="76" fillId="0" borderId="71" xfId="67" applyFont="1" applyBorder="1" applyAlignment="1" applyProtection="1">
      <alignment horizontal="center"/>
      <protection/>
    </xf>
    <xf numFmtId="173" fontId="4" fillId="0" borderId="0" xfId="67" applyNumberFormat="1" applyFont="1" applyBorder="1" applyAlignment="1" applyProtection="1">
      <alignment horizontal="center"/>
      <protection/>
    </xf>
    <xf numFmtId="168" fontId="13" fillId="0" borderId="61" xfId="69" applyNumberFormat="1" applyFont="1" applyBorder="1" applyAlignment="1" applyProtection="1">
      <alignment horizontal="center"/>
      <protection/>
    </xf>
    <xf numFmtId="168" fontId="13" fillId="0" borderId="47" xfId="69" applyNumberFormat="1" applyFont="1" applyBorder="1" applyAlignment="1" applyProtection="1">
      <alignment horizontal="center"/>
      <protection/>
    </xf>
    <xf numFmtId="0" fontId="76" fillId="0" borderId="61" xfId="69" applyFont="1" applyBorder="1" applyAlignment="1" applyProtection="1">
      <alignment horizontal="center"/>
      <protection locked="0"/>
    </xf>
    <xf numFmtId="0" fontId="76" fillId="0" borderId="47" xfId="69" applyFont="1" applyBorder="1" applyAlignment="1" applyProtection="1">
      <alignment horizontal="center"/>
      <protection locked="0"/>
    </xf>
    <xf numFmtId="0" fontId="13" fillId="0" borderId="66" xfId="69" applyFont="1" applyFill="1" applyBorder="1" applyAlignment="1">
      <alignment horizontal="center"/>
      <protection/>
    </xf>
    <xf numFmtId="0" fontId="13" fillId="0" borderId="56" xfId="69" applyFont="1" applyFill="1" applyBorder="1" applyAlignment="1">
      <alignment horizontal="center"/>
      <protection/>
    </xf>
    <xf numFmtId="168" fontId="13" fillId="0" borderId="70" xfId="69" applyNumberFormat="1" applyFont="1" applyBorder="1" applyAlignment="1" applyProtection="1">
      <alignment horizontal="center"/>
      <protection/>
    </xf>
    <xf numFmtId="168" fontId="13" fillId="0" borderId="71" xfId="69" applyNumberFormat="1" applyFont="1" applyBorder="1" applyAlignment="1" applyProtection="1">
      <alignment horizontal="center"/>
      <protection/>
    </xf>
    <xf numFmtId="0" fontId="30" fillId="0" borderId="16" xfId="69" applyFont="1" applyFill="1" applyBorder="1" applyAlignment="1" applyProtection="1">
      <alignment horizontal="center" vertical="center"/>
      <protection/>
    </xf>
    <xf numFmtId="0" fontId="30" fillId="0" borderId="22" xfId="69" applyFont="1" applyFill="1" applyBorder="1" applyAlignment="1" applyProtection="1">
      <alignment horizontal="center" vertical="center"/>
      <protection/>
    </xf>
    <xf numFmtId="0" fontId="30" fillId="0" borderId="17" xfId="69" applyFont="1" applyFill="1" applyBorder="1" applyAlignment="1" applyProtection="1">
      <alignment horizontal="center" vertical="center"/>
      <protection/>
    </xf>
    <xf numFmtId="0" fontId="13" fillId="0" borderId="82" xfId="69" applyFont="1" applyFill="1" applyBorder="1" applyAlignment="1">
      <alignment horizontal="center"/>
      <protection/>
    </xf>
    <xf numFmtId="168" fontId="13" fillId="0" borderId="69" xfId="69" applyNumberFormat="1" applyFont="1" applyBorder="1" applyAlignment="1" applyProtection="1">
      <alignment horizontal="center"/>
      <protection/>
    </xf>
    <xf numFmtId="183" fontId="21" fillId="0" borderId="0" xfId="69" applyNumberFormat="1" applyFont="1" applyBorder="1" applyAlignment="1" applyProtection="1">
      <alignment horizontal="center"/>
      <protection/>
    </xf>
    <xf numFmtId="0" fontId="3" fillId="0" borderId="0" xfId="69" applyAlignment="1">
      <alignment horizontal="center"/>
      <protection/>
    </xf>
    <xf numFmtId="0" fontId="30" fillId="0" borderId="16" xfId="69" applyFont="1" applyFill="1" applyBorder="1" applyAlignment="1" applyProtection="1" quotePrefix="1">
      <alignment horizontal="center" vertical="center" wrapText="1"/>
      <protection/>
    </xf>
    <xf numFmtId="0" fontId="30" fillId="0" borderId="17" xfId="69" applyFont="1" applyFill="1" applyBorder="1" applyAlignment="1" applyProtection="1" quotePrefix="1">
      <alignment horizontal="center" vertical="center" wrapText="1"/>
      <protection/>
    </xf>
    <xf numFmtId="164" fontId="13" fillId="0" borderId="61" xfId="69" applyNumberFormat="1" applyFont="1" applyBorder="1" applyAlignment="1" applyProtection="1">
      <alignment horizontal="center"/>
      <protection/>
    </xf>
    <xf numFmtId="164" fontId="13" fillId="0" borderId="47" xfId="69" applyNumberFormat="1" applyFont="1" applyBorder="1" applyAlignment="1" applyProtection="1">
      <alignment horizontal="center"/>
      <protection/>
    </xf>
    <xf numFmtId="0" fontId="30" fillId="0" borderId="16" xfId="69" applyFont="1" applyBorder="1" applyAlignment="1" applyProtection="1" quotePrefix="1">
      <alignment horizontal="center" vertical="center" wrapText="1"/>
      <protection/>
    </xf>
    <xf numFmtId="0" fontId="30" fillId="0" borderId="17" xfId="69" applyFont="1" applyBorder="1" applyAlignment="1" applyProtection="1" quotePrefix="1">
      <alignment horizontal="center" vertical="center" wrapText="1"/>
      <protection/>
    </xf>
    <xf numFmtId="0" fontId="13" fillId="0" borderId="66" xfId="69" applyFont="1" applyBorder="1" applyAlignment="1">
      <alignment horizontal="center"/>
      <protection/>
    </xf>
    <xf numFmtId="0" fontId="13" fillId="0" borderId="56" xfId="69" applyFont="1" applyBorder="1" applyAlignment="1">
      <alignment horizontal="center"/>
      <protection/>
    </xf>
    <xf numFmtId="168" fontId="13" fillId="0" borderId="61" xfId="69" applyNumberFormat="1" applyFont="1" applyBorder="1" applyAlignment="1" applyProtection="1" quotePrefix="1">
      <alignment horizontal="center"/>
      <protection/>
    </xf>
    <xf numFmtId="168" fontId="13" fillId="0" borderId="32" xfId="69" applyNumberFormat="1" applyFont="1" applyBorder="1" applyAlignment="1" applyProtection="1" quotePrefix="1">
      <alignment horizontal="center"/>
      <protection/>
    </xf>
    <xf numFmtId="168" fontId="13" fillId="0" borderId="47" xfId="69" applyNumberFormat="1" applyFont="1" applyBorder="1" applyAlignment="1" applyProtection="1" quotePrefix="1">
      <alignment horizontal="center"/>
      <protection/>
    </xf>
    <xf numFmtId="0" fontId="3" fillId="0" borderId="0" xfId="69" applyAlignment="1">
      <alignment/>
      <protection/>
    </xf>
    <xf numFmtId="164" fontId="13" fillId="0" borderId="70" xfId="69" applyNumberFormat="1" applyFont="1" applyBorder="1" applyAlignment="1" applyProtection="1">
      <alignment horizontal="center"/>
      <protection/>
    </xf>
    <xf numFmtId="164" fontId="13" fillId="0" borderId="71" xfId="69" applyNumberFormat="1" applyFont="1" applyBorder="1" applyAlignment="1" applyProtection="1">
      <alignment horizontal="center"/>
      <protection/>
    </xf>
    <xf numFmtId="0" fontId="76" fillId="0" borderId="61" xfId="69" applyFont="1" applyBorder="1" applyAlignment="1" applyProtection="1">
      <alignment horizontal="center"/>
      <protection/>
    </xf>
    <xf numFmtId="0" fontId="76" fillId="0" borderId="47" xfId="69" applyFont="1" applyBorder="1" applyAlignment="1" applyProtection="1">
      <alignment horizontal="center"/>
      <protection/>
    </xf>
    <xf numFmtId="0" fontId="30" fillId="0" borderId="16" xfId="69" applyFont="1" applyBorder="1" applyAlignment="1" applyProtection="1">
      <alignment horizontal="center" vertical="center"/>
      <protection/>
    </xf>
    <xf numFmtId="0" fontId="30" fillId="0" borderId="17" xfId="69" applyFont="1" applyBorder="1" applyAlignment="1" applyProtection="1">
      <alignment horizontal="center" vertical="center"/>
      <protection/>
    </xf>
    <xf numFmtId="0" fontId="76" fillId="0" borderId="70" xfId="69" applyFont="1" applyBorder="1" applyAlignment="1" applyProtection="1">
      <alignment horizontal="center"/>
      <protection locked="0"/>
    </xf>
    <xf numFmtId="0" fontId="76" fillId="0" borderId="71" xfId="69" applyFont="1" applyBorder="1" applyAlignment="1" applyProtection="1">
      <alignment horizontal="center"/>
      <protection locked="0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F0911NER" xfId="53"/>
    <cellStyle name="Moneda_Transener_V8" xfId="54"/>
    <cellStyle name="Neutral" xfId="55"/>
    <cellStyle name="Normal 2" xfId="56"/>
    <cellStyle name="Normal_313_TEMPORAL" xfId="57"/>
    <cellStyle name="Normal_A0101 ANEXO I NEA" xfId="58"/>
    <cellStyle name="Normal_A0101 ANEXO I NEA_A0315NER Anexo IV" xfId="59"/>
    <cellStyle name="Normal_a0112NER Anexo I" xfId="60"/>
    <cellStyle name="Normal_EDENOR9604" xfId="61"/>
    <cellStyle name="Normal_F0911NER" xfId="62"/>
    <cellStyle name="Normal_F0911NER_A0914NER Anexo IV" xfId="63"/>
    <cellStyle name="Normal_líneas" xfId="64"/>
    <cellStyle name="Normal_TRANS" xfId="65"/>
    <cellStyle name="Normal_TRANS_A0315NER Anexo IV" xfId="66"/>
    <cellStyle name="Normal_Transener_V8" xfId="67"/>
    <cellStyle name="Normal_Transener_V8 2" xfId="68"/>
    <cellStyle name="Normal_Transener_V8_A0315NER Anexo IV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390525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323850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810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3</xdr:col>
      <xdr:colOff>419100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9525</xdr:rowOff>
    </xdr:from>
    <xdr:to>
      <xdr:col>1</xdr:col>
      <xdr:colOff>466725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9525</xdr:rowOff>
    </xdr:from>
    <xdr:to>
      <xdr:col>0</xdr:col>
      <xdr:colOff>1466850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3267075"/>
          <a:ext cx="2676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9525</xdr:rowOff>
    </xdr:from>
    <xdr:to>
      <xdr:col>0</xdr:col>
      <xdr:colOff>1457325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9525</xdr:rowOff>
    </xdr:from>
    <xdr:to>
      <xdr:col>0</xdr:col>
      <xdr:colOff>1371600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104775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628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28575</xdr:rowOff>
    </xdr:from>
    <xdr:to>
      <xdr:col>1</xdr:col>
      <xdr:colOff>57150</xdr:colOff>
      <xdr:row>1</xdr:row>
      <xdr:rowOff>238125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4953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2</xdr:col>
      <xdr:colOff>295275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143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457200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"/>
          <a:ext cx="6286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3</xdr:col>
      <xdr:colOff>323850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6191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0</xdr:rowOff>
    </xdr:from>
    <xdr:to>
      <xdr:col>3</xdr:col>
      <xdr:colOff>428625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419100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Grafico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EE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DY23">
            <v>1</v>
          </cell>
          <cell r="EA23">
            <v>1</v>
          </cell>
          <cell r="EG23">
            <v>1</v>
          </cell>
          <cell r="EI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EC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EJ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DZ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EJ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DY46" t="str">
            <v>XXXX</v>
          </cell>
          <cell r="DZ46" t="str">
            <v>XXXX</v>
          </cell>
          <cell r="EA46" t="str">
            <v>XXXX</v>
          </cell>
          <cell r="EB46" t="str">
            <v>XXXX</v>
          </cell>
          <cell r="EC46" t="str">
            <v>XXXX</v>
          </cell>
          <cell r="ED46" t="str">
            <v>XXXX</v>
          </cell>
          <cell r="EE46" t="str">
            <v>XXXX</v>
          </cell>
          <cell r="EF46" t="str">
            <v>XXXX</v>
          </cell>
          <cell r="EG46" t="str">
            <v>XXXX</v>
          </cell>
          <cell r="EH46" t="str">
            <v>XXXX</v>
          </cell>
          <cell r="EI46" t="str">
            <v>XXXX</v>
          </cell>
          <cell r="EJ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EJ48">
            <v>2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DZ49">
            <v>1</v>
          </cell>
          <cell r="EF49">
            <v>2</v>
          </cell>
          <cell r="EJ49">
            <v>1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EH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DY54" t="str">
            <v>XXXX</v>
          </cell>
          <cell r="DZ54" t="str">
            <v>XXXX</v>
          </cell>
          <cell r="EA54" t="str">
            <v>XXXX</v>
          </cell>
          <cell r="EB54" t="str">
            <v>XXXX</v>
          </cell>
          <cell r="EC54" t="str">
            <v>XXXX</v>
          </cell>
          <cell r="ED54" t="str">
            <v>XXXX</v>
          </cell>
          <cell r="EE54" t="str">
            <v>XXXX</v>
          </cell>
          <cell r="EF54" t="str">
            <v>XXXX</v>
          </cell>
          <cell r="EG54" t="str">
            <v>XXXX</v>
          </cell>
          <cell r="EH54" t="str">
            <v>XXXX</v>
          </cell>
          <cell r="EI54" t="str">
            <v>XXXX</v>
          </cell>
          <cell r="EJ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DY57" t="str">
            <v>XXXX</v>
          </cell>
          <cell r="DZ57" t="str">
            <v>XXXX</v>
          </cell>
          <cell r="EA57" t="str">
            <v>XXXX</v>
          </cell>
          <cell r="EB57" t="str">
            <v>XXXX</v>
          </cell>
          <cell r="EC57" t="str">
            <v>XXXX</v>
          </cell>
          <cell r="ED57" t="str">
            <v>XXXX</v>
          </cell>
          <cell r="EE57" t="str">
            <v>XXXX</v>
          </cell>
          <cell r="EF57" t="str">
            <v>XXXX</v>
          </cell>
          <cell r="EG57" t="str">
            <v>XXXX</v>
          </cell>
          <cell r="EH57" t="str">
            <v>XXXX</v>
          </cell>
          <cell r="EI57" t="str">
            <v>XXXX</v>
          </cell>
          <cell r="EJ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ED58">
            <v>1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ED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EE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DY61" t="str">
            <v>XXXX</v>
          </cell>
          <cell r="DZ61" t="str">
            <v>XXXX</v>
          </cell>
          <cell r="EA61" t="str">
            <v>XXXX</v>
          </cell>
          <cell r="EB61" t="str">
            <v>XXXX</v>
          </cell>
          <cell r="EC61" t="str">
            <v>XXXX</v>
          </cell>
          <cell r="ED61" t="str">
            <v>XXXX</v>
          </cell>
          <cell r="EE61" t="str">
            <v>XXXX</v>
          </cell>
          <cell r="EF61" t="str">
            <v>XXXX</v>
          </cell>
          <cell r="EG61" t="str">
            <v>XXXX</v>
          </cell>
          <cell r="EH61" t="str">
            <v>XXXX</v>
          </cell>
          <cell r="EI61" t="str">
            <v>XXXX</v>
          </cell>
          <cell r="EJ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  <cell r="DY62">
            <v>1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EH67">
            <v>1</v>
          </cell>
          <cell r="EI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  <cell r="EH68">
            <v>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DY71">
            <v>1</v>
          </cell>
          <cell r="ED71">
            <v>1</v>
          </cell>
          <cell r="EI71">
            <v>2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ED73">
            <v>1</v>
          </cell>
          <cell r="EF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  <cell r="EI75">
            <v>1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  <cell r="DY79">
            <v>1</v>
          </cell>
          <cell r="EA79">
            <v>1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  <cell r="EB87">
            <v>1</v>
          </cell>
          <cell r="EJ87">
            <v>1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DY89" t="str">
            <v>XXXX</v>
          </cell>
          <cell r="DZ89" t="str">
            <v>XXXX</v>
          </cell>
          <cell r="EA89" t="str">
            <v>XXXX</v>
          </cell>
          <cell r="EB89" t="str">
            <v>XXXX</v>
          </cell>
          <cell r="EC89" t="str">
            <v>XXXX</v>
          </cell>
          <cell r="ED89" t="str">
            <v>XXXX</v>
          </cell>
          <cell r="EE89" t="str">
            <v>XXXX</v>
          </cell>
          <cell r="EF89" t="str">
            <v>XXXX</v>
          </cell>
          <cell r="EG89" t="str">
            <v>XXXX</v>
          </cell>
          <cell r="EH89" t="str">
            <v>XXXX</v>
          </cell>
          <cell r="EI89" t="str">
            <v>XXXX</v>
          </cell>
          <cell r="EJ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4">
          <cell r="DY104">
            <v>0.54</v>
          </cell>
          <cell r="DZ104">
            <v>0.54</v>
          </cell>
          <cell r="EA104">
            <v>0.52</v>
          </cell>
          <cell r="EB104">
            <v>0.47</v>
          </cell>
          <cell r="EC104">
            <v>0.43</v>
          </cell>
          <cell r="ED104">
            <v>0.36</v>
          </cell>
          <cell r="EE104">
            <v>0.37</v>
          </cell>
          <cell r="EF104">
            <v>0.36</v>
          </cell>
          <cell r="EG104">
            <v>0.34</v>
          </cell>
          <cell r="EH104">
            <v>0.34</v>
          </cell>
          <cell r="EI104">
            <v>0.34</v>
          </cell>
          <cell r="EJ104">
            <v>0.33</v>
          </cell>
          <cell r="EK104">
            <v>0.34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24.8515625" style="8" customWidth="1"/>
    <col min="8" max="8" width="21.7109375" style="8" customWidth="1"/>
    <col min="9" max="9" width="23.28125" style="8" customWidth="1"/>
    <col min="10" max="10" width="6.2812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350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0.25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0.25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266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182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>
      <c r="B16" s="43"/>
      <c r="C16" s="49" t="s">
        <v>4</v>
      </c>
      <c r="D16" s="45" t="s">
        <v>5</v>
      </c>
      <c r="E16" s="46"/>
      <c r="F16" s="47"/>
      <c r="G16" s="47"/>
      <c r="H16" s="47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49"/>
      <c r="D17" s="45">
        <v>11</v>
      </c>
      <c r="E17" s="51" t="s">
        <v>6</v>
      </c>
      <c r="F17" s="47"/>
      <c r="G17" s="47"/>
      <c r="H17" s="47"/>
      <c r="I17" s="50">
        <f>'LI-01 (1)'!AE43</f>
        <v>561965.23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49"/>
      <c r="D18" s="45"/>
      <c r="E18" s="51" t="s">
        <v>270</v>
      </c>
      <c r="F18" s="47"/>
      <c r="G18" s="47"/>
      <c r="H18" s="47"/>
      <c r="I18" s="50">
        <f>+Incendio!AD28</f>
        <v>461928.78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49"/>
      <c r="D19" s="45"/>
      <c r="E19" s="51" t="s">
        <v>304</v>
      </c>
      <c r="F19" s="47"/>
      <c r="G19" s="47"/>
      <c r="H19" s="47"/>
      <c r="I19" s="50">
        <f>+'Condición Climática 313-01'!AL26</f>
        <v>641.23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34" customFormat="1" ht="19.5">
      <c r="B20" s="43"/>
      <c r="C20" s="49"/>
      <c r="D20" s="45">
        <v>12</v>
      </c>
      <c r="E20" s="51" t="s">
        <v>8</v>
      </c>
      <c r="F20" s="47"/>
      <c r="G20" s="47"/>
      <c r="H20" s="47"/>
      <c r="I20" s="50">
        <f>'LI-INTESA2-01 (1)'!AE41</f>
        <v>23693.66</v>
      </c>
      <c r="J20" s="48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34" customFormat="1" ht="19.5">
      <c r="B21" s="43"/>
      <c r="C21" s="49"/>
      <c r="D21" s="45">
        <v>13</v>
      </c>
      <c r="E21" s="51" t="s">
        <v>10</v>
      </c>
      <c r="F21" s="47"/>
      <c r="G21" s="47"/>
      <c r="H21" s="47"/>
      <c r="I21" s="50">
        <f>'LI-LIMSA-01 (1)'!AE41</f>
        <v>12466.87</v>
      </c>
      <c r="J21" s="48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.75" customHeight="1">
      <c r="A22" s="34"/>
      <c r="B22" s="55"/>
      <c r="C22" s="56"/>
      <c r="D22" s="45"/>
      <c r="E22" s="57"/>
      <c r="F22" s="58"/>
      <c r="G22" s="58"/>
      <c r="H22" s="58"/>
      <c r="I22" s="59"/>
      <c r="J22" s="60"/>
      <c r="K22" s="42"/>
      <c r="L22" s="11"/>
      <c r="M22" s="11"/>
      <c r="N22" s="11"/>
      <c r="O22" s="11"/>
      <c r="P22" s="11"/>
      <c r="Q22" s="11"/>
      <c r="R22" s="11"/>
      <c r="S22" s="11"/>
    </row>
    <row r="23" spans="2:19" s="34" customFormat="1" ht="19.5">
      <c r="B23" s="43"/>
      <c r="C23" s="49" t="s">
        <v>11</v>
      </c>
      <c r="D23" s="61" t="s">
        <v>12</v>
      </c>
      <c r="E23" s="62"/>
      <c r="F23" s="53"/>
      <c r="G23" s="53"/>
      <c r="H23" s="53"/>
      <c r="I23" s="54"/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34" customFormat="1" ht="19.5">
      <c r="B24" s="43"/>
      <c r="C24" s="49"/>
      <c r="D24" s="45">
        <v>21</v>
      </c>
      <c r="E24" s="52" t="s">
        <v>13</v>
      </c>
      <c r="F24" s="53"/>
      <c r="G24" s="53"/>
      <c r="H24" s="53"/>
      <c r="I24" s="54"/>
      <c r="J24" s="48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4" customFormat="1" ht="19.5">
      <c r="B25" s="43"/>
      <c r="C25" s="49"/>
      <c r="D25" s="45"/>
      <c r="E25" s="63">
        <v>211</v>
      </c>
      <c r="F25" s="64" t="s">
        <v>6</v>
      </c>
      <c r="G25" s="53"/>
      <c r="H25" s="53"/>
      <c r="I25" s="54">
        <f>'TR-01 (1)'!AC43</f>
        <v>119152.07</v>
      </c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>
      <c r="B26" s="43"/>
      <c r="C26" s="49"/>
      <c r="D26" s="45"/>
      <c r="E26" s="63">
        <v>212</v>
      </c>
      <c r="F26" s="64" t="s">
        <v>15</v>
      </c>
      <c r="G26" s="53"/>
      <c r="H26" s="53"/>
      <c r="I26" s="54">
        <f>'TR-ENECOR-01 (1)'!AC41</f>
        <v>137850.11</v>
      </c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>
      <c r="B27" s="43"/>
      <c r="C27" s="49"/>
      <c r="D27" s="45"/>
      <c r="E27" s="63">
        <v>213</v>
      </c>
      <c r="F27" s="51" t="s">
        <v>9</v>
      </c>
      <c r="G27" s="53"/>
      <c r="H27" s="53"/>
      <c r="I27" s="54">
        <f>'TR-INTESA4-01 (1)'!AC41</f>
        <v>4812.32</v>
      </c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>
      <c r="B28" s="43"/>
      <c r="C28" s="49"/>
      <c r="D28" s="45">
        <v>22</v>
      </c>
      <c r="E28" s="51" t="s">
        <v>16</v>
      </c>
      <c r="F28" s="47"/>
      <c r="G28" s="47"/>
      <c r="H28" s="47"/>
      <c r="I28" s="50"/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>
      <c r="B29" s="43"/>
      <c r="C29" s="49"/>
      <c r="D29" s="45"/>
      <c r="E29" s="65">
        <v>221</v>
      </c>
      <c r="F29" s="4" t="s">
        <v>6</v>
      </c>
      <c r="G29" s="47"/>
      <c r="H29" s="47"/>
      <c r="I29" s="50">
        <f>'SA-01 (1)'!V45</f>
        <v>113657.33</v>
      </c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>
      <c r="B30" s="43"/>
      <c r="C30" s="49"/>
      <c r="D30" s="45"/>
      <c r="E30" s="65">
        <v>222</v>
      </c>
      <c r="F30" s="4" t="s">
        <v>14</v>
      </c>
      <c r="G30" s="47"/>
      <c r="H30" s="47"/>
      <c r="I30" s="50">
        <f>'SA-TIBA-01 (1)'!V43</f>
        <v>15345.38</v>
      </c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.75" customHeight="1">
      <c r="A31" s="34"/>
      <c r="B31" s="55"/>
      <c r="C31" s="56"/>
      <c r="D31" s="45"/>
      <c r="E31" s="66"/>
      <c r="F31" s="67"/>
      <c r="G31" s="67"/>
      <c r="H31" s="67"/>
      <c r="I31" s="68"/>
      <c r="J31" s="60"/>
      <c r="K31" s="42"/>
      <c r="L31" s="11"/>
      <c r="M31" s="11"/>
      <c r="N31" s="11"/>
      <c r="O31" s="11"/>
      <c r="P31" s="11"/>
      <c r="Q31" s="11"/>
      <c r="R31" s="11"/>
      <c r="S31" s="11"/>
    </row>
    <row r="32" spans="2:19" s="34" customFormat="1" ht="19.5">
      <c r="B32" s="43"/>
      <c r="C32" s="49" t="s">
        <v>17</v>
      </c>
      <c r="D32" s="61" t="s">
        <v>18</v>
      </c>
      <c r="E32" s="46"/>
      <c r="F32" s="47"/>
      <c r="G32" s="47"/>
      <c r="H32" s="47"/>
      <c r="I32" s="50"/>
      <c r="J32" s="48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34" customFormat="1" ht="19.5">
      <c r="B33" s="43"/>
      <c r="C33" s="49"/>
      <c r="D33" s="45">
        <v>31</v>
      </c>
      <c r="E33" s="51" t="s">
        <v>6</v>
      </c>
      <c r="F33" s="47"/>
      <c r="G33" s="47"/>
      <c r="H33" s="47"/>
      <c r="I33" s="50">
        <f>RE!Z43</f>
        <v>684467.76</v>
      </c>
      <c r="J33" s="48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34" customFormat="1" ht="19.5">
      <c r="B34" s="43"/>
      <c r="C34" s="49"/>
      <c r="D34" s="45"/>
      <c r="E34" s="51" t="s">
        <v>311</v>
      </c>
      <c r="F34" s="47"/>
      <c r="G34" s="47"/>
      <c r="H34" s="47"/>
      <c r="I34" s="50">
        <f>+'RE Res 1-03'!Y41</f>
        <v>2931.95</v>
      </c>
      <c r="J34" s="48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34" customFormat="1" ht="19.5">
      <c r="B35" s="43"/>
      <c r="C35" s="49"/>
      <c r="D35" s="45">
        <v>32</v>
      </c>
      <c r="E35" s="51" t="s">
        <v>7</v>
      </c>
      <c r="F35" s="47"/>
      <c r="G35" s="47"/>
      <c r="H35" s="47"/>
      <c r="I35" s="50">
        <f>'RE-YACY-01 (1)'!Z43</f>
        <v>37973.76</v>
      </c>
      <c r="J35" s="48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34" customFormat="1" ht="19.5">
      <c r="B36" s="43"/>
      <c r="C36" s="49"/>
      <c r="D36" s="45">
        <v>33</v>
      </c>
      <c r="E36" s="64" t="s">
        <v>15</v>
      </c>
      <c r="G36" s="53"/>
      <c r="H36" s="53"/>
      <c r="I36" s="54">
        <f>'RE-ENECOR'!X43</f>
        <v>1.25</v>
      </c>
      <c r="J36" s="48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34" customFormat="1" ht="12.75" customHeight="1">
      <c r="B37" s="43"/>
      <c r="C37" s="49"/>
      <c r="D37" s="45"/>
      <c r="E37" s="51"/>
      <c r="F37" s="47"/>
      <c r="G37" s="47"/>
      <c r="H37" s="47"/>
      <c r="I37" s="50"/>
      <c r="J37" s="48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34" customFormat="1" ht="19.5">
      <c r="B38" s="43"/>
      <c r="C38" s="49" t="s">
        <v>19</v>
      </c>
      <c r="D38" s="61" t="s">
        <v>20</v>
      </c>
      <c r="E38" s="46"/>
      <c r="F38" s="47"/>
      <c r="G38" s="47"/>
      <c r="H38" s="47"/>
      <c r="I38" s="50"/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>
      <c r="B39" s="43"/>
      <c r="C39" s="49"/>
      <c r="D39" s="45">
        <v>41</v>
      </c>
      <c r="E39" s="51" t="s">
        <v>7</v>
      </c>
      <c r="F39" s="47"/>
      <c r="G39" s="47"/>
      <c r="H39" s="47"/>
      <c r="I39" s="50">
        <f>'SUP-YACYLEC'!K70</f>
        <v>26455.78700412152</v>
      </c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9.5">
      <c r="B40" s="43"/>
      <c r="C40" s="49"/>
      <c r="D40" s="45">
        <v>42</v>
      </c>
      <c r="E40" s="51" t="s">
        <v>14</v>
      </c>
      <c r="F40" s="47"/>
      <c r="G40" s="47"/>
      <c r="H40" s="47"/>
      <c r="I40" s="50">
        <f>'SUP-TIBA'!J73</f>
        <v>3862.882642502105</v>
      </c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19.5">
      <c r="B41" s="43"/>
      <c r="C41" s="49"/>
      <c r="D41" s="45">
        <v>43</v>
      </c>
      <c r="E41" s="51" t="s">
        <v>15</v>
      </c>
      <c r="F41" s="47"/>
      <c r="G41" s="47"/>
      <c r="H41" s="47"/>
      <c r="I41" s="50">
        <f>'SUP-ENECOR'!J65</f>
        <v>5279.967715682126</v>
      </c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>
      <c r="B42" s="43"/>
      <c r="C42" s="49"/>
      <c r="D42" s="45">
        <v>44</v>
      </c>
      <c r="E42" s="51" t="s">
        <v>346</v>
      </c>
      <c r="F42" s="47"/>
      <c r="G42" s="47"/>
      <c r="H42" s="47"/>
      <c r="I42" s="50">
        <f>+'SUP-LIMSA'!K86</f>
        <v>13086.71709378561</v>
      </c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11.25" customHeight="1">
      <c r="B43" s="43"/>
      <c r="C43" s="49"/>
      <c r="D43" s="45"/>
      <c r="E43" s="51"/>
      <c r="F43" s="47"/>
      <c r="G43" s="47"/>
      <c r="H43" s="69"/>
      <c r="I43" s="50"/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9.5">
      <c r="B44" s="43"/>
      <c r="C44" s="49" t="s">
        <v>21</v>
      </c>
      <c r="D44" s="61" t="s">
        <v>22</v>
      </c>
      <c r="E44" s="46"/>
      <c r="F44" s="47"/>
      <c r="G44" s="47"/>
      <c r="H44" s="47"/>
      <c r="I44" s="50">
        <f>DAG!R31+DAG!R43</f>
        <v>5474.1</v>
      </c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20.25" thickBot="1">
      <c r="B45" s="43"/>
      <c r="C45" s="44"/>
      <c r="D45" s="45"/>
      <c r="E45" s="46"/>
      <c r="F45" s="47"/>
      <c r="G45" s="47"/>
      <c r="H45" s="47"/>
      <c r="I45" s="42"/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20.25" thickBot="1" thickTop="1">
      <c r="B46" s="43"/>
      <c r="C46" s="49"/>
      <c r="D46" s="49"/>
      <c r="F46" s="70" t="s">
        <v>23</v>
      </c>
      <c r="G46" s="71">
        <f>SUM(I16:I44)</f>
        <v>2231047.1544560916</v>
      </c>
      <c r="H46" s="72"/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9.75" customHeight="1" thickTop="1">
      <c r="B47" s="43"/>
      <c r="C47" s="49"/>
      <c r="D47" s="49"/>
      <c r="F47" s="73"/>
      <c r="G47" s="72"/>
      <c r="H47" s="72"/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18.75">
      <c r="B48" s="43"/>
      <c r="C48" s="74" t="s">
        <v>267</v>
      </c>
      <c r="D48" s="49"/>
      <c r="F48" s="73"/>
      <c r="G48" s="72"/>
      <c r="H48" s="72"/>
      <c r="I48" s="75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27" customFormat="1" ht="10.5" customHeight="1" thickBot="1">
      <c r="B49" s="76"/>
      <c r="C49" s="77"/>
      <c r="D49" s="77"/>
      <c r="E49" s="78"/>
      <c r="F49" s="78"/>
      <c r="G49" s="78"/>
      <c r="H49" s="78"/>
      <c r="I49" s="78"/>
      <c r="J49" s="79"/>
      <c r="K49" s="29"/>
      <c r="L49" s="29"/>
      <c r="M49" s="80"/>
      <c r="N49" s="81"/>
      <c r="O49" s="81"/>
      <c r="P49" s="82"/>
      <c r="Q49" s="83"/>
      <c r="R49" s="29"/>
      <c r="S49" s="29"/>
    </row>
    <row r="50" spans="4:19" ht="13.5" thickTop="1">
      <c r="D50" s="11"/>
      <c r="F50" s="11"/>
      <c r="G50" s="11"/>
      <c r="H50" s="11"/>
      <c r="I50" s="11"/>
      <c r="J50" s="11"/>
      <c r="K50" s="11"/>
      <c r="L50" s="11"/>
      <c r="M50" s="84"/>
      <c r="N50" s="85"/>
      <c r="O50" s="85"/>
      <c r="P50" s="11"/>
      <c r="Q50" s="86"/>
      <c r="R50" s="11"/>
      <c r="S50" s="11"/>
    </row>
    <row r="51" spans="4:19" ht="12.75">
      <c r="D51" s="11"/>
      <c r="F51" s="11"/>
      <c r="G51" s="11"/>
      <c r="H51" s="11"/>
      <c r="I51" s="11"/>
      <c r="J51" s="11"/>
      <c r="K51" s="11"/>
      <c r="L51" s="11"/>
      <c r="M51" s="11"/>
      <c r="N51" s="87"/>
      <c r="O51" s="87"/>
      <c r="P51" s="88"/>
      <c r="Q51" s="86"/>
      <c r="R51" s="11"/>
      <c r="S51" s="11"/>
    </row>
    <row r="52" spans="4:19" ht="12.75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87"/>
      <c r="O52" s="87"/>
      <c r="P52" s="88"/>
      <c r="Q52" s="86"/>
      <c r="R52" s="11"/>
      <c r="S52" s="11"/>
    </row>
    <row r="53" spans="4:19" ht="12.75">
      <c r="D53" s="11"/>
      <c r="E53" s="11"/>
      <c r="L53" s="11"/>
      <c r="M53" s="11"/>
      <c r="N53" s="11"/>
      <c r="O53" s="11"/>
      <c r="P53" s="11"/>
      <c r="Q53" s="11"/>
      <c r="R53" s="11"/>
      <c r="S53" s="11"/>
    </row>
    <row r="54" spans="4:19" ht="12.75">
      <c r="D54" s="11"/>
      <c r="E54" s="11"/>
      <c r="P54" s="11"/>
      <c r="Q54" s="11"/>
      <c r="R54" s="11"/>
      <c r="S54" s="11"/>
    </row>
    <row r="55" spans="4:19" ht="12.75">
      <c r="D55" s="11"/>
      <c r="E55" s="11"/>
      <c r="P55" s="11"/>
      <c r="Q55" s="11"/>
      <c r="R55" s="11"/>
      <c r="S55" s="11"/>
    </row>
    <row r="56" spans="4:19" ht="12.75">
      <c r="D56" s="11"/>
      <c r="E56" s="11"/>
      <c r="P56" s="11"/>
      <c r="Q56" s="11"/>
      <c r="R56" s="11"/>
      <c r="S56" s="11"/>
    </row>
    <row r="57" spans="4:19" ht="12.75">
      <c r="D57" s="11"/>
      <c r="E57" s="11"/>
      <c r="P57" s="11"/>
      <c r="Q57" s="11"/>
      <c r="R57" s="11"/>
      <c r="S57" s="11"/>
    </row>
    <row r="58" spans="4:19" ht="12.75">
      <c r="D58" s="11"/>
      <c r="E58" s="11"/>
      <c r="P58" s="11"/>
      <c r="Q58" s="11"/>
      <c r="R58" s="11"/>
      <c r="S58" s="11"/>
    </row>
    <row r="59" spans="16:19" ht="12.75">
      <c r="P59" s="11"/>
      <c r="Q59" s="11"/>
      <c r="R59" s="11"/>
      <c r="S59" s="11"/>
    </row>
    <row r="60" spans="16:19" ht="12.75">
      <c r="P60" s="11"/>
      <c r="Q60" s="11"/>
      <c r="R60" s="11"/>
      <c r="S60" s="1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5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9"/>
  <sheetViews>
    <sheetView zoomScale="70" zoomScaleNormal="70" zoomScalePageLayoutView="0" workbookViewId="0" topLeftCell="A1">
      <selection activeCell="B3" sqref="B3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+'TOT-0115'!B2</f>
        <v>ANEXO II al Memorándum D.T.E.E. N° 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471"/>
    </row>
    <row r="8" spans="2:23" s="18" customFormat="1" ht="20.25">
      <c r="B8" s="96"/>
      <c r="C8" s="23"/>
      <c r="D8" s="23"/>
      <c r="E8" s="23"/>
      <c r="F8" s="472" t="s">
        <v>24</v>
      </c>
      <c r="N8" s="298"/>
      <c r="O8" s="298"/>
      <c r="P8" s="300"/>
      <c r="Q8" s="23"/>
      <c r="R8" s="23"/>
      <c r="S8" s="23"/>
      <c r="T8" s="23"/>
      <c r="U8" s="23"/>
      <c r="V8" s="23"/>
      <c r="W8" s="473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18" customFormat="1" ht="20.25">
      <c r="B10" s="96"/>
      <c r="C10" s="23"/>
      <c r="D10" s="23"/>
      <c r="E10" s="23"/>
      <c r="F10" s="474" t="s">
        <v>65</v>
      </c>
      <c r="G10" s="475"/>
      <c r="H10" s="298"/>
      <c r="I10" s="476"/>
      <c r="K10" s="476"/>
      <c r="L10" s="476"/>
      <c r="M10" s="476"/>
      <c r="N10" s="476"/>
      <c r="O10" s="476"/>
      <c r="P10" s="476"/>
      <c r="Q10" s="23"/>
      <c r="R10" s="23"/>
      <c r="S10" s="23"/>
      <c r="T10" s="23"/>
      <c r="U10" s="23"/>
      <c r="V10" s="23"/>
      <c r="W10" s="473"/>
    </row>
    <row r="11" spans="2:23" s="8" customFormat="1" ht="13.5">
      <c r="B11" s="55"/>
      <c r="C11" s="11"/>
      <c r="D11" s="11"/>
      <c r="E11" s="11"/>
      <c r="F11" s="477"/>
      <c r="G11" s="477"/>
      <c r="H11" s="90"/>
      <c r="I11" s="478"/>
      <c r="J11" s="67"/>
      <c r="K11" s="478"/>
      <c r="L11" s="478"/>
      <c r="M11" s="478"/>
      <c r="N11" s="478"/>
      <c r="O11" s="478"/>
      <c r="P11" s="478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6"/>
      <c r="C12" s="23"/>
      <c r="D12" s="23"/>
      <c r="E12" s="23"/>
      <c r="F12" s="474" t="s">
        <v>66</v>
      </c>
      <c r="G12" s="475"/>
      <c r="H12" s="298"/>
      <c r="I12" s="476"/>
      <c r="K12" s="476"/>
      <c r="L12" s="476"/>
      <c r="M12" s="476"/>
      <c r="N12" s="476"/>
      <c r="O12" s="476"/>
      <c r="P12" s="476"/>
      <c r="Q12" s="23"/>
      <c r="R12" s="23"/>
      <c r="S12" s="23"/>
      <c r="T12" s="23"/>
      <c r="U12" s="23"/>
      <c r="V12" s="23"/>
      <c r="W12" s="473"/>
    </row>
    <row r="13" spans="2:23" s="8" customFormat="1" ht="13.5">
      <c r="B13" s="55"/>
      <c r="C13" s="11"/>
      <c r="D13" s="11"/>
      <c r="E13" s="11"/>
      <c r="F13" s="477"/>
      <c r="G13" s="477"/>
      <c r="H13" s="90"/>
      <c r="I13" s="478"/>
      <c r="J13" s="67"/>
      <c r="K13" s="478"/>
      <c r="L13" s="478"/>
      <c r="M13" s="478"/>
      <c r="N13" s="478"/>
      <c r="O13" s="478"/>
      <c r="P13" s="478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'TOT-0115'!B14</f>
        <v>Desde el 01 al 31 de enero de 2015</v>
      </c>
      <c r="C14" s="39"/>
      <c r="D14" s="39"/>
      <c r="E14" s="39"/>
      <c r="F14" s="39"/>
      <c r="G14" s="39"/>
      <c r="H14" s="39"/>
      <c r="I14" s="479"/>
      <c r="J14" s="479"/>
      <c r="K14" s="479"/>
      <c r="L14" s="479"/>
      <c r="M14" s="479"/>
      <c r="N14" s="479"/>
      <c r="O14" s="479"/>
      <c r="P14" s="479"/>
      <c r="Q14" s="39"/>
      <c r="R14" s="39"/>
      <c r="S14" s="39"/>
      <c r="T14" s="39"/>
      <c r="U14" s="39"/>
      <c r="V14" s="39"/>
      <c r="W14" s="480"/>
    </row>
    <row r="15" spans="2:23" s="8" customFormat="1" ht="14.25" thickBot="1">
      <c r="B15" s="481"/>
      <c r="C15" s="482"/>
      <c r="D15" s="482"/>
      <c r="E15" s="482"/>
      <c r="F15" s="482"/>
      <c r="G15" s="482"/>
      <c r="H15" s="482"/>
      <c r="I15" s="483"/>
      <c r="J15" s="483"/>
      <c r="K15" s="483"/>
      <c r="L15" s="483"/>
      <c r="M15" s="483"/>
      <c r="N15" s="483"/>
      <c r="O15" s="483"/>
      <c r="P15" s="483"/>
      <c r="Q15" s="482"/>
      <c r="R15" s="482"/>
      <c r="S15" s="482"/>
      <c r="T15" s="482"/>
      <c r="U15" s="482"/>
      <c r="V15" s="482"/>
      <c r="W15" s="484"/>
    </row>
    <row r="16" spans="2:23" s="8" customFormat="1" ht="15" thickBot="1" thickTop="1">
      <c r="B16" s="55"/>
      <c r="C16" s="11"/>
      <c r="D16" s="11"/>
      <c r="E16" s="11"/>
      <c r="F16" s="485"/>
      <c r="G16" s="485"/>
      <c r="H16" s="486" t="s">
        <v>67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87" t="s">
        <v>68</v>
      </c>
      <c r="G17" s="488">
        <v>236.73399999999998</v>
      </c>
      <c r="H17" s="489">
        <v>200</v>
      </c>
      <c r="V17" s="110"/>
      <c r="W17" s="60"/>
    </row>
    <row r="18" spans="2:23" s="8" customFormat="1" ht="16.5" customHeight="1" thickBot="1" thickTop="1">
      <c r="B18" s="55"/>
      <c r="C18" s="11"/>
      <c r="D18" s="11"/>
      <c r="E18" s="11"/>
      <c r="F18" s="490" t="s">
        <v>69</v>
      </c>
      <c r="G18" s="491">
        <v>213.03</v>
      </c>
      <c r="H18" s="489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92" t="s">
        <v>70</v>
      </c>
      <c r="G19" s="491">
        <v>189.391</v>
      </c>
      <c r="H19" s="489">
        <v>40</v>
      </c>
      <c r="K19" s="108"/>
      <c r="L19" s="109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1">
        <v>3</v>
      </c>
      <c r="D20" s="111">
        <v>4</v>
      </c>
      <c r="E20" s="111">
        <v>5</v>
      </c>
      <c r="F20" s="111">
        <v>6</v>
      </c>
      <c r="G20" s="111">
        <v>7</v>
      </c>
      <c r="H20" s="111">
        <v>8</v>
      </c>
      <c r="I20" s="111">
        <v>9</v>
      </c>
      <c r="J20" s="111">
        <v>10</v>
      </c>
      <c r="K20" s="111">
        <v>11</v>
      </c>
      <c r="L20" s="111">
        <v>12</v>
      </c>
      <c r="M20" s="111">
        <v>13</v>
      </c>
      <c r="N20" s="111">
        <v>14</v>
      </c>
      <c r="O20" s="111">
        <v>15</v>
      </c>
      <c r="P20" s="111">
        <v>16</v>
      </c>
      <c r="Q20" s="111">
        <v>17</v>
      </c>
      <c r="R20" s="111">
        <v>18</v>
      </c>
      <c r="S20" s="111">
        <v>19</v>
      </c>
      <c r="T20" s="111">
        <v>20</v>
      </c>
      <c r="U20" s="111">
        <v>21</v>
      </c>
      <c r="V20" s="111">
        <v>22</v>
      </c>
      <c r="W20" s="60"/>
    </row>
    <row r="21" spans="2:23" s="8" customFormat="1" ht="33.75" customHeight="1" thickBot="1" thickTop="1">
      <c r="B21" s="55"/>
      <c r="C21" s="332" t="s">
        <v>29</v>
      </c>
      <c r="D21" s="112" t="s">
        <v>30</v>
      </c>
      <c r="E21" s="112" t="s">
        <v>31</v>
      </c>
      <c r="F21" s="115" t="s">
        <v>58</v>
      </c>
      <c r="G21" s="493" t="s">
        <v>59</v>
      </c>
      <c r="H21" s="494" t="s">
        <v>32</v>
      </c>
      <c r="I21" s="337" t="s">
        <v>36</v>
      </c>
      <c r="J21" s="113" t="s">
        <v>37</v>
      </c>
      <c r="K21" s="493" t="s">
        <v>38</v>
      </c>
      <c r="L21" s="495" t="s">
        <v>39</v>
      </c>
      <c r="M21" s="495" t="s">
        <v>40</v>
      </c>
      <c r="N21" s="120" t="s">
        <v>171</v>
      </c>
      <c r="O21" s="119" t="s">
        <v>43</v>
      </c>
      <c r="P21" s="496" t="s">
        <v>35</v>
      </c>
      <c r="Q21" s="497" t="s">
        <v>71</v>
      </c>
      <c r="R21" s="498" t="s">
        <v>72</v>
      </c>
      <c r="S21" s="499"/>
      <c r="T21" s="500" t="s">
        <v>48</v>
      </c>
      <c r="U21" s="131" t="s">
        <v>50</v>
      </c>
      <c r="V21" s="336" t="s">
        <v>51</v>
      </c>
      <c r="W21" s="60"/>
    </row>
    <row r="22" spans="2:23" s="8" customFormat="1" ht="16.5" customHeight="1" thickTop="1">
      <c r="B22" s="55"/>
      <c r="C22" s="346"/>
      <c r="D22" s="346"/>
      <c r="E22" s="346"/>
      <c r="F22" s="501"/>
      <c r="G22" s="501"/>
      <c r="H22" s="501"/>
      <c r="I22" s="282"/>
      <c r="J22" s="501"/>
      <c r="K22" s="501"/>
      <c r="L22" s="501"/>
      <c r="M22" s="501"/>
      <c r="N22" s="501"/>
      <c r="O22" s="501"/>
      <c r="P22" s="502"/>
      <c r="Q22" s="503"/>
      <c r="R22" s="504"/>
      <c r="S22" s="505"/>
      <c r="T22" s="506"/>
      <c r="U22" s="501"/>
      <c r="V22" s="507"/>
      <c r="W22" s="60"/>
    </row>
    <row r="23" spans="2:23" s="8" customFormat="1" ht="16.5" customHeight="1">
      <c r="B23" s="55"/>
      <c r="C23" s="151"/>
      <c r="D23" s="151"/>
      <c r="E23" s="151"/>
      <c r="F23" s="508"/>
      <c r="G23" s="508"/>
      <c r="H23" s="508"/>
      <c r="I23" s="509"/>
      <c r="J23" s="508"/>
      <c r="K23" s="508"/>
      <c r="L23" s="508"/>
      <c r="M23" s="508"/>
      <c r="N23" s="508"/>
      <c r="O23" s="508"/>
      <c r="P23" s="510"/>
      <c r="Q23" s="511"/>
      <c r="R23" s="512"/>
      <c r="S23" s="513"/>
      <c r="T23" s="514"/>
      <c r="U23" s="508"/>
      <c r="V23" s="515"/>
      <c r="W23" s="60"/>
    </row>
    <row r="24" spans="2:23" s="8" customFormat="1" ht="16.5" customHeight="1">
      <c r="B24" s="55"/>
      <c r="C24" s="151">
        <v>30</v>
      </c>
      <c r="D24" s="151">
        <v>283180</v>
      </c>
      <c r="E24" s="170">
        <v>123</v>
      </c>
      <c r="F24" s="516" t="s">
        <v>207</v>
      </c>
      <c r="G24" s="516" t="s">
        <v>208</v>
      </c>
      <c r="H24" s="517">
        <v>500</v>
      </c>
      <c r="I24" s="518">
        <f aca="true" t="shared" si="0" ref="I24:I43">IF(H24=500,$G$17,IF(H24=220,$G$18,$G$19))</f>
        <v>236.73399999999998</v>
      </c>
      <c r="J24" s="519">
        <v>42006.157638888886</v>
      </c>
      <c r="K24" s="520">
        <v>42006.1625</v>
      </c>
      <c r="L24" s="521">
        <f aca="true" t="shared" si="1" ref="L24:L43">IF(F24="","",(K24-J24)*24)</f>
        <v>0.11666666669771075</v>
      </c>
      <c r="M24" s="522">
        <f aca="true" t="shared" si="2" ref="M24:M43">IF(F24="","",ROUND((K24-J24)*24*60,0))</f>
        <v>7</v>
      </c>
      <c r="N24" s="179" t="s">
        <v>187</v>
      </c>
      <c r="O24" s="181" t="str">
        <f aca="true" t="shared" si="3" ref="O24:O43">IF(F24="","",IF(N24="P","--","NO"))</f>
        <v>--</v>
      </c>
      <c r="P24" s="523">
        <f aca="true" t="shared" si="4" ref="P24:P43">IF(H24=500,$H$17,IF(H24=220,$H$18,$H$19))</f>
        <v>200</v>
      </c>
      <c r="Q24" s="524">
        <f aca="true" t="shared" si="5" ref="Q24:Q43">IF(N24="P",I24*P24*ROUND(M24/60,2)*0.1,"--")</f>
        <v>568.1615999999999</v>
      </c>
      <c r="R24" s="512" t="str">
        <f aca="true" t="shared" si="6" ref="R24:R43">IF(AND(N24="F",O24="NO"),I24*P24,"--")</f>
        <v>--</v>
      </c>
      <c r="S24" s="513" t="str">
        <f aca="true" t="shared" si="7" ref="S24:S43">IF(N24="F",I24*P24*ROUND(M24/60,2),"--")</f>
        <v>--</v>
      </c>
      <c r="T24" s="514" t="str">
        <f aca="true" t="shared" si="8" ref="T24:T43">IF(N24="RF",I24*P24*ROUND(M24/60,2),"--")</f>
        <v>--</v>
      </c>
      <c r="U24" s="181" t="s">
        <v>82</v>
      </c>
      <c r="V24" s="525">
        <v>0</v>
      </c>
      <c r="W24" s="60"/>
    </row>
    <row r="25" spans="2:23" s="8" customFormat="1" ht="16.5" customHeight="1">
      <c r="B25" s="55"/>
      <c r="C25" s="151">
        <v>31</v>
      </c>
      <c r="D25" s="151">
        <v>283638</v>
      </c>
      <c r="E25" s="151">
        <v>1598</v>
      </c>
      <c r="F25" s="516" t="s">
        <v>199</v>
      </c>
      <c r="G25" s="516" t="s">
        <v>209</v>
      </c>
      <c r="H25" s="517">
        <v>132</v>
      </c>
      <c r="I25" s="518">
        <f t="shared" si="0"/>
        <v>189.391</v>
      </c>
      <c r="J25" s="519">
        <v>42016.36388888889</v>
      </c>
      <c r="K25" s="520">
        <v>42016.78958333333</v>
      </c>
      <c r="L25" s="521">
        <f t="shared" si="1"/>
        <v>10.21666666661622</v>
      </c>
      <c r="M25" s="522">
        <f t="shared" si="2"/>
        <v>613</v>
      </c>
      <c r="N25" s="179" t="s">
        <v>187</v>
      </c>
      <c r="O25" s="181" t="str">
        <f t="shared" si="3"/>
        <v>--</v>
      </c>
      <c r="P25" s="523">
        <f t="shared" si="4"/>
        <v>40</v>
      </c>
      <c r="Q25" s="524">
        <f t="shared" si="5"/>
        <v>7742.304080000001</v>
      </c>
      <c r="R25" s="512" t="str">
        <f t="shared" si="6"/>
        <v>--</v>
      </c>
      <c r="S25" s="513" t="str">
        <f t="shared" si="7"/>
        <v>--</v>
      </c>
      <c r="T25" s="514" t="str">
        <f t="shared" si="8"/>
        <v>--</v>
      </c>
      <c r="U25" s="181" t="s">
        <v>82</v>
      </c>
      <c r="V25" s="525">
        <f aca="true" t="shared" si="9" ref="V25:V43">IF(F25="","",SUM(Q25:T25)*IF(U25="SI",1,2))</f>
        <v>7742.304080000001</v>
      </c>
      <c r="W25" s="60"/>
    </row>
    <row r="26" spans="2:23" s="8" customFormat="1" ht="16.5" customHeight="1">
      <c r="B26" s="55"/>
      <c r="C26" s="151">
        <v>32</v>
      </c>
      <c r="D26" s="151">
        <v>283639</v>
      </c>
      <c r="E26" s="170">
        <v>93</v>
      </c>
      <c r="F26" s="516" t="s">
        <v>199</v>
      </c>
      <c r="G26" s="516" t="s">
        <v>210</v>
      </c>
      <c r="H26" s="517">
        <v>132</v>
      </c>
      <c r="I26" s="518">
        <f t="shared" si="0"/>
        <v>189.391</v>
      </c>
      <c r="J26" s="519">
        <v>42016.37152777778</v>
      </c>
      <c r="K26" s="520">
        <v>42016.78055555555</v>
      </c>
      <c r="L26" s="521">
        <f t="shared" si="1"/>
        <v>9.81666666653473</v>
      </c>
      <c r="M26" s="522">
        <f t="shared" si="2"/>
        <v>589</v>
      </c>
      <c r="N26" s="179" t="s">
        <v>187</v>
      </c>
      <c r="O26" s="181" t="str">
        <f t="shared" si="3"/>
        <v>--</v>
      </c>
      <c r="P26" s="523">
        <f t="shared" si="4"/>
        <v>40</v>
      </c>
      <c r="Q26" s="524">
        <f t="shared" si="5"/>
        <v>7439.27848</v>
      </c>
      <c r="R26" s="512" t="str">
        <f t="shared" si="6"/>
        <v>--</v>
      </c>
      <c r="S26" s="513" t="str">
        <f t="shared" si="7"/>
        <v>--</v>
      </c>
      <c r="T26" s="514" t="str">
        <f t="shared" si="8"/>
        <v>--</v>
      </c>
      <c r="U26" s="181" t="s">
        <v>82</v>
      </c>
      <c r="V26" s="525">
        <f t="shared" si="9"/>
        <v>7439.27848</v>
      </c>
      <c r="W26" s="60"/>
    </row>
    <row r="27" spans="2:23" s="8" customFormat="1" ht="16.5" customHeight="1">
      <c r="B27" s="55"/>
      <c r="C27" s="151">
        <v>33</v>
      </c>
      <c r="D27" s="151">
        <v>283642</v>
      </c>
      <c r="E27" s="151">
        <v>93</v>
      </c>
      <c r="F27" s="516" t="s">
        <v>199</v>
      </c>
      <c r="G27" s="516" t="s">
        <v>210</v>
      </c>
      <c r="H27" s="517">
        <v>132</v>
      </c>
      <c r="I27" s="518">
        <f t="shared" si="0"/>
        <v>189.391</v>
      </c>
      <c r="J27" s="519">
        <v>42017.336805555555</v>
      </c>
      <c r="K27" s="520">
        <v>42017.76736111111</v>
      </c>
      <c r="L27" s="521">
        <f t="shared" si="1"/>
        <v>10.33333333331393</v>
      </c>
      <c r="M27" s="522">
        <f t="shared" si="2"/>
        <v>620</v>
      </c>
      <c r="N27" s="179" t="s">
        <v>187</v>
      </c>
      <c r="O27" s="181" t="str">
        <f t="shared" si="3"/>
        <v>--</v>
      </c>
      <c r="P27" s="523">
        <f t="shared" si="4"/>
        <v>40</v>
      </c>
      <c r="Q27" s="524">
        <f t="shared" si="5"/>
        <v>7825.63612</v>
      </c>
      <c r="R27" s="512" t="str">
        <f t="shared" si="6"/>
        <v>--</v>
      </c>
      <c r="S27" s="513" t="str">
        <f t="shared" si="7"/>
        <v>--</v>
      </c>
      <c r="T27" s="514" t="str">
        <f t="shared" si="8"/>
        <v>--</v>
      </c>
      <c r="U27" s="181" t="s">
        <v>82</v>
      </c>
      <c r="V27" s="525">
        <f t="shared" si="9"/>
        <v>7825.63612</v>
      </c>
      <c r="W27" s="60"/>
    </row>
    <row r="28" spans="2:23" s="8" customFormat="1" ht="16.5" customHeight="1">
      <c r="B28" s="55"/>
      <c r="C28" s="151">
        <v>34</v>
      </c>
      <c r="D28" s="151">
        <v>283643</v>
      </c>
      <c r="E28" s="170">
        <v>1598</v>
      </c>
      <c r="F28" s="516" t="s">
        <v>199</v>
      </c>
      <c r="G28" s="516" t="s">
        <v>209</v>
      </c>
      <c r="H28" s="517">
        <v>132</v>
      </c>
      <c r="I28" s="518">
        <f t="shared" si="0"/>
        <v>189.391</v>
      </c>
      <c r="J28" s="519">
        <v>42017.336805555555</v>
      </c>
      <c r="K28" s="520">
        <v>42017.76736111111</v>
      </c>
      <c r="L28" s="521">
        <f t="shared" si="1"/>
        <v>10.33333333331393</v>
      </c>
      <c r="M28" s="522">
        <f t="shared" si="2"/>
        <v>620</v>
      </c>
      <c r="N28" s="179" t="s">
        <v>187</v>
      </c>
      <c r="O28" s="181" t="str">
        <f t="shared" si="3"/>
        <v>--</v>
      </c>
      <c r="P28" s="523">
        <f t="shared" si="4"/>
        <v>40</v>
      </c>
      <c r="Q28" s="524">
        <f t="shared" si="5"/>
        <v>7825.63612</v>
      </c>
      <c r="R28" s="512" t="str">
        <f t="shared" si="6"/>
        <v>--</v>
      </c>
      <c r="S28" s="513" t="str">
        <f t="shared" si="7"/>
        <v>--</v>
      </c>
      <c r="T28" s="514" t="str">
        <f t="shared" si="8"/>
        <v>--</v>
      </c>
      <c r="U28" s="181" t="s">
        <v>82</v>
      </c>
      <c r="V28" s="525">
        <f t="shared" si="9"/>
        <v>7825.63612</v>
      </c>
      <c r="W28" s="60"/>
    </row>
    <row r="29" spans="2:23" s="8" customFormat="1" ht="16.5" customHeight="1">
      <c r="B29" s="55"/>
      <c r="C29" s="151">
        <v>35</v>
      </c>
      <c r="D29" s="151">
        <v>283647</v>
      </c>
      <c r="E29" s="151">
        <v>1598</v>
      </c>
      <c r="F29" s="516" t="s">
        <v>199</v>
      </c>
      <c r="G29" s="516" t="s">
        <v>209</v>
      </c>
      <c r="H29" s="517">
        <v>132</v>
      </c>
      <c r="I29" s="518">
        <f t="shared" si="0"/>
        <v>189.391</v>
      </c>
      <c r="J29" s="519">
        <v>42018.32361111111</v>
      </c>
      <c r="K29" s="520">
        <v>42018.79652777778</v>
      </c>
      <c r="L29" s="521">
        <f t="shared" si="1"/>
        <v>11.349999999976717</v>
      </c>
      <c r="M29" s="522">
        <f t="shared" si="2"/>
        <v>681</v>
      </c>
      <c r="N29" s="179" t="s">
        <v>187</v>
      </c>
      <c r="O29" s="181" t="str">
        <f t="shared" si="3"/>
        <v>--</v>
      </c>
      <c r="P29" s="523">
        <f t="shared" si="4"/>
        <v>40</v>
      </c>
      <c r="Q29" s="524">
        <f t="shared" si="5"/>
        <v>8598.3514</v>
      </c>
      <c r="R29" s="512" t="str">
        <f t="shared" si="6"/>
        <v>--</v>
      </c>
      <c r="S29" s="513" t="str">
        <f t="shared" si="7"/>
        <v>--</v>
      </c>
      <c r="T29" s="514" t="str">
        <f t="shared" si="8"/>
        <v>--</v>
      </c>
      <c r="U29" s="181" t="s">
        <v>82</v>
      </c>
      <c r="V29" s="525">
        <f t="shared" si="9"/>
        <v>8598.3514</v>
      </c>
      <c r="W29" s="60"/>
    </row>
    <row r="30" spans="2:23" s="8" customFormat="1" ht="16.5" customHeight="1">
      <c r="B30" s="55"/>
      <c r="C30" s="151">
        <v>36</v>
      </c>
      <c r="D30" s="151">
        <v>283648</v>
      </c>
      <c r="E30" s="170">
        <v>93</v>
      </c>
      <c r="F30" s="516" t="s">
        <v>199</v>
      </c>
      <c r="G30" s="516" t="s">
        <v>210</v>
      </c>
      <c r="H30" s="517">
        <v>132</v>
      </c>
      <c r="I30" s="518">
        <f t="shared" si="0"/>
        <v>189.391</v>
      </c>
      <c r="J30" s="519">
        <v>42018.34305555555</v>
      </c>
      <c r="K30" s="520">
        <v>42018.79236111111</v>
      </c>
      <c r="L30" s="521">
        <f t="shared" si="1"/>
        <v>10.78333333338378</v>
      </c>
      <c r="M30" s="522">
        <f t="shared" si="2"/>
        <v>647</v>
      </c>
      <c r="N30" s="179" t="s">
        <v>187</v>
      </c>
      <c r="O30" s="181" t="str">
        <f t="shared" si="3"/>
        <v>--</v>
      </c>
      <c r="P30" s="523">
        <f t="shared" si="4"/>
        <v>40</v>
      </c>
      <c r="Q30" s="524">
        <f t="shared" si="5"/>
        <v>8166.539919999999</v>
      </c>
      <c r="R30" s="512" t="str">
        <f t="shared" si="6"/>
        <v>--</v>
      </c>
      <c r="S30" s="513" t="str">
        <f t="shared" si="7"/>
        <v>--</v>
      </c>
      <c r="T30" s="514" t="str">
        <f t="shared" si="8"/>
        <v>--</v>
      </c>
      <c r="U30" s="181" t="s">
        <v>82</v>
      </c>
      <c r="V30" s="525">
        <f t="shared" si="9"/>
        <v>8166.539919999999</v>
      </c>
      <c r="W30" s="60"/>
    </row>
    <row r="31" spans="2:23" s="8" customFormat="1" ht="16.5" customHeight="1">
      <c r="B31" s="55"/>
      <c r="C31" s="151">
        <v>37</v>
      </c>
      <c r="D31" s="151">
        <v>283653</v>
      </c>
      <c r="E31" s="151">
        <v>93</v>
      </c>
      <c r="F31" s="516" t="s">
        <v>199</v>
      </c>
      <c r="G31" s="516" t="s">
        <v>210</v>
      </c>
      <c r="H31" s="517">
        <v>132</v>
      </c>
      <c r="I31" s="518">
        <f t="shared" si="0"/>
        <v>189.391</v>
      </c>
      <c r="J31" s="519">
        <v>42019.33263888889</v>
      </c>
      <c r="K31" s="520">
        <v>42019.771527777775</v>
      </c>
      <c r="L31" s="521">
        <f t="shared" si="1"/>
        <v>10.533333333267365</v>
      </c>
      <c r="M31" s="522">
        <f t="shared" si="2"/>
        <v>632</v>
      </c>
      <c r="N31" s="179" t="s">
        <v>187</v>
      </c>
      <c r="O31" s="181" t="str">
        <f t="shared" si="3"/>
        <v>--</v>
      </c>
      <c r="P31" s="523">
        <f t="shared" si="4"/>
        <v>40</v>
      </c>
      <c r="Q31" s="524">
        <f t="shared" si="5"/>
        <v>7977.148919999999</v>
      </c>
      <c r="R31" s="512" t="str">
        <f t="shared" si="6"/>
        <v>--</v>
      </c>
      <c r="S31" s="513" t="str">
        <f t="shared" si="7"/>
        <v>--</v>
      </c>
      <c r="T31" s="514" t="str">
        <f t="shared" si="8"/>
        <v>--</v>
      </c>
      <c r="U31" s="181" t="s">
        <v>82</v>
      </c>
      <c r="V31" s="525">
        <f t="shared" si="9"/>
        <v>7977.148919999999</v>
      </c>
      <c r="W31" s="60"/>
    </row>
    <row r="32" spans="2:23" s="8" customFormat="1" ht="16.5" customHeight="1">
      <c r="B32" s="55"/>
      <c r="C32" s="151">
        <v>38</v>
      </c>
      <c r="D32" s="151">
        <v>283654</v>
      </c>
      <c r="E32" s="170">
        <v>1598</v>
      </c>
      <c r="F32" s="516" t="s">
        <v>199</v>
      </c>
      <c r="G32" s="516" t="s">
        <v>209</v>
      </c>
      <c r="H32" s="517">
        <v>132</v>
      </c>
      <c r="I32" s="518">
        <f t="shared" si="0"/>
        <v>189.391</v>
      </c>
      <c r="J32" s="519">
        <v>42019.33263888889</v>
      </c>
      <c r="K32" s="520">
        <v>42019.75</v>
      </c>
      <c r="L32" s="521">
        <f t="shared" si="1"/>
        <v>10.016666666662786</v>
      </c>
      <c r="M32" s="522">
        <f t="shared" si="2"/>
        <v>601</v>
      </c>
      <c r="N32" s="179" t="s">
        <v>187</v>
      </c>
      <c r="O32" s="181" t="str">
        <f t="shared" si="3"/>
        <v>--</v>
      </c>
      <c r="P32" s="523">
        <f t="shared" si="4"/>
        <v>40</v>
      </c>
      <c r="Q32" s="524">
        <f t="shared" si="5"/>
        <v>7590.7912799999995</v>
      </c>
      <c r="R32" s="512" t="str">
        <f t="shared" si="6"/>
        <v>--</v>
      </c>
      <c r="S32" s="513" t="str">
        <f t="shared" si="7"/>
        <v>--</v>
      </c>
      <c r="T32" s="514" t="str">
        <f t="shared" si="8"/>
        <v>--</v>
      </c>
      <c r="U32" s="181" t="s">
        <v>82</v>
      </c>
      <c r="V32" s="525">
        <f t="shared" si="9"/>
        <v>7590.7912799999995</v>
      </c>
      <c r="W32" s="60"/>
    </row>
    <row r="33" spans="2:23" s="8" customFormat="1" ht="16.5" customHeight="1">
      <c r="B33" s="55"/>
      <c r="C33" s="151">
        <v>39</v>
      </c>
      <c r="D33" s="151">
        <v>283660</v>
      </c>
      <c r="E33" s="151">
        <v>1598</v>
      </c>
      <c r="F33" s="516" t="s">
        <v>199</v>
      </c>
      <c r="G33" s="516" t="s">
        <v>209</v>
      </c>
      <c r="H33" s="517">
        <v>132</v>
      </c>
      <c r="I33" s="518">
        <f t="shared" si="0"/>
        <v>189.391</v>
      </c>
      <c r="J33" s="519">
        <v>42020.32638888889</v>
      </c>
      <c r="K33" s="520">
        <v>42020.768055555556</v>
      </c>
      <c r="L33" s="521">
        <f t="shared" si="1"/>
        <v>10.599999999976717</v>
      </c>
      <c r="M33" s="522">
        <f t="shared" si="2"/>
        <v>636</v>
      </c>
      <c r="N33" s="179" t="s">
        <v>187</v>
      </c>
      <c r="O33" s="181" t="str">
        <f t="shared" si="3"/>
        <v>--</v>
      </c>
      <c r="P33" s="523">
        <f t="shared" si="4"/>
        <v>40</v>
      </c>
      <c r="Q33" s="524">
        <f t="shared" si="5"/>
        <v>8030.178399999999</v>
      </c>
      <c r="R33" s="512" t="str">
        <f t="shared" si="6"/>
        <v>--</v>
      </c>
      <c r="S33" s="513" t="str">
        <f t="shared" si="7"/>
        <v>--</v>
      </c>
      <c r="T33" s="514" t="str">
        <f t="shared" si="8"/>
        <v>--</v>
      </c>
      <c r="U33" s="181" t="s">
        <v>82</v>
      </c>
      <c r="V33" s="525">
        <f t="shared" si="9"/>
        <v>8030.178399999999</v>
      </c>
      <c r="W33" s="60"/>
    </row>
    <row r="34" spans="2:23" s="8" customFormat="1" ht="16.5" customHeight="1">
      <c r="B34" s="55"/>
      <c r="C34" s="151">
        <v>40</v>
      </c>
      <c r="D34" s="151">
        <v>283657</v>
      </c>
      <c r="E34" s="170">
        <v>93</v>
      </c>
      <c r="F34" s="516" t="s">
        <v>199</v>
      </c>
      <c r="G34" s="516" t="s">
        <v>210</v>
      </c>
      <c r="H34" s="517">
        <v>132</v>
      </c>
      <c r="I34" s="518">
        <f t="shared" si="0"/>
        <v>189.391</v>
      </c>
      <c r="J34" s="519">
        <v>42020.34097222222</v>
      </c>
      <c r="K34" s="520">
        <v>42020.770833333336</v>
      </c>
      <c r="L34" s="521">
        <f t="shared" si="1"/>
        <v>10.31666666676756</v>
      </c>
      <c r="M34" s="522">
        <f t="shared" si="2"/>
        <v>619</v>
      </c>
      <c r="N34" s="179" t="s">
        <v>187</v>
      </c>
      <c r="O34" s="181" t="str">
        <f t="shared" si="3"/>
        <v>--</v>
      </c>
      <c r="P34" s="523">
        <f t="shared" si="4"/>
        <v>40</v>
      </c>
      <c r="Q34" s="524">
        <f t="shared" si="5"/>
        <v>7818.06048</v>
      </c>
      <c r="R34" s="512" t="str">
        <f t="shared" si="6"/>
        <v>--</v>
      </c>
      <c r="S34" s="513" t="str">
        <f t="shared" si="7"/>
        <v>--</v>
      </c>
      <c r="T34" s="514" t="str">
        <f t="shared" si="8"/>
        <v>--</v>
      </c>
      <c r="U34" s="181" t="s">
        <v>82</v>
      </c>
      <c r="V34" s="525">
        <f t="shared" si="9"/>
        <v>7818.06048</v>
      </c>
      <c r="W34" s="60"/>
    </row>
    <row r="35" spans="2:23" s="8" customFormat="1" ht="16.5" customHeight="1">
      <c r="B35" s="55"/>
      <c r="C35" s="151">
        <v>41</v>
      </c>
      <c r="D35" s="151">
        <v>283662</v>
      </c>
      <c r="E35" s="151">
        <v>1598</v>
      </c>
      <c r="F35" s="516" t="s">
        <v>199</v>
      </c>
      <c r="G35" s="516" t="s">
        <v>209</v>
      </c>
      <c r="H35" s="517">
        <v>132</v>
      </c>
      <c r="I35" s="518">
        <f t="shared" si="0"/>
        <v>189.391</v>
      </c>
      <c r="J35" s="519">
        <v>42021.32361111111</v>
      </c>
      <c r="K35" s="520">
        <v>42021.700694444444</v>
      </c>
      <c r="L35" s="521">
        <f t="shared" si="1"/>
        <v>9.049999999988358</v>
      </c>
      <c r="M35" s="522">
        <f t="shared" si="2"/>
        <v>543</v>
      </c>
      <c r="N35" s="179" t="s">
        <v>187</v>
      </c>
      <c r="O35" s="181" t="str">
        <f t="shared" si="3"/>
        <v>--</v>
      </c>
      <c r="P35" s="523">
        <f t="shared" si="4"/>
        <v>40</v>
      </c>
      <c r="Q35" s="524">
        <f t="shared" si="5"/>
        <v>6855.9542</v>
      </c>
      <c r="R35" s="512" t="str">
        <f t="shared" si="6"/>
        <v>--</v>
      </c>
      <c r="S35" s="513" t="str">
        <f t="shared" si="7"/>
        <v>--</v>
      </c>
      <c r="T35" s="514" t="str">
        <f t="shared" si="8"/>
        <v>--</v>
      </c>
      <c r="U35" s="181" t="s">
        <v>82</v>
      </c>
      <c r="V35" s="525">
        <f t="shared" si="9"/>
        <v>6855.9542</v>
      </c>
      <c r="W35" s="60"/>
    </row>
    <row r="36" spans="2:23" s="8" customFormat="1" ht="16.5" customHeight="1">
      <c r="B36" s="55"/>
      <c r="C36" s="151">
        <v>42</v>
      </c>
      <c r="D36" s="151">
        <v>283664</v>
      </c>
      <c r="E36" s="170">
        <v>93</v>
      </c>
      <c r="F36" s="516" t="s">
        <v>199</v>
      </c>
      <c r="G36" s="516" t="s">
        <v>210</v>
      </c>
      <c r="H36" s="517">
        <v>132</v>
      </c>
      <c r="I36" s="518">
        <f t="shared" si="0"/>
        <v>189.391</v>
      </c>
      <c r="J36" s="519">
        <v>42021.34583333333</v>
      </c>
      <c r="K36" s="520">
        <v>42021.74791666667</v>
      </c>
      <c r="L36" s="521">
        <f t="shared" si="1"/>
        <v>9.650000000023283</v>
      </c>
      <c r="M36" s="522">
        <f t="shared" si="2"/>
        <v>579</v>
      </c>
      <c r="N36" s="179" t="s">
        <v>187</v>
      </c>
      <c r="O36" s="181" t="str">
        <f t="shared" si="3"/>
        <v>--</v>
      </c>
      <c r="P36" s="523">
        <f t="shared" si="4"/>
        <v>40</v>
      </c>
      <c r="Q36" s="524">
        <f t="shared" si="5"/>
        <v>7310.4926</v>
      </c>
      <c r="R36" s="512" t="str">
        <f t="shared" si="6"/>
        <v>--</v>
      </c>
      <c r="S36" s="513" t="str">
        <f t="shared" si="7"/>
        <v>--</v>
      </c>
      <c r="T36" s="514" t="str">
        <f t="shared" si="8"/>
        <v>--</v>
      </c>
      <c r="U36" s="181" t="s">
        <v>82</v>
      </c>
      <c r="V36" s="525">
        <f t="shared" si="9"/>
        <v>7310.4926</v>
      </c>
      <c r="W36" s="60"/>
    </row>
    <row r="37" spans="2:23" s="8" customFormat="1" ht="16.5" customHeight="1">
      <c r="B37" s="55"/>
      <c r="C37" s="151">
        <v>43</v>
      </c>
      <c r="D37" s="151">
        <v>283666</v>
      </c>
      <c r="E37" s="151">
        <v>5210</v>
      </c>
      <c r="F37" s="516" t="s">
        <v>247</v>
      </c>
      <c r="G37" s="516" t="s">
        <v>248</v>
      </c>
      <c r="H37" s="517">
        <v>132</v>
      </c>
      <c r="I37" s="518">
        <f t="shared" si="0"/>
        <v>189.391</v>
      </c>
      <c r="J37" s="519">
        <v>42022.34166666667</v>
      </c>
      <c r="K37" s="520">
        <v>42022.74722222222</v>
      </c>
      <c r="L37" s="521">
        <f t="shared" si="1"/>
        <v>9.733333333279006</v>
      </c>
      <c r="M37" s="522">
        <f t="shared" si="2"/>
        <v>584</v>
      </c>
      <c r="N37" s="179" t="s">
        <v>187</v>
      </c>
      <c r="O37" s="181" t="str">
        <f t="shared" si="3"/>
        <v>--</v>
      </c>
      <c r="P37" s="523">
        <f t="shared" si="4"/>
        <v>40</v>
      </c>
      <c r="Q37" s="524">
        <f t="shared" si="5"/>
        <v>7371.09772</v>
      </c>
      <c r="R37" s="512" t="str">
        <f t="shared" si="6"/>
        <v>--</v>
      </c>
      <c r="S37" s="513" t="str">
        <f t="shared" si="7"/>
        <v>--</v>
      </c>
      <c r="T37" s="514" t="str">
        <f t="shared" si="8"/>
        <v>--</v>
      </c>
      <c r="U37" s="181" t="s">
        <v>82</v>
      </c>
      <c r="V37" s="525">
        <f t="shared" si="9"/>
        <v>7371.09772</v>
      </c>
      <c r="W37" s="60"/>
    </row>
    <row r="38" spans="2:23" s="8" customFormat="1" ht="16.5" customHeight="1">
      <c r="B38" s="55"/>
      <c r="C38" s="151">
        <v>44</v>
      </c>
      <c r="D38" s="151">
        <v>283833</v>
      </c>
      <c r="E38" s="170">
        <v>143</v>
      </c>
      <c r="F38" s="516" t="s">
        <v>211</v>
      </c>
      <c r="G38" s="516" t="s">
        <v>212</v>
      </c>
      <c r="H38" s="517">
        <v>132</v>
      </c>
      <c r="I38" s="518">
        <f t="shared" si="0"/>
        <v>189.391</v>
      </c>
      <c r="J38" s="519">
        <v>42026.32013888889</v>
      </c>
      <c r="K38" s="520">
        <v>42026.37986111111</v>
      </c>
      <c r="L38" s="521">
        <f t="shared" si="1"/>
        <v>1.4333333332906477</v>
      </c>
      <c r="M38" s="522">
        <f t="shared" si="2"/>
        <v>86</v>
      </c>
      <c r="N38" s="179" t="s">
        <v>187</v>
      </c>
      <c r="O38" s="181" t="str">
        <f t="shared" si="3"/>
        <v>--</v>
      </c>
      <c r="P38" s="523">
        <f t="shared" si="4"/>
        <v>40</v>
      </c>
      <c r="Q38" s="524">
        <f t="shared" si="5"/>
        <v>1083.31652</v>
      </c>
      <c r="R38" s="512" t="str">
        <f t="shared" si="6"/>
        <v>--</v>
      </c>
      <c r="S38" s="513" t="str">
        <f t="shared" si="7"/>
        <v>--</v>
      </c>
      <c r="T38" s="514" t="str">
        <f t="shared" si="8"/>
        <v>--</v>
      </c>
      <c r="U38" s="181" t="s">
        <v>82</v>
      </c>
      <c r="V38" s="525">
        <v>0</v>
      </c>
      <c r="W38" s="60"/>
    </row>
    <row r="39" spans="2:23" s="8" customFormat="1" ht="16.5" customHeight="1">
      <c r="B39" s="55"/>
      <c r="C39" s="151">
        <v>45</v>
      </c>
      <c r="D39" s="151">
        <v>283838</v>
      </c>
      <c r="E39" s="151">
        <v>134</v>
      </c>
      <c r="F39" s="516" t="s">
        <v>196</v>
      </c>
      <c r="G39" s="516" t="s">
        <v>213</v>
      </c>
      <c r="H39" s="517">
        <v>132</v>
      </c>
      <c r="I39" s="518">
        <f t="shared" si="0"/>
        <v>189.391</v>
      </c>
      <c r="J39" s="519">
        <v>42029.248611111114</v>
      </c>
      <c r="K39" s="520">
        <v>42029.498611111114</v>
      </c>
      <c r="L39" s="521">
        <f t="shared" si="1"/>
        <v>6</v>
      </c>
      <c r="M39" s="522">
        <f t="shared" si="2"/>
        <v>360</v>
      </c>
      <c r="N39" s="179" t="s">
        <v>187</v>
      </c>
      <c r="O39" s="181" t="str">
        <f t="shared" si="3"/>
        <v>--</v>
      </c>
      <c r="P39" s="523">
        <f t="shared" si="4"/>
        <v>40</v>
      </c>
      <c r="Q39" s="524">
        <f t="shared" si="5"/>
        <v>4545.384</v>
      </c>
      <c r="R39" s="512" t="str">
        <f t="shared" si="6"/>
        <v>--</v>
      </c>
      <c r="S39" s="513" t="str">
        <f t="shared" si="7"/>
        <v>--</v>
      </c>
      <c r="T39" s="514" t="str">
        <f t="shared" si="8"/>
        <v>--</v>
      </c>
      <c r="U39" s="181" t="s">
        <v>82</v>
      </c>
      <c r="V39" s="525">
        <f t="shared" si="9"/>
        <v>4545.384</v>
      </c>
      <c r="W39" s="60"/>
    </row>
    <row r="40" spans="2:23" s="8" customFormat="1" ht="16.5" customHeight="1">
      <c r="B40" s="55"/>
      <c r="C40" s="151">
        <v>46</v>
      </c>
      <c r="D40" s="151">
        <v>283840</v>
      </c>
      <c r="E40" s="170">
        <v>3664</v>
      </c>
      <c r="F40" s="516" t="s">
        <v>214</v>
      </c>
      <c r="G40" s="516" t="s">
        <v>215</v>
      </c>
      <c r="H40" s="517">
        <v>132</v>
      </c>
      <c r="I40" s="518">
        <f t="shared" si="0"/>
        <v>189.391</v>
      </c>
      <c r="J40" s="519">
        <v>42029.31597222222</v>
      </c>
      <c r="K40" s="520">
        <v>42029.50763888889</v>
      </c>
      <c r="L40" s="521">
        <f t="shared" si="1"/>
        <v>4.60000000015134</v>
      </c>
      <c r="M40" s="522">
        <f t="shared" si="2"/>
        <v>276</v>
      </c>
      <c r="N40" s="179" t="s">
        <v>187</v>
      </c>
      <c r="O40" s="181" t="str">
        <f t="shared" si="3"/>
        <v>--</v>
      </c>
      <c r="P40" s="523">
        <f t="shared" si="4"/>
        <v>40</v>
      </c>
      <c r="Q40" s="524">
        <f t="shared" si="5"/>
        <v>3484.7943999999998</v>
      </c>
      <c r="R40" s="512" t="str">
        <f t="shared" si="6"/>
        <v>--</v>
      </c>
      <c r="S40" s="513" t="str">
        <f t="shared" si="7"/>
        <v>--</v>
      </c>
      <c r="T40" s="514" t="str">
        <f t="shared" si="8"/>
        <v>--</v>
      </c>
      <c r="U40" s="181" t="s">
        <v>82</v>
      </c>
      <c r="V40" s="525">
        <v>0</v>
      </c>
      <c r="W40" s="60"/>
    </row>
    <row r="41" spans="2:23" s="8" customFormat="1" ht="16.5" customHeight="1">
      <c r="B41" s="55"/>
      <c r="C41" s="151">
        <v>47</v>
      </c>
      <c r="D41" s="151">
        <v>283839</v>
      </c>
      <c r="E41" s="151">
        <v>3266</v>
      </c>
      <c r="F41" s="516" t="s">
        <v>216</v>
      </c>
      <c r="G41" s="516" t="s">
        <v>217</v>
      </c>
      <c r="H41" s="517">
        <v>132</v>
      </c>
      <c r="I41" s="518">
        <f t="shared" si="0"/>
        <v>189.391</v>
      </c>
      <c r="J41" s="519">
        <v>42029.33125</v>
      </c>
      <c r="K41" s="520">
        <v>42029.47777777778</v>
      </c>
      <c r="L41" s="521">
        <f t="shared" si="1"/>
        <v>3.5166666666045785</v>
      </c>
      <c r="M41" s="522">
        <f t="shared" si="2"/>
        <v>211</v>
      </c>
      <c r="N41" s="179" t="s">
        <v>187</v>
      </c>
      <c r="O41" s="181" t="str">
        <f t="shared" si="3"/>
        <v>--</v>
      </c>
      <c r="P41" s="523">
        <f t="shared" si="4"/>
        <v>40</v>
      </c>
      <c r="Q41" s="524">
        <f t="shared" si="5"/>
        <v>2666.62528</v>
      </c>
      <c r="R41" s="512" t="str">
        <f t="shared" si="6"/>
        <v>--</v>
      </c>
      <c r="S41" s="513" t="str">
        <f t="shared" si="7"/>
        <v>--</v>
      </c>
      <c r="T41" s="514" t="str">
        <f t="shared" si="8"/>
        <v>--</v>
      </c>
      <c r="U41" s="181" t="s">
        <v>82</v>
      </c>
      <c r="V41" s="525">
        <v>0</v>
      </c>
      <c r="W41" s="60"/>
    </row>
    <row r="42" spans="2:23" s="8" customFormat="1" ht="16.5" customHeight="1">
      <c r="B42" s="55"/>
      <c r="C42" s="151">
        <v>48</v>
      </c>
      <c r="D42" s="151">
        <v>284209</v>
      </c>
      <c r="E42" s="170">
        <v>140</v>
      </c>
      <c r="F42" s="516" t="s">
        <v>203</v>
      </c>
      <c r="G42" s="516" t="s">
        <v>218</v>
      </c>
      <c r="H42" s="517">
        <v>132</v>
      </c>
      <c r="I42" s="518">
        <f t="shared" si="0"/>
        <v>189.391</v>
      </c>
      <c r="J42" s="519">
        <v>42031.646527777775</v>
      </c>
      <c r="K42" s="520">
        <v>42031.652083333334</v>
      </c>
      <c r="L42" s="521">
        <f t="shared" si="1"/>
        <v>0.13333333341870457</v>
      </c>
      <c r="M42" s="522">
        <f t="shared" si="2"/>
        <v>8</v>
      </c>
      <c r="N42" s="179" t="s">
        <v>185</v>
      </c>
      <c r="O42" s="181" t="str">
        <f t="shared" si="3"/>
        <v>NO</v>
      </c>
      <c r="P42" s="523">
        <f t="shared" si="4"/>
        <v>40</v>
      </c>
      <c r="Q42" s="524" t="str">
        <f t="shared" si="5"/>
        <v>--</v>
      </c>
      <c r="R42" s="512">
        <f t="shared" si="6"/>
        <v>7575.639999999999</v>
      </c>
      <c r="S42" s="513">
        <f t="shared" si="7"/>
        <v>984.8331999999999</v>
      </c>
      <c r="T42" s="514" t="str">
        <f t="shared" si="8"/>
        <v>--</v>
      </c>
      <c r="U42" s="181" t="s">
        <v>82</v>
      </c>
      <c r="V42" s="525">
        <f t="shared" si="9"/>
        <v>8560.473199999999</v>
      </c>
      <c r="W42" s="60"/>
    </row>
    <row r="43" spans="2:23" s="8" customFormat="1" ht="16.5" customHeight="1">
      <c r="B43" s="55"/>
      <c r="C43" s="151"/>
      <c r="D43" s="151"/>
      <c r="E43" s="151"/>
      <c r="F43" s="516"/>
      <c r="G43" s="516"/>
      <c r="H43" s="517"/>
      <c r="I43" s="518">
        <f t="shared" si="0"/>
        <v>189.391</v>
      </c>
      <c r="J43" s="519"/>
      <c r="K43" s="520"/>
      <c r="L43" s="521">
        <f t="shared" si="1"/>
      </c>
      <c r="M43" s="522">
        <f t="shared" si="2"/>
      </c>
      <c r="N43" s="179"/>
      <c r="O43" s="181">
        <f t="shared" si="3"/>
      </c>
      <c r="P43" s="523">
        <f t="shared" si="4"/>
        <v>40</v>
      </c>
      <c r="Q43" s="524" t="str">
        <f t="shared" si="5"/>
        <v>--</v>
      </c>
      <c r="R43" s="512" t="str">
        <f t="shared" si="6"/>
        <v>--</v>
      </c>
      <c r="S43" s="513" t="str">
        <f t="shared" si="7"/>
        <v>--</v>
      </c>
      <c r="T43" s="514" t="str">
        <f t="shared" si="8"/>
        <v>--</v>
      </c>
      <c r="U43" s="181">
        <f>IF(F43="","","SI")</f>
      </c>
      <c r="V43" s="525">
        <f t="shared" si="9"/>
      </c>
      <c r="W43" s="60"/>
    </row>
    <row r="44" spans="2:23" s="8" customFormat="1" ht="16.5" customHeight="1" thickBot="1">
      <c r="B44" s="55"/>
      <c r="C44" s="209"/>
      <c r="D44" s="209"/>
      <c r="E44" s="209"/>
      <c r="F44" s="209"/>
      <c r="G44" s="209"/>
      <c r="H44" s="209"/>
      <c r="I44" s="397"/>
      <c r="J44" s="526"/>
      <c r="K44" s="526"/>
      <c r="L44" s="527"/>
      <c r="M44" s="527"/>
      <c r="N44" s="526"/>
      <c r="O44" s="216"/>
      <c r="P44" s="528"/>
      <c r="Q44" s="529"/>
      <c r="R44" s="530"/>
      <c r="S44" s="531"/>
      <c r="T44" s="532"/>
      <c r="U44" s="216"/>
      <c r="V44" s="533"/>
      <c r="W44" s="60"/>
    </row>
    <row r="45" spans="2:23" s="8" customFormat="1" ht="16.5" customHeight="1" thickBot="1" thickTop="1">
      <c r="B45" s="55"/>
      <c r="C45" s="230" t="s">
        <v>172</v>
      </c>
      <c r="D45" s="272"/>
      <c r="E45" s="230"/>
      <c r="F45" s="232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34">
        <f>SUM(Q22:Q44)</f>
        <v>112899.75151999999</v>
      </c>
      <c r="R45" s="535">
        <f>SUM(R22:R44)</f>
        <v>7575.639999999999</v>
      </c>
      <c r="S45" s="536">
        <f>SUM(S22:S44)</f>
        <v>984.8331999999999</v>
      </c>
      <c r="T45" s="537">
        <f>SUM(T22:T44)</f>
        <v>0</v>
      </c>
      <c r="U45" s="538"/>
      <c r="V45" s="539">
        <f>ROUND(SUM(V22:V44),2)</f>
        <v>113657.33</v>
      </c>
      <c r="W45" s="60"/>
    </row>
    <row r="46" spans="2:23" s="8" customFormat="1" ht="16.5" customHeight="1" thickBot="1" thickTop="1"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8"/>
    </row>
    <row r="47" spans="23:25" ht="16.5" customHeight="1" thickTop="1">
      <c r="W47" s="428"/>
      <c r="X47" s="428"/>
      <c r="Y47" s="428"/>
    </row>
    <row r="48" spans="23:25" ht="16.5" customHeight="1">
      <c r="W48" s="428"/>
      <c r="X48" s="428"/>
      <c r="Y48" s="428"/>
    </row>
    <row r="49" spans="23:25" ht="16.5" customHeight="1">
      <c r="W49" s="428"/>
      <c r="X49" s="428"/>
      <c r="Y49" s="428"/>
    </row>
    <row r="50" spans="23:25" ht="16.5" customHeight="1">
      <c r="W50" s="428"/>
      <c r="X50" s="428"/>
      <c r="Y50" s="428"/>
    </row>
    <row r="51" spans="23:25" ht="16.5" customHeight="1">
      <c r="W51" s="428"/>
      <c r="X51" s="428"/>
      <c r="Y51" s="428"/>
    </row>
    <row r="52" spans="6:25" ht="16.5" customHeight="1"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</row>
    <row r="53" spans="6:25" ht="16.5" customHeight="1"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</row>
    <row r="54" spans="6:25" ht="16.5" customHeight="1"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</row>
    <row r="55" spans="6:25" ht="16.5" customHeight="1"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</row>
    <row r="56" spans="6:25" ht="16.5" customHeight="1"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</row>
    <row r="57" spans="6:25" ht="16.5" customHeight="1"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</row>
    <row r="58" spans="6:25" ht="16.5" customHeight="1"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</row>
    <row r="59" spans="6:25" ht="16.5" customHeight="1"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</row>
    <row r="60" spans="6:25" ht="16.5" customHeight="1"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</row>
    <row r="61" spans="6:25" ht="16.5" customHeight="1"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</row>
    <row r="62" spans="6:25" ht="16.5" customHeight="1"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</row>
    <row r="63" spans="6:25" ht="16.5" customHeight="1"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</row>
    <row r="64" spans="6:25" ht="16.5" customHeight="1"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</row>
    <row r="65" spans="6:25" ht="16.5" customHeight="1"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</row>
    <row r="66" spans="6:25" ht="16.5" customHeight="1"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</row>
    <row r="67" spans="6:25" ht="16.5" customHeight="1"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</row>
    <row r="68" spans="6:25" ht="16.5" customHeight="1"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</row>
    <row r="69" spans="6:25" ht="16.5" customHeight="1"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</row>
    <row r="70" spans="6:25" ht="16.5" customHeight="1"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</row>
    <row r="71" spans="6:25" ht="16.5" customHeight="1"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</row>
    <row r="72" spans="6:25" ht="16.5" customHeight="1"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</row>
    <row r="73" spans="6:25" ht="16.5" customHeight="1"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</row>
    <row r="74" spans="6:25" ht="16.5" customHeight="1"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</row>
    <row r="75" spans="6:25" ht="16.5" customHeight="1"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</row>
    <row r="76" spans="6:25" ht="16.5" customHeight="1"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</row>
    <row r="77" spans="6:25" ht="16.5" customHeight="1"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</row>
    <row r="78" spans="6:25" ht="16.5" customHeight="1"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</row>
    <row r="79" spans="6:25" ht="16.5" customHeight="1"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</row>
    <row r="80" spans="6:25" ht="16.5" customHeight="1"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</row>
    <row r="81" spans="6:25" ht="16.5" customHeight="1"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</row>
    <row r="82" spans="6:25" ht="16.5" customHeight="1"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</row>
    <row r="83" spans="6:25" ht="16.5" customHeight="1"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</row>
    <row r="84" spans="6:25" ht="16.5" customHeight="1"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</row>
    <row r="85" spans="6:25" ht="16.5" customHeight="1"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</row>
    <row r="86" spans="6:25" ht="16.5" customHeight="1"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</row>
    <row r="87" spans="6:25" ht="16.5" customHeight="1"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</row>
    <row r="88" spans="6:25" ht="16.5" customHeight="1"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</row>
    <row r="89" spans="6:25" ht="16.5" customHeight="1"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</row>
    <row r="90" spans="6:25" ht="16.5" customHeight="1"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</row>
    <row r="91" spans="6:25" ht="16.5" customHeight="1"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</row>
    <row r="92" spans="6:25" ht="16.5" customHeight="1"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</row>
    <row r="93" spans="6:25" ht="16.5" customHeight="1"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</row>
    <row r="94" spans="6:25" ht="16.5" customHeight="1"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</row>
    <row r="95" spans="6:25" ht="16.5" customHeight="1"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</row>
    <row r="96" spans="6:25" ht="16.5" customHeight="1"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</row>
    <row r="97" spans="6:25" ht="16.5" customHeight="1"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</row>
    <row r="98" spans="6:25" ht="16.5" customHeight="1"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</row>
    <row r="99" spans="6:25" ht="16.5" customHeight="1"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</row>
    <row r="100" spans="6:25" ht="16.5" customHeight="1"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</row>
    <row r="101" spans="6:25" ht="16.5" customHeight="1"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</row>
    <row r="102" spans="6:25" ht="16.5" customHeight="1"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</row>
    <row r="103" spans="6:25" ht="16.5" customHeight="1"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</row>
    <row r="104" spans="6:25" ht="16.5" customHeight="1"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</row>
    <row r="105" spans="6:25" ht="16.5" customHeight="1"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</row>
    <row r="106" spans="6:25" ht="16.5" customHeight="1"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</row>
    <row r="107" spans="6:25" ht="16.5" customHeight="1"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</row>
    <row r="108" spans="6:25" ht="16.5" customHeight="1"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</row>
    <row r="109" spans="6:25" ht="16.5" customHeight="1"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</row>
    <row r="110" spans="6:25" ht="16.5" customHeight="1"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</row>
    <row r="111" spans="6:25" ht="16.5" customHeight="1"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</row>
    <row r="112" spans="6:25" ht="16.5" customHeight="1"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</row>
    <row r="113" spans="6:25" ht="16.5" customHeight="1"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</row>
    <row r="114" spans="6:25" ht="16.5" customHeight="1"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</row>
    <row r="115" spans="6:25" ht="16.5" customHeight="1"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</row>
    <row r="116" spans="6:25" ht="16.5" customHeight="1"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</row>
    <row r="117" spans="6:25" ht="16.5" customHeight="1"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</row>
    <row r="118" spans="6:25" ht="16.5" customHeight="1"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</row>
    <row r="119" spans="6:25" ht="16.5" customHeight="1"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</row>
    <row r="120" spans="6:25" ht="16.5" customHeight="1"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</row>
    <row r="121" spans="6:25" ht="16.5" customHeight="1"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</row>
    <row r="122" spans="6:25" ht="16.5" customHeight="1"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</row>
    <row r="123" spans="6:25" ht="16.5" customHeight="1"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</row>
    <row r="124" spans="6:25" ht="16.5" customHeight="1"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</row>
    <row r="125" spans="6:25" ht="16.5" customHeight="1"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</row>
    <row r="126" spans="6:25" ht="16.5" customHeight="1"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</row>
    <row r="127" spans="6:25" ht="16.5" customHeight="1"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</row>
    <row r="128" spans="6:25" ht="16.5" customHeight="1"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</row>
    <row r="129" spans="6:25" ht="16.5" customHeight="1"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</row>
    <row r="130" spans="6:25" ht="16.5" customHeight="1"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</row>
    <row r="131" spans="6:25" ht="16.5" customHeight="1"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</row>
    <row r="132" spans="6:25" ht="16.5" customHeight="1"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</row>
    <row r="133" spans="6:25" ht="16.5" customHeight="1"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</row>
    <row r="134" spans="6:25" ht="16.5" customHeight="1"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</row>
    <row r="135" spans="6:25" ht="16.5" customHeight="1"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</row>
    <row r="136" spans="6:25" ht="16.5" customHeight="1"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</row>
    <row r="137" spans="6:25" ht="16.5" customHeight="1"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</row>
    <row r="138" spans="6:25" ht="16.5" customHeight="1"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</row>
    <row r="139" spans="6:25" ht="16.5" customHeight="1"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</row>
    <row r="140" spans="6:25" ht="16.5" customHeight="1"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</row>
    <row r="141" spans="6:25" ht="16.5" customHeight="1"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</row>
    <row r="142" spans="6:25" ht="16.5" customHeight="1"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</row>
    <row r="143" spans="6:25" ht="16.5" customHeight="1"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8"/>
    </row>
    <row r="144" spans="6:25" ht="16.5" customHeight="1"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</row>
    <row r="145" spans="6:25" ht="16.5" customHeight="1"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</row>
    <row r="146" spans="6:25" ht="16.5" customHeight="1"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</row>
    <row r="147" spans="6:25" ht="16.5" customHeight="1"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</row>
    <row r="148" spans="6:25" ht="16.5" customHeight="1"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</row>
    <row r="149" spans="6:25" ht="16.5" customHeight="1"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</row>
    <row r="150" spans="6:25" ht="16.5" customHeight="1"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</row>
    <row r="151" spans="6:25" ht="16.5" customHeight="1"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</row>
    <row r="152" spans="6:25" ht="16.5" customHeight="1">
      <c r="F152" s="428"/>
      <c r="G152" s="428"/>
      <c r="H152" s="428"/>
      <c r="I152" s="428"/>
      <c r="J152" s="428"/>
      <c r="K152" s="428"/>
      <c r="L152" s="428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8"/>
      <c r="X152" s="428"/>
      <c r="Y152" s="428"/>
    </row>
    <row r="153" spans="6:25" ht="16.5" customHeight="1">
      <c r="F153" s="428"/>
      <c r="G153" s="428"/>
      <c r="H153" s="428"/>
      <c r="I153" s="428"/>
      <c r="J153" s="428"/>
      <c r="K153" s="428"/>
      <c r="L153" s="428"/>
      <c r="M153" s="428"/>
      <c r="N153" s="428"/>
      <c r="O153" s="428"/>
      <c r="P153" s="428"/>
      <c r="Q153" s="428"/>
      <c r="R153" s="428"/>
      <c r="S153" s="428"/>
      <c r="T153" s="428"/>
      <c r="U153" s="428"/>
      <c r="V153" s="428"/>
      <c r="W153" s="428"/>
      <c r="X153" s="428"/>
      <c r="Y153" s="428"/>
    </row>
    <row r="154" spans="6:25" ht="16.5" customHeight="1">
      <c r="F154" s="428"/>
      <c r="G154" s="428"/>
      <c r="H154" s="428"/>
      <c r="I154" s="428"/>
      <c r="J154" s="428"/>
      <c r="K154" s="428"/>
      <c r="L154" s="428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8"/>
      <c r="X154" s="428"/>
      <c r="Y154" s="428"/>
    </row>
    <row r="155" spans="6:25" ht="16.5" customHeight="1">
      <c r="F155" s="428"/>
      <c r="G155" s="428"/>
      <c r="H155" s="428"/>
      <c r="I155" s="428"/>
      <c r="J155" s="428"/>
      <c r="K155" s="428"/>
      <c r="L155" s="428"/>
      <c r="M155" s="428"/>
      <c r="N155" s="428"/>
      <c r="O155" s="428"/>
      <c r="P155" s="428"/>
      <c r="Q155" s="428"/>
      <c r="R155" s="428"/>
      <c r="S155" s="428"/>
      <c r="T155" s="428"/>
      <c r="U155" s="428"/>
      <c r="V155" s="428"/>
      <c r="W155" s="428"/>
      <c r="X155" s="428"/>
      <c r="Y155" s="428"/>
    </row>
    <row r="156" spans="6:25" ht="16.5" customHeight="1">
      <c r="F156" s="428"/>
      <c r="G156" s="428"/>
      <c r="H156" s="428"/>
      <c r="I156" s="428"/>
      <c r="J156" s="428"/>
      <c r="K156" s="428"/>
      <c r="L156" s="428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8"/>
      <c r="X156" s="428"/>
      <c r="Y156" s="428"/>
    </row>
    <row r="157" spans="6:25" ht="16.5" customHeight="1">
      <c r="F157" s="428"/>
      <c r="G157" s="428"/>
      <c r="H157" s="428"/>
      <c r="I157" s="428"/>
      <c r="J157" s="428"/>
      <c r="K157" s="428"/>
      <c r="L157" s="428"/>
      <c r="M157" s="428"/>
      <c r="N157" s="428"/>
      <c r="O157" s="428"/>
      <c r="P157" s="428"/>
      <c r="Q157" s="428"/>
      <c r="R157" s="428"/>
      <c r="S157" s="428"/>
      <c r="T157" s="428"/>
      <c r="U157" s="428"/>
      <c r="V157" s="428"/>
      <c r="W157" s="428"/>
      <c r="X157" s="428"/>
      <c r="Y157" s="428"/>
    </row>
    <row r="158" spans="6:25" ht="16.5" customHeight="1">
      <c r="F158" s="428"/>
      <c r="G158" s="428"/>
      <c r="H158" s="428"/>
      <c r="I158" s="428"/>
      <c r="J158" s="428"/>
      <c r="K158" s="428"/>
      <c r="L158" s="428"/>
      <c r="M158" s="428"/>
      <c r="N158" s="428"/>
      <c r="O158" s="428"/>
      <c r="P158" s="428"/>
      <c r="Q158" s="428"/>
      <c r="R158" s="428"/>
      <c r="S158" s="428"/>
      <c r="T158" s="428"/>
      <c r="U158" s="428"/>
      <c r="V158" s="428"/>
      <c r="W158" s="428"/>
      <c r="X158" s="428"/>
      <c r="Y158" s="428"/>
    </row>
    <row r="159" spans="6:25" ht="16.5" customHeight="1">
      <c r="F159" s="428"/>
      <c r="G159" s="428"/>
      <c r="H159" s="428"/>
      <c r="I159" s="428"/>
      <c r="J159" s="428"/>
      <c r="K159" s="428"/>
      <c r="L159" s="428"/>
      <c r="M159" s="428"/>
      <c r="N159" s="428"/>
      <c r="O159" s="428"/>
      <c r="P159" s="428"/>
      <c r="Q159" s="428"/>
      <c r="R159" s="428"/>
      <c r="S159" s="428"/>
      <c r="T159" s="428"/>
      <c r="U159" s="428"/>
      <c r="V159" s="428"/>
      <c r="W159" s="428"/>
      <c r="X159" s="428"/>
      <c r="Y159" s="428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"/>
  <sheetViews>
    <sheetView zoomScale="70" zoomScaleNormal="70" zoomScalePageLayoutView="0" workbookViewId="0" topLeftCell="A1">
      <selection activeCell="B3" sqref="B3"/>
    </sheetView>
  </sheetViews>
  <sheetFormatPr defaultColWidth="11.421875" defaultRowHeight="16.5" customHeight="1"/>
  <cols>
    <col min="1" max="2" width="4.140625" style="9" customWidth="1"/>
    <col min="3" max="3" width="5.57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+'TOT-0115'!B2</f>
        <v>ANEXO II al Memorándum D.T.E.E. N° 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471"/>
    </row>
    <row r="8" spans="2:23" s="18" customFormat="1" ht="20.25">
      <c r="B8" s="96"/>
      <c r="C8" s="23"/>
      <c r="D8" s="23"/>
      <c r="E8" s="23"/>
      <c r="F8" s="472" t="s">
        <v>24</v>
      </c>
      <c r="N8" s="298"/>
      <c r="O8" s="298"/>
      <c r="P8" s="300"/>
      <c r="Q8" s="23"/>
      <c r="R8" s="23"/>
      <c r="S8" s="23"/>
      <c r="T8" s="23"/>
      <c r="U8" s="23"/>
      <c r="V8" s="23"/>
      <c r="W8" s="473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250" customFormat="1" ht="33" customHeight="1">
      <c r="B10" s="251"/>
      <c r="C10" s="252"/>
      <c r="D10" s="252"/>
      <c r="E10" s="252"/>
      <c r="F10" s="540" t="s">
        <v>65</v>
      </c>
      <c r="G10" s="541"/>
      <c r="H10" s="451"/>
      <c r="I10" s="542"/>
      <c r="K10" s="542"/>
      <c r="L10" s="542"/>
      <c r="M10" s="542"/>
      <c r="N10" s="542"/>
      <c r="O10" s="542"/>
      <c r="P10" s="542"/>
      <c r="Q10" s="252"/>
      <c r="R10" s="252"/>
      <c r="S10" s="252"/>
      <c r="T10" s="252"/>
      <c r="U10" s="252"/>
      <c r="V10" s="252"/>
      <c r="W10" s="543"/>
    </row>
    <row r="11" spans="2:23" s="255" customFormat="1" ht="33" customHeight="1">
      <c r="B11" s="256"/>
      <c r="C11" s="257"/>
      <c r="D11" s="257"/>
      <c r="E11" s="257"/>
      <c r="F11" s="540" t="s">
        <v>73</v>
      </c>
      <c r="G11" s="544"/>
      <c r="H11" s="430"/>
      <c r="I11" s="545"/>
      <c r="J11" s="546"/>
      <c r="K11" s="545"/>
      <c r="L11" s="545"/>
      <c r="M11" s="545"/>
      <c r="N11" s="545"/>
      <c r="O11" s="545"/>
      <c r="P11" s="545"/>
      <c r="Q11" s="257"/>
      <c r="R11" s="257"/>
      <c r="S11" s="257"/>
      <c r="T11" s="257"/>
      <c r="U11" s="257"/>
      <c r="V11" s="257"/>
      <c r="W11" s="547"/>
    </row>
    <row r="12" spans="2:23" s="8" customFormat="1" ht="19.5">
      <c r="B12" s="35" t="str">
        <f>'TOT-0115'!B14</f>
        <v>Desde el 01 al 31 de enero de 2015</v>
      </c>
      <c r="C12" s="39"/>
      <c r="D12" s="39"/>
      <c r="E12" s="39"/>
      <c r="F12" s="39"/>
      <c r="G12" s="39"/>
      <c r="H12" s="39"/>
      <c r="I12" s="479"/>
      <c r="J12" s="479"/>
      <c r="K12" s="479"/>
      <c r="L12" s="479"/>
      <c r="M12" s="479"/>
      <c r="N12" s="479"/>
      <c r="O12" s="479"/>
      <c r="P12" s="479"/>
      <c r="Q12" s="39"/>
      <c r="R12" s="39"/>
      <c r="S12" s="39"/>
      <c r="T12" s="39"/>
      <c r="U12" s="39"/>
      <c r="V12" s="39"/>
      <c r="W12" s="480"/>
    </row>
    <row r="13" spans="2:23" s="8" customFormat="1" ht="14.25" thickBot="1">
      <c r="B13" s="481"/>
      <c r="C13" s="482"/>
      <c r="D13" s="482"/>
      <c r="E13" s="482"/>
      <c r="F13" s="482"/>
      <c r="G13" s="482"/>
      <c r="H13" s="482"/>
      <c r="I13" s="483"/>
      <c r="J13" s="483"/>
      <c r="K13" s="483"/>
      <c r="L13" s="483"/>
      <c r="M13" s="483"/>
      <c r="N13" s="483"/>
      <c r="O13" s="483"/>
      <c r="P13" s="483"/>
      <c r="Q13" s="482"/>
      <c r="R13" s="482"/>
      <c r="S13" s="482"/>
      <c r="T13" s="482"/>
      <c r="U13" s="482"/>
      <c r="V13" s="482"/>
      <c r="W13" s="484"/>
    </row>
    <row r="14" spans="2:23" s="8" customFormat="1" ht="15" thickBot="1" thickTop="1">
      <c r="B14" s="55"/>
      <c r="C14" s="11"/>
      <c r="D14" s="11"/>
      <c r="E14" s="11"/>
      <c r="F14" s="485"/>
      <c r="G14" s="485"/>
      <c r="H14" s="486" t="s">
        <v>67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87" t="s">
        <v>68</v>
      </c>
      <c r="G15" s="488">
        <v>81.857</v>
      </c>
      <c r="H15" s="489">
        <v>200</v>
      </c>
      <c r="V15" s="110"/>
      <c r="W15" s="60"/>
    </row>
    <row r="16" spans="2:23" s="8" customFormat="1" ht="16.5" customHeight="1" thickBot="1" thickTop="1">
      <c r="B16" s="55"/>
      <c r="C16" s="11"/>
      <c r="D16" s="11"/>
      <c r="E16" s="11"/>
      <c r="F16" s="490" t="s">
        <v>69</v>
      </c>
      <c r="G16" s="491" t="s">
        <v>74</v>
      </c>
      <c r="H16" s="489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92" t="s">
        <v>70</v>
      </c>
      <c r="G17" s="548">
        <v>65.489</v>
      </c>
      <c r="H17" s="489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60"/>
    </row>
    <row r="19" spans="2:23" s="8" customFormat="1" ht="33.75" customHeight="1" thickBot="1" thickTop="1">
      <c r="B19" s="55"/>
      <c r="C19" s="332" t="s">
        <v>29</v>
      </c>
      <c r="D19" s="112" t="s">
        <v>30</v>
      </c>
      <c r="E19" s="112" t="s">
        <v>31</v>
      </c>
      <c r="F19" s="115" t="s">
        <v>58</v>
      </c>
      <c r="G19" s="493" t="s">
        <v>59</v>
      </c>
      <c r="H19" s="494" t="s">
        <v>32</v>
      </c>
      <c r="I19" s="337" t="s">
        <v>36</v>
      </c>
      <c r="J19" s="113" t="s">
        <v>37</v>
      </c>
      <c r="K19" s="493" t="s">
        <v>38</v>
      </c>
      <c r="L19" s="495" t="s">
        <v>39</v>
      </c>
      <c r="M19" s="495" t="s">
        <v>40</v>
      </c>
      <c r="N19" s="120" t="s">
        <v>171</v>
      </c>
      <c r="O19" s="119" t="s">
        <v>43</v>
      </c>
      <c r="P19" s="496" t="s">
        <v>35</v>
      </c>
      <c r="Q19" s="497" t="s">
        <v>71</v>
      </c>
      <c r="R19" s="498" t="s">
        <v>72</v>
      </c>
      <c r="S19" s="499"/>
      <c r="T19" s="500" t="s">
        <v>48</v>
      </c>
      <c r="U19" s="131" t="s">
        <v>50</v>
      </c>
      <c r="V19" s="336" t="s">
        <v>51</v>
      </c>
      <c r="W19" s="60"/>
    </row>
    <row r="20" spans="2:23" s="8" customFormat="1" ht="16.5" customHeight="1" thickTop="1">
      <c r="B20" s="55"/>
      <c r="C20" s="346"/>
      <c r="D20" s="346"/>
      <c r="E20" s="346"/>
      <c r="F20" s="501"/>
      <c r="G20" s="501"/>
      <c r="H20" s="501"/>
      <c r="I20" s="282"/>
      <c r="J20" s="501"/>
      <c r="K20" s="501"/>
      <c r="L20" s="501"/>
      <c r="M20" s="501"/>
      <c r="N20" s="501"/>
      <c r="O20" s="501"/>
      <c r="P20" s="502"/>
      <c r="Q20" s="503"/>
      <c r="R20" s="504"/>
      <c r="S20" s="505"/>
      <c r="T20" s="506"/>
      <c r="U20" s="501"/>
      <c r="V20" s="507"/>
      <c r="W20" s="60"/>
    </row>
    <row r="21" spans="2:23" s="8" customFormat="1" ht="16.5" customHeight="1">
      <c r="B21" s="55"/>
      <c r="C21" s="151"/>
      <c r="D21" s="151"/>
      <c r="E21" s="151"/>
      <c r="F21" s="508"/>
      <c r="G21" s="508"/>
      <c r="H21" s="508"/>
      <c r="I21" s="509"/>
      <c r="J21" s="508"/>
      <c r="K21" s="508"/>
      <c r="L21" s="508"/>
      <c r="M21" s="508"/>
      <c r="N21" s="508"/>
      <c r="O21" s="508"/>
      <c r="P21" s="510"/>
      <c r="Q21" s="511"/>
      <c r="R21" s="512"/>
      <c r="S21" s="513"/>
      <c r="T21" s="514"/>
      <c r="U21" s="508"/>
      <c r="V21" s="515"/>
      <c r="W21" s="60"/>
    </row>
    <row r="22" spans="2:23" s="8" customFormat="1" ht="16.5" customHeight="1">
      <c r="B22" s="55"/>
      <c r="C22" s="151">
        <v>49</v>
      </c>
      <c r="D22" s="151">
        <v>283182</v>
      </c>
      <c r="E22" s="170">
        <v>2588</v>
      </c>
      <c r="F22" s="516" t="s">
        <v>219</v>
      </c>
      <c r="G22" s="516" t="s">
        <v>220</v>
      </c>
      <c r="H22" s="517">
        <v>132</v>
      </c>
      <c r="I22" s="518">
        <f aca="true" t="shared" si="0" ref="I22:I41">IF(H22=500,$G$15,IF(H22=220,$G$16,$G$17))</f>
        <v>65.489</v>
      </c>
      <c r="J22" s="519">
        <v>42006.37152777778</v>
      </c>
      <c r="K22" s="520">
        <v>42006.59722222222</v>
      </c>
      <c r="L22" s="521">
        <f aca="true" t="shared" si="1" ref="L22:L41">IF(F22="","",(K22-J22)*24)</f>
        <v>5.416666666511446</v>
      </c>
      <c r="M22" s="522">
        <f aca="true" t="shared" si="2" ref="M22:M41">IF(F22="","",ROUND((K22-J22)*24*60,0))</f>
        <v>325</v>
      </c>
      <c r="N22" s="179" t="s">
        <v>187</v>
      </c>
      <c r="O22" s="181" t="str">
        <f aca="true" t="shared" si="3" ref="O22:O41">IF(F22="","",IF(N22="P","--","NO"))</f>
        <v>--</v>
      </c>
      <c r="P22" s="523">
        <f aca="true" t="shared" si="4" ref="P22:P41">IF(H22=500,$H$15,IF(H22=220,$H$16,$H$17))</f>
        <v>40</v>
      </c>
      <c r="Q22" s="524">
        <f aca="true" t="shared" si="5" ref="Q22:Q41">IF(N22="P",I22*P22*ROUND(M22/60,2)*0.1,"--")</f>
        <v>1419.8015200000002</v>
      </c>
      <c r="R22" s="512" t="str">
        <f aca="true" t="shared" si="6" ref="R22:R41">IF(AND(N22="F",O22="NO"),I22*P22,"--")</f>
        <v>--</v>
      </c>
      <c r="S22" s="513" t="str">
        <f aca="true" t="shared" si="7" ref="S22:S41">IF(N22="F",I22*P22*ROUND(M22/60,2),"--")</f>
        <v>--</v>
      </c>
      <c r="T22" s="514" t="str">
        <f aca="true" t="shared" si="8" ref="T22:T41">IF(N22="RF",I22*P22*ROUND(M22/60,2),"--")</f>
        <v>--</v>
      </c>
      <c r="U22" s="181" t="s">
        <v>82</v>
      </c>
      <c r="V22" s="525">
        <f aca="true" t="shared" si="9" ref="V22:V41">IF(F22="","",SUM(Q22:T22)*IF(U22="SI",1,2))</f>
        <v>1419.8015200000002</v>
      </c>
      <c r="W22" s="60"/>
    </row>
    <row r="23" spans="2:23" s="8" customFormat="1" ht="16.5" customHeight="1">
      <c r="B23" s="55"/>
      <c r="C23" s="151">
        <v>50</v>
      </c>
      <c r="D23" s="151">
        <v>283383</v>
      </c>
      <c r="E23" s="151">
        <v>2594</v>
      </c>
      <c r="F23" s="516" t="s">
        <v>221</v>
      </c>
      <c r="G23" s="516" t="s">
        <v>222</v>
      </c>
      <c r="H23" s="517">
        <v>132</v>
      </c>
      <c r="I23" s="518">
        <f t="shared" si="0"/>
        <v>65.489</v>
      </c>
      <c r="J23" s="519">
        <v>42013.38055555556</v>
      </c>
      <c r="K23" s="520">
        <v>42013.629166666666</v>
      </c>
      <c r="L23" s="521">
        <f t="shared" si="1"/>
        <v>5.966666666558012</v>
      </c>
      <c r="M23" s="522">
        <f t="shared" si="2"/>
        <v>358</v>
      </c>
      <c r="N23" s="179" t="s">
        <v>187</v>
      </c>
      <c r="O23" s="181" t="str">
        <f t="shared" si="3"/>
        <v>--</v>
      </c>
      <c r="P23" s="523">
        <f t="shared" si="4"/>
        <v>40</v>
      </c>
      <c r="Q23" s="524">
        <f t="shared" si="5"/>
        <v>1563.8773200000003</v>
      </c>
      <c r="R23" s="512" t="str">
        <f t="shared" si="6"/>
        <v>--</v>
      </c>
      <c r="S23" s="513" t="str">
        <f t="shared" si="7"/>
        <v>--</v>
      </c>
      <c r="T23" s="514" t="str">
        <f t="shared" si="8"/>
        <v>--</v>
      </c>
      <c r="U23" s="181" t="s">
        <v>82</v>
      </c>
      <c r="V23" s="525">
        <f t="shared" si="9"/>
        <v>1563.8773200000003</v>
      </c>
      <c r="W23" s="60"/>
    </row>
    <row r="24" spans="2:23" s="8" customFormat="1" ht="16.5" customHeight="1">
      <c r="B24" s="55"/>
      <c r="C24" s="151">
        <v>51</v>
      </c>
      <c r="D24" s="151">
        <v>283651</v>
      </c>
      <c r="E24" s="170">
        <v>2604</v>
      </c>
      <c r="F24" s="516" t="s">
        <v>223</v>
      </c>
      <c r="G24" s="516" t="s">
        <v>224</v>
      </c>
      <c r="H24" s="517">
        <v>132</v>
      </c>
      <c r="I24" s="518">
        <f t="shared" si="0"/>
        <v>65.489</v>
      </c>
      <c r="J24" s="519">
        <v>42018.38402777778</v>
      </c>
      <c r="K24" s="520">
        <v>42018.615277777775</v>
      </c>
      <c r="L24" s="521">
        <f t="shared" si="1"/>
        <v>5.549999999930151</v>
      </c>
      <c r="M24" s="522">
        <f t="shared" si="2"/>
        <v>333</v>
      </c>
      <c r="N24" s="179" t="s">
        <v>187</v>
      </c>
      <c r="O24" s="181" t="str">
        <f t="shared" si="3"/>
        <v>--</v>
      </c>
      <c r="P24" s="523">
        <f t="shared" si="4"/>
        <v>40</v>
      </c>
      <c r="Q24" s="524">
        <f t="shared" si="5"/>
        <v>1453.8558000000003</v>
      </c>
      <c r="R24" s="512" t="str">
        <f t="shared" si="6"/>
        <v>--</v>
      </c>
      <c r="S24" s="513" t="str">
        <f t="shared" si="7"/>
        <v>--</v>
      </c>
      <c r="T24" s="514" t="str">
        <f t="shared" si="8"/>
        <v>--</v>
      </c>
      <c r="U24" s="181" t="s">
        <v>82</v>
      </c>
      <c r="V24" s="525">
        <f t="shared" si="9"/>
        <v>1453.8558000000003</v>
      </c>
      <c r="W24" s="60"/>
    </row>
    <row r="25" spans="2:23" s="8" customFormat="1" ht="16.5" customHeight="1">
      <c r="B25" s="55"/>
      <c r="C25" s="151">
        <v>52</v>
      </c>
      <c r="D25" s="151">
        <v>283817</v>
      </c>
      <c r="E25" s="151">
        <v>2605</v>
      </c>
      <c r="F25" s="516" t="s">
        <v>223</v>
      </c>
      <c r="G25" s="516" t="s">
        <v>225</v>
      </c>
      <c r="H25" s="517">
        <v>132</v>
      </c>
      <c r="I25" s="518">
        <f t="shared" si="0"/>
        <v>65.489</v>
      </c>
      <c r="J25" s="519">
        <v>42024.260416666664</v>
      </c>
      <c r="K25" s="520">
        <v>42024.63402777778</v>
      </c>
      <c r="L25" s="521">
        <f t="shared" si="1"/>
        <v>8.966666666732635</v>
      </c>
      <c r="M25" s="522">
        <f t="shared" si="2"/>
        <v>538</v>
      </c>
      <c r="N25" s="179" t="s">
        <v>187</v>
      </c>
      <c r="O25" s="181" t="str">
        <f t="shared" si="3"/>
        <v>--</v>
      </c>
      <c r="P25" s="523">
        <f t="shared" si="4"/>
        <v>40</v>
      </c>
      <c r="Q25" s="524">
        <f t="shared" si="5"/>
        <v>2349.7453200000004</v>
      </c>
      <c r="R25" s="512" t="str">
        <f t="shared" si="6"/>
        <v>--</v>
      </c>
      <c r="S25" s="513" t="str">
        <f t="shared" si="7"/>
        <v>--</v>
      </c>
      <c r="T25" s="514" t="str">
        <f t="shared" si="8"/>
        <v>--</v>
      </c>
      <c r="U25" s="181" t="s">
        <v>82</v>
      </c>
      <c r="V25" s="525">
        <f t="shared" si="9"/>
        <v>2349.7453200000004</v>
      </c>
      <c r="W25" s="60"/>
    </row>
    <row r="26" spans="2:23" s="8" customFormat="1" ht="16.5" customHeight="1">
      <c r="B26" s="55"/>
      <c r="C26" s="151">
        <v>53</v>
      </c>
      <c r="D26" s="151">
        <v>283819</v>
      </c>
      <c r="E26" s="170">
        <v>2585</v>
      </c>
      <c r="F26" s="516" t="s">
        <v>226</v>
      </c>
      <c r="G26" s="516" t="s">
        <v>227</v>
      </c>
      <c r="H26" s="517">
        <v>132</v>
      </c>
      <c r="I26" s="518">
        <f t="shared" si="0"/>
        <v>65.489</v>
      </c>
      <c r="J26" s="519">
        <v>42024.31041666667</v>
      </c>
      <c r="K26" s="520">
        <v>42024.57708333333</v>
      </c>
      <c r="L26" s="521">
        <f t="shared" si="1"/>
        <v>6.399999999906868</v>
      </c>
      <c r="M26" s="522">
        <f t="shared" si="2"/>
        <v>384</v>
      </c>
      <c r="N26" s="179" t="s">
        <v>187</v>
      </c>
      <c r="O26" s="181" t="str">
        <f t="shared" si="3"/>
        <v>--</v>
      </c>
      <c r="P26" s="523">
        <f t="shared" si="4"/>
        <v>40</v>
      </c>
      <c r="Q26" s="524">
        <f t="shared" si="5"/>
        <v>1676.5184000000006</v>
      </c>
      <c r="R26" s="512" t="str">
        <f t="shared" si="6"/>
        <v>--</v>
      </c>
      <c r="S26" s="513" t="str">
        <f t="shared" si="7"/>
        <v>--</v>
      </c>
      <c r="T26" s="514" t="str">
        <f t="shared" si="8"/>
        <v>--</v>
      </c>
      <c r="U26" s="181" t="s">
        <v>82</v>
      </c>
      <c r="V26" s="525">
        <f t="shared" si="9"/>
        <v>1676.5184000000006</v>
      </c>
      <c r="W26" s="60"/>
    </row>
    <row r="27" spans="2:23" s="8" customFormat="1" ht="16.5" customHeight="1">
      <c r="B27" s="55"/>
      <c r="C27" s="151">
        <v>54</v>
      </c>
      <c r="D27" s="151">
        <v>283825</v>
      </c>
      <c r="E27" s="151">
        <v>2605</v>
      </c>
      <c r="F27" s="516" t="s">
        <v>223</v>
      </c>
      <c r="G27" s="516" t="s">
        <v>225</v>
      </c>
      <c r="H27" s="517">
        <v>132</v>
      </c>
      <c r="I27" s="518">
        <f t="shared" si="0"/>
        <v>65.489</v>
      </c>
      <c r="J27" s="519">
        <v>42025.375</v>
      </c>
      <c r="K27" s="520">
        <v>42025.506944444445</v>
      </c>
      <c r="L27" s="521">
        <f t="shared" si="1"/>
        <v>3.166666666686069</v>
      </c>
      <c r="M27" s="522">
        <f t="shared" si="2"/>
        <v>190</v>
      </c>
      <c r="N27" s="179" t="s">
        <v>187</v>
      </c>
      <c r="O27" s="181" t="str">
        <f t="shared" si="3"/>
        <v>--</v>
      </c>
      <c r="P27" s="523">
        <f t="shared" si="4"/>
        <v>40</v>
      </c>
      <c r="Q27" s="524">
        <f t="shared" si="5"/>
        <v>830.4005200000001</v>
      </c>
      <c r="R27" s="512" t="str">
        <f t="shared" si="6"/>
        <v>--</v>
      </c>
      <c r="S27" s="513" t="str">
        <f t="shared" si="7"/>
        <v>--</v>
      </c>
      <c r="T27" s="514" t="str">
        <f t="shared" si="8"/>
        <v>--</v>
      </c>
      <c r="U27" s="181" t="s">
        <v>82</v>
      </c>
      <c r="V27" s="525">
        <f t="shared" si="9"/>
        <v>830.4005200000001</v>
      </c>
      <c r="W27" s="60"/>
    </row>
    <row r="28" spans="2:23" s="8" customFormat="1" ht="16.5" customHeight="1">
      <c r="B28" s="55"/>
      <c r="C28" s="151">
        <v>55</v>
      </c>
      <c r="D28" s="151">
        <v>284207</v>
      </c>
      <c r="E28" s="170">
        <v>2586</v>
      </c>
      <c r="F28" s="516" t="s">
        <v>226</v>
      </c>
      <c r="G28" s="516" t="s">
        <v>228</v>
      </c>
      <c r="H28" s="517">
        <v>132</v>
      </c>
      <c r="I28" s="518">
        <f t="shared" si="0"/>
        <v>65.489</v>
      </c>
      <c r="J28" s="519">
        <v>42031.35555555556</v>
      </c>
      <c r="K28" s="520">
        <v>42031.56319444445</v>
      </c>
      <c r="L28" s="521">
        <f t="shared" si="1"/>
        <v>4.983333333337214</v>
      </c>
      <c r="M28" s="522">
        <f t="shared" si="2"/>
        <v>299</v>
      </c>
      <c r="N28" s="179" t="s">
        <v>187</v>
      </c>
      <c r="O28" s="181" t="str">
        <f t="shared" si="3"/>
        <v>--</v>
      </c>
      <c r="P28" s="523">
        <f t="shared" si="4"/>
        <v>40</v>
      </c>
      <c r="Q28" s="524">
        <f t="shared" si="5"/>
        <v>1304.5408800000005</v>
      </c>
      <c r="R28" s="512" t="str">
        <f t="shared" si="6"/>
        <v>--</v>
      </c>
      <c r="S28" s="513" t="str">
        <f t="shared" si="7"/>
        <v>--</v>
      </c>
      <c r="T28" s="514" t="str">
        <f t="shared" si="8"/>
        <v>--</v>
      </c>
      <c r="U28" s="181" t="s">
        <v>82</v>
      </c>
      <c r="V28" s="525">
        <f t="shared" si="9"/>
        <v>1304.5408800000005</v>
      </c>
      <c r="W28" s="60"/>
    </row>
    <row r="29" spans="2:23" s="8" customFormat="1" ht="16.5" customHeight="1">
      <c r="B29" s="55"/>
      <c r="C29" s="151">
        <v>56</v>
      </c>
      <c r="D29" s="151">
        <v>284211</v>
      </c>
      <c r="E29" s="151">
        <v>2586</v>
      </c>
      <c r="F29" s="516" t="s">
        <v>226</v>
      </c>
      <c r="G29" s="516" t="s">
        <v>228</v>
      </c>
      <c r="H29" s="517">
        <v>132</v>
      </c>
      <c r="I29" s="518">
        <f t="shared" si="0"/>
        <v>65.489</v>
      </c>
      <c r="J29" s="519">
        <v>42032.375</v>
      </c>
      <c r="K29" s="520">
        <v>42032.71319444444</v>
      </c>
      <c r="L29" s="521">
        <f t="shared" si="1"/>
        <v>8.116666666581295</v>
      </c>
      <c r="M29" s="522">
        <f t="shared" si="2"/>
        <v>487</v>
      </c>
      <c r="N29" s="179" t="s">
        <v>187</v>
      </c>
      <c r="O29" s="181" t="str">
        <f t="shared" si="3"/>
        <v>--</v>
      </c>
      <c r="P29" s="523">
        <f t="shared" si="4"/>
        <v>40</v>
      </c>
      <c r="Q29" s="524">
        <f t="shared" si="5"/>
        <v>2127.08272</v>
      </c>
      <c r="R29" s="512" t="str">
        <f t="shared" si="6"/>
        <v>--</v>
      </c>
      <c r="S29" s="513" t="str">
        <f t="shared" si="7"/>
        <v>--</v>
      </c>
      <c r="T29" s="514" t="str">
        <f t="shared" si="8"/>
        <v>--</v>
      </c>
      <c r="U29" s="181" t="s">
        <v>82</v>
      </c>
      <c r="V29" s="525">
        <f t="shared" si="9"/>
        <v>2127.08272</v>
      </c>
      <c r="W29" s="60"/>
    </row>
    <row r="30" spans="2:23" s="8" customFormat="1" ht="16.5" customHeight="1">
      <c r="B30" s="55"/>
      <c r="C30" s="151">
        <v>57</v>
      </c>
      <c r="D30" s="151">
        <v>284212</v>
      </c>
      <c r="E30" s="170">
        <v>2605</v>
      </c>
      <c r="F30" s="516" t="s">
        <v>223</v>
      </c>
      <c r="G30" s="516" t="s">
        <v>225</v>
      </c>
      <c r="H30" s="517">
        <v>132</v>
      </c>
      <c r="I30" s="518">
        <f t="shared" si="0"/>
        <v>65.489</v>
      </c>
      <c r="J30" s="519">
        <v>42034.76180555556</v>
      </c>
      <c r="K30" s="520">
        <v>42035.17847222222</v>
      </c>
      <c r="L30" s="521">
        <f t="shared" si="1"/>
        <v>9.999999999941792</v>
      </c>
      <c r="M30" s="522">
        <f t="shared" si="2"/>
        <v>600</v>
      </c>
      <c r="N30" s="179" t="s">
        <v>187</v>
      </c>
      <c r="O30" s="181" t="str">
        <f t="shared" si="3"/>
        <v>--</v>
      </c>
      <c r="P30" s="523">
        <f t="shared" si="4"/>
        <v>40</v>
      </c>
      <c r="Q30" s="524">
        <f t="shared" si="5"/>
        <v>2619.560000000001</v>
      </c>
      <c r="R30" s="512" t="str">
        <f t="shared" si="6"/>
        <v>--</v>
      </c>
      <c r="S30" s="513" t="str">
        <f t="shared" si="7"/>
        <v>--</v>
      </c>
      <c r="T30" s="514" t="str">
        <f t="shared" si="8"/>
        <v>--</v>
      </c>
      <c r="U30" s="181" t="s">
        <v>82</v>
      </c>
      <c r="V30" s="525">
        <f t="shared" si="9"/>
        <v>2619.560000000001</v>
      </c>
      <c r="W30" s="60"/>
    </row>
    <row r="31" spans="2:23" s="8" customFormat="1" ht="16.5" customHeight="1">
      <c r="B31" s="55"/>
      <c r="C31" s="151"/>
      <c r="D31" s="151"/>
      <c r="E31" s="151"/>
      <c r="F31" s="516"/>
      <c r="G31" s="516"/>
      <c r="H31" s="517"/>
      <c r="I31" s="518">
        <f t="shared" si="0"/>
        <v>65.489</v>
      </c>
      <c r="J31" s="519"/>
      <c r="K31" s="520"/>
      <c r="L31" s="521">
        <f t="shared" si="1"/>
      </c>
      <c r="M31" s="522">
        <f t="shared" si="2"/>
      </c>
      <c r="N31" s="179"/>
      <c r="O31" s="181">
        <f t="shared" si="3"/>
      </c>
      <c r="P31" s="523">
        <f t="shared" si="4"/>
        <v>40</v>
      </c>
      <c r="Q31" s="524" t="str">
        <f t="shared" si="5"/>
        <v>--</v>
      </c>
      <c r="R31" s="512" t="str">
        <f t="shared" si="6"/>
        <v>--</v>
      </c>
      <c r="S31" s="513" t="str">
        <f t="shared" si="7"/>
        <v>--</v>
      </c>
      <c r="T31" s="514" t="str">
        <f t="shared" si="8"/>
        <v>--</v>
      </c>
      <c r="U31" s="181">
        <f aca="true" t="shared" si="10" ref="U31:U41">IF(F31="","","SI")</f>
      </c>
      <c r="V31" s="525">
        <f t="shared" si="9"/>
      </c>
      <c r="W31" s="60"/>
    </row>
    <row r="32" spans="2:23" s="8" customFormat="1" ht="16.5" customHeight="1">
      <c r="B32" s="55"/>
      <c r="C32" s="151"/>
      <c r="D32" s="151"/>
      <c r="E32" s="170"/>
      <c r="F32" s="516"/>
      <c r="G32" s="516"/>
      <c r="H32" s="517"/>
      <c r="I32" s="518">
        <f t="shared" si="0"/>
        <v>65.489</v>
      </c>
      <c r="J32" s="519"/>
      <c r="K32" s="520"/>
      <c r="L32" s="521">
        <f t="shared" si="1"/>
      </c>
      <c r="M32" s="522">
        <f t="shared" si="2"/>
      </c>
      <c r="N32" s="179"/>
      <c r="O32" s="181">
        <f t="shared" si="3"/>
      </c>
      <c r="P32" s="523">
        <f t="shared" si="4"/>
        <v>40</v>
      </c>
      <c r="Q32" s="524" t="str">
        <f t="shared" si="5"/>
        <v>--</v>
      </c>
      <c r="R32" s="512" t="str">
        <f t="shared" si="6"/>
        <v>--</v>
      </c>
      <c r="S32" s="513" t="str">
        <f t="shared" si="7"/>
        <v>--</v>
      </c>
      <c r="T32" s="514" t="str">
        <f t="shared" si="8"/>
        <v>--</v>
      </c>
      <c r="U32" s="181">
        <f t="shared" si="10"/>
      </c>
      <c r="V32" s="525">
        <f t="shared" si="9"/>
      </c>
      <c r="W32" s="60"/>
    </row>
    <row r="33" spans="2:23" s="8" customFormat="1" ht="16.5" customHeight="1">
      <c r="B33" s="55"/>
      <c r="C33" s="151"/>
      <c r="D33" s="151"/>
      <c r="E33" s="151"/>
      <c r="F33" s="516"/>
      <c r="G33" s="516"/>
      <c r="H33" s="517"/>
      <c r="I33" s="518">
        <f t="shared" si="0"/>
        <v>65.489</v>
      </c>
      <c r="J33" s="519"/>
      <c r="K33" s="520"/>
      <c r="L33" s="521">
        <f t="shared" si="1"/>
      </c>
      <c r="M33" s="522">
        <f t="shared" si="2"/>
      </c>
      <c r="N33" s="179"/>
      <c r="O33" s="181">
        <f t="shared" si="3"/>
      </c>
      <c r="P33" s="523">
        <f t="shared" si="4"/>
        <v>40</v>
      </c>
      <c r="Q33" s="524" t="str">
        <f t="shared" si="5"/>
        <v>--</v>
      </c>
      <c r="R33" s="512" t="str">
        <f t="shared" si="6"/>
        <v>--</v>
      </c>
      <c r="S33" s="513" t="str">
        <f t="shared" si="7"/>
        <v>--</v>
      </c>
      <c r="T33" s="514" t="str">
        <f t="shared" si="8"/>
        <v>--</v>
      </c>
      <c r="U33" s="181">
        <f t="shared" si="10"/>
      </c>
      <c r="V33" s="525">
        <f t="shared" si="9"/>
      </c>
      <c r="W33" s="60"/>
    </row>
    <row r="34" spans="2:23" s="8" customFormat="1" ht="16.5" customHeight="1">
      <c r="B34" s="55"/>
      <c r="C34" s="151"/>
      <c r="D34" s="151"/>
      <c r="E34" s="170"/>
      <c r="F34" s="516"/>
      <c r="G34" s="516"/>
      <c r="H34" s="517"/>
      <c r="I34" s="518">
        <f t="shared" si="0"/>
        <v>65.489</v>
      </c>
      <c r="J34" s="519"/>
      <c r="K34" s="520"/>
      <c r="L34" s="521">
        <f t="shared" si="1"/>
      </c>
      <c r="M34" s="522">
        <f t="shared" si="2"/>
      </c>
      <c r="N34" s="179"/>
      <c r="O34" s="181">
        <f t="shared" si="3"/>
      </c>
      <c r="P34" s="523">
        <f t="shared" si="4"/>
        <v>40</v>
      </c>
      <c r="Q34" s="524" t="str">
        <f t="shared" si="5"/>
        <v>--</v>
      </c>
      <c r="R34" s="512" t="str">
        <f t="shared" si="6"/>
        <v>--</v>
      </c>
      <c r="S34" s="513" t="str">
        <f t="shared" si="7"/>
        <v>--</v>
      </c>
      <c r="T34" s="514" t="str">
        <f t="shared" si="8"/>
        <v>--</v>
      </c>
      <c r="U34" s="181">
        <f t="shared" si="10"/>
      </c>
      <c r="V34" s="525">
        <f t="shared" si="9"/>
      </c>
      <c r="W34" s="60"/>
    </row>
    <row r="35" spans="2:23" s="8" customFormat="1" ht="16.5" customHeight="1">
      <c r="B35" s="55"/>
      <c r="C35" s="151"/>
      <c r="D35" s="151"/>
      <c r="E35" s="151"/>
      <c r="F35" s="516"/>
      <c r="G35" s="516"/>
      <c r="H35" s="517"/>
      <c r="I35" s="518">
        <f t="shared" si="0"/>
        <v>65.489</v>
      </c>
      <c r="J35" s="519"/>
      <c r="K35" s="520"/>
      <c r="L35" s="521">
        <f t="shared" si="1"/>
      </c>
      <c r="M35" s="522">
        <f t="shared" si="2"/>
      </c>
      <c r="N35" s="179"/>
      <c r="O35" s="181">
        <f t="shared" si="3"/>
      </c>
      <c r="P35" s="523">
        <f t="shared" si="4"/>
        <v>40</v>
      </c>
      <c r="Q35" s="524" t="str">
        <f t="shared" si="5"/>
        <v>--</v>
      </c>
      <c r="R35" s="512" t="str">
        <f t="shared" si="6"/>
        <v>--</v>
      </c>
      <c r="S35" s="513" t="str">
        <f t="shared" si="7"/>
        <v>--</v>
      </c>
      <c r="T35" s="514" t="str">
        <f t="shared" si="8"/>
        <v>--</v>
      </c>
      <c r="U35" s="181">
        <f t="shared" si="10"/>
      </c>
      <c r="V35" s="525">
        <f t="shared" si="9"/>
      </c>
      <c r="W35" s="60"/>
    </row>
    <row r="36" spans="2:23" s="8" customFormat="1" ht="16.5" customHeight="1">
      <c r="B36" s="55"/>
      <c r="C36" s="151"/>
      <c r="D36" s="151"/>
      <c r="E36" s="170"/>
      <c r="F36" s="516"/>
      <c r="G36" s="516"/>
      <c r="H36" s="517"/>
      <c r="I36" s="518">
        <f t="shared" si="0"/>
        <v>65.489</v>
      </c>
      <c r="J36" s="519"/>
      <c r="K36" s="520"/>
      <c r="L36" s="521">
        <f t="shared" si="1"/>
      </c>
      <c r="M36" s="522">
        <f t="shared" si="2"/>
      </c>
      <c r="N36" s="179"/>
      <c r="O36" s="181">
        <f t="shared" si="3"/>
      </c>
      <c r="P36" s="523">
        <f t="shared" si="4"/>
        <v>40</v>
      </c>
      <c r="Q36" s="524" t="str">
        <f t="shared" si="5"/>
        <v>--</v>
      </c>
      <c r="R36" s="512" t="str">
        <f t="shared" si="6"/>
        <v>--</v>
      </c>
      <c r="S36" s="513" t="str">
        <f t="shared" si="7"/>
        <v>--</v>
      </c>
      <c r="T36" s="514" t="str">
        <f t="shared" si="8"/>
        <v>--</v>
      </c>
      <c r="U36" s="181">
        <f t="shared" si="10"/>
      </c>
      <c r="V36" s="525">
        <f t="shared" si="9"/>
      </c>
      <c r="W36" s="60"/>
    </row>
    <row r="37" spans="2:23" s="8" customFormat="1" ht="16.5" customHeight="1">
      <c r="B37" s="55"/>
      <c r="C37" s="151"/>
      <c r="D37" s="151"/>
      <c r="E37" s="151"/>
      <c r="F37" s="516"/>
      <c r="G37" s="516"/>
      <c r="H37" s="517"/>
      <c r="I37" s="518">
        <f t="shared" si="0"/>
        <v>65.489</v>
      </c>
      <c r="J37" s="519"/>
      <c r="K37" s="520"/>
      <c r="L37" s="521">
        <f t="shared" si="1"/>
      </c>
      <c r="M37" s="522">
        <f t="shared" si="2"/>
      </c>
      <c r="N37" s="179"/>
      <c r="O37" s="181">
        <f t="shared" si="3"/>
      </c>
      <c r="P37" s="523">
        <f t="shared" si="4"/>
        <v>40</v>
      </c>
      <c r="Q37" s="524" t="str">
        <f t="shared" si="5"/>
        <v>--</v>
      </c>
      <c r="R37" s="512" t="str">
        <f t="shared" si="6"/>
        <v>--</v>
      </c>
      <c r="S37" s="513" t="str">
        <f t="shared" si="7"/>
        <v>--</v>
      </c>
      <c r="T37" s="514" t="str">
        <f t="shared" si="8"/>
        <v>--</v>
      </c>
      <c r="U37" s="181">
        <f t="shared" si="10"/>
      </c>
      <c r="V37" s="525">
        <f t="shared" si="9"/>
      </c>
      <c r="W37" s="60"/>
    </row>
    <row r="38" spans="2:23" s="8" customFormat="1" ht="16.5" customHeight="1">
      <c r="B38" s="55"/>
      <c r="C38" s="151"/>
      <c r="D38" s="151"/>
      <c r="E38" s="170"/>
      <c r="F38" s="516"/>
      <c r="G38" s="516"/>
      <c r="H38" s="517"/>
      <c r="I38" s="518">
        <f t="shared" si="0"/>
        <v>65.489</v>
      </c>
      <c r="J38" s="519"/>
      <c r="K38" s="520"/>
      <c r="L38" s="521">
        <f t="shared" si="1"/>
      </c>
      <c r="M38" s="522">
        <f t="shared" si="2"/>
      </c>
      <c r="N38" s="179"/>
      <c r="O38" s="181">
        <f t="shared" si="3"/>
      </c>
      <c r="P38" s="523">
        <f t="shared" si="4"/>
        <v>40</v>
      </c>
      <c r="Q38" s="524" t="str">
        <f t="shared" si="5"/>
        <v>--</v>
      </c>
      <c r="R38" s="512" t="str">
        <f t="shared" si="6"/>
        <v>--</v>
      </c>
      <c r="S38" s="513" t="str">
        <f t="shared" si="7"/>
        <v>--</v>
      </c>
      <c r="T38" s="514" t="str">
        <f t="shared" si="8"/>
        <v>--</v>
      </c>
      <c r="U38" s="181">
        <f t="shared" si="10"/>
      </c>
      <c r="V38" s="525">
        <f t="shared" si="9"/>
      </c>
      <c r="W38" s="60"/>
    </row>
    <row r="39" spans="2:23" s="8" customFormat="1" ht="16.5" customHeight="1">
      <c r="B39" s="55"/>
      <c r="C39" s="151"/>
      <c r="D39" s="151"/>
      <c r="E39" s="151"/>
      <c r="F39" s="516"/>
      <c r="G39" s="516"/>
      <c r="H39" s="517"/>
      <c r="I39" s="518">
        <f t="shared" si="0"/>
        <v>65.489</v>
      </c>
      <c r="J39" s="519"/>
      <c r="K39" s="520"/>
      <c r="L39" s="521">
        <f t="shared" si="1"/>
      </c>
      <c r="M39" s="522">
        <f t="shared" si="2"/>
      </c>
      <c r="N39" s="179"/>
      <c r="O39" s="181">
        <f t="shared" si="3"/>
      </c>
      <c r="P39" s="523">
        <f t="shared" si="4"/>
        <v>40</v>
      </c>
      <c r="Q39" s="524" t="str">
        <f t="shared" si="5"/>
        <v>--</v>
      </c>
      <c r="R39" s="512" t="str">
        <f t="shared" si="6"/>
        <v>--</v>
      </c>
      <c r="S39" s="513" t="str">
        <f t="shared" si="7"/>
        <v>--</v>
      </c>
      <c r="T39" s="514" t="str">
        <f t="shared" si="8"/>
        <v>--</v>
      </c>
      <c r="U39" s="181">
        <f t="shared" si="10"/>
      </c>
      <c r="V39" s="525">
        <f t="shared" si="9"/>
      </c>
      <c r="W39" s="60"/>
    </row>
    <row r="40" spans="2:23" s="8" customFormat="1" ht="16.5" customHeight="1">
      <c r="B40" s="55"/>
      <c r="C40" s="151"/>
      <c r="D40" s="151"/>
      <c r="E40" s="170"/>
      <c r="F40" s="516"/>
      <c r="G40" s="516"/>
      <c r="H40" s="517"/>
      <c r="I40" s="518">
        <f t="shared" si="0"/>
        <v>65.489</v>
      </c>
      <c r="J40" s="519"/>
      <c r="K40" s="520"/>
      <c r="L40" s="521">
        <f t="shared" si="1"/>
      </c>
      <c r="M40" s="522">
        <f t="shared" si="2"/>
      </c>
      <c r="N40" s="179"/>
      <c r="O40" s="181">
        <f t="shared" si="3"/>
      </c>
      <c r="P40" s="523">
        <f t="shared" si="4"/>
        <v>40</v>
      </c>
      <c r="Q40" s="524" t="str">
        <f t="shared" si="5"/>
        <v>--</v>
      </c>
      <c r="R40" s="512" t="str">
        <f t="shared" si="6"/>
        <v>--</v>
      </c>
      <c r="S40" s="513" t="str">
        <f t="shared" si="7"/>
        <v>--</v>
      </c>
      <c r="T40" s="514" t="str">
        <f t="shared" si="8"/>
        <v>--</v>
      </c>
      <c r="U40" s="181">
        <f t="shared" si="10"/>
      </c>
      <c r="V40" s="525">
        <f t="shared" si="9"/>
      </c>
      <c r="W40" s="60"/>
    </row>
    <row r="41" spans="2:23" s="8" customFormat="1" ht="16.5" customHeight="1">
      <c r="B41" s="55"/>
      <c r="C41" s="151"/>
      <c r="D41" s="151"/>
      <c r="E41" s="151"/>
      <c r="F41" s="516"/>
      <c r="G41" s="516"/>
      <c r="H41" s="517"/>
      <c r="I41" s="518">
        <f t="shared" si="0"/>
        <v>65.489</v>
      </c>
      <c r="J41" s="519"/>
      <c r="K41" s="520"/>
      <c r="L41" s="521">
        <f t="shared" si="1"/>
      </c>
      <c r="M41" s="522">
        <f t="shared" si="2"/>
      </c>
      <c r="N41" s="179"/>
      <c r="O41" s="181">
        <f t="shared" si="3"/>
      </c>
      <c r="P41" s="523">
        <f t="shared" si="4"/>
        <v>40</v>
      </c>
      <c r="Q41" s="524" t="str">
        <f t="shared" si="5"/>
        <v>--</v>
      </c>
      <c r="R41" s="512" t="str">
        <f t="shared" si="6"/>
        <v>--</v>
      </c>
      <c r="S41" s="513" t="str">
        <f t="shared" si="7"/>
        <v>--</v>
      </c>
      <c r="T41" s="514" t="str">
        <f t="shared" si="8"/>
        <v>--</v>
      </c>
      <c r="U41" s="181">
        <f t="shared" si="10"/>
      </c>
      <c r="V41" s="525">
        <f t="shared" si="9"/>
      </c>
      <c r="W41" s="60"/>
    </row>
    <row r="42" spans="2:23" s="8" customFormat="1" ht="16.5" customHeight="1" thickBot="1">
      <c r="B42" s="55"/>
      <c r="C42" s="209"/>
      <c r="D42" s="209"/>
      <c r="E42" s="209"/>
      <c r="F42" s="209"/>
      <c r="G42" s="209"/>
      <c r="H42" s="209"/>
      <c r="I42" s="397"/>
      <c r="J42" s="526"/>
      <c r="K42" s="526"/>
      <c r="L42" s="527"/>
      <c r="M42" s="527"/>
      <c r="N42" s="526"/>
      <c r="O42" s="216"/>
      <c r="P42" s="528"/>
      <c r="Q42" s="529"/>
      <c r="R42" s="530"/>
      <c r="S42" s="531"/>
      <c r="T42" s="532"/>
      <c r="U42" s="216"/>
      <c r="V42" s="533"/>
      <c r="W42" s="60"/>
    </row>
    <row r="43" spans="2:23" s="8" customFormat="1" ht="16.5" customHeight="1" thickBot="1" thickTop="1">
      <c r="B43" s="55"/>
      <c r="C43" s="230" t="s">
        <v>172</v>
      </c>
      <c r="D43" s="272"/>
      <c r="E43" s="230"/>
      <c r="F43" s="232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534">
        <f>SUM(Q20:Q42)</f>
        <v>15345.382480000006</v>
      </c>
      <c r="R43" s="535">
        <f>SUM(R20:R42)</f>
        <v>0</v>
      </c>
      <c r="S43" s="536">
        <f>SUM(S20:S42)</f>
        <v>0</v>
      </c>
      <c r="T43" s="537">
        <f>SUM(T20:T42)</f>
        <v>0</v>
      </c>
      <c r="U43" s="538"/>
      <c r="V43" s="539">
        <f>ROUND(SUM(V20:V42),2)</f>
        <v>15345.38</v>
      </c>
      <c r="W43" s="60"/>
    </row>
    <row r="44" spans="2:23" s="8" customFormat="1" ht="16.5" customHeight="1" thickBot="1" thickTop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8"/>
    </row>
    <row r="45" spans="23:25" ht="16.5" customHeight="1" thickTop="1">
      <c r="W45" s="428"/>
      <c r="X45" s="428"/>
      <c r="Y45" s="428"/>
    </row>
    <row r="46" spans="23:25" ht="16.5" customHeight="1">
      <c r="W46" s="428"/>
      <c r="X46" s="428"/>
      <c r="Y46" s="428"/>
    </row>
    <row r="47" spans="23:25" ht="16.5" customHeight="1">
      <c r="W47" s="428"/>
      <c r="X47" s="428"/>
      <c r="Y47" s="428"/>
    </row>
    <row r="48" spans="23:25" ht="16.5" customHeight="1">
      <c r="W48" s="428"/>
      <c r="X48" s="428"/>
      <c r="Y48" s="428"/>
    </row>
    <row r="49" spans="23:25" ht="16.5" customHeight="1">
      <c r="W49" s="428"/>
      <c r="X49" s="428"/>
      <c r="Y49" s="428"/>
    </row>
    <row r="50" spans="6:25" ht="16.5" customHeight="1"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</row>
    <row r="51" spans="6:25" ht="16.5" customHeight="1"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</row>
    <row r="52" spans="6:25" ht="16.5" customHeight="1"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</row>
    <row r="53" spans="6:25" ht="16.5" customHeight="1"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</row>
    <row r="54" spans="6:25" ht="16.5" customHeight="1"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</row>
    <row r="55" spans="6:25" ht="16.5" customHeight="1"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</row>
    <row r="56" spans="6:25" ht="16.5" customHeight="1"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</row>
    <row r="57" spans="6:25" ht="16.5" customHeight="1"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</row>
    <row r="58" spans="6:25" ht="16.5" customHeight="1"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</row>
    <row r="59" spans="6:25" ht="16.5" customHeight="1"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</row>
    <row r="60" spans="6:25" ht="16.5" customHeight="1"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</row>
    <row r="61" spans="6:25" ht="16.5" customHeight="1"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</row>
    <row r="62" spans="6:25" ht="16.5" customHeight="1"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</row>
    <row r="63" spans="6:25" ht="16.5" customHeight="1"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</row>
    <row r="64" spans="6:25" ht="16.5" customHeight="1"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</row>
    <row r="65" spans="6:25" ht="16.5" customHeight="1"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</row>
    <row r="66" spans="6:25" ht="16.5" customHeight="1"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</row>
    <row r="67" spans="6:25" ht="16.5" customHeight="1"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</row>
    <row r="68" spans="6:25" ht="16.5" customHeight="1"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</row>
    <row r="69" spans="6:25" ht="16.5" customHeight="1"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</row>
    <row r="70" spans="6:25" ht="16.5" customHeight="1"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</row>
    <row r="71" spans="6:25" ht="16.5" customHeight="1"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</row>
    <row r="72" spans="6:25" ht="16.5" customHeight="1"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</row>
    <row r="73" spans="6:25" ht="16.5" customHeight="1"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</row>
    <row r="74" spans="6:25" ht="16.5" customHeight="1"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</row>
    <row r="75" spans="6:25" ht="16.5" customHeight="1"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</row>
    <row r="76" spans="6:25" ht="16.5" customHeight="1"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</row>
    <row r="77" spans="6:25" ht="16.5" customHeight="1"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</row>
    <row r="78" spans="6:25" ht="16.5" customHeight="1"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</row>
    <row r="79" spans="6:25" ht="16.5" customHeight="1"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</row>
    <row r="80" spans="6:25" ht="16.5" customHeight="1"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</row>
    <row r="81" spans="6:25" ht="16.5" customHeight="1"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</row>
    <row r="82" spans="6:25" ht="16.5" customHeight="1"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</row>
    <row r="83" spans="6:25" ht="16.5" customHeight="1"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</row>
    <row r="84" spans="6:25" ht="16.5" customHeight="1"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</row>
    <row r="85" spans="6:25" ht="16.5" customHeight="1"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</row>
    <row r="86" spans="6:25" ht="16.5" customHeight="1"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</row>
    <row r="87" spans="6:25" ht="16.5" customHeight="1"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</row>
    <row r="88" spans="6:25" ht="16.5" customHeight="1"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</row>
    <row r="89" spans="6:25" ht="16.5" customHeight="1"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</row>
    <row r="90" spans="6:25" ht="16.5" customHeight="1"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</row>
    <row r="91" spans="6:25" ht="16.5" customHeight="1"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</row>
    <row r="92" spans="6:25" ht="16.5" customHeight="1"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</row>
    <row r="93" spans="6:25" ht="16.5" customHeight="1"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</row>
    <row r="94" spans="6:25" ht="16.5" customHeight="1"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</row>
    <row r="95" spans="6:25" ht="16.5" customHeight="1"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</row>
    <row r="96" spans="6:25" ht="16.5" customHeight="1"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</row>
    <row r="97" spans="6:25" ht="16.5" customHeight="1"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</row>
    <row r="98" spans="6:25" ht="16.5" customHeight="1"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</row>
    <row r="99" spans="6:25" ht="16.5" customHeight="1"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</row>
    <row r="100" spans="6:25" ht="16.5" customHeight="1"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</row>
    <row r="101" spans="6:25" ht="16.5" customHeight="1"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</row>
    <row r="102" spans="6:25" ht="16.5" customHeight="1"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</row>
    <row r="103" spans="6:25" ht="16.5" customHeight="1"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</row>
    <row r="104" spans="6:25" ht="16.5" customHeight="1"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</row>
    <row r="105" spans="6:25" ht="16.5" customHeight="1"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</row>
    <row r="106" spans="6:25" ht="16.5" customHeight="1"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</row>
    <row r="107" spans="6:25" ht="16.5" customHeight="1"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</row>
    <row r="108" spans="6:25" ht="16.5" customHeight="1"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</row>
    <row r="109" spans="6:25" ht="16.5" customHeight="1"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</row>
    <row r="110" spans="6:25" ht="16.5" customHeight="1"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</row>
    <row r="111" spans="6:25" ht="16.5" customHeight="1"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</row>
    <row r="112" spans="6:25" ht="16.5" customHeight="1"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</row>
    <row r="113" spans="6:25" ht="16.5" customHeight="1"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</row>
    <row r="114" spans="6:25" ht="16.5" customHeight="1"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</row>
    <row r="115" spans="6:25" ht="16.5" customHeight="1"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</row>
    <row r="116" spans="6:25" ht="16.5" customHeight="1"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</row>
    <row r="117" spans="6:25" ht="16.5" customHeight="1"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</row>
    <row r="118" spans="6:25" ht="16.5" customHeight="1"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</row>
    <row r="119" spans="6:25" ht="16.5" customHeight="1"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</row>
    <row r="120" spans="6:25" ht="16.5" customHeight="1"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</row>
    <row r="121" spans="6:25" ht="16.5" customHeight="1"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</row>
    <row r="122" spans="6:25" ht="16.5" customHeight="1"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</row>
    <row r="123" spans="6:25" ht="16.5" customHeight="1"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</row>
    <row r="124" spans="6:25" ht="16.5" customHeight="1"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</row>
    <row r="125" spans="6:25" ht="16.5" customHeight="1"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</row>
    <row r="126" spans="6:25" ht="16.5" customHeight="1"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</row>
    <row r="127" spans="6:25" ht="16.5" customHeight="1"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</row>
    <row r="128" spans="6:25" ht="16.5" customHeight="1"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</row>
    <row r="129" spans="6:25" ht="16.5" customHeight="1"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</row>
    <row r="130" spans="6:25" ht="16.5" customHeight="1"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</row>
    <row r="131" spans="6:25" ht="16.5" customHeight="1"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</row>
    <row r="132" spans="6:25" ht="16.5" customHeight="1"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</row>
    <row r="133" spans="6:25" ht="16.5" customHeight="1"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</row>
    <row r="134" spans="6:25" ht="16.5" customHeight="1"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</row>
    <row r="135" spans="6:25" ht="16.5" customHeight="1"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</row>
    <row r="136" spans="6:25" ht="16.5" customHeight="1"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</row>
    <row r="137" spans="6:25" ht="16.5" customHeight="1"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</row>
    <row r="138" spans="6:25" ht="16.5" customHeight="1"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</row>
    <row r="139" spans="6:25" ht="16.5" customHeight="1"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</row>
    <row r="140" spans="6:25" ht="16.5" customHeight="1"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</row>
    <row r="141" spans="6:25" ht="16.5" customHeight="1"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</row>
    <row r="142" spans="6:25" ht="16.5" customHeight="1"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</row>
    <row r="143" spans="6:25" ht="16.5" customHeight="1"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8"/>
    </row>
    <row r="144" spans="6:25" ht="16.5" customHeight="1"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</row>
    <row r="145" spans="6:25" ht="16.5" customHeight="1"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</row>
    <row r="146" spans="6:25" ht="16.5" customHeight="1"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</row>
    <row r="147" spans="6:25" ht="16.5" customHeight="1"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</row>
    <row r="148" spans="6:25" ht="16.5" customHeight="1"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</row>
    <row r="149" spans="6:25" ht="16.5" customHeight="1"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</row>
    <row r="150" spans="6:25" ht="16.5" customHeight="1"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</row>
    <row r="151" spans="6:25" ht="16.5" customHeight="1"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</row>
    <row r="152" spans="6:25" ht="16.5" customHeight="1">
      <c r="F152" s="428"/>
      <c r="G152" s="428"/>
      <c r="H152" s="428"/>
      <c r="I152" s="428"/>
      <c r="J152" s="428"/>
      <c r="K152" s="428"/>
      <c r="L152" s="428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8"/>
      <c r="X152" s="428"/>
      <c r="Y152" s="428"/>
    </row>
    <row r="153" spans="6:25" ht="16.5" customHeight="1">
      <c r="F153" s="428"/>
      <c r="G153" s="428"/>
      <c r="H153" s="428"/>
      <c r="I153" s="428"/>
      <c r="J153" s="428"/>
      <c r="K153" s="428"/>
      <c r="L153" s="428"/>
      <c r="M153" s="428"/>
      <c r="N153" s="428"/>
      <c r="O153" s="428"/>
      <c r="P153" s="428"/>
      <c r="Q153" s="428"/>
      <c r="R153" s="428"/>
      <c r="S153" s="428"/>
      <c r="T153" s="428"/>
      <c r="U153" s="428"/>
      <c r="V153" s="428"/>
      <c r="W153" s="428"/>
      <c r="X153" s="428"/>
      <c r="Y153" s="428"/>
    </row>
    <row r="154" spans="6:25" ht="16.5" customHeight="1">
      <c r="F154" s="428"/>
      <c r="G154" s="428"/>
      <c r="H154" s="428"/>
      <c r="I154" s="428"/>
      <c r="J154" s="428"/>
      <c r="K154" s="428"/>
      <c r="L154" s="428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8"/>
      <c r="X154" s="428"/>
      <c r="Y154" s="428"/>
    </row>
    <row r="155" spans="6:25" ht="16.5" customHeight="1">
      <c r="F155" s="428"/>
      <c r="G155" s="428"/>
      <c r="H155" s="428"/>
      <c r="I155" s="428"/>
      <c r="J155" s="428"/>
      <c r="K155" s="428"/>
      <c r="L155" s="428"/>
      <c r="M155" s="428"/>
      <c r="N155" s="428"/>
      <c r="O155" s="428"/>
      <c r="P155" s="428"/>
      <c r="Q155" s="428"/>
      <c r="R155" s="428"/>
      <c r="S155" s="428"/>
      <c r="T155" s="428"/>
      <c r="U155" s="428"/>
      <c r="V155" s="428"/>
      <c r="W155" s="428"/>
      <c r="X155" s="428"/>
      <c r="Y155" s="428"/>
    </row>
    <row r="156" spans="6:25" ht="16.5" customHeight="1">
      <c r="F156" s="428"/>
      <c r="G156" s="428"/>
      <c r="H156" s="428"/>
      <c r="I156" s="428"/>
      <c r="J156" s="428"/>
      <c r="K156" s="428"/>
      <c r="L156" s="428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8"/>
      <c r="X156" s="428"/>
      <c r="Y156" s="428"/>
    </row>
    <row r="157" spans="6:25" ht="16.5" customHeight="1">
      <c r="F157" s="428"/>
      <c r="G157" s="428"/>
      <c r="H157" s="428"/>
      <c r="I157" s="428"/>
      <c r="J157" s="428"/>
      <c r="K157" s="428"/>
      <c r="L157" s="428"/>
      <c r="M157" s="428"/>
      <c r="N157" s="428"/>
      <c r="O157" s="428"/>
      <c r="P157" s="428"/>
      <c r="Q157" s="428"/>
      <c r="R157" s="428"/>
      <c r="S157" s="428"/>
      <c r="T157" s="428"/>
      <c r="U157" s="428"/>
      <c r="V157" s="428"/>
      <c r="W157" s="428"/>
      <c r="X157" s="428"/>
      <c r="Y157" s="428"/>
    </row>
    <row r="160" ht="12.75"/>
    <row r="161" ht="12.75"/>
    <row r="162" ht="12.75"/>
    <row r="163" ht="12.75"/>
    <row r="164" ht="12.75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70" zoomScaleNormal="70" zoomScalePageLayoutView="0" workbookViewId="0" topLeftCell="A13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7.2812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9"/>
      <c r="B2" s="550" t="str">
        <f>+'TOT-0115'!B2</f>
        <v>ANEXO II al Memorándum D.T.E.E. N°  90 /2016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7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471"/>
    </row>
    <row r="8" spans="2:27" s="18" customFormat="1" ht="20.25">
      <c r="B8" s="96"/>
      <c r="C8" s="23"/>
      <c r="D8" s="23"/>
      <c r="F8" s="97" t="s">
        <v>75</v>
      </c>
      <c r="G8" s="551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52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6"/>
      <c r="C10" s="23"/>
      <c r="D10" s="23"/>
      <c r="F10" s="98" t="s">
        <v>76</v>
      </c>
      <c r="H10" s="553"/>
      <c r="I10" s="554"/>
      <c r="J10" s="554"/>
      <c r="K10" s="554"/>
      <c r="L10" s="554"/>
      <c r="M10" s="554"/>
      <c r="N10" s="554"/>
      <c r="O10" s="554"/>
      <c r="P10" s="554"/>
      <c r="Q10" s="554"/>
      <c r="R10" s="23"/>
      <c r="S10" s="23"/>
      <c r="T10" s="23"/>
      <c r="U10" s="23"/>
      <c r="V10" s="23"/>
      <c r="W10" s="23"/>
      <c r="X10" s="23"/>
      <c r="Y10" s="23"/>
      <c r="Z10" s="23"/>
      <c r="AA10" s="473"/>
    </row>
    <row r="11" spans="2:27" s="8" customFormat="1" ht="16.5" customHeight="1">
      <c r="B11" s="55"/>
      <c r="C11" s="11"/>
      <c r="D11" s="11"/>
      <c r="E11" s="11"/>
      <c r="F11" s="555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6"/>
      <c r="C12" s="23"/>
      <c r="D12" s="23"/>
      <c r="F12" s="98" t="s">
        <v>77</v>
      </c>
      <c r="H12" s="553"/>
      <c r="I12" s="554"/>
      <c r="J12" s="554"/>
      <c r="K12" s="554"/>
      <c r="L12" s="554"/>
      <c r="M12" s="554"/>
      <c r="N12" s="554"/>
      <c r="O12" s="554"/>
      <c r="P12" s="554"/>
      <c r="Q12" s="554"/>
      <c r="R12" s="23"/>
      <c r="S12" s="23"/>
      <c r="T12" s="23"/>
      <c r="U12" s="23"/>
      <c r="V12" s="23"/>
      <c r="W12" s="23"/>
      <c r="X12" s="23"/>
      <c r="Y12" s="23"/>
      <c r="Z12" s="23"/>
      <c r="AA12" s="473"/>
    </row>
    <row r="13" spans="2:27" s="8" customFormat="1" ht="16.5" customHeight="1">
      <c r="B13" s="55"/>
      <c r="C13" s="11"/>
      <c r="D13" s="11"/>
      <c r="E13" s="11"/>
      <c r="F13" s="555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'TOT-0115'!B14</f>
        <v>Desde el 01 al 31 de enero de 2015</v>
      </c>
      <c r="C14" s="39"/>
      <c r="D14" s="39"/>
      <c r="E14" s="556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6"/>
      <c r="S14" s="556"/>
      <c r="T14" s="556"/>
      <c r="U14" s="556"/>
      <c r="V14" s="556"/>
      <c r="W14" s="556"/>
      <c r="X14" s="556"/>
      <c r="Y14" s="556"/>
      <c r="Z14" s="556"/>
      <c r="AA14" s="558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59" t="s">
        <v>56</v>
      </c>
      <c r="G16" s="287"/>
      <c r="H16" s="326">
        <v>1.193</v>
      </c>
      <c r="I16" s="485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60" t="s">
        <v>57</v>
      </c>
      <c r="G17" s="561"/>
      <c r="H17" s="562">
        <v>20</v>
      </c>
      <c r="I17" s="485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110"/>
      <c r="Z17" s="110"/>
      <c r="AA17" s="60"/>
    </row>
    <row r="18" spans="2:27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60"/>
    </row>
    <row r="19" spans="2:27" s="8" customFormat="1" ht="33.75" customHeight="1" thickBot="1" thickTop="1">
      <c r="B19" s="55"/>
      <c r="C19" s="332" t="s">
        <v>29</v>
      </c>
      <c r="D19" s="112" t="s">
        <v>30</v>
      </c>
      <c r="E19" s="112" t="s">
        <v>31</v>
      </c>
      <c r="F19" s="115" t="s">
        <v>58</v>
      </c>
      <c r="G19" s="113" t="s">
        <v>59</v>
      </c>
      <c r="H19" s="563" t="s">
        <v>78</v>
      </c>
      <c r="I19" s="337" t="s">
        <v>36</v>
      </c>
      <c r="J19" s="113" t="s">
        <v>37</v>
      </c>
      <c r="K19" s="113" t="s">
        <v>38</v>
      </c>
      <c r="L19" s="115" t="s">
        <v>39</v>
      </c>
      <c r="M19" s="115" t="s">
        <v>40</v>
      </c>
      <c r="N19" s="120" t="s">
        <v>171</v>
      </c>
      <c r="O19" s="120" t="s">
        <v>41</v>
      </c>
      <c r="P19" s="113" t="s">
        <v>43</v>
      </c>
      <c r="Q19" s="337" t="s">
        <v>35</v>
      </c>
      <c r="R19" s="564" t="s">
        <v>71</v>
      </c>
      <c r="S19" s="565" t="s">
        <v>79</v>
      </c>
      <c r="T19" s="566"/>
      <c r="U19" s="342" t="s">
        <v>80</v>
      </c>
      <c r="V19" s="343"/>
      <c r="W19" s="567" t="s">
        <v>48</v>
      </c>
      <c r="X19" s="341" t="s">
        <v>45</v>
      </c>
      <c r="Y19" s="131" t="s">
        <v>50</v>
      </c>
      <c r="Z19" s="568" t="s">
        <v>51</v>
      </c>
      <c r="AA19" s="60"/>
    </row>
    <row r="20" spans="2:27" s="8" customFormat="1" ht="16.5" customHeight="1" thickTop="1">
      <c r="B20" s="55"/>
      <c r="C20" s="346"/>
      <c r="D20" s="346"/>
      <c r="E20" s="346"/>
      <c r="F20" s="569"/>
      <c r="G20" s="569"/>
      <c r="H20" s="569"/>
      <c r="I20" s="434"/>
      <c r="J20" s="570"/>
      <c r="K20" s="570"/>
      <c r="L20" s="571"/>
      <c r="M20" s="571"/>
      <c r="N20" s="569"/>
      <c r="O20" s="152"/>
      <c r="P20" s="571"/>
      <c r="Q20" s="572"/>
      <c r="R20" s="573"/>
      <c r="S20" s="574"/>
      <c r="T20" s="575"/>
      <c r="U20" s="355"/>
      <c r="V20" s="356"/>
      <c r="W20" s="576"/>
      <c r="X20" s="576"/>
      <c r="Y20" s="577"/>
      <c r="Z20" s="578"/>
      <c r="AA20" s="60"/>
    </row>
    <row r="21" spans="2:27" s="8" customFormat="1" ht="16.5" customHeight="1">
      <c r="B21" s="55"/>
      <c r="C21" s="151"/>
      <c r="D21" s="151"/>
      <c r="E21" s="151"/>
      <c r="F21" s="579"/>
      <c r="G21" s="580"/>
      <c r="H21" s="581"/>
      <c r="I21" s="582"/>
      <c r="J21" s="583"/>
      <c r="K21" s="584"/>
      <c r="L21" s="585"/>
      <c r="M21" s="586"/>
      <c r="N21" s="587"/>
      <c r="O21" s="158"/>
      <c r="P21" s="437"/>
      <c r="Q21" s="588"/>
      <c r="R21" s="589"/>
      <c r="S21" s="590"/>
      <c r="T21" s="591"/>
      <c r="U21" s="368"/>
      <c r="V21" s="369"/>
      <c r="W21" s="592"/>
      <c r="X21" s="592"/>
      <c r="Y21" s="437"/>
      <c r="Z21" s="593"/>
      <c r="AA21" s="60"/>
    </row>
    <row r="22" spans="2:27" s="8" customFormat="1" ht="16.5" customHeight="1">
      <c r="B22" s="55"/>
      <c r="C22" s="151">
        <v>58</v>
      </c>
      <c r="D22" s="151">
        <v>278057</v>
      </c>
      <c r="E22" s="170">
        <v>645</v>
      </c>
      <c r="F22" s="594" t="s">
        <v>235</v>
      </c>
      <c r="G22" s="516" t="s">
        <v>250</v>
      </c>
      <c r="H22" s="595">
        <v>120</v>
      </c>
      <c r="I22" s="377">
        <f aca="true" t="shared" si="0" ref="I22:I41">H22*$H$16</f>
        <v>143.16</v>
      </c>
      <c r="J22" s="205">
        <v>42005</v>
      </c>
      <c r="K22" s="205">
        <v>42036</v>
      </c>
      <c r="L22" s="521">
        <f aca="true" t="shared" si="1" ref="L22:L41">IF(F22="","",(K22-J22)*24)</f>
        <v>744</v>
      </c>
      <c r="M22" s="522">
        <f aca="true" t="shared" si="2" ref="M22:M41">IF(F22="","",ROUND((K22-J22)*24*60,0))</f>
        <v>44640</v>
      </c>
      <c r="N22" s="179" t="s">
        <v>187</v>
      </c>
      <c r="O22" s="1099" t="s">
        <v>229</v>
      </c>
      <c r="P22" s="181" t="str">
        <f aca="true" t="shared" si="3" ref="P22:P41">IF(F22="","",IF(OR(N22="P",N22="RP"),"--","NO"))</f>
        <v>--</v>
      </c>
      <c r="Q22" s="596">
        <f aca="true" t="shared" si="4" ref="Q22:Q41">IF(OR(N22="P",N22="RP"),$H$17/10,$H$17)</f>
        <v>2</v>
      </c>
      <c r="R22" s="597">
        <f aca="true" t="shared" si="5" ref="R22:R41">IF(N22="P",I22*Q22*ROUND(M22/60,2),"--")</f>
        <v>213022.08</v>
      </c>
      <c r="S22" s="590" t="str">
        <f aca="true" t="shared" si="6" ref="S22:S41">IF(AND(N22="F",P22="NO"),I22*Q22,"--")</f>
        <v>--</v>
      </c>
      <c r="T22" s="591" t="str">
        <f aca="true" t="shared" si="7" ref="T22:T41">IF(N22="F",I22*Q22*ROUND(M22/60,2),"--")</f>
        <v>--</v>
      </c>
      <c r="U22" s="388" t="str">
        <f aca="true" t="shared" si="8" ref="U22:U41">IF(AND(N22="R",P22="NO"),I22*Q22*O22/100,"--")</f>
        <v>--</v>
      </c>
      <c r="V22" s="389" t="str">
        <f aca="true" t="shared" si="9" ref="V22:V41">IF(N22="R",I22*Q22*O22/100*ROUND(M22/60,2),"--")</f>
        <v>--</v>
      </c>
      <c r="W22" s="592" t="str">
        <f aca="true" t="shared" si="10" ref="W22:W41">IF(N22="RF",I22*Q22*ROUND(M22/60,2),"--")</f>
        <v>--</v>
      </c>
      <c r="X22" s="439" t="str">
        <f aca="true" t="shared" si="11" ref="X22:X41">IF(N22="RP",I22*Q22*O22/100*ROUND(M22/60,2),"--")</f>
        <v>--</v>
      </c>
      <c r="Y22" s="181" t="s">
        <v>82</v>
      </c>
      <c r="Z22" s="525">
        <f aca="true" t="shared" si="12" ref="Z22:Z41">IF(F22="","",SUM(R22:X22)*IF(Y22="SI",1,2)*IF(AND(O22&lt;&gt;"--",N22="RF"),O22/100,1))</f>
        <v>213022.08</v>
      </c>
      <c r="AA22" s="60"/>
    </row>
    <row r="23" spans="2:27" s="8" customFormat="1" ht="16.5" customHeight="1">
      <c r="B23" s="55"/>
      <c r="C23" s="151">
        <v>59</v>
      </c>
      <c r="D23" s="151">
        <v>283019</v>
      </c>
      <c r="E23" s="151">
        <v>651</v>
      </c>
      <c r="F23" s="594" t="s">
        <v>196</v>
      </c>
      <c r="G23" s="516" t="s">
        <v>249</v>
      </c>
      <c r="H23" s="595">
        <v>120</v>
      </c>
      <c r="I23" s="377">
        <f t="shared" si="0"/>
        <v>143.16</v>
      </c>
      <c r="J23" s="205">
        <v>42005</v>
      </c>
      <c r="K23" s="205">
        <v>42036</v>
      </c>
      <c r="L23" s="521">
        <f t="shared" si="1"/>
        <v>744</v>
      </c>
      <c r="M23" s="522">
        <f t="shared" si="2"/>
        <v>44640</v>
      </c>
      <c r="N23" s="179" t="s">
        <v>187</v>
      </c>
      <c r="O23" s="1099" t="s">
        <v>229</v>
      </c>
      <c r="P23" s="181" t="str">
        <f t="shared" si="3"/>
        <v>--</v>
      </c>
      <c r="Q23" s="596">
        <f t="shared" si="4"/>
        <v>2</v>
      </c>
      <c r="R23" s="597">
        <f t="shared" si="5"/>
        <v>213022.08</v>
      </c>
      <c r="S23" s="590" t="str">
        <f t="shared" si="6"/>
        <v>--</v>
      </c>
      <c r="T23" s="591" t="str">
        <f t="shared" si="7"/>
        <v>--</v>
      </c>
      <c r="U23" s="388" t="str">
        <f t="shared" si="8"/>
        <v>--</v>
      </c>
      <c r="V23" s="389" t="str">
        <f t="shared" si="9"/>
        <v>--</v>
      </c>
      <c r="W23" s="592" t="str">
        <f t="shared" si="10"/>
        <v>--</v>
      </c>
      <c r="X23" s="439" t="str">
        <f t="shared" si="11"/>
        <v>--</v>
      </c>
      <c r="Y23" s="181" t="s">
        <v>82</v>
      </c>
      <c r="Z23" s="525">
        <f t="shared" si="12"/>
        <v>213022.08</v>
      </c>
      <c r="AA23" s="60"/>
    </row>
    <row r="24" spans="2:27" s="8" customFormat="1" ht="16.5" customHeight="1">
      <c r="B24" s="55"/>
      <c r="C24" s="151">
        <v>60</v>
      </c>
      <c r="D24" s="151">
        <v>283181</v>
      </c>
      <c r="E24" s="170">
        <v>591</v>
      </c>
      <c r="F24" s="594" t="s">
        <v>230</v>
      </c>
      <c r="G24" s="516" t="s">
        <v>231</v>
      </c>
      <c r="H24" s="595">
        <v>245</v>
      </c>
      <c r="I24" s="377">
        <f t="shared" si="0"/>
        <v>292.285</v>
      </c>
      <c r="J24" s="519">
        <v>42006.2</v>
      </c>
      <c r="K24" s="205">
        <v>42006.55902777778</v>
      </c>
      <c r="L24" s="521">
        <f t="shared" si="1"/>
        <v>8.616666666814126</v>
      </c>
      <c r="M24" s="522">
        <f t="shared" si="2"/>
        <v>517</v>
      </c>
      <c r="N24" s="179" t="s">
        <v>187</v>
      </c>
      <c r="O24" s="1099" t="s">
        <v>229</v>
      </c>
      <c r="P24" s="181" t="str">
        <f t="shared" si="3"/>
        <v>--</v>
      </c>
      <c r="Q24" s="596">
        <f t="shared" si="4"/>
        <v>2</v>
      </c>
      <c r="R24" s="597">
        <f t="shared" si="5"/>
        <v>5038.9934</v>
      </c>
      <c r="S24" s="590" t="str">
        <f t="shared" si="6"/>
        <v>--</v>
      </c>
      <c r="T24" s="591" t="str">
        <f t="shared" si="7"/>
        <v>--</v>
      </c>
      <c r="U24" s="388" t="str">
        <f t="shared" si="8"/>
        <v>--</v>
      </c>
      <c r="V24" s="389" t="str">
        <f t="shared" si="9"/>
        <v>--</v>
      </c>
      <c r="W24" s="592" t="str">
        <f t="shared" si="10"/>
        <v>--</v>
      </c>
      <c r="X24" s="439" t="str">
        <f t="shared" si="11"/>
        <v>--</v>
      </c>
      <c r="Y24" s="181" t="s">
        <v>82</v>
      </c>
      <c r="Z24" s="525">
        <f t="shared" si="12"/>
        <v>5038.9934</v>
      </c>
      <c r="AA24" s="60"/>
    </row>
    <row r="25" spans="2:27" s="8" customFormat="1" ht="16.5" customHeight="1">
      <c r="B25" s="55"/>
      <c r="C25" s="151">
        <v>61</v>
      </c>
      <c r="D25" s="151">
        <v>283184</v>
      </c>
      <c r="E25" s="151">
        <v>587</v>
      </c>
      <c r="F25" s="594" t="s">
        <v>230</v>
      </c>
      <c r="G25" s="516" t="s">
        <v>232</v>
      </c>
      <c r="H25" s="595">
        <v>245</v>
      </c>
      <c r="I25" s="377">
        <f t="shared" si="0"/>
        <v>292.285</v>
      </c>
      <c r="J25" s="519">
        <v>42007.20486111111</v>
      </c>
      <c r="K25" s="205">
        <v>42007.64097222222</v>
      </c>
      <c r="L25" s="521">
        <f t="shared" si="1"/>
        <v>10.466666666732635</v>
      </c>
      <c r="M25" s="522">
        <f t="shared" si="2"/>
        <v>628</v>
      </c>
      <c r="N25" s="179" t="s">
        <v>187</v>
      </c>
      <c r="O25" s="1099" t="s">
        <v>229</v>
      </c>
      <c r="P25" s="181" t="str">
        <f t="shared" si="3"/>
        <v>--</v>
      </c>
      <c r="Q25" s="596">
        <f t="shared" si="4"/>
        <v>2</v>
      </c>
      <c r="R25" s="597">
        <f t="shared" si="5"/>
        <v>6120.447900000001</v>
      </c>
      <c r="S25" s="590" t="str">
        <f t="shared" si="6"/>
        <v>--</v>
      </c>
      <c r="T25" s="591" t="str">
        <f t="shared" si="7"/>
        <v>--</v>
      </c>
      <c r="U25" s="388" t="str">
        <f t="shared" si="8"/>
        <v>--</v>
      </c>
      <c r="V25" s="389" t="str">
        <f t="shared" si="9"/>
        <v>--</v>
      </c>
      <c r="W25" s="592" t="str">
        <f t="shared" si="10"/>
        <v>--</v>
      </c>
      <c r="X25" s="439" t="str">
        <f t="shared" si="11"/>
        <v>--</v>
      </c>
      <c r="Y25" s="181" t="s">
        <v>82</v>
      </c>
      <c r="Z25" s="525">
        <f t="shared" si="12"/>
        <v>6120.447900000001</v>
      </c>
      <c r="AA25" s="598"/>
    </row>
    <row r="26" spans="2:27" s="8" customFormat="1" ht="16.5" customHeight="1">
      <c r="B26" s="55"/>
      <c r="C26" s="151">
        <v>62</v>
      </c>
      <c r="D26" s="151">
        <v>283377</v>
      </c>
      <c r="E26" s="170">
        <v>3755</v>
      </c>
      <c r="F26" s="594" t="s">
        <v>233</v>
      </c>
      <c r="G26" s="516" t="s">
        <v>234</v>
      </c>
      <c r="H26" s="595">
        <v>50</v>
      </c>
      <c r="I26" s="377">
        <f t="shared" si="0"/>
        <v>59.650000000000006</v>
      </c>
      <c r="J26" s="519">
        <v>42010.34861111111</v>
      </c>
      <c r="K26" s="205">
        <v>42010.69861111111</v>
      </c>
      <c r="L26" s="521">
        <f t="shared" si="1"/>
        <v>8.399999999965075</v>
      </c>
      <c r="M26" s="522">
        <f t="shared" si="2"/>
        <v>504</v>
      </c>
      <c r="N26" s="179" t="s">
        <v>187</v>
      </c>
      <c r="O26" s="1099" t="s">
        <v>229</v>
      </c>
      <c r="P26" s="181" t="str">
        <f t="shared" si="3"/>
        <v>--</v>
      </c>
      <c r="Q26" s="596">
        <f t="shared" si="4"/>
        <v>2</v>
      </c>
      <c r="R26" s="597">
        <f t="shared" si="5"/>
        <v>1002.1200000000001</v>
      </c>
      <c r="S26" s="590" t="str">
        <f t="shared" si="6"/>
        <v>--</v>
      </c>
      <c r="T26" s="591" t="str">
        <f t="shared" si="7"/>
        <v>--</v>
      </c>
      <c r="U26" s="388" t="str">
        <f t="shared" si="8"/>
        <v>--</v>
      </c>
      <c r="V26" s="389" t="str">
        <f t="shared" si="9"/>
        <v>--</v>
      </c>
      <c r="W26" s="592" t="str">
        <f t="shared" si="10"/>
        <v>--</v>
      </c>
      <c r="X26" s="439" t="str">
        <f t="shared" si="11"/>
        <v>--</v>
      </c>
      <c r="Y26" s="181" t="s">
        <v>82</v>
      </c>
      <c r="Z26" s="525">
        <f t="shared" si="12"/>
        <v>1002.1200000000001</v>
      </c>
      <c r="AA26" s="598"/>
    </row>
    <row r="27" spans="2:27" s="8" customFormat="1" ht="16.5" customHeight="1">
      <c r="B27" s="55"/>
      <c r="C27" s="151">
        <v>63</v>
      </c>
      <c r="D27" s="151">
        <v>283378</v>
      </c>
      <c r="E27" s="151">
        <v>3755</v>
      </c>
      <c r="F27" s="594" t="s">
        <v>233</v>
      </c>
      <c r="G27" s="516" t="s">
        <v>234</v>
      </c>
      <c r="H27" s="595">
        <v>50</v>
      </c>
      <c r="I27" s="377">
        <f t="shared" si="0"/>
        <v>59.650000000000006</v>
      </c>
      <c r="J27" s="519">
        <v>42010.69930555556</v>
      </c>
      <c r="K27" s="205">
        <v>42011.675</v>
      </c>
      <c r="L27" s="521">
        <f t="shared" si="1"/>
        <v>23.41666666668607</v>
      </c>
      <c r="M27" s="522">
        <f t="shared" si="2"/>
        <v>1405</v>
      </c>
      <c r="N27" s="179" t="s">
        <v>185</v>
      </c>
      <c r="O27" s="1099" t="s">
        <v>229</v>
      </c>
      <c r="P27" s="181" t="str">
        <f t="shared" si="3"/>
        <v>NO</v>
      </c>
      <c r="Q27" s="596">
        <f t="shared" si="4"/>
        <v>20</v>
      </c>
      <c r="R27" s="597" t="str">
        <f t="shared" si="5"/>
        <v>--</v>
      </c>
      <c r="S27" s="590">
        <f t="shared" si="6"/>
        <v>1193</v>
      </c>
      <c r="T27" s="591">
        <f t="shared" si="7"/>
        <v>27940.06</v>
      </c>
      <c r="U27" s="388" t="str">
        <f t="shared" si="8"/>
        <v>--</v>
      </c>
      <c r="V27" s="389" t="str">
        <f t="shared" si="9"/>
        <v>--</v>
      </c>
      <c r="W27" s="592" t="str">
        <f t="shared" si="10"/>
        <v>--</v>
      </c>
      <c r="X27" s="439" t="str">
        <f t="shared" si="11"/>
        <v>--</v>
      </c>
      <c r="Y27" s="181" t="s">
        <v>82</v>
      </c>
      <c r="Z27" s="525">
        <f t="shared" si="12"/>
        <v>29133.06</v>
      </c>
      <c r="AA27" s="598"/>
    </row>
    <row r="28" spans="2:27" s="8" customFormat="1" ht="16.5" customHeight="1">
      <c r="B28" s="55"/>
      <c r="C28" s="151">
        <v>64</v>
      </c>
      <c r="D28" s="151">
        <v>283382</v>
      </c>
      <c r="E28" s="170">
        <v>3755</v>
      </c>
      <c r="F28" s="594" t="s">
        <v>233</v>
      </c>
      <c r="G28" s="516" t="s">
        <v>234</v>
      </c>
      <c r="H28" s="595">
        <v>50</v>
      </c>
      <c r="I28" s="377">
        <f t="shared" si="0"/>
        <v>59.650000000000006</v>
      </c>
      <c r="J28" s="519">
        <v>42012.34722222222</v>
      </c>
      <c r="K28" s="205">
        <v>42012.64444444444</v>
      </c>
      <c r="L28" s="521">
        <f t="shared" si="1"/>
        <v>7.133333333360497</v>
      </c>
      <c r="M28" s="522">
        <f t="shared" si="2"/>
        <v>428</v>
      </c>
      <c r="N28" s="179" t="s">
        <v>187</v>
      </c>
      <c r="O28" s="1099" t="s">
        <v>229</v>
      </c>
      <c r="P28" s="181" t="str">
        <f t="shared" si="3"/>
        <v>--</v>
      </c>
      <c r="Q28" s="596">
        <f t="shared" si="4"/>
        <v>2</v>
      </c>
      <c r="R28" s="597">
        <f t="shared" si="5"/>
        <v>850.609</v>
      </c>
      <c r="S28" s="590" t="str">
        <f t="shared" si="6"/>
        <v>--</v>
      </c>
      <c r="T28" s="591" t="str">
        <f t="shared" si="7"/>
        <v>--</v>
      </c>
      <c r="U28" s="388" t="str">
        <f t="shared" si="8"/>
        <v>--</v>
      </c>
      <c r="V28" s="389" t="str">
        <f t="shared" si="9"/>
        <v>--</v>
      </c>
      <c r="W28" s="592" t="str">
        <f t="shared" si="10"/>
        <v>--</v>
      </c>
      <c r="X28" s="439" t="str">
        <f t="shared" si="11"/>
        <v>--</v>
      </c>
      <c r="Y28" s="181" t="s">
        <v>82</v>
      </c>
      <c r="Z28" s="525">
        <f t="shared" si="12"/>
        <v>850.609</v>
      </c>
      <c r="AA28" s="598"/>
    </row>
    <row r="29" spans="2:27" s="8" customFormat="1" ht="16.5" customHeight="1">
      <c r="B29" s="55"/>
      <c r="C29" s="151">
        <v>65</v>
      </c>
      <c r="D29" s="151">
        <v>283384</v>
      </c>
      <c r="E29" s="151">
        <v>587</v>
      </c>
      <c r="F29" s="594" t="s">
        <v>230</v>
      </c>
      <c r="G29" s="516" t="s">
        <v>232</v>
      </c>
      <c r="H29" s="595">
        <v>245</v>
      </c>
      <c r="I29" s="377">
        <f t="shared" si="0"/>
        <v>292.285</v>
      </c>
      <c r="J29" s="519">
        <v>42014.20972222222</v>
      </c>
      <c r="K29" s="205">
        <v>42014.49930555555</v>
      </c>
      <c r="L29" s="521">
        <f t="shared" si="1"/>
        <v>6.949999999953434</v>
      </c>
      <c r="M29" s="522">
        <f t="shared" si="2"/>
        <v>417</v>
      </c>
      <c r="N29" s="179" t="s">
        <v>187</v>
      </c>
      <c r="O29" s="1099" t="s">
        <v>229</v>
      </c>
      <c r="P29" s="181" t="str">
        <f t="shared" si="3"/>
        <v>--</v>
      </c>
      <c r="Q29" s="596">
        <f t="shared" si="4"/>
        <v>2</v>
      </c>
      <c r="R29" s="597">
        <f t="shared" si="5"/>
        <v>4062.7615000000005</v>
      </c>
      <c r="S29" s="590" t="str">
        <f t="shared" si="6"/>
        <v>--</v>
      </c>
      <c r="T29" s="591" t="str">
        <f t="shared" si="7"/>
        <v>--</v>
      </c>
      <c r="U29" s="388" t="str">
        <f t="shared" si="8"/>
        <v>--</v>
      </c>
      <c r="V29" s="389" t="str">
        <f t="shared" si="9"/>
        <v>--</v>
      </c>
      <c r="W29" s="592" t="str">
        <f t="shared" si="10"/>
        <v>--</v>
      </c>
      <c r="X29" s="439" t="str">
        <f t="shared" si="11"/>
        <v>--</v>
      </c>
      <c r="Y29" s="181" t="s">
        <v>82</v>
      </c>
      <c r="Z29" s="525">
        <f t="shared" si="12"/>
        <v>4062.7615000000005</v>
      </c>
      <c r="AA29" s="598"/>
    </row>
    <row r="30" spans="2:27" s="8" customFormat="1" ht="16.5" customHeight="1">
      <c r="B30" s="55"/>
      <c r="C30" s="151"/>
      <c r="D30" s="151"/>
      <c r="E30" s="170"/>
      <c r="F30" s="594"/>
      <c r="G30" s="516"/>
      <c r="H30" s="595"/>
      <c r="I30" s="377"/>
      <c r="J30" s="519"/>
      <c r="K30" s="205"/>
      <c r="L30" s="521"/>
      <c r="M30" s="522"/>
      <c r="N30" s="179"/>
      <c r="O30" s="1099"/>
      <c r="P30" s="181"/>
      <c r="Q30" s="596"/>
      <c r="R30" s="597"/>
      <c r="S30" s="590"/>
      <c r="T30" s="591"/>
      <c r="U30" s="388"/>
      <c r="V30" s="389"/>
      <c r="W30" s="592"/>
      <c r="X30" s="439"/>
      <c r="Y30" s="181"/>
      <c r="Z30" s="525"/>
      <c r="AA30" s="598"/>
    </row>
    <row r="31" spans="2:27" s="8" customFormat="1" ht="16.5" customHeight="1">
      <c r="B31" s="55"/>
      <c r="C31" s="151"/>
      <c r="D31" s="151"/>
      <c r="E31" s="151"/>
      <c r="F31" s="594"/>
      <c r="G31" s="516"/>
      <c r="H31" s="595"/>
      <c r="I31" s="377"/>
      <c r="J31" s="519"/>
      <c r="K31" s="205"/>
      <c r="L31" s="521"/>
      <c r="M31" s="522"/>
      <c r="N31" s="179"/>
      <c r="O31" s="1099"/>
      <c r="P31" s="181"/>
      <c r="Q31" s="596"/>
      <c r="R31" s="597"/>
      <c r="S31" s="590"/>
      <c r="T31" s="591"/>
      <c r="U31" s="388"/>
      <c r="V31" s="389"/>
      <c r="W31" s="592"/>
      <c r="X31" s="439"/>
      <c r="Y31" s="181"/>
      <c r="Z31" s="525"/>
      <c r="AA31" s="60"/>
    </row>
    <row r="32" spans="2:27" s="8" customFormat="1" ht="16.5" customHeight="1">
      <c r="B32" s="55"/>
      <c r="C32" s="151">
        <v>68</v>
      </c>
      <c r="D32" s="151">
        <v>283649</v>
      </c>
      <c r="E32" s="170">
        <v>3755</v>
      </c>
      <c r="F32" s="594" t="s">
        <v>233</v>
      </c>
      <c r="G32" s="516" t="s">
        <v>234</v>
      </c>
      <c r="H32" s="595">
        <v>50</v>
      </c>
      <c r="I32" s="377">
        <f t="shared" si="0"/>
        <v>59.650000000000006</v>
      </c>
      <c r="J32" s="519">
        <v>42018.334027777775</v>
      </c>
      <c r="K32" s="205">
        <v>42018.490277777775</v>
      </c>
      <c r="L32" s="521">
        <f t="shared" si="1"/>
        <v>3.75</v>
      </c>
      <c r="M32" s="522">
        <f t="shared" si="2"/>
        <v>225</v>
      </c>
      <c r="N32" s="179" t="s">
        <v>187</v>
      </c>
      <c r="O32" s="1099" t="s">
        <v>229</v>
      </c>
      <c r="P32" s="181" t="str">
        <f t="shared" si="3"/>
        <v>--</v>
      </c>
      <c r="Q32" s="596">
        <f t="shared" si="4"/>
        <v>2</v>
      </c>
      <c r="R32" s="597">
        <f t="shared" si="5"/>
        <v>447.37500000000006</v>
      </c>
      <c r="S32" s="590" t="str">
        <f t="shared" si="6"/>
        <v>--</v>
      </c>
      <c r="T32" s="591" t="str">
        <f t="shared" si="7"/>
        <v>--</v>
      </c>
      <c r="U32" s="388" t="str">
        <f t="shared" si="8"/>
        <v>--</v>
      </c>
      <c r="V32" s="389" t="str">
        <f t="shared" si="9"/>
        <v>--</v>
      </c>
      <c r="W32" s="592" t="str">
        <f t="shared" si="10"/>
        <v>--</v>
      </c>
      <c r="X32" s="439" t="str">
        <f t="shared" si="11"/>
        <v>--</v>
      </c>
      <c r="Y32" s="181" t="s">
        <v>82</v>
      </c>
      <c r="Z32" s="525">
        <f t="shared" si="12"/>
        <v>447.37500000000006</v>
      </c>
      <c r="AA32" s="60"/>
    </row>
    <row r="33" spans="2:27" s="8" customFormat="1" ht="16.5" customHeight="1">
      <c r="B33" s="55"/>
      <c r="C33" s="151"/>
      <c r="D33" s="151"/>
      <c r="E33" s="151"/>
      <c r="F33" s="594"/>
      <c r="G33" s="516"/>
      <c r="H33" s="595"/>
      <c r="I33" s="377"/>
      <c r="J33" s="519"/>
      <c r="K33" s="205"/>
      <c r="L33" s="521"/>
      <c r="M33" s="522"/>
      <c r="N33" s="179"/>
      <c r="O33" s="1099"/>
      <c r="P33" s="181"/>
      <c r="Q33" s="596"/>
      <c r="R33" s="597"/>
      <c r="S33" s="590"/>
      <c r="T33" s="591"/>
      <c r="U33" s="388"/>
      <c r="V33" s="389"/>
      <c r="W33" s="592"/>
      <c r="X33" s="439"/>
      <c r="Y33" s="181"/>
      <c r="Z33" s="525"/>
      <c r="AA33" s="60"/>
    </row>
    <row r="34" spans="2:27" s="8" customFormat="1" ht="16.5" customHeight="1">
      <c r="B34" s="55"/>
      <c r="C34" s="151">
        <v>70</v>
      </c>
      <c r="D34" s="151">
        <v>283818</v>
      </c>
      <c r="E34" s="170">
        <v>621</v>
      </c>
      <c r="F34" s="594" t="s">
        <v>221</v>
      </c>
      <c r="G34" s="516" t="s">
        <v>236</v>
      </c>
      <c r="H34" s="595">
        <v>150</v>
      </c>
      <c r="I34" s="377">
        <f t="shared" si="0"/>
        <v>178.95000000000002</v>
      </c>
      <c r="J34" s="519">
        <v>42024.263194444444</v>
      </c>
      <c r="K34" s="205">
        <v>42024.74097222222</v>
      </c>
      <c r="L34" s="521">
        <f t="shared" si="1"/>
        <v>11.466666666674428</v>
      </c>
      <c r="M34" s="522">
        <f t="shared" si="2"/>
        <v>688</v>
      </c>
      <c r="N34" s="179" t="s">
        <v>187</v>
      </c>
      <c r="O34" s="1099" t="s">
        <v>229</v>
      </c>
      <c r="P34" s="181" t="str">
        <f t="shared" si="3"/>
        <v>--</v>
      </c>
      <c r="Q34" s="596">
        <f t="shared" si="4"/>
        <v>2</v>
      </c>
      <c r="R34" s="597">
        <f t="shared" si="5"/>
        <v>4105.113</v>
      </c>
      <c r="S34" s="590" t="str">
        <f t="shared" si="6"/>
        <v>--</v>
      </c>
      <c r="T34" s="591" t="str">
        <f t="shared" si="7"/>
        <v>--</v>
      </c>
      <c r="U34" s="388" t="str">
        <f t="shared" si="8"/>
        <v>--</v>
      </c>
      <c r="V34" s="389" t="str">
        <f t="shared" si="9"/>
        <v>--</v>
      </c>
      <c r="W34" s="592" t="str">
        <f t="shared" si="10"/>
        <v>--</v>
      </c>
      <c r="X34" s="439" t="str">
        <f t="shared" si="11"/>
        <v>--</v>
      </c>
      <c r="Y34" s="181" t="s">
        <v>82</v>
      </c>
      <c r="Z34" s="525">
        <f t="shared" si="12"/>
        <v>4105.113</v>
      </c>
      <c r="AA34" s="60"/>
    </row>
    <row r="35" spans="2:27" s="8" customFormat="1" ht="16.5" customHeight="1">
      <c r="B35" s="55"/>
      <c r="C35" s="151">
        <v>71</v>
      </c>
      <c r="D35" s="151">
        <v>283824</v>
      </c>
      <c r="E35" s="151">
        <v>621</v>
      </c>
      <c r="F35" s="594" t="s">
        <v>221</v>
      </c>
      <c r="G35" s="516" t="s">
        <v>236</v>
      </c>
      <c r="H35" s="595">
        <v>150</v>
      </c>
      <c r="I35" s="377">
        <f t="shared" si="0"/>
        <v>178.95000000000002</v>
      </c>
      <c r="J35" s="519">
        <v>42025.3625</v>
      </c>
      <c r="K35" s="205">
        <v>42025.73541666667</v>
      </c>
      <c r="L35" s="521">
        <f t="shared" si="1"/>
        <v>8.950000000011642</v>
      </c>
      <c r="M35" s="522">
        <f t="shared" si="2"/>
        <v>537</v>
      </c>
      <c r="N35" s="179" t="s">
        <v>187</v>
      </c>
      <c r="O35" s="1099" t="s">
        <v>229</v>
      </c>
      <c r="P35" s="181" t="str">
        <f t="shared" si="3"/>
        <v>--</v>
      </c>
      <c r="Q35" s="596">
        <f t="shared" si="4"/>
        <v>2</v>
      </c>
      <c r="R35" s="597">
        <f t="shared" si="5"/>
        <v>3203.205</v>
      </c>
      <c r="S35" s="590" t="str">
        <f t="shared" si="6"/>
        <v>--</v>
      </c>
      <c r="T35" s="591" t="str">
        <f t="shared" si="7"/>
        <v>--</v>
      </c>
      <c r="U35" s="388" t="str">
        <f t="shared" si="8"/>
        <v>--</v>
      </c>
      <c r="V35" s="389" t="str">
        <f t="shared" si="9"/>
        <v>--</v>
      </c>
      <c r="W35" s="592" t="str">
        <f t="shared" si="10"/>
        <v>--</v>
      </c>
      <c r="X35" s="439" t="str">
        <f t="shared" si="11"/>
        <v>--</v>
      </c>
      <c r="Y35" s="181" t="s">
        <v>82</v>
      </c>
      <c r="Z35" s="525">
        <f t="shared" si="12"/>
        <v>3203.205</v>
      </c>
      <c r="AA35" s="60"/>
    </row>
    <row r="36" spans="2:27" s="8" customFormat="1" ht="16.5" customHeight="1">
      <c r="B36" s="55"/>
      <c r="C36" s="151">
        <v>72</v>
      </c>
      <c r="D36" s="151">
        <v>283835</v>
      </c>
      <c r="E36" s="170">
        <v>621</v>
      </c>
      <c r="F36" s="594" t="s">
        <v>221</v>
      </c>
      <c r="G36" s="516" t="s">
        <v>236</v>
      </c>
      <c r="H36" s="595">
        <v>150</v>
      </c>
      <c r="I36" s="377">
        <f t="shared" si="0"/>
        <v>178.95000000000002</v>
      </c>
      <c r="J36" s="519">
        <v>42026.3625</v>
      </c>
      <c r="K36" s="205">
        <v>42026.72777777778</v>
      </c>
      <c r="L36" s="521">
        <f t="shared" si="1"/>
        <v>8.766666666604578</v>
      </c>
      <c r="M36" s="522">
        <f t="shared" si="2"/>
        <v>526</v>
      </c>
      <c r="N36" s="179" t="s">
        <v>187</v>
      </c>
      <c r="O36" s="1099" t="s">
        <v>229</v>
      </c>
      <c r="P36" s="181" t="str">
        <f t="shared" si="3"/>
        <v>--</v>
      </c>
      <c r="Q36" s="596">
        <f t="shared" si="4"/>
        <v>2</v>
      </c>
      <c r="R36" s="597">
        <f t="shared" si="5"/>
        <v>3138.7830000000004</v>
      </c>
      <c r="S36" s="590" t="str">
        <f t="shared" si="6"/>
        <v>--</v>
      </c>
      <c r="T36" s="591" t="str">
        <f t="shared" si="7"/>
        <v>--</v>
      </c>
      <c r="U36" s="388" t="str">
        <f t="shared" si="8"/>
        <v>--</v>
      </c>
      <c r="V36" s="389" t="str">
        <f t="shared" si="9"/>
        <v>--</v>
      </c>
      <c r="W36" s="592" t="str">
        <f t="shared" si="10"/>
        <v>--</v>
      </c>
      <c r="X36" s="439" t="str">
        <f t="shared" si="11"/>
        <v>--</v>
      </c>
      <c r="Y36" s="181" t="s">
        <v>82</v>
      </c>
      <c r="Z36" s="525">
        <f t="shared" si="12"/>
        <v>3138.7830000000004</v>
      </c>
      <c r="AA36" s="60"/>
    </row>
    <row r="37" spans="2:27" s="8" customFormat="1" ht="16.5" customHeight="1">
      <c r="B37" s="55"/>
      <c r="C37" s="151">
        <v>73</v>
      </c>
      <c r="D37" s="151">
        <v>284210</v>
      </c>
      <c r="E37" s="151">
        <v>665</v>
      </c>
      <c r="F37" s="594" t="s">
        <v>349</v>
      </c>
      <c r="G37" s="516" t="s">
        <v>348</v>
      </c>
      <c r="H37" s="595">
        <v>80</v>
      </c>
      <c r="I37" s="377">
        <f t="shared" si="0"/>
        <v>95.44</v>
      </c>
      <c r="J37" s="519">
        <v>42031.646527777775</v>
      </c>
      <c r="K37" s="205">
        <v>42035.99930555555</v>
      </c>
      <c r="L37" s="521">
        <f t="shared" si="1"/>
        <v>104.46666666667443</v>
      </c>
      <c r="M37" s="522">
        <f t="shared" si="2"/>
        <v>6268</v>
      </c>
      <c r="N37" s="179" t="s">
        <v>185</v>
      </c>
      <c r="O37" s="1099" t="s">
        <v>229</v>
      </c>
      <c r="P37" s="181" t="str">
        <f t="shared" si="3"/>
        <v>NO</v>
      </c>
      <c r="Q37" s="596">
        <f t="shared" si="4"/>
        <v>20</v>
      </c>
      <c r="R37" s="597" t="str">
        <f t="shared" si="5"/>
        <v>--</v>
      </c>
      <c r="S37" s="590">
        <f t="shared" si="6"/>
        <v>1908.8</v>
      </c>
      <c r="T37" s="591">
        <f t="shared" si="7"/>
        <v>199412.33599999998</v>
      </c>
      <c r="U37" s="388" t="str">
        <f t="shared" si="8"/>
        <v>--</v>
      </c>
      <c r="V37" s="389" t="str">
        <f t="shared" si="9"/>
        <v>--</v>
      </c>
      <c r="W37" s="592" t="str">
        <f t="shared" si="10"/>
        <v>--</v>
      </c>
      <c r="X37" s="439" t="str">
        <f t="shared" si="11"/>
        <v>--</v>
      </c>
      <c r="Y37" s="181" t="s">
        <v>82</v>
      </c>
      <c r="Z37" s="525">
        <f t="shared" si="12"/>
        <v>201321.13599999997</v>
      </c>
      <c r="AA37" s="60"/>
    </row>
    <row r="38" spans="2:27" s="8" customFormat="1" ht="16.5" customHeight="1">
      <c r="B38" s="55"/>
      <c r="C38" s="151"/>
      <c r="D38" s="151"/>
      <c r="E38" s="170"/>
      <c r="F38" s="594"/>
      <c r="G38" s="516"/>
      <c r="H38" s="595"/>
      <c r="I38" s="377">
        <f t="shared" si="0"/>
        <v>0</v>
      </c>
      <c r="J38" s="519"/>
      <c r="K38" s="205"/>
      <c r="L38" s="521">
        <f t="shared" si="1"/>
      </c>
      <c r="M38" s="522">
        <f t="shared" si="2"/>
      </c>
      <c r="N38" s="179"/>
      <c r="O38" s="283">
        <f>IF(F38="","","--")</f>
      </c>
      <c r="P38" s="181">
        <f t="shared" si="3"/>
      </c>
      <c r="Q38" s="596">
        <f t="shared" si="4"/>
        <v>20</v>
      </c>
      <c r="R38" s="597" t="str">
        <f t="shared" si="5"/>
        <v>--</v>
      </c>
      <c r="S38" s="590" t="str">
        <f t="shared" si="6"/>
        <v>--</v>
      </c>
      <c r="T38" s="591" t="str">
        <f t="shared" si="7"/>
        <v>--</v>
      </c>
      <c r="U38" s="388" t="str">
        <f t="shared" si="8"/>
        <v>--</v>
      </c>
      <c r="V38" s="389" t="str">
        <f t="shared" si="9"/>
        <v>--</v>
      </c>
      <c r="W38" s="592" t="str">
        <f t="shared" si="10"/>
        <v>--</v>
      </c>
      <c r="X38" s="439" t="str">
        <f t="shared" si="11"/>
        <v>--</v>
      </c>
      <c r="Y38" s="181">
        <f>IF(F38="","","SI")</f>
      </c>
      <c r="Z38" s="525">
        <f t="shared" si="12"/>
      </c>
      <c r="AA38" s="60"/>
    </row>
    <row r="39" spans="2:27" s="8" customFormat="1" ht="16.5" customHeight="1">
      <c r="B39" s="55"/>
      <c r="C39" s="151"/>
      <c r="D39" s="151"/>
      <c r="E39" s="151"/>
      <c r="F39" s="594"/>
      <c r="G39" s="516"/>
      <c r="H39" s="595"/>
      <c r="I39" s="377">
        <f t="shared" si="0"/>
        <v>0</v>
      </c>
      <c r="J39" s="519"/>
      <c r="K39" s="205"/>
      <c r="L39" s="521">
        <f t="shared" si="1"/>
      </c>
      <c r="M39" s="522">
        <f t="shared" si="2"/>
      </c>
      <c r="N39" s="179"/>
      <c r="O39" s="283">
        <f>IF(F39="","","--")</f>
      </c>
      <c r="P39" s="181">
        <f t="shared" si="3"/>
      </c>
      <c r="Q39" s="596">
        <f t="shared" si="4"/>
        <v>20</v>
      </c>
      <c r="R39" s="597" t="str">
        <f t="shared" si="5"/>
        <v>--</v>
      </c>
      <c r="S39" s="590" t="str">
        <f t="shared" si="6"/>
        <v>--</v>
      </c>
      <c r="T39" s="591" t="str">
        <f t="shared" si="7"/>
        <v>--</v>
      </c>
      <c r="U39" s="388" t="str">
        <f t="shared" si="8"/>
        <v>--</v>
      </c>
      <c r="V39" s="389" t="str">
        <f t="shared" si="9"/>
        <v>--</v>
      </c>
      <c r="W39" s="592" t="str">
        <f t="shared" si="10"/>
        <v>--</v>
      </c>
      <c r="X39" s="439" t="str">
        <f t="shared" si="11"/>
        <v>--</v>
      </c>
      <c r="Y39" s="181">
        <f>IF(F39="","","SI")</f>
      </c>
      <c r="Z39" s="525">
        <f t="shared" si="12"/>
      </c>
      <c r="AA39" s="60"/>
    </row>
    <row r="40" spans="2:27" s="8" customFormat="1" ht="16.5" customHeight="1">
      <c r="B40" s="55"/>
      <c r="C40" s="151"/>
      <c r="D40" s="151"/>
      <c r="E40" s="170"/>
      <c r="F40" s="594"/>
      <c r="G40" s="516"/>
      <c r="H40" s="595"/>
      <c r="I40" s="377">
        <f t="shared" si="0"/>
        <v>0</v>
      </c>
      <c r="J40" s="519"/>
      <c r="K40" s="205"/>
      <c r="L40" s="521">
        <f t="shared" si="1"/>
      </c>
      <c r="M40" s="522">
        <f t="shared" si="2"/>
      </c>
      <c r="N40" s="179"/>
      <c r="O40" s="283">
        <f>IF(F40="","","--")</f>
      </c>
      <c r="P40" s="181">
        <f t="shared" si="3"/>
      </c>
      <c r="Q40" s="596">
        <f t="shared" si="4"/>
        <v>20</v>
      </c>
      <c r="R40" s="597" t="str">
        <f t="shared" si="5"/>
        <v>--</v>
      </c>
      <c r="S40" s="590" t="str">
        <f t="shared" si="6"/>
        <v>--</v>
      </c>
      <c r="T40" s="591" t="str">
        <f t="shared" si="7"/>
        <v>--</v>
      </c>
      <c r="U40" s="388" t="str">
        <f t="shared" si="8"/>
        <v>--</v>
      </c>
      <c r="V40" s="389" t="str">
        <f t="shared" si="9"/>
        <v>--</v>
      </c>
      <c r="W40" s="592" t="str">
        <f t="shared" si="10"/>
        <v>--</v>
      </c>
      <c r="X40" s="439" t="str">
        <f t="shared" si="11"/>
        <v>--</v>
      </c>
      <c r="Y40" s="181">
        <f>IF(F40="","","SI")</f>
      </c>
      <c r="Z40" s="525">
        <f t="shared" si="12"/>
      </c>
      <c r="AA40" s="60"/>
    </row>
    <row r="41" spans="2:27" s="8" customFormat="1" ht="16.5" customHeight="1">
      <c r="B41" s="55"/>
      <c r="C41" s="151"/>
      <c r="D41" s="151"/>
      <c r="E41" s="151"/>
      <c r="F41" s="594"/>
      <c r="G41" s="516"/>
      <c r="H41" s="595"/>
      <c r="I41" s="377">
        <f t="shared" si="0"/>
        <v>0</v>
      </c>
      <c r="J41" s="519"/>
      <c r="K41" s="205"/>
      <c r="L41" s="521">
        <f t="shared" si="1"/>
      </c>
      <c r="M41" s="522">
        <f t="shared" si="2"/>
      </c>
      <c r="N41" s="179"/>
      <c r="O41" s="283">
        <f>IF(F41="","","--")</f>
      </c>
      <c r="P41" s="181">
        <f t="shared" si="3"/>
      </c>
      <c r="Q41" s="596">
        <f t="shared" si="4"/>
        <v>20</v>
      </c>
      <c r="R41" s="597" t="str">
        <f t="shared" si="5"/>
        <v>--</v>
      </c>
      <c r="S41" s="590" t="str">
        <f t="shared" si="6"/>
        <v>--</v>
      </c>
      <c r="T41" s="591" t="str">
        <f t="shared" si="7"/>
        <v>--</v>
      </c>
      <c r="U41" s="388" t="str">
        <f t="shared" si="8"/>
        <v>--</v>
      </c>
      <c r="V41" s="389" t="str">
        <f t="shared" si="9"/>
        <v>--</v>
      </c>
      <c r="W41" s="592" t="str">
        <f t="shared" si="10"/>
        <v>--</v>
      </c>
      <c r="X41" s="439" t="str">
        <f t="shared" si="11"/>
        <v>--</v>
      </c>
      <c r="Y41" s="181">
        <f>IF(F41="","","SI")</f>
      </c>
      <c r="Z41" s="525">
        <f t="shared" si="12"/>
      </c>
      <c r="AA41" s="60"/>
    </row>
    <row r="42" spans="2:27" s="8" customFormat="1" ht="16.5" customHeight="1" thickBot="1">
      <c r="B42" s="55"/>
      <c r="C42" s="599"/>
      <c r="D42" s="599"/>
      <c r="E42" s="599"/>
      <c r="F42" s="599"/>
      <c r="G42" s="599"/>
      <c r="H42" s="599"/>
      <c r="I42" s="397"/>
      <c r="J42" s="526"/>
      <c r="K42" s="526"/>
      <c r="L42" s="527"/>
      <c r="M42" s="527"/>
      <c r="N42" s="526"/>
      <c r="O42" s="217"/>
      <c r="P42" s="216"/>
      <c r="Q42" s="600"/>
      <c r="R42" s="601"/>
      <c r="S42" s="602"/>
      <c r="T42" s="603"/>
      <c r="U42" s="409"/>
      <c r="V42" s="410"/>
      <c r="W42" s="604"/>
      <c r="X42" s="604"/>
      <c r="Y42" s="216"/>
      <c r="Z42" s="605"/>
      <c r="AA42" s="60"/>
    </row>
    <row r="43" spans="2:27" s="8" customFormat="1" ht="16.5" customHeight="1" thickBot="1" thickTop="1">
      <c r="B43" s="55"/>
      <c r="C43" s="230" t="s">
        <v>172</v>
      </c>
      <c r="D43" s="272"/>
      <c r="E43" s="230"/>
      <c r="F43" s="232"/>
      <c r="I43" s="11"/>
      <c r="J43" s="11"/>
      <c r="K43" s="11"/>
      <c r="L43" s="11"/>
      <c r="M43" s="11"/>
      <c r="N43" s="11"/>
      <c r="O43" s="11"/>
      <c r="P43" s="11"/>
      <c r="Q43" s="11"/>
      <c r="R43" s="606">
        <f aca="true" t="shared" si="13" ref="R43:X43">SUM(R20:R42)</f>
        <v>454013.5678</v>
      </c>
      <c r="S43" s="607">
        <f t="shared" si="13"/>
        <v>3101.8</v>
      </c>
      <c r="T43" s="608">
        <f t="shared" si="13"/>
        <v>227352.39599999998</v>
      </c>
      <c r="U43" s="419">
        <f t="shared" si="13"/>
        <v>0</v>
      </c>
      <c r="V43" s="420">
        <f t="shared" si="13"/>
        <v>0</v>
      </c>
      <c r="W43" s="609">
        <f t="shared" si="13"/>
        <v>0</v>
      </c>
      <c r="X43" s="609">
        <f t="shared" si="13"/>
        <v>0</v>
      </c>
      <c r="Z43" s="539">
        <f>ROUND(SUM(Z20:Z42),2)</f>
        <v>684467.76</v>
      </c>
      <c r="AA43" s="610"/>
    </row>
    <row r="44" spans="2:27" s="8" customFormat="1" ht="16.5" customHeight="1" thickBot="1" thickTop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8"/>
    </row>
    <row r="45" spans="6:29" ht="16.5" customHeight="1" thickTop="1">
      <c r="F45" s="611"/>
      <c r="G45" s="611"/>
      <c r="H45" s="611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</row>
    <row r="46" spans="6:29" ht="16.5" customHeight="1">
      <c r="F46" s="611"/>
      <c r="G46" s="611"/>
      <c r="H46" s="611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</row>
    <row r="47" spans="6:29" ht="16.5" customHeight="1">
      <c r="F47" s="611"/>
      <c r="G47" s="611"/>
      <c r="H47" s="611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</row>
    <row r="48" spans="6:29" ht="16.5" customHeight="1">
      <c r="F48" s="611"/>
      <c r="G48" s="611"/>
      <c r="H48" s="611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</row>
    <row r="49" spans="6:29" ht="16.5" customHeight="1">
      <c r="F49" s="611"/>
      <c r="G49" s="611"/>
      <c r="H49" s="611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</row>
    <row r="50" spans="6:29" ht="16.5" customHeight="1">
      <c r="F50" s="611"/>
      <c r="G50" s="611"/>
      <c r="H50" s="611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</row>
    <row r="51" spans="6:29" ht="16.5" customHeight="1"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</row>
    <row r="52" spans="6:29" ht="16.5" customHeight="1"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</row>
    <row r="53" spans="6:29" ht="16.5" customHeight="1"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</row>
    <row r="54" spans="6:29" ht="16.5" customHeight="1"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</row>
    <row r="55" spans="6:29" ht="16.5" customHeight="1"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</row>
    <row r="56" spans="6:29" ht="16.5" customHeight="1"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</row>
    <row r="57" spans="6:29" ht="16.5" customHeight="1"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</row>
    <row r="58" spans="6:29" ht="16.5" customHeight="1"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</row>
    <row r="59" spans="6:29" ht="16.5" customHeight="1"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</row>
    <row r="60" spans="6:29" ht="16.5" customHeight="1"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</row>
    <row r="61" spans="6:29" ht="16.5" customHeight="1"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</row>
    <row r="62" spans="6:29" ht="16.5" customHeight="1"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</row>
    <row r="63" spans="6:29" ht="16.5" customHeight="1"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</row>
    <row r="64" spans="6:29" ht="16.5" customHeight="1"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</row>
    <row r="65" spans="6:29" ht="16.5" customHeight="1"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</row>
    <row r="66" spans="6:29" ht="16.5" customHeight="1"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</row>
    <row r="67" spans="6:29" ht="16.5" customHeight="1"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</row>
    <row r="68" spans="6:29" ht="16.5" customHeight="1"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</row>
    <row r="69" spans="6:29" ht="16.5" customHeight="1"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</row>
    <row r="70" spans="6:29" ht="16.5" customHeight="1"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</row>
    <row r="71" spans="6:29" ht="16.5" customHeight="1"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</row>
    <row r="72" spans="6:29" ht="16.5" customHeight="1"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</row>
    <row r="73" spans="6:29" ht="16.5" customHeight="1"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</row>
    <row r="74" spans="6:29" ht="16.5" customHeight="1"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</row>
    <row r="75" spans="6:29" ht="16.5" customHeight="1"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</row>
    <row r="76" spans="6:29" ht="16.5" customHeight="1"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</row>
    <row r="77" spans="6:29" ht="16.5" customHeight="1"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</row>
    <row r="78" spans="6:29" ht="16.5" customHeight="1"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</row>
    <row r="79" spans="6:29" ht="16.5" customHeight="1"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</row>
    <row r="80" spans="6:29" ht="16.5" customHeight="1"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</row>
    <row r="81" spans="6:29" ht="16.5" customHeight="1"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</row>
    <row r="82" spans="6:29" ht="16.5" customHeight="1"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</row>
    <row r="83" spans="6:29" ht="16.5" customHeight="1"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</row>
    <row r="84" spans="6:29" ht="16.5" customHeight="1"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</row>
    <row r="85" spans="6:29" ht="16.5" customHeight="1"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</row>
    <row r="86" spans="6:29" ht="16.5" customHeight="1"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</row>
    <row r="87" spans="6:29" ht="16.5" customHeight="1"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</row>
    <row r="88" spans="6:29" ht="16.5" customHeight="1"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</row>
    <row r="89" spans="6:29" ht="16.5" customHeight="1"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</row>
    <row r="90" spans="6:29" ht="16.5" customHeight="1"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</row>
    <row r="91" spans="6:29" ht="16.5" customHeight="1"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</row>
    <row r="92" spans="6:29" ht="16.5" customHeight="1"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</row>
    <row r="93" spans="6:29" ht="16.5" customHeight="1"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</row>
    <row r="94" spans="6:29" ht="16.5" customHeight="1"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</row>
    <row r="95" spans="6:29" ht="16.5" customHeight="1"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</row>
    <row r="96" spans="6:29" ht="16.5" customHeight="1"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</row>
    <row r="97" spans="6:29" ht="16.5" customHeight="1"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</row>
    <row r="98" spans="6:29" ht="16.5" customHeight="1"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  <c r="AB98" s="428"/>
      <c r="AC98" s="428"/>
    </row>
    <row r="99" spans="6:29" ht="16.5" customHeight="1"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</row>
    <row r="100" spans="6:29" ht="16.5" customHeight="1"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</row>
    <row r="101" spans="6:29" ht="16.5" customHeight="1"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</row>
    <row r="102" spans="6:29" ht="16.5" customHeight="1"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</row>
    <row r="103" spans="6:29" ht="16.5" customHeight="1"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</row>
    <row r="104" spans="6:29" ht="16.5" customHeight="1"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</row>
    <row r="105" spans="6:29" ht="16.5" customHeight="1"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</row>
    <row r="106" spans="6:29" ht="16.5" customHeight="1"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</row>
    <row r="107" spans="6:29" ht="16.5" customHeight="1"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</row>
    <row r="108" spans="6:29" ht="16.5" customHeight="1"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</row>
    <row r="109" spans="6:29" ht="16.5" customHeight="1"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</row>
    <row r="110" spans="6:29" ht="16.5" customHeight="1"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</row>
    <row r="111" spans="6:29" ht="16.5" customHeight="1"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</row>
    <row r="112" spans="6:29" ht="16.5" customHeight="1"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</row>
    <row r="113" spans="6:29" ht="16.5" customHeight="1"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</row>
    <row r="114" spans="6:29" ht="16.5" customHeight="1"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</row>
    <row r="115" spans="6:29" ht="16.5" customHeight="1"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</row>
    <row r="116" spans="6:29" ht="16.5" customHeight="1"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</row>
    <row r="117" spans="6:29" ht="16.5" customHeight="1"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</row>
    <row r="118" spans="6:29" ht="16.5" customHeight="1"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</row>
    <row r="119" spans="6:29" ht="16.5" customHeight="1"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</row>
    <row r="120" spans="6:29" ht="16.5" customHeight="1"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</row>
    <row r="121" spans="6:29" ht="16.5" customHeight="1"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  <c r="AB121" s="428"/>
      <c r="AC121" s="428"/>
    </row>
    <row r="122" spans="6:29" ht="16.5" customHeight="1"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</row>
    <row r="123" spans="6:29" ht="16.5" customHeight="1"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</row>
    <row r="124" spans="6:29" ht="16.5" customHeight="1"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8"/>
      <c r="AC124" s="428"/>
    </row>
    <row r="125" spans="6:29" ht="16.5" customHeight="1"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</row>
    <row r="126" spans="6:29" ht="16.5" customHeight="1"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</row>
    <row r="127" spans="6:29" ht="16.5" customHeight="1"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  <c r="Z127" s="428"/>
      <c r="AA127" s="428"/>
      <c r="AB127" s="428"/>
      <c r="AC127" s="428"/>
    </row>
    <row r="128" spans="6:29" ht="16.5" customHeight="1"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</row>
    <row r="129" spans="6:29" ht="16.5" customHeight="1"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</row>
    <row r="130" spans="6:29" ht="16.5" customHeight="1"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</row>
    <row r="131" spans="6:29" ht="16.5" customHeight="1"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  <c r="AB131" s="428"/>
      <c r="AC131" s="428"/>
    </row>
    <row r="132" spans="6:29" ht="16.5" customHeight="1"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  <c r="AB132" s="428"/>
      <c r="AC132" s="428"/>
    </row>
    <row r="133" spans="6:29" ht="16.5" customHeight="1"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</row>
    <row r="134" spans="6:29" ht="16.5" customHeight="1"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  <c r="AB134" s="428"/>
      <c r="AC134" s="428"/>
    </row>
    <row r="135" spans="6:29" ht="16.5" customHeight="1"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</row>
    <row r="136" spans="6:29" ht="16.5" customHeight="1"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</row>
    <row r="137" spans="6:29" ht="16.5" customHeight="1"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  <c r="AB137" s="428"/>
      <c r="AC137" s="428"/>
    </row>
    <row r="138" spans="6:29" ht="16.5" customHeight="1"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</row>
    <row r="139" spans="6:29" ht="16.5" customHeight="1"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8"/>
      <c r="AA139" s="428"/>
      <c r="AB139" s="428"/>
      <c r="AC139" s="428"/>
    </row>
    <row r="140" spans="6:29" ht="16.5" customHeight="1"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  <c r="Z140" s="428"/>
      <c r="AA140" s="428"/>
      <c r="AB140" s="428"/>
      <c r="AC140" s="428"/>
    </row>
    <row r="141" spans="6:29" ht="16.5" customHeight="1"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  <c r="Z141" s="428"/>
      <c r="AA141" s="428"/>
      <c r="AB141" s="428"/>
      <c r="AC141" s="428"/>
    </row>
    <row r="142" spans="6:29" ht="16.5" customHeight="1"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  <c r="AB142" s="428"/>
      <c r="AC142" s="428"/>
    </row>
    <row r="143" spans="6:29" ht="16.5" customHeight="1"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8"/>
      <c r="Z143" s="428"/>
      <c r="AA143" s="428"/>
      <c r="AB143" s="428"/>
      <c r="AC143" s="428"/>
    </row>
    <row r="144" spans="6:29" ht="16.5" customHeight="1"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8"/>
      <c r="AC144" s="428"/>
    </row>
    <row r="145" spans="6:29" ht="16.5" customHeight="1"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</row>
    <row r="146" spans="6:29" ht="16.5" customHeight="1"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  <c r="AB146" s="428"/>
      <c r="AC146" s="428"/>
    </row>
    <row r="147" spans="6:29" ht="16.5" customHeight="1"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8"/>
      <c r="AB147" s="428"/>
      <c r="AC147" s="428"/>
    </row>
    <row r="148" spans="6:29" ht="16.5" customHeight="1"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  <c r="AB148" s="428"/>
      <c r="AC148" s="428"/>
    </row>
    <row r="149" spans="6:29" ht="16.5" customHeight="1"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  <c r="Z149" s="428"/>
      <c r="AA149" s="428"/>
      <c r="AB149" s="428"/>
      <c r="AC149" s="428"/>
    </row>
    <row r="150" spans="6:29" ht="16.5" customHeight="1"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  <c r="Z150" s="428"/>
      <c r="AA150" s="428"/>
      <c r="AB150" s="428"/>
      <c r="AC150" s="428"/>
    </row>
    <row r="151" spans="6:29" ht="16.5" customHeight="1"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8"/>
      <c r="AB151" s="428"/>
      <c r="AC151" s="428"/>
    </row>
    <row r="152" spans="6:29" ht="16.5" customHeight="1">
      <c r="F152" s="428"/>
      <c r="G152" s="428"/>
      <c r="H152" s="428"/>
      <c r="AB152" s="428"/>
      <c r="AC152" s="428"/>
    </row>
    <row r="153" spans="6:8" ht="16.5" customHeight="1">
      <c r="F153" s="428"/>
      <c r="G153" s="428"/>
      <c r="H153" s="428"/>
    </row>
    <row r="154" spans="6:8" ht="16.5" customHeight="1">
      <c r="F154" s="428"/>
      <c r="G154" s="428"/>
      <c r="H154" s="428"/>
    </row>
    <row r="155" spans="6:8" ht="16.5" customHeight="1">
      <c r="F155" s="428"/>
      <c r="G155" s="428"/>
      <c r="H155" s="428"/>
    </row>
    <row r="156" spans="6:8" ht="16.5" customHeight="1">
      <c r="F156" s="428"/>
      <c r="G156" s="428"/>
      <c r="H156" s="428"/>
    </row>
    <row r="157" spans="6:8" ht="16.5" customHeight="1">
      <c r="F157" s="428"/>
      <c r="G157" s="428"/>
      <c r="H157" s="428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5"/>
  <sheetViews>
    <sheetView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2" width="4.140625" style="1489" customWidth="1"/>
    <col min="3" max="3" width="5.421875" style="1489" customWidth="1"/>
    <col min="4" max="5" width="13.57421875" style="1489" customWidth="1"/>
    <col min="6" max="6" width="30.7109375" style="1489" customWidth="1"/>
    <col min="7" max="7" width="17.57421875" style="1489" customWidth="1"/>
    <col min="8" max="8" width="14.57421875" style="1489" customWidth="1"/>
    <col min="9" max="9" width="10.28125" style="1489" customWidth="1"/>
    <col min="10" max="10" width="6.421875" style="1489" hidden="1" customWidth="1"/>
    <col min="11" max="11" width="16.28125" style="1489" customWidth="1"/>
    <col min="12" max="12" width="16.421875" style="1489" customWidth="1"/>
    <col min="13" max="15" width="9.7109375" style="1489" customWidth="1"/>
    <col min="16" max="17" width="6.00390625" style="1489" customWidth="1"/>
    <col min="18" max="18" width="6.421875" style="1489" hidden="1" customWidth="1"/>
    <col min="19" max="19" width="13.140625" style="1489" hidden="1" customWidth="1"/>
    <col min="20" max="21" width="10.8515625" style="1489" hidden="1" customWidth="1"/>
    <col min="22" max="23" width="12.28125" style="1489" hidden="1" customWidth="1"/>
    <col min="24" max="25" width="15.7109375" style="1489" customWidth="1"/>
    <col min="26" max="26" width="4.140625" style="1489" customWidth="1"/>
    <col min="27" max="16384" width="11.421875" style="1489" customWidth="1"/>
  </cols>
  <sheetData>
    <row r="1" s="1450" customFormat="1" ht="26.25">
      <c r="Y1" s="1451"/>
    </row>
    <row r="2" spans="1:25" s="1450" customFormat="1" ht="26.25">
      <c r="A2" s="1452"/>
      <c r="B2" s="1453" t="str">
        <f>+'TOT-0115'!B2</f>
        <v>ANEXO II al Memorándum D.T.E.E. N°  90 /2016</v>
      </c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453"/>
      <c r="N2" s="1453"/>
      <c r="O2" s="1453"/>
      <c r="P2" s="1453"/>
      <c r="Q2" s="1453"/>
      <c r="R2" s="1453"/>
      <c r="S2" s="1453"/>
      <c r="T2" s="1453"/>
      <c r="U2" s="1453"/>
      <c r="V2" s="1453"/>
      <c r="W2" s="1453"/>
      <c r="X2" s="1453"/>
      <c r="Y2" s="1453"/>
    </row>
    <row r="3" s="1455" customFormat="1" ht="12.75">
      <c r="A3" s="1454"/>
    </row>
    <row r="4" spans="1:4" s="1458" customFormat="1" ht="11.25">
      <c r="A4" s="1456" t="s">
        <v>2</v>
      </c>
      <c r="B4" s="1457"/>
      <c r="C4" s="1457"/>
      <c r="D4" s="1457"/>
    </row>
    <row r="5" spans="1:4" s="1458" customFormat="1" ht="11.25">
      <c r="A5" s="1456" t="s">
        <v>3</v>
      </c>
      <c r="B5" s="1457"/>
      <c r="C5" s="1457"/>
      <c r="D5" s="1457"/>
    </row>
    <row r="6" s="1455" customFormat="1" ht="13.5" thickBot="1"/>
    <row r="7" spans="2:26" s="1455" customFormat="1" ht="13.5" thickTop="1">
      <c r="B7" s="1459"/>
      <c r="C7" s="1460"/>
      <c r="D7" s="1460"/>
      <c r="E7" s="1460"/>
      <c r="F7" s="1460"/>
      <c r="G7" s="1460"/>
      <c r="H7" s="1460"/>
      <c r="I7" s="1460"/>
      <c r="J7" s="1460"/>
      <c r="K7" s="1460"/>
      <c r="L7" s="1460"/>
      <c r="M7" s="1460"/>
      <c r="N7" s="1460"/>
      <c r="O7" s="1460"/>
      <c r="P7" s="1460"/>
      <c r="Q7" s="1460"/>
      <c r="R7" s="1460"/>
      <c r="S7" s="1460"/>
      <c r="T7" s="1460"/>
      <c r="U7" s="1460"/>
      <c r="V7" s="1460"/>
      <c r="W7" s="1460"/>
      <c r="X7" s="1460"/>
      <c r="Y7" s="1460"/>
      <c r="Z7" s="1461"/>
    </row>
    <row r="8" spans="2:26" s="1462" customFormat="1" ht="20.25">
      <c r="B8" s="1463"/>
      <c r="C8" s="1464"/>
      <c r="D8" s="1464"/>
      <c r="F8" s="1465" t="s">
        <v>75</v>
      </c>
      <c r="G8" s="1466"/>
      <c r="H8" s="1467"/>
      <c r="I8" s="1468"/>
      <c r="J8" s="1468"/>
      <c r="K8" s="1468"/>
      <c r="L8" s="1468"/>
      <c r="M8" s="1468"/>
      <c r="N8" s="1468"/>
      <c r="O8" s="1468"/>
      <c r="P8" s="1467"/>
      <c r="Q8" s="1467"/>
      <c r="R8" s="1467"/>
      <c r="S8" s="1467"/>
      <c r="T8" s="1467"/>
      <c r="U8" s="1467"/>
      <c r="V8" s="1467"/>
      <c r="W8" s="1467"/>
      <c r="X8" s="1467"/>
      <c r="Y8" s="1467"/>
      <c r="Z8" s="1469"/>
    </row>
    <row r="9" spans="2:26" s="1455" customFormat="1" ht="14.25" customHeight="1">
      <c r="B9" s="1470"/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1"/>
      <c r="U9" s="1471"/>
      <c r="V9" s="1471"/>
      <c r="W9" s="1471"/>
      <c r="X9" s="1471"/>
      <c r="Y9" s="1471"/>
      <c r="Z9" s="1472"/>
    </row>
    <row r="10" spans="2:26" s="1462" customFormat="1" ht="20.25">
      <c r="B10" s="1463"/>
      <c r="C10" s="1464"/>
      <c r="D10" s="1464"/>
      <c r="F10" s="1473" t="s">
        <v>307</v>
      </c>
      <c r="H10" s="1474"/>
      <c r="I10" s="1475"/>
      <c r="J10" s="1475"/>
      <c r="K10" s="1475"/>
      <c r="L10" s="1475"/>
      <c r="M10" s="1475"/>
      <c r="N10" s="1475"/>
      <c r="O10" s="1475"/>
      <c r="P10" s="1475"/>
      <c r="Q10" s="1475"/>
      <c r="R10" s="1464"/>
      <c r="S10" s="1464"/>
      <c r="T10" s="1464"/>
      <c r="U10" s="1464"/>
      <c r="V10" s="1464"/>
      <c r="W10" s="1464"/>
      <c r="X10" s="1464"/>
      <c r="Y10" s="1464"/>
      <c r="Z10" s="1476"/>
    </row>
    <row r="11" spans="2:26" s="1455" customFormat="1" ht="14.25" customHeight="1">
      <c r="B11" s="1470"/>
      <c r="C11" s="1471"/>
      <c r="D11" s="1471"/>
      <c r="E11" s="1471"/>
      <c r="F11" s="1477"/>
      <c r="H11" s="1478"/>
      <c r="I11" s="1479"/>
      <c r="J11" s="1479"/>
      <c r="K11" s="1479"/>
      <c r="L11" s="1479"/>
      <c r="M11" s="1479"/>
      <c r="N11" s="1479"/>
      <c r="O11" s="1479"/>
      <c r="P11" s="1479"/>
      <c r="Q11" s="1479"/>
      <c r="R11" s="1471"/>
      <c r="S11" s="1471"/>
      <c r="T11" s="1471"/>
      <c r="U11" s="1471"/>
      <c r="V11" s="1471"/>
      <c r="W11" s="1471"/>
      <c r="X11" s="1471"/>
      <c r="Y11" s="1471"/>
      <c r="Z11" s="1472"/>
    </row>
    <row r="12" spans="2:26" s="1462" customFormat="1" ht="20.25">
      <c r="B12" s="1463"/>
      <c r="C12" s="1464"/>
      <c r="D12" s="1464"/>
      <c r="F12" s="1473" t="s">
        <v>312</v>
      </c>
      <c r="H12" s="1474"/>
      <c r="I12" s="1475"/>
      <c r="J12" s="1475"/>
      <c r="K12" s="1475"/>
      <c r="L12" s="1475"/>
      <c r="M12" s="1475"/>
      <c r="N12" s="1475"/>
      <c r="O12" s="1475"/>
      <c r="P12" s="1475"/>
      <c r="Q12" s="1475"/>
      <c r="R12" s="1464"/>
      <c r="S12" s="1464"/>
      <c r="T12" s="1464"/>
      <c r="U12" s="1464"/>
      <c r="V12" s="1464"/>
      <c r="W12" s="1464"/>
      <c r="X12" s="1464"/>
      <c r="Y12" s="1464"/>
      <c r="Z12" s="1476"/>
    </row>
    <row r="13" spans="2:26" s="1455" customFormat="1" ht="14.25" customHeight="1">
      <c r="B13" s="1470"/>
      <c r="C13" s="1471"/>
      <c r="D13" s="1471"/>
      <c r="E13" s="1471"/>
      <c r="F13" s="1477"/>
      <c r="H13" s="1478"/>
      <c r="I13" s="1479"/>
      <c r="J13" s="1479"/>
      <c r="K13" s="1479"/>
      <c r="L13" s="1479"/>
      <c r="M13" s="1479"/>
      <c r="N13" s="1479"/>
      <c r="O13" s="1479"/>
      <c r="P13" s="1479"/>
      <c r="Q13" s="1479"/>
      <c r="R13" s="1471"/>
      <c r="S13" s="1471"/>
      <c r="T13" s="1471"/>
      <c r="U13" s="1471"/>
      <c r="V13" s="1471"/>
      <c r="W13" s="1471"/>
      <c r="X13" s="1471"/>
      <c r="Y13" s="1471"/>
      <c r="Z13" s="1472"/>
    </row>
    <row r="14" spans="2:26" s="1480" customFormat="1" ht="16.5" customHeight="1">
      <c r="B14" s="1481" t="str">
        <f>+'TOT-0115'!B14</f>
        <v>Desde el 01 al 31 de enero de 2015</v>
      </c>
      <c r="C14" s="1482"/>
      <c r="D14" s="1482"/>
      <c r="E14" s="1482"/>
      <c r="F14" s="1483"/>
      <c r="G14" s="1483"/>
      <c r="H14" s="1483"/>
      <c r="I14" s="1483"/>
      <c r="J14" s="1483"/>
      <c r="K14" s="1483"/>
      <c r="L14" s="1483"/>
      <c r="M14" s="1483"/>
      <c r="N14" s="1483"/>
      <c r="O14" s="1483"/>
      <c r="P14" s="1483"/>
      <c r="Q14" s="1483"/>
      <c r="R14" s="1482"/>
      <c r="S14" s="1482"/>
      <c r="T14" s="1482"/>
      <c r="U14" s="1482"/>
      <c r="V14" s="1482"/>
      <c r="W14" s="1482"/>
      <c r="X14" s="1482"/>
      <c r="Y14" s="1482"/>
      <c r="Z14" s="1484"/>
    </row>
    <row r="15" spans="2:26" s="1455" customFormat="1" ht="14.25" customHeight="1">
      <c r="B15" s="1470"/>
      <c r="C15" s="1471"/>
      <c r="D15" s="1471"/>
      <c r="E15" s="1471"/>
      <c r="F15" s="1471"/>
      <c r="G15" s="1471"/>
      <c r="H15" s="1471"/>
      <c r="I15" s="1471"/>
      <c r="J15" s="1471"/>
      <c r="K15" s="1471"/>
      <c r="L15" s="1471"/>
      <c r="M15" s="1471"/>
      <c r="R15" s="1471"/>
      <c r="S15" s="1471"/>
      <c r="T15" s="1471"/>
      <c r="U15" s="1471"/>
      <c r="V15" s="1471"/>
      <c r="W15" s="1471"/>
      <c r="X15" s="1471"/>
      <c r="Y15" s="1471"/>
      <c r="Z15" s="1472"/>
    </row>
    <row r="16" spans="2:26" s="1455" customFormat="1" ht="14.25" customHeight="1" thickBot="1">
      <c r="B16" s="1470"/>
      <c r="C16" s="1471"/>
      <c r="D16" s="1471"/>
      <c r="E16" s="1471"/>
      <c r="F16" s="1485"/>
      <c r="G16" s="1486"/>
      <c r="H16" s="1487"/>
      <c r="I16" s="1488"/>
      <c r="J16" s="1489"/>
      <c r="K16" s="1471"/>
      <c r="L16" s="1471"/>
      <c r="M16" s="1471"/>
      <c r="N16" s="1471"/>
      <c r="O16" s="1471"/>
      <c r="Q16" s="1471"/>
      <c r="R16" s="1471"/>
      <c r="S16" s="1471"/>
      <c r="T16" s="1471"/>
      <c r="U16" s="1471"/>
      <c r="V16" s="1471"/>
      <c r="W16" s="1471"/>
      <c r="X16" s="1471"/>
      <c r="Y16" s="1471"/>
      <c r="Z16" s="1472"/>
    </row>
    <row r="17" spans="2:26" s="1455" customFormat="1" ht="16.5" customHeight="1" thickBot="1" thickTop="1">
      <c r="B17" s="1470"/>
      <c r="C17" s="1471"/>
      <c r="D17" s="1471"/>
      <c r="E17" s="1471"/>
      <c r="F17" s="1490" t="s">
        <v>57</v>
      </c>
      <c r="G17" s="1491"/>
      <c r="H17" s="1492">
        <v>20</v>
      </c>
      <c r="I17" s="1488"/>
      <c r="J17" s="1489"/>
      <c r="K17" s="1486"/>
      <c r="L17" s="1493"/>
      <c r="M17" s="1471"/>
      <c r="N17" s="1471"/>
      <c r="O17" s="1471"/>
      <c r="Q17" s="1471"/>
      <c r="R17" s="1471"/>
      <c r="S17" s="1471"/>
      <c r="T17" s="1494"/>
      <c r="U17" s="1494"/>
      <c r="V17" s="1494"/>
      <c r="W17" s="1494"/>
      <c r="X17" s="1494"/>
      <c r="Y17" s="1494"/>
      <c r="Z17" s="1472"/>
    </row>
    <row r="18" spans="2:26" s="1455" customFormat="1" ht="16.5" customHeight="1" thickBot="1" thickTop="1">
      <c r="B18" s="1470"/>
      <c r="C18" s="1495">
        <v>3</v>
      </c>
      <c r="D18" s="1495">
        <v>4</v>
      </c>
      <c r="E18" s="1495">
        <v>5</v>
      </c>
      <c r="F18" s="1495">
        <v>6</v>
      </c>
      <c r="G18" s="1495">
        <v>7</v>
      </c>
      <c r="H18" s="1495">
        <v>8</v>
      </c>
      <c r="I18" s="1495">
        <v>9</v>
      </c>
      <c r="J18" s="1495">
        <v>10</v>
      </c>
      <c r="K18" s="1495">
        <v>11</v>
      </c>
      <c r="L18" s="1495">
        <v>12</v>
      </c>
      <c r="M18" s="1495">
        <v>13</v>
      </c>
      <c r="N18" s="1495">
        <v>14</v>
      </c>
      <c r="O18" s="1495">
        <v>15</v>
      </c>
      <c r="P18" s="1495">
        <v>16</v>
      </c>
      <c r="Q18" s="1495">
        <v>17</v>
      </c>
      <c r="R18" s="1495">
        <v>18</v>
      </c>
      <c r="S18" s="1495">
        <v>19</v>
      </c>
      <c r="T18" s="1495">
        <v>20</v>
      </c>
      <c r="U18" s="1495">
        <v>21</v>
      </c>
      <c r="V18" s="1495">
        <v>22</v>
      </c>
      <c r="W18" s="1495">
        <v>23</v>
      </c>
      <c r="X18" s="1495">
        <v>24</v>
      </c>
      <c r="Y18" s="1495">
        <v>25</v>
      </c>
      <c r="Z18" s="1472"/>
    </row>
    <row r="19" spans="2:26" s="1455" customFormat="1" ht="33.75" customHeight="1" thickBot="1" thickTop="1">
      <c r="B19" s="1470"/>
      <c r="C19" s="1496" t="s">
        <v>29</v>
      </c>
      <c r="D19" s="1497" t="s">
        <v>30</v>
      </c>
      <c r="E19" s="1497" t="s">
        <v>31</v>
      </c>
      <c r="F19" s="1498" t="s">
        <v>58</v>
      </c>
      <c r="G19" s="1499" t="s">
        <v>59</v>
      </c>
      <c r="H19" s="1498" t="s">
        <v>308</v>
      </c>
      <c r="I19" s="1500" t="s">
        <v>60</v>
      </c>
      <c r="J19" s="1501" t="s">
        <v>36</v>
      </c>
      <c r="K19" s="1499" t="s">
        <v>37</v>
      </c>
      <c r="L19" s="1499" t="s">
        <v>38</v>
      </c>
      <c r="M19" s="1498" t="s">
        <v>39</v>
      </c>
      <c r="N19" s="1498" t="s">
        <v>40</v>
      </c>
      <c r="O19" s="1502" t="s">
        <v>171</v>
      </c>
      <c r="P19" s="1502" t="s">
        <v>41</v>
      </c>
      <c r="Q19" s="1499" t="s">
        <v>43</v>
      </c>
      <c r="R19" s="1501" t="s">
        <v>35</v>
      </c>
      <c r="S19" s="1503" t="s">
        <v>71</v>
      </c>
      <c r="T19" s="1504" t="s">
        <v>81</v>
      </c>
      <c r="U19" s="1505"/>
      <c r="V19" s="1506" t="s">
        <v>48</v>
      </c>
      <c r="W19" s="1507" t="s">
        <v>45</v>
      </c>
      <c r="X19" s="1508" t="s">
        <v>50</v>
      </c>
      <c r="Y19" s="1509" t="s">
        <v>51</v>
      </c>
      <c r="Z19" s="1472"/>
    </row>
    <row r="20" spans="2:26" s="1455" customFormat="1" ht="16.5" customHeight="1" thickTop="1">
      <c r="B20" s="1470"/>
      <c r="C20" s="1510"/>
      <c r="D20" s="1510"/>
      <c r="E20" s="1510"/>
      <c r="F20" s="1511"/>
      <c r="G20" s="1511"/>
      <c r="H20" s="1511"/>
      <c r="I20" s="1511"/>
      <c r="J20" s="1512"/>
      <c r="K20" s="1513"/>
      <c r="L20" s="1513"/>
      <c r="M20" s="1514"/>
      <c r="N20" s="1514"/>
      <c r="O20" s="1511"/>
      <c r="P20" s="1515"/>
      <c r="Q20" s="1514"/>
      <c r="R20" s="1516"/>
      <c r="S20" s="1517"/>
      <c r="T20" s="1518"/>
      <c r="U20" s="1519"/>
      <c r="V20" s="1520"/>
      <c r="W20" s="1520"/>
      <c r="X20" s="1521"/>
      <c r="Y20" s="1522"/>
      <c r="Z20" s="1472"/>
    </row>
    <row r="21" spans="2:26" s="1455" customFormat="1" ht="16.5" customHeight="1">
      <c r="B21" s="1470"/>
      <c r="C21" s="1523"/>
      <c r="D21" s="1523"/>
      <c r="E21" s="1523"/>
      <c r="F21" s="1524"/>
      <c r="G21" s="1525"/>
      <c r="H21" s="1525"/>
      <c r="I21" s="1526"/>
      <c r="J21" s="1527"/>
      <c r="K21" s="1528"/>
      <c r="L21" s="1529"/>
      <c r="M21" s="1530"/>
      <c r="N21" s="1531"/>
      <c r="O21" s="1532"/>
      <c r="P21" s="1533"/>
      <c r="Q21" s="1534"/>
      <c r="R21" s="1535"/>
      <c r="S21" s="1536"/>
      <c r="T21" s="1537"/>
      <c r="U21" s="1538"/>
      <c r="V21" s="1539"/>
      <c r="W21" s="1539"/>
      <c r="X21" s="1534"/>
      <c r="Y21" s="1540"/>
      <c r="Z21" s="1472"/>
    </row>
    <row r="22" spans="2:26" s="1455" customFormat="1" ht="16.5" customHeight="1">
      <c r="B22" s="1470"/>
      <c r="C22" s="1523">
        <v>69</v>
      </c>
      <c r="D22" s="1523">
        <v>283661</v>
      </c>
      <c r="E22" s="1523">
        <v>4304</v>
      </c>
      <c r="F22" s="1541" t="s">
        <v>211</v>
      </c>
      <c r="G22" s="1542" t="s">
        <v>83</v>
      </c>
      <c r="H22" s="1542">
        <v>0.281</v>
      </c>
      <c r="I22" s="1543">
        <v>37</v>
      </c>
      <c r="J22" s="1544">
        <f aca="true" t="shared" si="0" ref="J22:J39">I22*H22</f>
        <v>10.397</v>
      </c>
      <c r="K22" s="1545">
        <v>42020.02777777778</v>
      </c>
      <c r="L22" s="1546">
        <v>42020.57361111111</v>
      </c>
      <c r="M22" s="1547">
        <f aca="true" t="shared" si="1" ref="M22:M39">IF(F22="","",(L22-K22)*24)</f>
        <v>13.09999999991851</v>
      </c>
      <c r="N22" s="1548">
        <f aca="true" t="shared" si="2" ref="N22:N39">IF(F22="","",ROUND((L22-K22)*24*60,0))</f>
        <v>786</v>
      </c>
      <c r="O22" s="1549" t="s">
        <v>185</v>
      </c>
      <c r="P22" s="1550" t="str">
        <f aca="true" t="shared" si="3" ref="P22:P39">IF(F22="","","--")</f>
        <v>--</v>
      </c>
      <c r="Q22" s="1551" t="s">
        <v>310</v>
      </c>
      <c r="R22" s="1552">
        <f aca="true" t="shared" si="4" ref="R22:R39">IF(OR(O22="P",O22="RP"),$H$17/10,$H$17)</f>
        <v>20</v>
      </c>
      <c r="S22" s="1553" t="str">
        <f aca="true" t="shared" si="5" ref="S22:S39">IF(O22="P",J22*R22*ROUND(N22/60,2),"--")</f>
        <v>--</v>
      </c>
      <c r="T22" s="1537">
        <f aca="true" t="shared" si="6" ref="T22:T39">IF(AND(O22="F",Q22="NO"),J22*R22,"--")</f>
        <v>207.94</v>
      </c>
      <c r="U22" s="1538">
        <f aca="true" t="shared" si="7" ref="U22:U39">IF(O22="F",J22*R22*ROUND(N22/60,2),"--")</f>
        <v>2724.014</v>
      </c>
      <c r="V22" s="1539" t="str">
        <f aca="true" t="shared" si="8" ref="V22:V39">IF(O22="RF",J22*R22*ROUND(N22/60,2),"--")</f>
        <v>--</v>
      </c>
      <c r="W22" s="1554"/>
      <c r="X22" s="1551" t="str">
        <f aca="true" t="shared" si="9" ref="X22:X39">IF(F22="","","SI")</f>
        <v>SI</v>
      </c>
      <c r="Y22" s="1555">
        <f aca="true" t="shared" si="10" ref="Y22:Y39">IF(F22="","",SUM(S22:W22)*IF(X22="SI",1,2))</f>
        <v>2931.954</v>
      </c>
      <c r="Z22" s="1472"/>
    </row>
    <row r="23" spans="2:26" s="1455" customFormat="1" ht="16.5" customHeight="1">
      <c r="B23" s="1470"/>
      <c r="C23" s="1523"/>
      <c r="D23" s="1523"/>
      <c r="E23" s="1523"/>
      <c r="F23" s="1541"/>
      <c r="G23" s="1542"/>
      <c r="H23" s="1542"/>
      <c r="I23" s="1543"/>
      <c r="J23" s="1544">
        <f t="shared" si="0"/>
        <v>0</v>
      </c>
      <c r="K23" s="1545"/>
      <c r="L23" s="1546"/>
      <c r="M23" s="1547">
        <f t="shared" si="1"/>
      </c>
      <c r="N23" s="1548">
        <f t="shared" si="2"/>
      </c>
      <c r="O23" s="1549"/>
      <c r="P23" s="1550">
        <f t="shared" si="3"/>
      </c>
      <c r="Q23" s="1551"/>
      <c r="R23" s="1552">
        <f t="shared" si="4"/>
        <v>20</v>
      </c>
      <c r="S23" s="1553" t="str">
        <f t="shared" si="5"/>
        <v>--</v>
      </c>
      <c r="T23" s="1537" t="str">
        <f t="shared" si="6"/>
        <v>--</v>
      </c>
      <c r="U23" s="1538" t="str">
        <f t="shared" si="7"/>
        <v>--</v>
      </c>
      <c r="V23" s="1539" t="str">
        <f t="shared" si="8"/>
        <v>--</v>
      </c>
      <c r="W23" s="1554"/>
      <c r="X23" s="1551">
        <f t="shared" si="9"/>
      </c>
      <c r="Y23" s="1555">
        <f t="shared" si="10"/>
      </c>
      <c r="Z23" s="1472"/>
    </row>
    <row r="24" spans="2:26" s="1455" customFormat="1" ht="16.5" customHeight="1">
      <c r="B24" s="1470"/>
      <c r="C24" s="1523"/>
      <c r="D24" s="1523"/>
      <c r="E24" s="1523"/>
      <c r="F24" s="1541"/>
      <c r="G24" s="1542"/>
      <c r="H24" s="1542"/>
      <c r="I24" s="1543"/>
      <c r="J24" s="1544">
        <f t="shared" si="0"/>
        <v>0</v>
      </c>
      <c r="K24" s="1545"/>
      <c r="L24" s="1546"/>
      <c r="M24" s="1547">
        <f t="shared" si="1"/>
      </c>
      <c r="N24" s="1548">
        <f t="shared" si="2"/>
      </c>
      <c r="O24" s="1549"/>
      <c r="P24" s="1550">
        <f t="shared" si="3"/>
      </c>
      <c r="Q24" s="1551"/>
      <c r="R24" s="1552">
        <f t="shared" si="4"/>
        <v>20</v>
      </c>
      <c r="S24" s="1553" t="str">
        <f t="shared" si="5"/>
        <v>--</v>
      </c>
      <c r="T24" s="1537" t="str">
        <f t="shared" si="6"/>
        <v>--</v>
      </c>
      <c r="U24" s="1538" t="str">
        <f t="shared" si="7"/>
        <v>--</v>
      </c>
      <c r="V24" s="1539" t="str">
        <f t="shared" si="8"/>
        <v>--</v>
      </c>
      <c r="W24" s="1554"/>
      <c r="X24" s="1551">
        <f t="shared" si="9"/>
      </c>
      <c r="Y24" s="1555">
        <f t="shared" si="10"/>
      </c>
      <c r="Z24" s="1472"/>
    </row>
    <row r="25" spans="2:26" s="1455" customFormat="1" ht="16.5" customHeight="1">
      <c r="B25" s="1470"/>
      <c r="C25" s="1523"/>
      <c r="D25" s="1523"/>
      <c r="E25" s="1523"/>
      <c r="F25" s="1541"/>
      <c r="G25" s="1542"/>
      <c r="H25" s="1542"/>
      <c r="I25" s="1543"/>
      <c r="J25" s="1544">
        <f t="shared" si="0"/>
        <v>0</v>
      </c>
      <c r="K25" s="1545"/>
      <c r="L25" s="1546"/>
      <c r="M25" s="1547">
        <f t="shared" si="1"/>
      </c>
      <c r="N25" s="1548">
        <f t="shared" si="2"/>
      </c>
      <c r="O25" s="1549"/>
      <c r="P25" s="1550">
        <f t="shared" si="3"/>
      </c>
      <c r="Q25" s="1551">
        <f aca="true" t="shared" si="11" ref="Q25:Q39">IF(F25="","",IF(OR(O25="P",O25="RP"),"--","NO"))</f>
      </c>
      <c r="R25" s="1552">
        <f t="shared" si="4"/>
        <v>20</v>
      </c>
      <c r="S25" s="1553" t="str">
        <f t="shared" si="5"/>
        <v>--</v>
      </c>
      <c r="T25" s="1537" t="str">
        <f t="shared" si="6"/>
        <v>--</v>
      </c>
      <c r="U25" s="1538" t="str">
        <f t="shared" si="7"/>
        <v>--</v>
      </c>
      <c r="V25" s="1539" t="str">
        <f t="shared" si="8"/>
        <v>--</v>
      </c>
      <c r="W25" s="1554"/>
      <c r="X25" s="1551">
        <f t="shared" si="9"/>
      </c>
      <c r="Y25" s="1555">
        <f t="shared" si="10"/>
      </c>
      <c r="Z25" s="1556"/>
    </row>
    <row r="26" spans="2:26" s="1455" customFormat="1" ht="16.5" customHeight="1">
      <c r="B26" s="1470"/>
      <c r="C26" s="1523"/>
      <c r="D26" s="1523"/>
      <c r="E26" s="1523"/>
      <c r="F26" s="1541"/>
      <c r="G26" s="1542"/>
      <c r="H26" s="1542"/>
      <c r="I26" s="1543"/>
      <c r="J26" s="1544">
        <f t="shared" si="0"/>
        <v>0</v>
      </c>
      <c r="K26" s="1545"/>
      <c r="L26" s="1546"/>
      <c r="M26" s="1547">
        <f t="shared" si="1"/>
      </c>
      <c r="N26" s="1548">
        <f t="shared" si="2"/>
      </c>
      <c r="O26" s="1549"/>
      <c r="P26" s="1550">
        <f t="shared" si="3"/>
      </c>
      <c r="Q26" s="1551">
        <f t="shared" si="11"/>
      </c>
      <c r="R26" s="1552">
        <f t="shared" si="4"/>
        <v>20</v>
      </c>
      <c r="S26" s="1553" t="str">
        <f t="shared" si="5"/>
        <v>--</v>
      </c>
      <c r="T26" s="1537" t="str">
        <f t="shared" si="6"/>
        <v>--</v>
      </c>
      <c r="U26" s="1538" t="str">
        <f t="shared" si="7"/>
        <v>--</v>
      </c>
      <c r="V26" s="1539" t="str">
        <f t="shared" si="8"/>
        <v>--</v>
      </c>
      <c r="W26" s="1554"/>
      <c r="X26" s="1551">
        <f t="shared" si="9"/>
      </c>
      <c r="Y26" s="1555">
        <f t="shared" si="10"/>
      </c>
      <c r="Z26" s="1556"/>
    </row>
    <row r="27" spans="2:26" s="1455" customFormat="1" ht="16.5" customHeight="1">
      <c r="B27" s="1470"/>
      <c r="C27" s="1523"/>
      <c r="D27" s="1523"/>
      <c r="E27" s="1523"/>
      <c r="F27" s="1541"/>
      <c r="G27" s="1542"/>
      <c r="H27" s="1542"/>
      <c r="I27" s="1543"/>
      <c r="J27" s="1544">
        <f t="shared" si="0"/>
        <v>0</v>
      </c>
      <c r="K27" s="1545"/>
      <c r="L27" s="1546"/>
      <c r="M27" s="1547">
        <f t="shared" si="1"/>
      </c>
      <c r="N27" s="1548">
        <f t="shared" si="2"/>
      </c>
      <c r="O27" s="1549"/>
      <c r="P27" s="1550">
        <f t="shared" si="3"/>
      </c>
      <c r="Q27" s="1551">
        <f t="shared" si="11"/>
      </c>
      <c r="R27" s="1552">
        <f t="shared" si="4"/>
        <v>20</v>
      </c>
      <c r="S27" s="1553" t="str">
        <f t="shared" si="5"/>
        <v>--</v>
      </c>
      <c r="T27" s="1537" t="str">
        <f t="shared" si="6"/>
        <v>--</v>
      </c>
      <c r="U27" s="1538" t="str">
        <f t="shared" si="7"/>
        <v>--</v>
      </c>
      <c r="V27" s="1539" t="str">
        <f t="shared" si="8"/>
        <v>--</v>
      </c>
      <c r="W27" s="1554"/>
      <c r="X27" s="1551">
        <f t="shared" si="9"/>
      </c>
      <c r="Y27" s="1555">
        <f t="shared" si="10"/>
      </c>
      <c r="Z27" s="1556"/>
    </row>
    <row r="28" spans="2:26" s="1455" customFormat="1" ht="16.5" customHeight="1">
      <c r="B28" s="1470"/>
      <c r="C28" s="1523"/>
      <c r="D28" s="1523"/>
      <c r="E28" s="1523"/>
      <c r="F28" s="1541"/>
      <c r="G28" s="1542"/>
      <c r="H28" s="1542"/>
      <c r="I28" s="1543"/>
      <c r="J28" s="1544">
        <f t="shared" si="0"/>
        <v>0</v>
      </c>
      <c r="K28" s="1545"/>
      <c r="L28" s="1546"/>
      <c r="M28" s="1547">
        <f t="shared" si="1"/>
      </c>
      <c r="N28" s="1548">
        <f t="shared" si="2"/>
      </c>
      <c r="O28" s="1549"/>
      <c r="P28" s="1550">
        <f t="shared" si="3"/>
      </c>
      <c r="Q28" s="1551">
        <f t="shared" si="11"/>
      </c>
      <c r="R28" s="1552">
        <f t="shared" si="4"/>
        <v>20</v>
      </c>
      <c r="S28" s="1553" t="str">
        <f t="shared" si="5"/>
        <v>--</v>
      </c>
      <c r="T28" s="1537" t="str">
        <f t="shared" si="6"/>
        <v>--</v>
      </c>
      <c r="U28" s="1538" t="str">
        <f t="shared" si="7"/>
        <v>--</v>
      </c>
      <c r="V28" s="1539" t="str">
        <f t="shared" si="8"/>
        <v>--</v>
      </c>
      <c r="W28" s="1554"/>
      <c r="X28" s="1551">
        <f t="shared" si="9"/>
      </c>
      <c r="Y28" s="1555">
        <f t="shared" si="10"/>
      </c>
      <c r="Z28" s="1556"/>
    </row>
    <row r="29" spans="2:26" s="1455" customFormat="1" ht="16.5" customHeight="1">
      <c r="B29" s="1470"/>
      <c r="C29" s="1523"/>
      <c r="D29" s="1523"/>
      <c r="E29" s="1523"/>
      <c r="F29" s="1541"/>
      <c r="G29" s="1542"/>
      <c r="H29" s="1542"/>
      <c r="I29" s="1543"/>
      <c r="J29" s="1544">
        <f t="shared" si="0"/>
        <v>0</v>
      </c>
      <c r="K29" s="1545"/>
      <c r="L29" s="1546"/>
      <c r="M29" s="1547">
        <f t="shared" si="1"/>
      </c>
      <c r="N29" s="1548">
        <f t="shared" si="2"/>
      </c>
      <c r="O29" s="1549"/>
      <c r="P29" s="1550">
        <f t="shared" si="3"/>
      </c>
      <c r="Q29" s="1551">
        <f t="shared" si="11"/>
      </c>
      <c r="R29" s="1552">
        <f t="shared" si="4"/>
        <v>20</v>
      </c>
      <c r="S29" s="1553" t="str">
        <f t="shared" si="5"/>
        <v>--</v>
      </c>
      <c r="T29" s="1537" t="str">
        <f t="shared" si="6"/>
        <v>--</v>
      </c>
      <c r="U29" s="1538" t="str">
        <f t="shared" si="7"/>
        <v>--</v>
      </c>
      <c r="V29" s="1539" t="str">
        <f t="shared" si="8"/>
        <v>--</v>
      </c>
      <c r="W29" s="1554"/>
      <c r="X29" s="1551">
        <f t="shared" si="9"/>
      </c>
      <c r="Y29" s="1555">
        <f t="shared" si="10"/>
      </c>
      <c r="Z29" s="1556"/>
    </row>
    <row r="30" spans="2:26" s="1455" customFormat="1" ht="16.5" customHeight="1">
      <c r="B30" s="1470"/>
      <c r="C30" s="1523"/>
      <c r="D30" s="1523"/>
      <c r="E30" s="1523"/>
      <c r="F30" s="1541"/>
      <c r="G30" s="1542"/>
      <c r="H30" s="1542"/>
      <c r="I30" s="1543"/>
      <c r="J30" s="1544">
        <f t="shared" si="0"/>
        <v>0</v>
      </c>
      <c r="K30" s="1545"/>
      <c r="L30" s="1546"/>
      <c r="M30" s="1547">
        <f t="shared" si="1"/>
      </c>
      <c r="N30" s="1548">
        <f t="shared" si="2"/>
      </c>
      <c r="O30" s="1549"/>
      <c r="P30" s="1550">
        <f t="shared" si="3"/>
      </c>
      <c r="Q30" s="1551">
        <f t="shared" si="11"/>
      </c>
      <c r="R30" s="1552">
        <f t="shared" si="4"/>
        <v>20</v>
      </c>
      <c r="S30" s="1553" t="str">
        <f t="shared" si="5"/>
        <v>--</v>
      </c>
      <c r="T30" s="1537" t="str">
        <f t="shared" si="6"/>
        <v>--</v>
      </c>
      <c r="U30" s="1538" t="str">
        <f t="shared" si="7"/>
        <v>--</v>
      </c>
      <c r="V30" s="1539" t="str">
        <f t="shared" si="8"/>
        <v>--</v>
      </c>
      <c r="W30" s="1554"/>
      <c r="X30" s="1551">
        <f t="shared" si="9"/>
      </c>
      <c r="Y30" s="1555">
        <f t="shared" si="10"/>
      </c>
      <c r="Z30" s="1472"/>
    </row>
    <row r="31" spans="2:26" s="1455" customFormat="1" ht="16.5" customHeight="1">
      <c r="B31" s="1470"/>
      <c r="C31" s="1523"/>
      <c r="D31" s="1523"/>
      <c r="E31" s="1523"/>
      <c r="F31" s="1541"/>
      <c r="G31" s="1542"/>
      <c r="H31" s="1542"/>
      <c r="I31" s="1543"/>
      <c r="J31" s="1544">
        <f t="shared" si="0"/>
        <v>0</v>
      </c>
      <c r="K31" s="1545"/>
      <c r="L31" s="1546"/>
      <c r="M31" s="1547">
        <f t="shared" si="1"/>
      </c>
      <c r="N31" s="1548">
        <f t="shared" si="2"/>
      </c>
      <c r="O31" s="1549"/>
      <c r="P31" s="1550">
        <f t="shared" si="3"/>
      </c>
      <c r="Q31" s="1551">
        <f t="shared" si="11"/>
      </c>
      <c r="R31" s="1552">
        <f t="shared" si="4"/>
        <v>20</v>
      </c>
      <c r="S31" s="1553" t="str">
        <f t="shared" si="5"/>
        <v>--</v>
      </c>
      <c r="T31" s="1537" t="str">
        <f t="shared" si="6"/>
        <v>--</v>
      </c>
      <c r="U31" s="1538" t="str">
        <f t="shared" si="7"/>
        <v>--</v>
      </c>
      <c r="V31" s="1539" t="str">
        <f t="shared" si="8"/>
        <v>--</v>
      </c>
      <c r="W31" s="1554"/>
      <c r="X31" s="1551">
        <f t="shared" si="9"/>
      </c>
      <c r="Y31" s="1555">
        <f t="shared" si="10"/>
      </c>
      <c r="Z31" s="1472"/>
    </row>
    <row r="32" spans="2:26" s="1455" customFormat="1" ht="16.5" customHeight="1">
      <c r="B32" s="1470"/>
      <c r="C32" s="1523"/>
      <c r="D32" s="1523"/>
      <c r="E32" s="1523"/>
      <c r="F32" s="1541"/>
      <c r="G32" s="1542"/>
      <c r="H32" s="1542"/>
      <c r="I32" s="1543"/>
      <c r="J32" s="1544">
        <f t="shared" si="0"/>
        <v>0</v>
      </c>
      <c r="K32" s="1545"/>
      <c r="L32" s="1546"/>
      <c r="M32" s="1547">
        <f t="shared" si="1"/>
      </c>
      <c r="N32" s="1548">
        <f t="shared" si="2"/>
      </c>
      <c r="O32" s="1549"/>
      <c r="P32" s="1550">
        <f t="shared" si="3"/>
      </c>
      <c r="Q32" s="1551">
        <f t="shared" si="11"/>
      </c>
      <c r="R32" s="1552">
        <f t="shared" si="4"/>
        <v>20</v>
      </c>
      <c r="S32" s="1553" t="str">
        <f t="shared" si="5"/>
        <v>--</v>
      </c>
      <c r="T32" s="1537" t="str">
        <f t="shared" si="6"/>
        <v>--</v>
      </c>
      <c r="U32" s="1538" t="str">
        <f t="shared" si="7"/>
        <v>--</v>
      </c>
      <c r="V32" s="1539" t="str">
        <f t="shared" si="8"/>
        <v>--</v>
      </c>
      <c r="W32" s="1554"/>
      <c r="X32" s="1551">
        <f t="shared" si="9"/>
      </c>
      <c r="Y32" s="1555">
        <f t="shared" si="10"/>
      </c>
      <c r="Z32" s="1472"/>
    </row>
    <row r="33" spans="2:26" s="1455" customFormat="1" ht="16.5" customHeight="1">
      <c r="B33" s="1470"/>
      <c r="C33" s="1523"/>
      <c r="D33" s="1523"/>
      <c r="E33" s="1523"/>
      <c r="F33" s="1541"/>
      <c r="G33" s="1542"/>
      <c r="H33" s="1542"/>
      <c r="I33" s="1543"/>
      <c r="J33" s="1544">
        <f t="shared" si="0"/>
        <v>0</v>
      </c>
      <c r="K33" s="1545"/>
      <c r="L33" s="1546"/>
      <c r="M33" s="1547">
        <f t="shared" si="1"/>
      </c>
      <c r="N33" s="1548">
        <f t="shared" si="2"/>
      </c>
      <c r="O33" s="1549"/>
      <c r="P33" s="1550">
        <f t="shared" si="3"/>
      </c>
      <c r="Q33" s="1551">
        <f t="shared" si="11"/>
      </c>
      <c r="R33" s="1552">
        <f t="shared" si="4"/>
        <v>20</v>
      </c>
      <c r="S33" s="1553" t="str">
        <f t="shared" si="5"/>
        <v>--</v>
      </c>
      <c r="T33" s="1537" t="str">
        <f t="shared" si="6"/>
        <v>--</v>
      </c>
      <c r="U33" s="1538" t="str">
        <f t="shared" si="7"/>
        <v>--</v>
      </c>
      <c r="V33" s="1539" t="str">
        <f t="shared" si="8"/>
        <v>--</v>
      </c>
      <c r="W33" s="1554"/>
      <c r="X33" s="1551">
        <f t="shared" si="9"/>
      </c>
      <c r="Y33" s="1555">
        <f t="shared" si="10"/>
      </c>
      <c r="Z33" s="1472"/>
    </row>
    <row r="34" spans="2:26" s="1455" customFormat="1" ht="16.5" customHeight="1">
      <c r="B34" s="1470"/>
      <c r="C34" s="1523"/>
      <c r="D34" s="1523"/>
      <c r="E34" s="1523"/>
      <c r="F34" s="1541"/>
      <c r="G34" s="1542"/>
      <c r="H34" s="1542"/>
      <c r="I34" s="1543"/>
      <c r="J34" s="1544">
        <f t="shared" si="0"/>
        <v>0</v>
      </c>
      <c r="K34" s="1545"/>
      <c r="L34" s="1546"/>
      <c r="M34" s="1547">
        <f t="shared" si="1"/>
      </c>
      <c r="N34" s="1548">
        <f t="shared" si="2"/>
      </c>
      <c r="O34" s="1549"/>
      <c r="P34" s="1550">
        <f t="shared" si="3"/>
      </c>
      <c r="Q34" s="1551">
        <f t="shared" si="11"/>
      </c>
      <c r="R34" s="1552">
        <f t="shared" si="4"/>
        <v>20</v>
      </c>
      <c r="S34" s="1553" t="str">
        <f t="shared" si="5"/>
        <v>--</v>
      </c>
      <c r="T34" s="1537" t="str">
        <f t="shared" si="6"/>
        <v>--</v>
      </c>
      <c r="U34" s="1538" t="str">
        <f t="shared" si="7"/>
        <v>--</v>
      </c>
      <c r="V34" s="1539" t="str">
        <f t="shared" si="8"/>
        <v>--</v>
      </c>
      <c r="W34" s="1554"/>
      <c r="X34" s="1551">
        <f t="shared" si="9"/>
      </c>
      <c r="Y34" s="1555">
        <f t="shared" si="10"/>
      </c>
      <c r="Z34" s="1472"/>
    </row>
    <row r="35" spans="2:26" s="1455" customFormat="1" ht="16.5" customHeight="1">
      <c r="B35" s="1470"/>
      <c r="C35" s="1523"/>
      <c r="D35" s="1523"/>
      <c r="E35" s="1523"/>
      <c r="F35" s="1541"/>
      <c r="G35" s="1542"/>
      <c r="H35" s="1542"/>
      <c r="I35" s="1543"/>
      <c r="J35" s="1544">
        <f t="shared" si="0"/>
        <v>0</v>
      </c>
      <c r="K35" s="1545"/>
      <c r="L35" s="1546"/>
      <c r="M35" s="1547">
        <f t="shared" si="1"/>
      </c>
      <c r="N35" s="1548">
        <f t="shared" si="2"/>
      </c>
      <c r="O35" s="1549"/>
      <c r="P35" s="1550">
        <f t="shared" si="3"/>
      </c>
      <c r="Q35" s="1551">
        <f t="shared" si="11"/>
      </c>
      <c r="R35" s="1552">
        <f t="shared" si="4"/>
        <v>20</v>
      </c>
      <c r="S35" s="1553" t="str">
        <f t="shared" si="5"/>
        <v>--</v>
      </c>
      <c r="T35" s="1537" t="str">
        <f t="shared" si="6"/>
        <v>--</v>
      </c>
      <c r="U35" s="1538" t="str">
        <f t="shared" si="7"/>
        <v>--</v>
      </c>
      <c r="V35" s="1539" t="str">
        <f t="shared" si="8"/>
        <v>--</v>
      </c>
      <c r="W35" s="1554"/>
      <c r="X35" s="1551">
        <f t="shared" si="9"/>
      </c>
      <c r="Y35" s="1555">
        <f t="shared" si="10"/>
      </c>
      <c r="Z35" s="1472"/>
    </row>
    <row r="36" spans="2:26" s="1455" customFormat="1" ht="16.5" customHeight="1">
      <c r="B36" s="1470"/>
      <c r="C36" s="1523"/>
      <c r="D36" s="1523"/>
      <c r="E36" s="1523"/>
      <c r="F36" s="1541"/>
      <c r="G36" s="1542"/>
      <c r="H36" s="1542"/>
      <c r="I36" s="1543"/>
      <c r="J36" s="1544">
        <f t="shared" si="0"/>
        <v>0</v>
      </c>
      <c r="K36" s="1545"/>
      <c r="L36" s="1546"/>
      <c r="M36" s="1547">
        <f t="shared" si="1"/>
      </c>
      <c r="N36" s="1548">
        <f t="shared" si="2"/>
      </c>
      <c r="O36" s="1549"/>
      <c r="P36" s="1550">
        <f t="shared" si="3"/>
      </c>
      <c r="Q36" s="1551">
        <f t="shared" si="11"/>
      </c>
      <c r="R36" s="1552">
        <f t="shared" si="4"/>
        <v>20</v>
      </c>
      <c r="S36" s="1553" t="str">
        <f t="shared" si="5"/>
        <v>--</v>
      </c>
      <c r="T36" s="1537" t="str">
        <f t="shared" si="6"/>
        <v>--</v>
      </c>
      <c r="U36" s="1538" t="str">
        <f t="shared" si="7"/>
        <v>--</v>
      </c>
      <c r="V36" s="1539" t="str">
        <f t="shared" si="8"/>
        <v>--</v>
      </c>
      <c r="W36" s="1554"/>
      <c r="X36" s="1551">
        <f t="shared" si="9"/>
      </c>
      <c r="Y36" s="1555">
        <f t="shared" si="10"/>
      </c>
      <c r="Z36" s="1472"/>
    </row>
    <row r="37" spans="2:26" s="1455" customFormat="1" ht="16.5" customHeight="1">
      <c r="B37" s="1470"/>
      <c r="C37" s="1523"/>
      <c r="D37" s="1523"/>
      <c r="E37" s="1523"/>
      <c r="F37" s="1541"/>
      <c r="G37" s="1542"/>
      <c r="H37" s="1542"/>
      <c r="I37" s="1543"/>
      <c r="J37" s="1544">
        <f t="shared" si="0"/>
        <v>0</v>
      </c>
      <c r="K37" s="1545"/>
      <c r="L37" s="1546"/>
      <c r="M37" s="1547">
        <f t="shared" si="1"/>
      </c>
      <c r="N37" s="1548">
        <f t="shared" si="2"/>
      </c>
      <c r="O37" s="1549"/>
      <c r="P37" s="1550">
        <f t="shared" si="3"/>
      </c>
      <c r="Q37" s="1551">
        <f t="shared" si="11"/>
      </c>
      <c r="R37" s="1552">
        <f t="shared" si="4"/>
        <v>20</v>
      </c>
      <c r="S37" s="1553" t="str">
        <f t="shared" si="5"/>
        <v>--</v>
      </c>
      <c r="T37" s="1537" t="str">
        <f t="shared" si="6"/>
        <v>--</v>
      </c>
      <c r="U37" s="1538" t="str">
        <f t="shared" si="7"/>
        <v>--</v>
      </c>
      <c r="V37" s="1539" t="str">
        <f t="shared" si="8"/>
        <v>--</v>
      </c>
      <c r="W37" s="1554"/>
      <c r="X37" s="1551">
        <f t="shared" si="9"/>
      </c>
      <c r="Y37" s="1555">
        <f t="shared" si="10"/>
      </c>
      <c r="Z37" s="1472"/>
    </row>
    <row r="38" spans="2:26" s="1455" customFormat="1" ht="16.5" customHeight="1">
      <c r="B38" s="1470"/>
      <c r="C38" s="1523"/>
      <c r="D38" s="1523"/>
      <c r="E38" s="1523"/>
      <c r="F38" s="1541"/>
      <c r="G38" s="1542"/>
      <c r="H38" s="1542"/>
      <c r="I38" s="1543"/>
      <c r="J38" s="1544">
        <f t="shared" si="0"/>
        <v>0</v>
      </c>
      <c r="K38" s="1545"/>
      <c r="L38" s="1546"/>
      <c r="M38" s="1547">
        <f t="shared" si="1"/>
      </c>
      <c r="N38" s="1548">
        <f t="shared" si="2"/>
      </c>
      <c r="O38" s="1549"/>
      <c r="P38" s="1550">
        <f t="shared" si="3"/>
      </c>
      <c r="Q38" s="1551">
        <f t="shared" si="11"/>
      </c>
      <c r="R38" s="1552">
        <f t="shared" si="4"/>
        <v>20</v>
      </c>
      <c r="S38" s="1553" t="str">
        <f t="shared" si="5"/>
        <v>--</v>
      </c>
      <c r="T38" s="1537" t="str">
        <f t="shared" si="6"/>
        <v>--</v>
      </c>
      <c r="U38" s="1538" t="str">
        <f t="shared" si="7"/>
        <v>--</v>
      </c>
      <c r="V38" s="1539" t="str">
        <f t="shared" si="8"/>
        <v>--</v>
      </c>
      <c r="W38" s="1554"/>
      <c r="X38" s="1551">
        <f t="shared" si="9"/>
      </c>
      <c r="Y38" s="1555">
        <f t="shared" si="10"/>
      </c>
      <c r="Z38" s="1472"/>
    </row>
    <row r="39" spans="2:26" s="1455" customFormat="1" ht="16.5" customHeight="1">
      <c r="B39" s="1470"/>
      <c r="C39" s="1523"/>
      <c r="D39" s="1523"/>
      <c r="E39" s="1523"/>
      <c r="F39" s="1541"/>
      <c r="G39" s="1542"/>
      <c r="H39" s="1542"/>
      <c r="I39" s="1543"/>
      <c r="J39" s="1544">
        <f t="shared" si="0"/>
        <v>0</v>
      </c>
      <c r="K39" s="1545"/>
      <c r="L39" s="1546"/>
      <c r="M39" s="1547">
        <f t="shared" si="1"/>
      </c>
      <c r="N39" s="1548">
        <f t="shared" si="2"/>
      </c>
      <c r="O39" s="1549"/>
      <c r="P39" s="1550">
        <f t="shared" si="3"/>
      </c>
      <c r="Q39" s="1551">
        <f t="shared" si="11"/>
      </c>
      <c r="R39" s="1552">
        <f t="shared" si="4"/>
        <v>20</v>
      </c>
      <c r="S39" s="1553" t="str">
        <f t="shared" si="5"/>
        <v>--</v>
      </c>
      <c r="T39" s="1537" t="str">
        <f t="shared" si="6"/>
        <v>--</v>
      </c>
      <c r="U39" s="1538" t="str">
        <f t="shared" si="7"/>
        <v>--</v>
      </c>
      <c r="V39" s="1539" t="str">
        <f t="shared" si="8"/>
        <v>--</v>
      </c>
      <c r="W39" s="1554"/>
      <c r="X39" s="1551">
        <f t="shared" si="9"/>
      </c>
      <c r="Y39" s="1555">
        <f t="shared" si="10"/>
      </c>
      <c r="Z39" s="1472"/>
    </row>
    <row r="40" spans="2:26" s="1455" customFormat="1" ht="16.5" customHeight="1" thickBot="1">
      <c r="B40" s="1470"/>
      <c r="C40" s="1557"/>
      <c r="D40" s="1558"/>
      <c r="E40" s="1558"/>
      <c r="F40" s="1558"/>
      <c r="G40" s="1558"/>
      <c r="H40" s="1558"/>
      <c r="I40" s="1558"/>
      <c r="J40" s="1559"/>
      <c r="K40" s="1560"/>
      <c r="L40" s="1560"/>
      <c r="M40" s="1561"/>
      <c r="N40" s="1561"/>
      <c r="O40" s="1560"/>
      <c r="P40" s="1562"/>
      <c r="Q40" s="1563"/>
      <c r="R40" s="1564"/>
      <c r="S40" s="1565"/>
      <c r="T40" s="1566"/>
      <c r="U40" s="1567"/>
      <c r="V40" s="1568"/>
      <c r="W40" s="1568"/>
      <c r="X40" s="1563"/>
      <c r="Y40" s="1569"/>
      <c r="Z40" s="1472"/>
    </row>
    <row r="41" spans="2:26" s="1455" customFormat="1" ht="16.5" customHeight="1" thickBot="1" thickTop="1">
      <c r="B41" s="1470"/>
      <c r="C41" s="1570" t="s">
        <v>172</v>
      </c>
      <c r="D41" s="1571" t="s">
        <v>309</v>
      </c>
      <c r="I41" s="1471"/>
      <c r="J41" s="1471"/>
      <c r="K41" s="1471"/>
      <c r="L41" s="1471"/>
      <c r="M41" s="1471"/>
      <c r="N41" s="1471"/>
      <c r="O41" s="1471"/>
      <c r="P41" s="1471"/>
      <c r="Q41" s="1471"/>
      <c r="R41" s="1572">
        <f>SUM(S20:S40)</f>
        <v>0</v>
      </c>
      <c r="S41" s="1573">
        <f>SUM(T20:T40)</f>
        <v>207.94</v>
      </c>
      <c r="T41" s="1574">
        <f>SUM(U20:U40)</f>
        <v>2724.014</v>
      </c>
      <c r="U41" s="1575">
        <f>SUM(V20:V40)</f>
        <v>0</v>
      </c>
      <c r="V41" s="1575">
        <f>SUM(W20:W40)</f>
        <v>0</v>
      </c>
      <c r="Y41" s="1576">
        <f>ROUND(SUM(Y20:Y40),2)</f>
        <v>2931.95</v>
      </c>
      <c r="Z41" s="1577"/>
    </row>
    <row r="42" spans="2:26" s="1455" customFormat="1" ht="16.5" customHeight="1" thickBot="1" thickTop="1">
      <c r="B42" s="1578"/>
      <c r="C42" s="1579"/>
      <c r="D42" s="1579"/>
      <c r="E42" s="1579"/>
      <c r="F42" s="1579"/>
      <c r="G42" s="1579"/>
      <c r="H42" s="1579"/>
      <c r="I42" s="1579"/>
      <c r="J42" s="1579"/>
      <c r="K42" s="1579"/>
      <c r="L42" s="1579"/>
      <c r="M42" s="1579"/>
      <c r="N42" s="1579"/>
      <c r="O42" s="1579"/>
      <c r="P42" s="1579"/>
      <c r="Q42" s="1579"/>
      <c r="R42" s="1579"/>
      <c r="S42" s="1579"/>
      <c r="T42" s="1579"/>
      <c r="U42" s="1579"/>
      <c r="V42" s="1579"/>
      <c r="W42" s="1579"/>
      <c r="X42" s="1579"/>
      <c r="Y42" s="1579"/>
      <c r="Z42" s="1580"/>
    </row>
    <row r="43" spans="6:27" ht="16.5" customHeight="1" thickTop="1">
      <c r="F43" s="1581"/>
      <c r="G43" s="1581"/>
      <c r="H43" s="1581"/>
      <c r="I43" s="1582"/>
      <c r="J43" s="1582"/>
      <c r="K43" s="1582"/>
      <c r="L43" s="1582"/>
      <c r="M43" s="1582"/>
      <c r="N43" s="1582"/>
      <c r="O43" s="1582"/>
      <c r="P43" s="1582"/>
      <c r="Q43" s="1582"/>
      <c r="R43" s="1582"/>
      <c r="S43" s="1582"/>
      <c r="T43" s="1582"/>
      <c r="U43" s="1582"/>
      <c r="V43" s="1582"/>
      <c r="W43" s="1582"/>
      <c r="X43" s="1582"/>
      <c r="Y43" s="1582"/>
      <c r="Z43" s="1582"/>
      <c r="AA43" s="1582"/>
    </row>
    <row r="44" spans="6:27" ht="16.5" customHeight="1">
      <c r="F44" s="1581"/>
      <c r="G44" s="1581"/>
      <c r="H44" s="1581"/>
      <c r="I44" s="1582"/>
      <c r="J44" s="1582"/>
      <c r="K44" s="1582"/>
      <c r="L44" s="1582"/>
      <c r="M44" s="1582"/>
      <c r="N44" s="1582"/>
      <c r="O44" s="1582"/>
      <c r="P44" s="1582"/>
      <c r="Q44" s="1582"/>
      <c r="R44" s="1582"/>
      <c r="S44" s="1582"/>
      <c r="T44" s="1582"/>
      <c r="U44" s="1582"/>
      <c r="V44" s="1582"/>
      <c r="W44" s="1582"/>
      <c r="X44" s="1582"/>
      <c r="Y44" s="1582"/>
      <c r="Z44" s="1582"/>
      <c r="AA44" s="1582"/>
    </row>
    <row r="45" spans="6:27" ht="16.5" customHeight="1">
      <c r="F45" s="1581"/>
      <c r="G45" s="1581"/>
      <c r="H45" s="1581"/>
      <c r="I45" s="1582"/>
      <c r="J45" s="1582"/>
      <c r="K45" s="1582"/>
      <c r="L45" s="1582"/>
      <c r="M45" s="1582"/>
      <c r="N45" s="1582"/>
      <c r="O45" s="1582"/>
      <c r="P45" s="1582"/>
      <c r="Q45" s="1582"/>
      <c r="R45" s="1582"/>
      <c r="S45" s="1582"/>
      <c r="T45" s="1582"/>
      <c r="U45" s="1582"/>
      <c r="V45" s="1582"/>
      <c r="W45" s="1582"/>
      <c r="X45" s="1582"/>
      <c r="Y45" s="1582"/>
      <c r="Z45" s="1582"/>
      <c r="AA45" s="1582"/>
    </row>
    <row r="46" spans="6:27" ht="16.5" customHeight="1">
      <c r="F46" s="1581"/>
      <c r="G46" s="1581"/>
      <c r="H46" s="1581"/>
      <c r="I46" s="1582"/>
      <c r="J46" s="1582"/>
      <c r="K46" s="1582"/>
      <c r="L46" s="1582"/>
      <c r="M46" s="1582"/>
      <c r="N46" s="1582"/>
      <c r="O46" s="1582"/>
      <c r="P46" s="1582"/>
      <c r="Q46" s="1582"/>
      <c r="R46" s="1582"/>
      <c r="S46" s="1582"/>
      <c r="T46" s="1582"/>
      <c r="U46" s="1582"/>
      <c r="V46" s="1582"/>
      <c r="W46" s="1582"/>
      <c r="X46" s="1582"/>
      <c r="Y46" s="1582"/>
      <c r="Z46" s="1582"/>
      <c r="AA46" s="1582"/>
    </row>
    <row r="47" spans="6:27" ht="16.5" customHeight="1">
      <c r="F47" s="1581"/>
      <c r="G47" s="1581"/>
      <c r="H47" s="1581"/>
      <c r="I47" s="1582"/>
      <c r="J47" s="1582"/>
      <c r="K47" s="1582"/>
      <c r="L47" s="1582"/>
      <c r="M47" s="1582"/>
      <c r="N47" s="1582"/>
      <c r="O47" s="1582"/>
      <c r="P47" s="1582"/>
      <c r="Q47" s="1582"/>
      <c r="R47" s="1582"/>
      <c r="S47" s="1582"/>
      <c r="T47" s="1582"/>
      <c r="U47" s="1582"/>
      <c r="V47" s="1582"/>
      <c r="W47" s="1582"/>
      <c r="X47" s="1582"/>
      <c r="Y47" s="1582"/>
      <c r="Z47" s="1582"/>
      <c r="AA47" s="1582"/>
    </row>
    <row r="48" spans="6:27" ht="16.5" customHeight="1">
      <c r="F48" s="1581"/>
      <c r="G48" s="1581"/>
      <c r="H48" s="1581"/>
      <c r="I48" s="1582"/>
      <c r="J48" s="1582"/>
      <c r="K48" s="1582"/>
      <c r="L48" s="1582"/>
      <c r="M48" s="1582"/>
      <c r="N48" s="1582"/>
      <c r="O48" s="1582"/>
      <c r="P48" s="1582"/>
      <c r="Q48" s="1582"/>
      <c r="R48" s="1582"/>
      <c r="S48" s="1582"/>
      <c r="T48" s="1582"/>
      <c r="U48" s="1582"/>
      <c r="V48" s="1582"/>
      <c r="W48" s="1582"/>
      <c r="X48" s="1582"/>
      <c r="Y48" s="1582"/>
      <c r="Z48" s="1582"/>
      <c r="AA48" s="1582"/>
    </row>
    <row r="49" spans="6:27" ht="16.5" customHeight="1">
      <c r="F49" s="1582"/>
      <c r="G49" s="1582"/>
      <c r="H49" s="1582"/>
      <c r="I49" s="1582"/>
      <c r="J49" s="1582"/>
      <c r="K49" s="1582"/>
      <c r="L49" s="1582"/>
      <c r="M49" s="1582"/>
      <c r="N49" s="1582"/>
      <c r="O49" s="1582"/>
      <c r="P49" s="1582"/>
      <c r="Q49" s="1582"/>
      <c r="R49" s="1582"/>
      <c r="S49" s="1582"/>
      <c r="T49" s="1582"/>
      <c r="U49" s="1582"/>
      <c r="V49" s="1582"/>
      <c r="W49" s="1582"/>
      <c r="X49" s="1582"/>
      <c r="Y49" s="1582"/>
      <c r="Z49" s="1582"/>
      <c r="AA49" s="1582"/>
    </row>
    <row r="50" spans="6:27" ht="16.5" customHeight="1">
      <c r="F50" s="1582"/>
      <c r="G50" s="1582"/>
      <c r="H50" s="1582"/>
      <c r="I50" s="1582"/>
      <c r="J50" s="1582"/>
      <c r="K50" s="1582"/>
      <c r="L50" s="1582"/>
      <c r="M50" s="1582"/>
      <c r="N50" s="1582"/>
      <c r="O50" s="1582"/>
      <c r="P50" s="1582"/>
      <c r="Q50" s="1582"/>
      <c r="R50" s="1582"/>
      <c r="S50" s="1582"/>
      <c r="T50" s="1582"/>
      <c r="U50" s="1582"/>
      <c r="V50" s="1582"/>
      <c r="W50" s="1582"/>
      <c r="X50" s="1582"/>
      <c r="Y50" s="1582"/>
      <c r="Z50" s="1582"/>
      <c r="AA50" s="1582"/>
    </row>
    <row r="51" spans="6:27" ht="16.5" customHeight="1">
      <c r="F51" s="1582"/>
      <c r="G51" s="1582"/>
      <c r="H51" s="1582"/>
      <c r="I51" s="1582"/>
      <c r="J51" s="1582"/>
      <c r="K51" s="1582"/>
      <c r="L51" s="1582"/>
      <c r="M51" s="1582"/>
      <c r="N51" s="1582"/>
      <c r="O51" s="1582"/>
      <c r="P51" s="1582"/>
      <c r="Q51" s="1582"/>
      <c r="R51" s="1582"/>
      <c r="S51" s="1582"/>
      <c r="T51" s="1582"/>
      <c r="U51" s="1582"/>
      <c r="V51" s="1582"/>
      <c r="W51" s="1582"/>
      <c r="X51" s="1582"/>
      <c r="Y51" s="1582"/>
      <c r="Z51" s="1582"/>
      <c r="AA51" s="1582"/>
    </row>
    <row r="52" spans="6:27" ht="16.5" customHeight="1">
      <c r="F52" s="1582"/>
      <c r="G52" s="1582"/>
      <c r="H52" s="1582"/>
      <c r="I52" s="1582"/>
      <c r="J52" s="1582"/>
      <c r="K52" s="1582"/>
      <c r="L52" s="1582"/>
      <c r="M52" s="1582"/>
      <c r="N52" s="1582"/>
      <c r="O52" s="1582"/>
      <c r="P52" s="1582"/>
      <c r="Q52" s="1582"/>
      <c r="R52" s="1582"/>
      <c r="S52" s="1582"/>
      <c r="T52" s="1582"/>
      <c r="U52" s="1582"/>
      <c r="V52" s="1582"/>
      <c r="W52" s="1582"/>
      <c r="X52" s="1582"/>
      <c r="Y52" s="1582"/>
      <c r="Z52" s="1582"/>
      <c r="AA52" s="1582"/>
    </row>
    <row r="53" spans="6:27" ht="16.5" customHeight="1">
      <c r="F53" s="1582"/>
      <c r="G53" s="1582"/>
      <c r="H53" s="1582"/>
      <c r="I53" s="1582"/>
      <c r="J53" s="1582"/>
      <c r="K53" s="1582"/>
      <c r="L53" s="1582"/>
      <c r="M53" s="1582"/>
      <c r="N53" s="1582"/>
      <c r="O53" s="1582"/>
      <c r="P53" s="1582"/>
      <c r="Q53" s="1582"/>
      <c r="R53" s="1582"/>
      <c r="S53" s="1582"/>
      <c r="T53" s="1582"/>
      <c r="U53" s="1582"/>
      <c r="V53" s="1582"/>
      <c r="W53" s="1582"/>
      <c r="X53" s="1582"/>
      <c r="Y53" s="1582"/>
      <c r="Z53" s="1582"/>
      <c r="AA53" s="1582"/>
    </row>
    <row r="54" spans="6:27" ht="16.5" customHeight="1">
      <c r="F54" s="1582"/>
      <c r="G54" s="1582"/>
      <c r="H54" s="1582"/>
      <c r="I54" s="1582"/>
      <c r="J54" s="1582"/>
      <c r="K54" s="1582"/>
      <c r="L54" s="1582"/>
      <c r="M54" s="1582"/>
      <c r="N54" s="1582"/>
      <c r="O54" s="1582"/>
      <c r="P54" s="1582"/>
      <c r="Q54" s="1582"/>
      <c r="R54" s="1582"/>
      <c r="S54" s="1582"/>
      <c r="T54" s="1582"/>
      <c r="U54" s="1582"/>
      <c r="V54" s="1582"/>
      <c r="W54" s="1582"/>
      <c r="X54" s="1582"/>
      <c r="Y54" s="1582"/>
      <c r="Z54" s="1582"/>
      <c r="AA54" s="1582"/>
    </row>
    <row r="55" spans="6:27" ht="16.5" customHeight="1">
      <c r="F55" s="1582"/>
      <c r="G55" s="1582"/>
      <c r="H55" s="1582"/>
      <c r="I55" s="1582"/>
      <c r="J55" s="1582"/>
      <c r="K55" s="1582"/>
      <c r="L55" s="1582"/>
      <c r="M55" s="1582"/>
      <c r="N55" s="1582"/>
      <c r="O55" s="1582"/>
      <c r="P55" s="1582"/>
      <c r="Q55" s="1582"/>
      <c r="R55" s="1582"/>
      <c r="S55" s="1582"/>
      <c r="T55" s="1582"/>
      <c r="U55" s="1582"/>
      <c r="V55" s="1582"/>
      <c r="W55" s="1582"/>
      <c r="X55" s="1582"/>
      <c r="Y55" s="1582"/>
      <c r="Z55" s="1582"/>
      <c r="AA55" s="1582"/>
    </row>
    <row r="56" spans="6:27" ht="16.5" customHeight="1">
      <c r="F56" s="1582"/>
      <c r="G56" s="1582"/>
      <c r="H56" s="1582"/>
      <c r="I56" s="1582"/>
      <c r="J56" s="1582"/>
      <c r="K56" s="1582"/>
      <c r="L56" s="1582"/>
      <c r="M56" s="1582"/>
      <c r="N56" s="1582"/>
      <c r="O56" s="1582"/>
      <c r="P56" s="1582"/>
      <c r="Q56" s="1582"/>
      <c r="R56" s="1582"/>
      <c r="S56" s="1582"/>
      <c r="T56" s="1582"/>
      <c r="U56" s="1582"/>
      <c r="V56" s="1582"/>
      <c r="W56" s="1582"/>
      <c r="X56" s="1582"/>
      <c r="Y56" s="1582"/>
      <c r="Z56" s="1582"/>
      <c r="AA56" s="1582"/>
    </row>
    <row r="57" spans="6:27" ht="16.5" customHeight="1">
      <c r="F57" s="1582"/>
      <c r="G57" s="1582"/>
      <c r="H57" s="1582"/>
      <c r="I57" s="1582"/>
      <c r="J57" s="1582"/>
      <c r="K57" s="1582"/>
      <c r="L57" s="1582"/>
      <c r="M57" s="1582"/>
      <c r="N57" s="1582"/>
      <c r="O57" s="1582"/>
      <c r="P57" s="1582"/>
      <c r="Q57" s="1582"/>
      <c r="R57" s="1582"/>
      <c r="S57" s="1582"/>
      <c r="T57" s="1582"/>
      <c r="U57" s="1582"/>
      <c r="V57" s="1582"/>
      <c r="W57" s="1582"/>
      <c r="X57" s="1582"/>
      <c r="Y57" s="1582"/>
      <c r="Z57" s="1582"/>
      <c r="AA57" s="1582"/>
    </row>
    <row r="58" spans="6:27" ht="16.5" customHeight="1">
      <c r="F58" s="1582"/>
      <c r="G58" s="1582"/>
      <c r="H58" s="1582"/>
      <c r="I58" s="1582"/>
      <c r="J58" s="1582"/>
      <c r="K58" s="1582"/>
      <c r="L58" s="1582"/>
      <c r="M58" s="1582"/>
      <c r="N58" s="1582"/>
      <c r="O58" s="1582"/>
      <c r="P58" s="1582"/>
      <c r="Q58" s="1582"/>
      <c r="R58" s="1582"/>
      <c r="S58" s="1582"/>
      <c r="T58" s="1582"/>
      <c r="U58" s="1582"/>
      <c r="V58" s="1582"/>
      <c r="W58" s="1582"/>
      <c r="X58" s="1582"/>
      <c r="Y58" s="1582"/>
      <c r="Z58" s="1582"/>
      <c r="AA58" s="1582"/>
    </row>
    <row r="59" spans="6:27" ht="16.5" customHeight="1">
      <c r="F59" s="1582"/>
      <c r="G59" s="1582"/>
      <c r="H59" s="1582"/>
      <c r="I59" s="1582"/>
      <c r="J59" s="1582"/>
      <c r="K59" s="1582"/>
      <c r="L59" s="1582"/>
      <c r="M59" s="1582"/>
      <c r="N59" s="1582"/>
      <c r="O59" s="1582"/>
      <c r="P59" s="1582"/>
      <c r="Q59" s="1582"/>
      <c r="R59" s="1582"/>
      <c r="S59" s="1582"/>
      <c r="T59" s="1582"/>
      <c r="U59" s="1582"/>
      <c r="V59" s="1582"/>
      <c r="W59" s="1582"/>
      <c r="X59" s="1582"/>
      <c r="Y59" s="1582"/>
      <c r="Z59" s="1582"/>
      <c r="AA59" s="1582"/>
    </row>
    <row r="60" spans="6:27" ht="16.5" customHeight="1">
      <c r="F60" s="1582"/>
      <c r="G60" s="1582"/>
      <c r="H60" s="1582"/>
      <c r="I60" s="1582"/>
      <c r="J60" s="1582"/>
      <c r="K60" s="1582"/>
      <c r="L60" s="1582"/>
      <c r="M60" s="1582"/>
      <c r="N60" s="1582"/>
      <c r="O60" s="1582"/>
      <c r="P60" s="1582"/>
      <c r="Q60" s="1582"/>
      <c r="R60" s="1582"/>
      <c r="S60" s="1582"/>
      <c r="T60" s="1582"/>
      <c r="U60" s="1582"/>
      <c r="V60" s="1582"/>
      <c r="W60" s="1582"/>
      <c r="X60" s="1582"/>
      <c r="Y60" s="1582"/>
      <c r="Z60" s="1582"/>
      <c r="AA60" s="1582"/>
    </row>
    <row r="61" spans="6:27" ht="16.5" customHeight="1">
      <c r="F61" s="1582"/>
      <c r="G61" s="1582"/>
      <c r="H61" s="1582"/>
      <c r="I61" s="1582"/>
      <c r="J61" s="1582"/>
      <c r="K61" s="1582"/>
      <c r="L61" s="1582"/>
      <c r="M61" s="1582"/>
      <c r="N61" s="1582"/>
      <c r="O61" s="1582"/>
      <c r="P61" s="1582"/>
      <c r="Q61" s="1582"/>
      <c r="R61" s="1582"/>
      <c r="S61" s="1582"/>
      <c r="T61" s="1582"/>
      <c r="U61" s="1582"/>
      <c r="V61" s="1582"/>
      <c r="W61" s="1582"/>
      <c r="X61" s="1582"/>
      <c r="Y61" s="1582"/>
      <c r="Z61" s="1582"/>
      <c r="AA61" s="1582"/>
    </row>
    <row r="62" spans="6:27" ht="16.5" customHeight="1">
      <c r="F62" s="1582"/>
      <c r="G62" s="1582"/>
      <c r="H62" s="1582"/>
      <c r="I62" s="1582"/>
      <c r="J62" s="1582"/>
      <c r="K62" s="1582"/>
      <c r="L62" s="1582"/>
      <c r="M62" s="1582"/>
      <c r="N62" s="1582"/>
      <c r="O62" s="1582"/>
      <c r="P62" s="1582"/>
      <c r="Q62" s="1582"/>
      <c r="R62" s="1582"/>
      <c r="S62" s="1582"/>
      <c r="T62" s="1582"/>
      <c r="U62" s="1582"/>
      <c r="V62" s="1582"/>
      <c r="W62" s="1582"/>
      <c r="X62" s="1582"/>
      <c r="Y62" s="1582"/>
      <c r="Z62" s="1582"/>
      <c r="AA62" s="1582"/>
    </row>
    <row r="63" spans="6:27" ht="16.5" customHeight="1">
      <c r="F63" s="1582"/>
      <c r="G63" s="1582"/>
      <c r="H63" s="1582"/>
      <c r="I63" s="1582"/>
      <c r="J63" s="1582"/>
      <c r="K63" s="1582"/>
      <c r="L63" s="1582"/>
      <c r="M63" s="1582"/>
      <c r="N63" s="1582"/>
      <c r="O63" s="1582"/>
      <c r="P63" s="1582"/>
      <c r="Q63" s="1582"/>
      <c r="R63" s="1582"/>
      <c r="S63" s="1582"/>
      <c r="T63" s="1582"/>
      <c r="U63" s="1582"/>
      <c r="V63" s="1582"/>
      <c r="W63" s="1582"/>
      <c r="X63" s="1582"/>
      <c r="Y63" s="1582"/>
      <c r="Z63" s="1582"/>
      <c r="AA63" s="1582"/>
    </row>
    <row r="64" spans="6:27" ht="16.5" customHeight="1">
      <c r="F64" s="1582"/>
      <c r="G64" s="1582"/>
      <c r="H64" s="1582"/>
      <c r="I64" s="1582"/>
      <c r="J64" s="1582"/>
      <c r="K64" s="1582"/>
      <c r="L64" s="1582"/>
      <c r="M64" s="1582"/>
      <c r="N64" s="1582"/>
      <c r="O64" s="1582"/>
      <c r="P64" s="1582"/>
      <c r="Q64" s="1582"/>
      <c r="R64" s="1582"/>
      <c r="S64" s="1582"/>
      <c r="T64" s="1582"/>
      <c r="U64" s="1582"/>
      <c r="V64" s="1582"/>
      <c r="W64" s="1582"/>
      <c r="X64" s="1582"/>
      <c r="Y64" s="1582"/>
      <c r="Z64" s="1582"/>
      <c r="AA64" s="1582"/>
    </row>
    <row r="65" spans="6:27" ht="16.5" customHeight="1">
      <c r="F65" s="1582"/>
      <c r="G65" s="1582"/>
      <c r="H65" s="1582"/>
      <c r="I65" s="1582"/>
      <c r="J65" s="1582"/>
      <c r="K65" s="1582"/>
      <c r="L65" s="1582"/>
      <c r="M65" s="1582"/>
      <c r="N65" s="1582"/>
      <c r="O65" s="1582"/>
      <c r="P65" s="1582"/>
      <c r="Q65" s="1582"/>
      <c r="R65" s="1582"/>
      <c r="S65" s="1582"/>
      <c r="T65" s="1582"/>
      <c r="U65" s="1582"/>
      <c r="V65" s="1582"/>
      <c r="W65" s="1582"/>
      <c r="X65" s="1582"/>
      <c r="Y65" s="1582"/>
      <c r="Z65" s="1582"/>
      <c r="AA65" s="1582"/>
    </row>
    <row r="66" spans="6:27" ht="16.5" customHeight="1">
      <c r="F66" s="1582"/>
      <c r="G66" s="1582"/>
      <c r="H66" s="1582"/>
      <c r="I66" s="1582"/>
      <c r="J66" s="1582"/>
      <c r="K66" s="1582"/>
      <c r="L66" s="1582"/>
      <c r="M66" s="1582"/>
      <c r="N66" s="1582"/>
      <c r="O66" s="1582"/>
      <c r="P66" s="1582"/>
      <c r="Q66" s="1582"/>
      <c r="R66" s="1582"/>
      <c r="S66" s="1582"/>
      <c r="T66" s="1582"/>
      <c r="U66" s="1582"/>
      <c r="V66" s="1582"/>
      <c r="W66" s="1582"/>
      <c r="X66" s="1582"/>
      <c r="Y66" s="1582"/>
      <c r="Z66" s="1582"/>
      <c r="AA66" s="1582"/>
    </row>
    <row r="67" spans="6:27" ht="16.5" customHeight="1">
      <c r="F67" s="1582"/>
      <c r="G67" s="1582"/>
      <c r="H67" s="1582"/>
      <c r="I67" s="1582"/>
      <c r="J67" s="1582"/>
      <c r="K67" s="1582"/>
      <c r="L67" s="1582"/>
      <c r="M67" s="1582"/>
      <c r="N67" s="1582"/>
      <c r="O67" s="1582"/>
      <c r="P67" s="1582"/>
      <c r="Q67" s="1582"/>
      <c r="R67" s="1582"/>
      <c r="S67" s="1582"/>
      <c r="T67" s="1582"/>
      <c r="U67" s="1582"/>
      <c r="V67" s="1582"/>
      <c r="W67" s="1582"/>
      <c r="X67" s="1582"/>
      <c r="Y67" s="1582"/>
      <c r="Z67" s="1582"/>
      <c r="AA67" s="1582"/>
    </row>
    <row r="68" spans="6:27" ht="16.5" customHeight="1">
      <c r="F68" s="1582"/>
      <c r="G68" s="1582"/>
      <c r="H68" s="1582"/>
      <c r="I68" s="1582"/>
      <c r="J68" s="1582"/>
      <c r="K68" s="1582"/>
      <c r="L68" s="1582"/>
      <c r="M68" s="1582"/>
      <c r="N68" s="1582"/>
      <c r="O68" s="1582"/>
      <c r="P68" s="1582"/>
      <c r="Q68" s="1582"/>
      <c r="R68" s="1582"/>
      <c r="S68" s="1582"/>
      <c r="T68" s="1582"/>
      <c r="U68" s="1582"/>
      <c r="V68" s="1582"/>
      <c r="W68" s="1582"/>
      <c r="X68" s="1582"/>
      <c r="Y68" s="1582"/>
      <c r="Z68" s="1582"/>
      <c r="AA68" s="1582"/>
    </row>
    <row r="69" spans="6:27" ht="16.5" customHeight="1">
      <c r="F69" s="1582"/>
      <c r="G69" s="1582"/>
      <c r="H69" s="1582"/>
      <c r="I69" s="1582"/>
      <c r="J69" s="1582"/>
      <c r="K69" s="1582"/>
      <c r="L69" s="1582"/>
      <c r="M69" s="1582"/>
      <c r="N69" s="1582"/>
      <c r="O69" s="1582"/>
      <c r="P69" s="1582"/>
      <c r="Q69" s="1582"/>
      <c r="R69" s="1582"/>
      <c r="S69" s="1582"/>
      <c r="T69" s="1582"/>
      <c r="U69" s="1582"/>
      <c r="V69" s="1582"/>
      <c r="W69" s="1582"/>
      <c r="X69" s="1582"/>
      <c r="Y69" s="1582"/>
      <c r="Z69" s="1582"/>
      <c r="AA69" s="1582"/>
    </row>
    <row r="70" spans="6:27" ht="16.5" customHeight="1">
      <c r="F70" s="1582"/>
      <c r="G70" s="1582"/>
      <c r="H70" s="1582"/>
      <c r="I70" s="1582"/>
      <c r="J70" s="1582"/>
      <c r="K70" s="1582"/>
      <c r="L70" s="1582"/>
      <c r="M70" s="1582"/>
      <c r="N70" s="1582"/>
      <c r="O70" s="1582"/>
      <c r="P70" s="1582"/>
      <c r="Q70" s="1582"/>
      <c r="R70" s="1582"/>
      <c r="S70" s="1582"/>
      <c r="T70" s="1582"/>
      <c r="U70" s="1582"/>
      <c r="V70" s="1582"/>
      <c r="W70" s="1582"/>
      <c r="X70" s="1582"/>
      <c r="Y70" s="1582"/>
      <c r="Z70" s="1582"/>
      <c r="AA70" s="1582"/>
    </row>
    <row r="71" spans="6:27" ht="16.5" customHeight="1">
      <c r="F71" s="1582"/>
      <c r="G71" s="1582"/>
      <c r="H71" s="1582"/>
      <c r="I71" s="1582"/>
      <c r="J71" s="1582"/>
      <c r="K71" s="1582"/>
      <c r="L71" s="1582"/>
      <c r="M71" s="1582"/>
      <c r="N71" s="1582"/>
      <c r="O71" s="1582"/>
      <c r="P71" s="1582"/>
      <c r="Q71" s="1582"/>
      <c r="R71" s="1582"/>
      <c r="S71" s="1582"/>
      <c r="T71" s="1582"/>
      <c r="U71" s="1582"/>
      <c r="V71" s="1582"/>
      <c r="W71" s="1582"/>
      <c r="X71" s="1582"/>
      <c r="Y71" s="1582"/>
      <c r="Z71" s="1582"/>
      <c r="AA71" s="1582"/>
    </row>
    <row r="72" spans="6:27" ht="16.5" customHeight="1">
      <c r="F72" s="1582"/>
      <c r="G72" s="1582"/>
      <c r="H72" s="1582"/>
      <c r="I72" s="1582"/>
      <c r="J72" s="1582"/>
      <c r="K72" s="1582"/>
      <c r="L72" s="1582"/>
      <c r="M72" s="1582"/>
      <c r="N72" s="1582"/>
      <c r="O72" s="1582"/>
      <c r="P72" s="1582"/>
      <c r="Q72" s="1582"/>
      <c r="R72" s="1582"/>
      <c r="S72" s="1582"/>
      <c r="T72" s="1582"/>
      <c r="U72" s="1582"/>
      <c r="V72" s="1582"/>
      <c r="W72" s="1582"/>
      <c r="X72" s="1582"/>
      <c r="Y72" s="1582"/>
      <c r="Z72" s="1582"/>
      <c r="AA72" s="1582"/>
    </row>
    <row r="73" spans="6:27" ht="16.5" customHeight="1">
      <c r="F73" s="1582"/>
      <c r="G73" s="1582"/>
      <c r="H73" s="1582"/>
      <c r="I73" s="1582"/>
      <c r="J73" s="1582"/>
      <c r="K73" s="1582"/>
      <c r="L73" s="1582"/>
      <c r="M73" s="1582"/>
      <c r="N73" s="1582"/>
      <c r="O73" s="1582"/>
      <c r="P73" s="1582"/>
      <c r="Q73" s="1582"/>
      <c r="R73" s="1582"/>
      <c r="S73" s="1582"/>
      <c r="T73" s="1582"/>
      <c r="U73" s="1582"/>
      <c r="V73" s="1582"/>
      <c r="W73" s="1582"/>
      <c r="X73" s="1582"/>
      <c r="Y73" s="1582"/>
      <c r="Z73" s="1582"/>
      <c r="AA73" s="1582"/>
    </row>
    <row r="74" spans="6:27" ht="16.5" customHeight="1">
      <c r="F74" s="1582"/>
      <c r="G74" s="1582"/>
      <c r="H74" s="1582"/>
      <c r="I74" s="1582"/>
      <c r="J74" s="1582"/>
      <c r="K74" s="1582"/>
      <c r="L74" s="1582"/>
      <c r="M74" s="1582"/>
      <c r="N74" s="1582"/>
      <c r="O74" s="1582"/>
      <c r="P74" s="1582"/>
      <c r="Q74" s="1582"/>
      <c r="R74" s="1582"/>
      <c r="S74" s="1582"/>
      <c r="T74" s="1582"/>
      <c r="U74" s="1582"/>
      <c r="V74" s="1582"/>
      <c r="W74" s="1582"/>
      <c r="X74" s="1582"/>
      <c r="Y74" s="1582"/>
      <c r="Z74" s="1582"/>
      <c r="AA74" s="1582"/>
    </row>
    <row r="75" spans="6:27" ht="16.5" customHeight="1">
      <c r="F75" s="1582"/>
      <c r="G75" s="1582"/>
      <c r="H75" s="1582"/>
      <c r="I75" s="1582"/>
      <c r="J75" s="1582"/>
      <c r="K75" s="1582"/>
      <c r="L75" s="1582"/>
      <c r="M75" s="1582"/>
      <c r="N75" s="1582"/>
      <c r="O75" s="1582"/>
      <c r="P75" s="1582"/>
      <c r="Q75" s="1582"/>
      <c r="R75" s="1582"/>
      <c r="S75" s="1582"/>
      <c r="T75" s="1582"/>
      <c r="U75" s="1582"/>
      <c r="V75" s="1582"/>
      <c r="W75" s="1582"/>
      <c r="X75" s="1582"/>
      <c r="Y75" s="1582"/>
      <c r="Z75" s="1582"/>
      <c r="AA75" s="1582"/>
    </row>
    <row r="76" spans="6:27" ht="16.5" customHeight="1">
      <c r="F76" s="1582"/>
      <c r="G76" s="1582"/>
      <c r="H76" s="1582"/>
      <c r="I76" s="1582"/>
      <c r="J76" s="1582"/>
      <c r="K76" s="1582"/>
      <c r="L76" s="1582"/>
      <c r="M76" s="1582"/>
      <c r="N76" s="1582"/>
      <c r="O76" s="1582"/>
      <c r="P76" s="1582"/>
      <c r="Q76" s="1582"/>
      <c r="R76" s="1582"/>
      <c r="S76" s="1582"/>
      <c r="T76" s="1582"/>
      <c r="U76" s="1582"/>
      <c r="V76" s="1582"/>
      <c r="W76" s="1582"/>
      <c r="X76" s="1582"/>
      <c r="Y76" s="1582"/>
      <c r="Z76" s="1582"/>
      <c r="AA76" s="1582"/>
    </row>
    <row r="77" spans="6:27" ht="16.5" customHeight="1">
      <c r="F77" s="1582"/>
      <c r="G77" s="1582"/>
      <c r="H77" s="1582"/>
      <c r="I77" s="1582"/>
      <c r="J77" s="1582"/>
      <c r="K77" s="1582"/>
      <c r="L77" s="1582"/>
      <c r="M77" s="1582"/>
      <c r="N77" s="1582"/>
      <c r="O77" s="1582"/>
      <c r="P77" s="1582"/>
      <c r="Q77" s="1582"/>
      <c r="R77" s="1582"/>
      <c r="S77" s="1582"/>
      <c r="T77" s="1582"/>
      <c r="U77" s="1582"/>
      <c r="V77" s="1582"/>
      <c r="W77" s="1582"/>
      <c r="X77" s="1582"/>
      <c r="Y77" s="1582"/>
      <c r="Z77" s="1582"/>
      <c r="AA77" s="1582"/>
    </row>
    <row r="78" spans="6:27" ht="16.5" customHeight="1">
      <c r="F78" s="1582"/>
      <c r="G78" s="1582"/>
      <c r="H78" s="1582"/>
      <c r="I78" s="1582"/>
      <c r="J78" s="1582"/>
      <c r="K78" s="1582"/>
      <c r="L78" s="1582"/>
      <c r="M78" s="1582"/>
      <c r="N78" s="1582"/>
      <c r="O78" s="1582"/>
      <c r="P78" s="1582"/>
      <c r="Q78" s="1582"/>
      <c r="R78" s="1582"/>
      <c r="S78" s="1582"/>
      <c r="T78" s="1582"/>
      <c r="U78" s="1582"/>
      <c r="V78" s="1582"/>
      <c r="W78" s="1582"/>
      <c r="X78" s="1582"/>
      <c r="Y78" s="1582"/>
      <c r="Z78" s="1582"/>
      <c r="AA78" s="1582"/>
    </row>
    <row r="79" spans="6:27" ht="16.5" customHeight="1">
      <c r="F79" s="1582"/>
      <c r="G79" s="1582"/>
      <c r="H79" s="1582"/>
      <c r="I79" s="1582"/>
      <c r="J79" s="1582"/>
      <c r="K79" s="1582"/>
      <c r="L79" s="1582"/>
      <c r="M79" s="1582"/>
      <c r="N79" s="1582"/>
      <c r="O79" s="1582"/>
      <c r="P79" s="1582"/>
      <c r="Q79" s="1582"/>
      <c r="R79" s="1582"/>
      <c r="S79" s="1582"/>
      <c r="T79" s="1582"/>
      <c r="U79" s="1582"/>
      <c r="V79" s="1582"/>
      <c r="W79" s="1582"/>
      <c r="X79" s="1582"/>
      <c r="Y79" s="1582"/>
      <c r="Z79" s="1582"/>
      <c r="AA79" s="1582"/>
    </row>
    <row r="80" spans="6:27" ht="16.5" customHeight="1">
      <c r="F80" s="1582"/>
      <c r="G80" s="1582"/>
      <c r="H80" s="1582"/>
      <c r="I80" s="1582"/>
      <c r="J80" s="1582"/>
      <c r="K80" s="1582"/>
      <c r="L80" s="1582"/>
      <c r="M80" s="1582"/>
      <c r="N80" s="1582"/>
      <c r="O80" s="1582"/>
      <c r="P80" s="1582"/>
      <c r="Q80" s="1582"/>
      <c r="R80" s="1582"/>
      <c r="S80" s="1582"/>
      <c r="T80" s="1582"/>
      <c r="U80" s="1582"/>
      <c r="V80" s="1582"/>
      <c r="W80" s="1582"/>
      <c r="X80" s="1582"/>
      <c r="Y80" s="1582"/>
      <c r="Z80" s="1582"/>
      <c r="AA80" s="1582"/>
    </row>
    <row r="81" spans="6:27" ht="16.5" customHeight="1">
      <c r="F81" s="1582"/>
      <c r="G81" s="1582"/>
      <c r="H81" s="1582"/>
      <c r="I81" s="1582"/>
      <c r="J81" s="1582"/>
      <c r="K81" s="1582"/>
      <c r="L81" s="1582"/>
      <c r="M81" s="1582"/>
      <c r="N81" s="1582"/>
      <c r="O81" s="1582"/>
      <c r="P81" s="1582"/>
      <c r="Q81" s="1582"/>
      <c r="R81" s="1582"/>
      <c r="S81" s="1582"/>
      <c r="T81" s="1582"/>
      <c r="U81" s="1582"/>
      <c r="V81" s="1582"/>
      <c r="W81" s="1582"/>
      <c r="X81" s="1582"/>
      <c r="Y81" s="1582"/>
      <c r="Z81" s="1582"/>
      <c r="AA81" s="1582"/>
    </row>
    <row r="82" spans="6:27" ht="16.5" customHeight="1">
      <c r="F82" s="1582"/>
      <c r="G82" s="1582"/>
      <c r="H82" s="1582"/>
      <c r="I82" s="1582"/>
      <c r="J82" s="1582"/>
      <c r="K82" s="1582"/>
      <c r="L82" s="1582"/>
      <c r="M82" s="1582"/>
      <c r="N82" s="1582"/>
      <c r="O82" s="1582"/>
      <c r="P82" s="1582"/>
      <c r="Q82" s="1582"/>
      <c r="R82" s="1582"/>
      <c r="S82" s="1582"/>
      <c r="T82" s="1582"/>
      <c r="U82" s="1582"/>
      <c r="V82" s="1582"/>
      <c r="W82" s="1582"/>
      <c r="X82" s="1582"/>
      <c r="Y82" s="1582"/>
      <c r="Z82" s="1582"/>
      <c r="AA82" s="1582"/>
    </row>
    <row r="83" spans="6:27" ht="16.5" customHeight="1">
      <c r="F83" s="1582"/>
      <c r="G83" s="1582"/>
      <c r="H83" s="1582"/>
      <c r="I83" s="1582"/>
      <c r="J83" s="1582"/>
      <c r="K83" s="1582"/>
      <c r="L83" s="1582"/>
      <c r="M83" s="1582"/>
      <c r="N83" s="1582"/>
      <c r="O83" s="1582"/>
      <c r="P83" s="1582"/>
      <c r="Q83" s="1582"/>
      <c r="R83" s="1582"/>
      <c r="S83" s="1582"/>
      <c r="T83" s="1582"/>
      <c r="U83" s="1582"/>
      <c r="V83" s="1582"/>
      <c r="W83" s="1582"/>
      <c r="X83" s="1582"/>
      <c r="Y83" s="1582"/>
      <c r="Z83" s="1582"/>
      <c r="AA83" s="1582"/>
    </row>
    <row r="84" spans="6:27" ht="16.5" customHeight="1">
      <c r="F84" s="1582"/>
      <c r="G84" s="1582"/>
      <c r="H84" s="1582"/>
      <c r="I84" s="1582"/>
      <c r="J84" s="1582"/>
      <c r="K84" s="1582"/>
      <c r="L84" s="1582"/>
      <c r="M84" s="1582"/>
      <c r="N84" s="1582"/>
      <c r="O84" s="1582"/>
      <c r="P84" s="1582"/>
      <c r="Q84" s="1582"/>
      <c r="R84" s="1582"/>
      <c r="S84" s="1582"/>
      <c r="T84" s="1582"/>
      <c r="U84" s="1582"/>
      <c r="V84" s="1582"/>
      <c r="W84" s="1582"/>
      <c r="X84" s="1582"/>
      <c r="Y84" s="1582"/>
      <c r="Z84" s="1582"/>
      <c r="AA84" s="1582"/>
    </row>
    <row r="85" spans="6:27" ht="16.5" customHeight="1">
      <c r="F85" s="1582"/>
      <c r="G85" s="1582"/>
      <c r="H85" s="1582"/>
      <c r="I85" s="1582"/>
      <c r="J85" s="1582"/>
      <c r="K85" s="1582"/>
      <c r="L85" s="1582"/>
      <c r="M85" s="1582"/>
      <c r="N85" s="1582"/>
      <c r="O85" s="1582"/>
      <c r="P85" s="1582"/>
      <c r="Q85" s="1582"/>
      <c r="R85" s="1582"/>
      <c r="S85" s="1582"/>
      <c r="T85" s="1582"/>
      <c r="U85" s="1582"/>
      <c r="V85" s="1582"/>
      <c r="W85" s="1582"/>
      <c r="X85" s="1582"/>
      <c r="Y85" s="1582"/>
      <c r="Z85" s="1582"/>
      <c r="AA85" s="1582"/>
    </row>
    <row r="86" spans="6:27" ht="16.5" customHeight="1">
      <c r="F86" s="1582"/>
      <c r="G86" s="1582"/>
      <c r="H86" s="1582"/>
      <c r="I86" s="1582"/>
      <c r="J86" s="1582"/>
      <c r="K86" s="1582"/>
      <c r="L86" s="1582"/>
      <c r="M86" s="1582"/>
      <c r="N86" s="1582"/>
      <c r="O86" s="1582"/>
      <c r="P86" s="1582"/>
      <c r="Q86" s="1582"/>
      <c r="R86" s="1582"/>
      <c r="S86" s="1582"/>
      <c r="T86" s="1582"/>
      <c r="U86" s="1582"/>
      <c r="V86" s="1582"/>
      <c r="W86" s="1582"/>
      <c r="X86" s="1582"/>
      <c r="Y86" s="1582"/>
      <c r="Z86" s="1582"/>
      <c r="AA86" s="1582"/>
    </row>
    <row r="87" spans="6:27" ht="16.5" customHeight="1">
      <c r="F87" s="1582"/>
      <c r="G87" s="1582"/>
      <c r="H87" s="1582"/>
      <c r="I87" s="1582"/>
      <c r="J87" s="1582"/>
      <c r="K87" s="1582"/>
      <c r="L87" s="1582"/>
      <c r="M87" s="1582"/>
      <c r="N87" s="1582"/>
      <c r="O87" s="1582"/>
      <c r="P87" s="1582"/>
      <c r="Q87" s="1582"/>
      <c r="R87" s="1582"/>
      <c r="S87" s="1582"/>
      <c r="T87" s="1582"/>
      <c r="U87" s="1582"/>
      <c r="V87" s="1582"/>
      <c r="W87" s="1582"/>
      <c r="X87" s="1582"/>
      <c r="Y87" s="1582"/>
      <c r="Z87" s="1582"/>
      <c r="AA87" s="1582"/>
    </row>
    <row r="88" spans="6:27" ht="16.5" customHeight="1">
      <c r="F88" s="1582"/>
      <c r="G88" s="1582"/>
      <c r="H88" s="1582"/>
      <c r="I88" s="1582"/>
      <c r="J88" s="1582"/>
      <c r="K88" s="1582"/>
      <c r="L88" s="1582"/>
      <c r="M88" s="1582"/>
      <c r="N88" s="1582"/>
      <c r="O88" s="1582"/>
      <c r="P88" s="1582"/>
      <c r="Q88" s="1582"/>
      <c r="R88" s="1582"/>
      <c r="S88" s="1582"/>
      <c r="T88" s="1582"/>
      <c r="U88" s="1582"/>
      <c r="V88" s="1582"/>
      <c r="W88" s="1582"/>
      <c r="X88" s="1582"/>
      <c r="Y88" s="1582"/>
      <c r="Z88" s="1582"/>
      <c r="AA88" s="1582"/>
    </row>
    <row r="89" spans="6:27" ht="16.5" customHeight="1">
      <c r="F89" s="1582"/>
      <c r="G89" s="1582"/>
      <c r="H89" s="1582"/>
      <c r="I89" s="1582"/>
      <c r="J89" s="1582"/>
      <c r="K89" s="1582"/>
      <c r="L89" s="1582"/>
      <c r="M89" s="1582"/>
      <c r="N89" s="1582"/>
      <c r="O89" s="1582"/>
      <c r="P89" s="1582"/>
      <c r="Q89" s="1582"/>
      <c r="R89" s="1582"/>
      <c r="S89" s="1582"/>
      <c r="T89" s="1582"/>
      <c r="U89" s="1582"/>
      <c r="V89" s="1582"/>
      <c r="W89" s="1582"/>
      <c r="X89" s="1582"/>
      <c r="Y89" s="1582"/>
      <c r="Z89" s="1582"/>
      <c r="AA89" s="1582"/>
    </row>
    <row r="90" spans="6:27" ht="16.5" customHeight="1">
      <c r="F90" s="1582"/>
      <c r="G90" s="1582"/>
      <c r="H90" s="1582"/>
      <c r="I90" s="1582"/>
      <c r="J90" s="1582"/>
      <c r="K90" s="1582"/>
      <c r="L90" s="1582"/>
      <c r="M90" s="1582"/>
      <c r="N90" s="1582"/>
      <c r="O90" s="1582"/>
      <c r="P90" s="1582"/>
      <c r="Q90" s="1582"/>
      <c r="R90" s="1582"/>
      <c r="S90" s="1582"/>
      <c r="T90" s="1582"/>
      <c r="U90" s="1582"/>
      <c r="V90" s="1582"/>
      <c r="W90" s="1582"/>
      <c r="X90" s="1582"/>
      <c r="Y90" s="1582"/>
      <c r="Z90" s="1582"/>
      <c r="AA90" s="1582"/>
    </row>
    <row r="91" spans="6:27" ht="16.5" customHeight="1">
      <c r="F91" s="1582"/>
      <c r="G91" s="1582"/>
      <c r="H91" s="1582"/>
      <c r="I91" s="1582"/>
      <c r="J91" s="1582"/>
      <c r="K91" s="1582"/>
      <c r="L91" s="1582"/>
      <c r="M91" s="1582"/>
      <c r="N91" s="1582"/>
      <c r="O91" s="1582"/>
      <c r="P91" s="1582"/>
      <c r="Q91" s="1582"/>
      <c r="R91" s="1582"/>
      <c r="S91" s="1582"/>
      <c r="T91" s="1582"/>
      <c r="U91" s="1582"/>
      <c r="V91" s="1582"/>
      <c r="W91" s="1582"/>
      <c r="X91" s="1582"/>
      <c r="Y91" s="1582"/>
      <c r="Z91" s="1582"/>
      <c r="AA91" s="1582"/>
    </row>
    <row r="92" spans="6:27" ht="16.5" customHeight="1">
      <c r="F92" s="1582"/>
      <c r="G92" s="1582"/>
      <c r="H92" s="1582"/>
      <c r="I92" s="1582"/>
      <c r="J92" s="1582"/>
      <c r="K92" s="1582"/>
      <c r="L92" s="1582"/>
      <c r="M92" s="1582"/>
      <c r="N92" s="1582"/>
      <c r="O92" s="1582"/>
      <c r="P92" s="1582"/>
      <c r="Q92" s="1582"/>
      <c r="R92" s="1582"/>
      <c r="S92" s="1582"/>
      <c r="T92" s="1582"/>
      <c r="U92" s="1582"/>
      <c r="V92" s="1582"/>
      <c r="W92" s="1582"/>
      <c r="X92" s="1582"/>
      <c r="Y92" s="1582"/>
      <c r="Z92" s="1582"/>
      <c r="AA92" s="1582"/>
    </row>
    <row r="93" spans="6:27" ht="16.5" customHeight="1">
      <c r="F93" s="1582"/>
      <c r="G93" s="1582"/>
      <c r="H93" s="1582"/>
      <c r="I93" s="1582"/>
      <c r="J93" s="1582"/>
      <c r="K93" s="1582"/>
      <c r="L93" s="1582"/>
      <c r="M93" s="1582"/>
      <c r="N93" s="1582"/>
      <c r="O93" s="1582"/>
      <c r="P93" s="1582"/>
      <c r="Q93" s="1582"/>
      <c r="R93" s="1582"/>
      <c r="S93" s="1582"/>
      <c r="T93" s="1582"/>
      <c r="U93" s="1582"/>
      <c r="V93" s="1582"/>
      <c r="W93" s="1582"/>
      <c r="X93" s="1582"/>
      <c r="Y93" s="1582"/>
      <c r="Z93" s="1582"/>
      <c r="AA93" s="1582"/>
    </row>
    <row r="94" spans="6:27" ht="16.5" customHeight="1">
      <c r="F94" s="1582"/>
      <c r="G94" s="1582"/>
      <c r="H94" s="1582"/>
      <c r="I94" s="1582"/>
      <c r="J94" s="1582"/>
      <c r="K94" s="1582"/>
      <c r="L94" s="1582"/>
      <c r="M94" s="1582"/>
      <c r="N94" s="1582"/>
      <c r="O94" s="1582"/>
      <c r="P94" s="1582"/>
      <c r="Q94" s="1582"/>
      <c r="R94" s="1582"/>
      <c r="S94" s="1582"/>
      <c r="T94" s="1582"/>
      <c r="U94" s="1582"/>
      <c r="V94" s="1582"/>
      <c r="W94" s="1582"/>
      <c r="X94" s="1582"/>
      <c r="Y94" s="1582"/>
      <c r="Z94" s="1582"/>
      <c r="AA94" s="1582"/>
    </row>
    <row r="95" spans="6:27" ht="16.5" customHeight="1">
      <c r="F95" s="1582"/>
      <c r="G95" s="1582"/>
      <c r="H95" s="1582"/>
      <c r="I95" s="1582"/>
      <c r="J95" s="1582"/>
      <c r="K95" s="1582"/>
      <c r="L95" s="1582"/>
      <c r="M95" s="1582"/>
      <c r="N95" s="1582"/>
      <c r="O95" s="1582"/>
      <c r="P95" s="1582"/>
      <c r="Q95" s="1582"/>
      <c r="R95" s="1582"/>
      <c r="S95" s="1582"/>
      <c r="T95" s="1582"/>
      <c r="U95" s="1582"/>
      <c r="V95" s="1582"/>
      <c r="W95" s="1582"/>
      <c r="X95" s="1582"/>
      <c r="Y95" s="1582"/>
      <c r="Z95" s="1582"/>
      <c r="AA95" s="1582"/>
    </row>
    <row r="96" spans="6:27" ht="16.5" customHeight="1">
      <c r="F96" s="1582"/>
      <c r="G96" s="1582"/>
      <c r="H96" s="1582"/>
      <c r="I96" s="1582"/>
      <c r="J96" s="1582"/>
      <c r="K96" s="1582"/>
      <c r="L96" s="1582"/>
      <c r="M96" s="1582"/>
      <c r="N96" s="1582"/>
      <c r="O96" s="1582"/>
      <c r="P96" s="1582"/>
      <c r="Q96" s="1582"/>
      <c r="R96" s="1582"/>
      <c r="S96" s="1582"/>
      <c r="T96" s="1582"/>
      <c r="U96" s="1582"/>
      <c r="V96" s="1582"/>
      <c r="W96" s="1582"/>
      <c r="X96" s="1582"/>
      <c r="Y96" s="1582"/>
      <c r="Z96" s="1582"/>
      <c r="AA96" s="1582"/>
    </row>
    <row r="97" spans="6:27" ht="16.5" customHeight="1">
      <c r="F97" s="1582"/>
      <c r="G97" s="1582"/>
      <c r="H97" s="1582"/>
      <c r="I97" s="1582"/>
      <c r="J97" s="1582"/>
      <c r="K97" s="1582"/>
      <c r="L97" s="1582"/>
      <c r="M97" s="1582"/>
      <c r="N97" s="1582"/>
      <c r="O97" s="1582"/>
      <c r="P97" s="1582"/>
      <c r="Q97" s="1582"/>
      <c r="R97" s="1582"/>
      <c r="S97" s="1582"/>
      <c r="T97" s="1582"/>
      <c r="U97" s="1582"/>
      <c r="V97" s="1582"/>
      <c r="W97" s="1582"/>
      <c r="X97" s="1582"/>
      <c r="Y97" s="1582"/>
      <c r="Z97" s="1582"/>
      <c r="AA97" s="1582"/>
    </row>
    <row r="98" spans="6:27" ht="16.5" customHeight="1">
      <c r="F98" s="1582"/>
      <c r="G98" s="1582"/>
      <c r="H98" s="1582"/>
      <c r="I98" s="1582"/>
      <c r="J98" s="1582"/>
      <c r="K98" s="1582"/>
      <c r="L98" s="1582"/>
      <c r="M98" s="1582"/>
      <c r="N98" s="1582"/>
      <c r="O98" s="1582"/>
      <c r="P98" s="1582"/>
      <c r="Q98" s="1582"/>
      <c r="R98" s="1582"/>
      <c r="S98" s="1582"/>
      <c r="T98" s="1582"/>
      <c r="U98" s="1582"/>
      <c r="V98" s="1582"/>
      <c r="W98" s="1582"/>
      <c r="X98" s="1582"/>
      <c r="Y98" s="1582"/>
      <c r="Z98" s="1582"/>
      <c r="AA98" s="1582"/>
    </row>
    <row r="99" spans="6:27" ht="16.5" customHeight="1">
      <c r="F99" s="1582"/>
      <c r="G99" s="1582"/>
      <c r="H99" s="1582"/>
      <c r="I99" s="1582"/>
      <c r="J99" s="1582"/>
      <c r="K99" s="1582"/>
      <c r="L99" s="1582"/>
      <c r="M99" s="1582"/>
      <c r="N99" s="1582"/>
      <c r="O99" s="1582"/>
      <c r="P99" s="1582"/>
      <c r="Q99" s="1582"/>
      <c r="R99" s="1582"/>
      <c r="S99" s="1582"/>
      <c r="T99" s="1582"/>
      <c r="U99" s="1582"/>
      <c r="V99" s="1582"/>
      <c r="W99" s="1582"/>
      <c r="X99" s="1582"/>
      <c r="Y99" s="1582"/>
      <c r="Z99" s="1582"/>
      <c r="AA99" s="1582"/>
    </row>
    <row r="100" spans="6:27" ht="16.5" customHeight="1">
      <c r="F100" s="1582"/>
      <c r="G100" s="1582"/>
      <c r="H100" s="1582"/>
      <c r="I100" s="1582"/>
      <c r="J100" s="1582"/>
      <c r="K100" s="1582"/>
      <c r="L100" s="1582"/>
      <c r="M100" s="1582"/>
      <c r="N100" s="1582"/>
      <c r="O100" s="1582"/>
      <c r="P100" s="1582"/>
      <c r="Q100" s="1582"/>
      <c r="R100" s="1582"/>
      <c r="S100" s="1582"/>
      <c r="T100" s="1582"/>
      <c r="U100" s="1582"/>
      <c r="V100" s="1582"/>
      <c r="W100" s="1582"/>
      <c r="X100" s="1582"/>
      <c r="Y100" s="1582"/>
      <c r="Z100" s="1582"/>
      <c r="AA100" s="1582"/>
    </row>
    <row r="101" spans="6:27" ht="16.5" customHeight="1">
      <c r="F101" s="1582"/>
      <c r="G101" s="1582"/>
      <c r="H101" s="1582"/>
      <c r="I101" s="1582"/>
      <c r="J101" s="1582"/>
      <c r="K101" s="1582"/>
      <c r="L101" s="1582"/>
      <c r="M101" s="1582"/>
      <c r="N101" s="1582"/>
      <c r="O101" s="1582"/>
      <c r="P101" s="1582"/>
      <c r="Q101" s="1582"/>
      <c r="R101" s="1582"/>
      <c r="S101" s="1582"/>
      <c r="T101" s="1582"/>
      <c r="U101" s="1582"/>
      <c r="V101" s="1582"/>
      <c r="W101" s="1582"/>
      <c r="X101" s="1582"/>
      <c r="Y101" s="1582"/>
      <c r="Z101" s="1582"/>
      <c r="AA101" s="1582"/>
    </row>
    <row r="102" spans="6:27" ht="16.5" customHeight="1">
      <c r="F102" s="1582"/>
      <c r="G102" s="1582"/>
      <c r="H102" s="1582"/>
      <c r="I102" s="1582"/>
      <c r="J102" s="1582"/>
      <c r="K102" s="1582"/>
      <c r="L102" s="1582"/>
      <c r="M102" s="1582"/>
      <c r="N102" s="1582"/>
      <c r="O102" s="1582"/>
      <c r="P102" s="1582"/>
      <c r="Q102" s="1582"/>
      <c r="R102" s="1582"/>
      <c r="S102" s="1582"/>
      <c r="T102" s="1582"/>
      <c r="U102" s="1582"/>
      <c r="V102" s="1582"/>
      <c r="W102" s="1582"/>
      <c r="X102" s="1582"/>
      <c r="Y102" s="1582"/>
      <c r="Z102" s="1582"/>
      <c r="AA102" s="1582"/>
    </row>
    <row r="103" spans="6:27" ht="16.5" customHeight="1">
      <c r="F103" s="1582"/>
      <c r="G103" s="1582"/>
      <c r="H103" s="1582"/>
      <c r="I103" s="1582"/>
      <c r="J103" s="1582"/>
      <c r="K103" s="1582"/>
      <c r="L103" s="1582"/>
      <c r="M103" s="1582"/>
      <c r="N103" s="1582"/>
      <c r="O103" s="1582"/>
      <c r="P103" s="1582"/>
      <c r="Q103" s="1582"/>
      <c r="R103" s="1582"/>
      <c r="S103" s="1582"/>
      <c r="T103" s="1582"/>
      <c r="U103" s="1582"/>
      <c r="V103" s="1582"/>
      <c r="W103" s="1582"/>
      <c r="X103" s="1582"/>
      <c r="Y103" s="1582"/>
      <c r="Z103" s="1582"/>
      <c r="AA103" s="1582"/>
    </row>
    <row r="104" spans="6:27" ht="16.5" customHeight="1">
      <c r="F104" s="1582"/>
      <c r="G104" s="1582"/>
      <c r="H104" s="1582"/>
      <c r="I104" s="1582"/>
      <c r="J104" s="1582"/>
      <c r="K104" s="1582"/>
      <c r="L104" s="1582"/>
      <c r="M104" s="1582"/>
      <c r="N104" s="1582"/>
      <c r="O104" s="1582"/>
      <c r="P104" s="1582"/>
      <c r="Q104" s="1582"/>
      <c r="R104" s="1582"/>
      <c r="S104" s="1582"/>
      <c r="T104" s="1582"/>
      <c r="U104" s="1582"/>
      <c r="V104" s="1582"/>
      <c r="W104" s="1582"/>
      <c r="X104" s="1582"/>
      <c r="Y104" s="1582"/>
      <c r="Z104" s="1582"/>
      <c r="AA104" s="1582"/>
    </row>
    <row r="105" spans="6:27" ht="16.5" customHeight="1">
      <c r="F105" s="1582"/>
      <c r="G105" s="1582"/>
      <c r="H105" s="1582"/>
      <c r="I105" s="1582"/>
      <c r="J105" s="1582"/>
      <c r="K105" s="1582"/>
      <c r="L105" s="1582"/>
      <c r="M105" s="1582"/>
      <c r="N105" s="1582"/>
      <c r="O105" s="1582"/>
      <c r="P105" s="1582"/>
      <c r="Q105" s="1582"/>
      <c r="R105" s="1582"/>
      <c r="S105" s="1582"/>
      <c r="T105" s="1582"/>
      <c r="U105" s="1582"/>
      <c r="V105" s="1582"/>
      <c r="W105" s="1582"/>
      <c r="X105" s="1582"/>
      <c r="Y105" s="1582"/>
      <c r="Z105" s="1582"/>
      <c r="AA105" s="1582"/>
    </row>
    <row r="106" spans="6:27" ht="16.5" customHeight="1">
      <c r="F106" s="1582"/>
      <c r="G106" s="1582"/>
      <c r="H106" s="1582"/>
      <c r="I106" s="1582"/>
      <c r="J106" s="1582"/>
      <c r="K106" s="1582"/>
      <c r="L106" s="1582"/>
      <c r="M106" s="1582"/>
      <c r="N106" s="1582"/>
      <c r="O106" s="1582"/>
      <c r="P106" s="1582"/>
      <c r="Q106" s="1582"/>
      <c r="R106" s="1582"/>
      <c r="S106" s="1582"/>
      <c r="T106" s="1582"/>
      <c r="U106" s="1582"/>
      <c r="V106" s="1582"/>
      <c r="W106" s="1582"/>
      <c r="X106" s="1582"/>
      <c r="Y106" s="1582"/>
      <c r="Z106" s="1582"/>
      <c r="AA106" s="1582"/>
    </row>
    <row r="107" spans="6:27" ht="16.5" customHeight="1">
      <c r="F107" s="1582"/>
      <c r="G107" s="1582"/>
      <c r="H107" s="1582"/>
      <c r="I107" s="1582"/>
      <c r="J107" s="1582"/>
      <c r="K107" s="1582"/>
      <c r="L107" s="1582"/>
      <c r="M107" s="1582"/>
      <c r="N107" s="1582"/>
      <c r="O107" s="1582"/>
      <c r="P107" s="1582"/>
      <c r="Q107" s="1582"/>
      <c r="R107" s="1582"/>
      <c r="S107" s="1582"/>
      <c r="T107" s="1582"/>
      <c r="U107" s="1582"/>
      <c r="V107" s="1582"/>
      <c r="W107" s="1582"/>
      <c r="X107" s="1582"/>
      <c r="Y107" s="1582"/>
      <c r="Z107" s="1582"/>
      <c r="AA107" s="1582"/>
    </row>
    <row r="108" spans="6:27" ht="16.5" customHeight="1">
      <c r="F108" s="1582"/>
      <c r="G108" s="1582"/>
      <c r="H108" s="1582"/>
      <c r="I108" s="1582"/>
      <c r="J108" s="1582"/>
      <c r="K108" s="1582"/>
      <c r="L108" s="1582"/>
      <c r="M108" s="1582"/>
      <c r="N108" s="1582"/>
      <c r="O108" s="1582"/>
      <c r="P108" s="1582"/>
      <c r="Q108" s="1582"/>
      <c r="R108" s="1582"/>
      <c r="S108" s="1582"/>
      <c r="T108" s="1582"/>
      <c r="U108" s="1582"/>
      <c r="V108" s="1582"/>
      <c r="W108" s="1582"/>
      <c r="X108" s="1582"/>
      <c r="Y108" s="1582"/>
      <c r="Z108" s="1582"/>
      <c r="AA108" s="1582"/>
    </row>
    <row r="109" spans="6:27" ht="16.5" customHeight="1">
      <c r="F109" s="1582"/>
      <c r="G109" s="1582"/>
      <c r="H109" s="1582"/>
      <c r="I109" s="1582"/>
      <c r="J109" s="1582"/>
      <c r="K109" s="1582"/>
      <c r="L109" s="1582"/>
      <c r="M109" s="1582"/>
      <c r="N109" s="1582"/>
      <c r="O109" s="1582"/>
      <c r="P109" s="1582"/>
      <c r="Q109" s="1582"/>
      <c r="R109" s="1582"/>
      <c r="S109" s="1582"/>
      <c r="T109" s="1582"/>
      <c r="U109" s="1582"/>
      <c r="V109" s="1582"/>
      <c r="W109" s="1582"/>
      <c r="X109" s="1582"/>
      <c r="Y109" s="1582"/>
      <c r="Z109" s="1582"/>
      <c r="AA109" s="1582"/>
    </row>
    <row r="110" spans="6:27" ht="16.5" customHeight="1">
      <c r="F110" s="1582"/>
      <c r="G110" s="1582"/>
      <c r="H110" s="1582"/>
      <c r="I110" s="1582"/>
      <c r="J110" s="1582"/>
      <c r="K110" s="1582"/>
      <c r="L110" s="1582"/>
      <c r="M110" s="1582"/>
      <c r="N110" s="1582"/>
      <c r="O110" s="1582"/>
      <c r="P110" s="1582"/>
      <c r="Q110" s="1582"/>
      <c r="R110" s="1582"/>
      <c r="S110" s="1582"/>
      <c r="T110" s="1582"/>
      <c r="U110" s="1582"/>
      <c r="V110" s="1582"/>
      <c r="W110" s="1582"/>
      <c r="X110" s="1582"/>
      <c r="Y110" s="1582"/>
      <c r="Z110" s="1582"/>
      <c r="AA110" s="1582"/>
    </row>
    <row r="111" spans="6:27" ht="16.5" customHeight="1">
      <c r="F111" s="1582"/>
      <c r="G111" s="1582"/>
      <c r="H111" s="1582"/>
      <c r="I111" s="1582"/>
      <c r="J111" s="1582"/>
      <c r="K111" s="1582"/>
      <c r="L111" s="1582"/>
      <c r="M111" s="1582"/>
      <c r="N111" s="1582"/>
      <c r="O111" s="1582"/>
      <c r="P111" s="1582"/>
      <c r="Q111" s="1582"/>
      <c r="R111" s="1582"/>
      <c r="S111" s="1582"/>
      <c r="T111" s="1582"/>
      <c r="U111" s="1582"/>
      <c r="V111" s="1582"/>
      <c r="W111" s="1582"/>
      <c r="X111" s="1582"/>
      <c r="Y111" s="1582"/>
      <c r="Z111" s="1582"/>
      <c r="AA111" s="1582"/>
    </row>
    <row r="112" spans="6:27" ht="16.5" customHeight="1">
      <c r="F112" s="1582"/>
      <c r="G112" s="1582"/>
      <c r="H112" s="1582"/>
      <c r="I112" s="1582"/>
      <c r="J112" s="1582"/>
      <c r="K112" s="1582"/>
      <c r="L112" s="1582"/>
      <c r="M112" s="1582"/>
      <c r="N112" s="1582"/>
      <c r="O112" s="1582"/>
      <c r="P112" s="1582"/>
      <c r="Q112" s="1582"/>
      <c r="R112" s="1582"/>
      <c r="S112" s="1582"/>
      <c r="T112" s="1582"/>
      <c r="U112" s="1582"/>
      <c r="V112" s="1582"/>
      <c r="W112" s="1582"/>
      <c r="X112" s="1582"/>
      <c r="Y112" s="1582"/>
      <c r="Z112" s="1582"/>
      <c r="AA112" s="1582"/>
    </row>
    <row r="113" spans="6:27" ht="16.5" customHeight="1">
      <c r="F113" s="1582"/>
      <c r="G113" s="1582"/>
      <c r="H113" s="1582"/>
      <c r="I113" s="1582"/>
      <c r="J113" s="1582"/>
      <c r="K113" s="1582"/>
      <c r="L113" s="1582"/>
      <c r="M113" s="1582"/>
      <c r="N113" s="1582"/>
      <c r="O113" s="1582"/>
      <c r="P113" s="1582"/>
      <c r="Q113" s="1582"/>
      <c r="R113" s="1582"/>
      <c r="S113" s="1582"/>
      <c r="T113" s="1582"/>
      <c r="U113" s="1582"/>
      <c r="V113" s="1582"/>
      <c r="W113" s="1582"/>
      <c r="X113" s="1582"/>
      <c r="Y113" s="1582"/>
      <c r="Z113" s="1582"/>
      <c r="AA113" s="1582"/>
    </row>
    <row r="114" spans="6:27" ht="16.5" customHeight="1">
      <c r="F114" s="1582"/>
      <c r="G114" s="1582"/>
      <c r="H114" s="1582"/>
      <c r="I114" s="1582"/>
      <c r="J114" s="1582"/>
      <c r="K114" s="1582"/>
      <c r="L114" s="1582"/>
      <c r="M114" s="1582"/>
      <c r="N114" s="1582"/>
      <c r="O114" s="1582"/>
      <c r="P114" s="1582"/>
      <c r="Q114" s="1582"/>
      <c r="R114" s="1582"/>
      <c r="S114" s="1582"/>
      <c r="T114" s="1582"/>
      <c r="U114" s="1582"/>
      <c r="V114" s="1582"/>
      <c r="W114" s="1582"/>
      <c r="X114" s="1582"/>
      <c r="Y114" s="1582"/>
      <c r="Z114" s="1582"/>
      <c r="AA114" s="1582"/>
    </row>
    <row r="115" spans="6:27" ht="16.5" customHeight="1">
      <c r="F115" s="1582"/>
      <c r="G115" s="1582"/>
      <c r="H115" s="1582"/>
      <c r="I115" s="1582"/>
      <c r="J115" s="1582"/>
      <c r="K115" s="1582"/>
      <c r="L115" s="1582"/>
      <c r="M115" s="1582"/>
      <c r="N115" s="1582"/>
      <c r="O115" s="1582"/>
      <c r="P115" s="1582"/>
      <c r="Q115" s="1582"/>
      <c r="R115" s="1582"/>
      <c r="S115" s="1582"/>
      <c r="T115" s="1582"/>
      <c r="U115" s="1582"/>
      <c r="V115" s="1582"/>
      <c r="W115" s="1582"/>
      <c r="X115" s="1582"/>
      <c r="Y115" s="1582"/>
      <c r="Z115" s="1582"/>
      <c r="AA115" s="1582"/>
    </row>
    <row r="116" spans="6:27" ht="16.5" customHeight="1">
      <c r="F116" s="1582"/>
      <c r="G116" s="1582"/>
      <c r="H116" s="1582"/>
      <c r="I116" s="1582"/>
      <c r="J116" s="1582"/>
      <c r="K116" s="1582"/>
      <c r="L116" s="1582"/>
      <c r="M116" s="1582"/>
      <c r="N116" s="1582"/>
      <c r="O116" s="1582"/>
      <c r="P116" s="1582"/>
      <c r="Q116" s="1582"/>
      <c r="R116" s="1582"/>
      <c r="S116" s="1582"/>
      <c r="T116" s="1582"/>
      <c r="U116" s="1582"/>
      <c r="V116" s="1582"/>
      <c r="W116" s="1582"/>
      <c r="X116" s="1582"/>
      <c r="Y116" s="1582"/>
      <c r="Z116" s="1582"/>
      <c r="AA116" s="1582"/>
    </row>
    <row r="117" spans="6:27" ht="16.5" customHeight="1">
      <c r="F117" s="1582"/>
      <c r="G117" s="1582"/>
      <c r="H117" s="1582"/>
      <c r="I117" s="1582"/>
      <c r="J117" s="1582"/>
      <c r="K117" s="1582"/>
      <c r="L117" s="1582"/>
      <c r="M117" s="1582"/>
      <c r="N117" s="1582"/>
      <c r="O117" s="1582"/>
      <c r="P117" s="1582"/>
      <c r="Q117" s="1582"/>
      <c r="R117" s="1582"/>
      <c r="S117" s="1582"/>
      <c r="T117" s="1582"/>
      <c r="U117" s="1582"/>
      <c r="V117" s="1582"/>
      <c r="W117" s="1582"/>
      <c r="X117" s="1582"/>
      <c r="Y117" s="1582"/>
      <c r="Z117" s="1582"/>
      <c r="AA117" s="1582"/>
    </row>
    <row r="118" spans="6:27" ht="16.5" customHeight="1">
      <c r="F118" s="1582"/>
      <c r="G118" s="1582"/>
      <c r="H118" s="1582"/>
      <c r="I118" s="1582"/>
      <c r="J118" s="1582"/>
      <c r="K118" s="1582"/>
      <c r="L118" s="1582"/>
      <c r="M118" s="1582"/>
      <c r="N118" s="1582"/>
      <c r="O118" s="1582"/>
      <c r="P118" s="1582"/>
      <c r="Q118" s="1582"/>
      <c r="R118" s="1582"/>
      <c r="S118" s="1582"/>
      <c r="T118" s="1582"/>
      <c r="U118" s="1582"/>
      <c r="V118" s="1582"/>
      <c r="W118" s="1582"/>
      <c r="X118" s="1582"/>
      <c r="Y118" s="1582"/>
      <c r="Z118" s="1582"/>
      <c r="AA118" s="1582"/>
    </row>
    <row r="119" spans="6:27" ht="16.5" customHeight="1">
      <c r="F119" s="1582"/>
      <c r="G119" s="1582"/>
      <c r="H119" s="1582"/>
      <c r="I119" s="1582"/>
      <c r="J119" s="1582"/>
      <c r="K119" s="1582"/>
      <c r="L119" s="1582"/>
      <c r="M119" s="1582"/>
      <c r="N119" s="1582"/>
      <c r="O119" s="1582"/>
      <c r="P119" s="1582"/>
      <c r="Q119" s="1582"/>
      <c r="R119" s="1582"/>
      <c r="S119" s="1582"/>
      <c r="T119" s="1582"/>
      <c r="U119" s="1582"/>
      <c r="V119" s="1582"/>
      <c r="W119" s="1582"/>
      <c r="X119" s="1582"/>
      <c r="Y119" s="1582"/>
      <c r="Z119" s="1582"/>
      <c r="AA119" s="1582"/>
    </row>
    <row r="120" spans="6:27" ht="16.5" customHeight="1">
      <c r="F120" s="1582"/>
      <c r="G120" s="1582"/>
      <c r="H120" s="1582"/>
      <c r="I120" s="1582"/>
      <c r="J120" s="1582"/>
      <c r="K120" s="1582"/>
      <c r="L120" s="1582"/>
      <c r="M120" s="1582"/>
      <c r="N120" s="1582"/>
      <c r="O120" s="1582"/>
      <c r="P120" s="1582"/>
      <c r="Q120" s="1582"/>
      <c r="R120" s="1582"/>
      <c r="S120" s="1582"/>
      <c r="T120" s="1582"/>
      <c r="U120" s="1582"/>
      <c r="V120" s="1582"/>
      <c r="W120" s="1582"/>
      <c r="X120" s="1582"/>
      <c r="Y120" s="1582"/>
      <c r="Z120" s="1582"/>
      <c r="AA120" s="1582"/>
    </row>
    <row r="121" spans="6:27" ht="16.5" customHeight="1">
      <c r="F121" s="1582"/>
      <c r="G121" s="1582"/>
      <c r="H121" s="1582"/>
      <c r="I121" s="1582"/>
      <c r="J121" s="1582"/>
      <c r="K121" s="1582"/>
      <c r="L121" s="1582"/>
      <c r="M121" s="1582"/>
      <c r="N121" s="1582"/>
      <c r="O121" s="1582"/>
      <c r="P121" s="1582"/>
      <c r="Q121" s="1582"/>
      <c r="R121" s="1582"/>
      <c r="S121" s="1582"/>
      <c r="T121" s="1582"/>
      <c r="U121" s="1582"/>
      <c r="V121" s="1582"/>
      <c r="W121" s="1582"/>
      <c r="X121" s="1582"/>
      <c r="Y121" s="1582"/>
      <c r="Z121" s="1582"/>
      <c r="AA121" s="1582"/>
    </row>
    <row r="122" spans="6:27" ht="16.5" customHeight="1">
      <c r="F122" s="1582"/>
      <c r="G122" s="1582"/>
      <c r="H122" s="1582"/>
      <c r="I122" s="1582"/>
      <c r="J122" s="1582"/>
      <c r="K122" s="1582"/>
      <c r="L122" s="1582"/>
      <c r="M122" s="1582"/>
      <c r="N122" s="1582"/>
      <c r="O122" s="1582"/>
      <c r="P122" s="1582"/>
      <c r="Q122" s="1582"/>
      <c r="R122" s="1582"/>
      <c r="S122" s="1582"/>
      <c r="T122" s="1582"/>
      <c r="U122" s="1582"/>
      <c r="V122" s="1582"/>
      <c r="W122" s="1582"/>
      <c r="X122" s="1582"/>
      <c r="Y122" s="1582"/>
      <c r="Z122" s="1582"/>
      <c r="AA122" s="1582"/>
    </row>
    <row r="123" spans="6:27" ht="16.5" customHeight="1">
      <c r="F123" s="1582"/>
      <c r="G123" s="1582"/>
      <c r="H123" s="1582"/>
      <c r="I123" s="1582"/>
      <c r="J123" s="1582"/>
      <c r="K123" s="1582"/>
      <c r="L123" s="1582"/>
      <c r="M123" s="1582"/>
      <c r="N123" s="1582"/>
      <c r="O123" s="1582"/>
      <c r="P123" s="1582"/>
      <c r="Q123" s="1582"/>
      <c r="R123" s="1582"/>
      <c r="S123" s="1582"/>
      <c r="T123" s="1582"/>
      <c r="U123" s="1582"/>
      <c r="V123" s="1582"/>
      <c r="W123" s="1582"/>
      <c r="X123" s="1582"/>
      <c r="Y123" s="1582"/>
      <c r="Z123" s="1582"/>
      <c r="AA123" s="1582"/>
    </row>
    <row r="124" spans="6:27" ht="16.5" customHeight="1">
      <c r="F124" s="1582"/>
      <c r="G124" s="1582"/>
      <c r="H124" s="1582"/>
      <c r="I124" s="1582"/>
      <c r="J124" s="1582"/>
      <c r="K124" s="1582"/>
      <c r="L124" s="1582"/>
      <c r="M124" s="1582"/>
      <c r="N124" s="1582"/>
      <c r="O124" s="1582"/>
      <c r="P124" s="1582"/>
      <c r="Q124" s="1582"/>
      <c r="R124" s="1582"/>
      <c r="S124" s="1582"/>
      <c r="T124" s="1582"/>
      <c r="U124" s="1582"/>
      <c r="V124" s="1582"/>
      <c r="W124" s="1582"/>
      <c r="X124" s="1582"/>
      <c r="Y124" s="1582"/>
      <c r="Z124" s="1582"/>
      <c r="AA124" s="1582"/>
    </row>
    <row r="125" spans="6:27" ht="16.5" customHeight="1">
      <c r="F125" s="1582"/>
      <c r="G125" s="1582"/>
      <c r="H125" s="1582"/>
      <c r="I125" s="1582"/>
      <c r="J125" s="1582"/>
      <c r="K125" s="1582"/>
      <c r="L125" s="1582"/>
      <c r="M125" s="1582"/>
      <c r="N125" s="1582"/>
      <c r="O125" s="1582"/>
      <c r="P125" s="1582"/>
      <c r="Q125" s="1582"/>
      <c r="R125" s="1582"/>
      <c r="S125" s="1582"/>
      <c r="T125" s="1582"/>
      <c r="U125" s="1582"/>
      <c r="V125" s="1582"/>
      <c r="W125" s="1582"/>
      <c r="X125" s="1582"/>
      <c r="Y125" s="1582"/>
      <c r="Z125" s="1582"/>
      <c r="AA125" s="1582"/>
    </row>
    <row r="126" spans="6:27" ht="16.5" customHeight="1">
      <c r="F126" s="1582"/>
      <c r="G126" s="1582"/>
      <c r="H126" s="1582"/>
      <c r="I126" s="1582"/>
      <c r="J126" s="1582"/>
      <c r="K126" s="1582"/>
      <c r="L126" s="1582"/>
      <c r="M126" s="1582"/>
      <c r="N126" s="1582"/>
      <c r="O126" s="1582"/>
      <c r="P126" s="1582"/>
      <c r="Q126" s="1582"/>
      <c r="R126" s="1582"/>
      <c r="S126" s="1582"/>
      <c r="T126" s="1582"/>
      <c r="U126" s="1582"/>
      <c r="V126" s="1582"/>
      <c r="W126" s="1582"/>
      <c r="X126" s="1582"/>
      <c r="Y126" s="1582"/>
      <c r="Z126" s="1582"/>
      <c r="AA126" s="1582"/>
    </row>
    <row r="127" spans="6:27" ht="16.5" customHeight="1">
      <c r="F127" s="1582"/>
      <c r="G127" s="1582"/>
      <c r="H127" s="1582"/>
      <c r="I127" s="1582"/>
      <c r="J127" s="1582"/>
      <c r="K127" s="1582"/>
      <c r="L127" s="1582"/>
      <c r="M127" s="1582"/>
      <c r="N127" s="1582"/>
      <c r="O127" s="1582"/>
      <c r="P127" s="1582"/>
      <c r="Q127" s="1582"/>
      <c r="R127" s="1582"/>
      <c r="S127" s="1582"/>
      <c r="T127" s="1582"/>
      <c r="U127" s="1582"/>
      <c r="V127" s="1582"/>
      <c r="W127" s="1582"/>
      <c r="X127" s="1582"/>
      <c r="Y127" s="1582"/>
      <c r="Z127" s="1582"/>
      <c r="AA127" s="1582"/>
    </row>
    <row r="128" spans="6:27" ht="16.5" customHeight="1">
      <c r="F128" s="1582"/>
      <c r="G128" s="1582"/>
      <c r="H128" s="1582"/>
      <c r="I128" s="1582"/>
      <c r="J128" s="1582"/>
      <c r="K128" s="1582"/>
      <c r="L128" s="1582"/>
      <c r="M128" s="1582"/>
      <c r="N128" s="1582"/>
      <c r="O128" s="1582"/>
      <c r="P128" s="1582"/>
      <c r="Q128" s="1582"/>
      <c r="R128" s="1582"/>
      <c r="S128" s="1582"/>
      <c r="T128" s="1582"/>
      <c r="U128" s="1582"/>
      <c r="V128" s="1582"/>
      <c r="W128" s="1582"/>
      <c r="X128" s="1582"/>
      <c r="Y128" s="1582"/>
      <c r="Z128" s="1582"/>
      <c r="AA128" s="1582"/>
    </row>
    <row r="129" spans="6:27" ht="16.5" customHeight="1">
      <c r="F129" s="1582"/>
      <c r="G129" s="1582"/>
      <c r="H129" s="1582"/>
      <c r="I129" s="1582"/>
      <c r="J129" s="1582"/>
      <c r="K129" s="1582"/>
      <c r="L129" s="1582"/>
      <c r="M129" s="1582"/>
      <c r="N129" s="1582"/>
      <c r="O129" s="1582"/>
      <c r="P129" s="1582"/>
      <c r="Q129" s="1582"/>
      <c r="R129" s="1582"/>
      <c r="S129" s="1582"/>
      <c r="T129" s="1582"/>
      <c r="U129" s="1582"/>
      <c r="V129" s="1582"/>
      <c r="W129" s="1582"/>
      <c r="X129" s="1582"/>
      <c r="Y129" s="1582"/>
      <c r="Z129" s="1582"/>
      <c r="AA129" s="1582"/>
    </row>
    <row r="130" spans="6:27" ht="16.5" customHeight="1">
      <c r="F130" s="1582"/>
      <c r="G130" s="1582"/>
      <c r="H130" s="1582"/>
      <c r="I130" s="1582"/>
      <c r="J130" s="1582"/>
      <c r="K130" s="1582"/>
      <c r="L130" s="1582"/>
      <c r="M130" s="1582"/>
      <c r="N130" s="1582"/>
      <c r="O130" s="1582"/>
      <c r="P130" s="1582"/>
      <c r="Q130" s="1582"/>
      <c r="R130" s="1582"/>
      <c r="S130" s="1582"/>
      <c r="T130" s="1582"/>
      <c r="U130" s="1582"/>
      <c r="V130" s="1582"/>
      <c r="W130" s="1582"/>
      <c r="X130" s="1582"/>
      <c r="Y130" s="1582"/>
      <c r="Z130" s="1582"/>
      <c r="AA130" s="1582"/>
    </row>
    <row r="131" spans="6:27" ht="16.5" customHeight="1">
      <c r="F131" s="1582"/>
      <c r="G131" s="1582"/>
      <c r="H131" s="1582"/>
      <c r="I131" s="1582"/>
      <c r="J131" s="1582"/>
      <c r="K131" s="1582"/>
      <c r="L131" s="1582"/>
      <c r="M131" s="1582"/>
      <c r="N131" s="1582"/>
      <c r="O131" s="1582"/>
      <c r="P131" s="1582"/>
      <c r="Q131" s="1582"/>
      <c r="R131" s="1582"/>
      <c r="S131" s="1582"/>
      <c r="T131" s="1582"/>
      <c r="U131" s="1582"/>
      <c r="V131" s="1582"/>
      <c r="W131" s="1582"/>
      <c r="X131" s="1582"/>
      <c r="Y131" s="1582"/>
      <c r="Z131" s="1582"/>
      <c r="AA131" s="1582"/>
    </row>
    <row r="132" spans="6:27" ht="16.5" customHeight="1">
      <c r="F132" s="1582"/>
      <c r="G132" s="1582"/>
      <c r="H132" s="1582"/>
      <c r="I132" s="1582"/>
      <c r="J132" s="1582"/>
      <c r="K132" s="1582"/>
      <c r="L132" s="1582"/>
      <c r="M132" s="1582"/>
      <c r="N132" s="1582"/>
      <c r="O132" s="1582"/>
      <c r="P132" s="1582"/>
      <c r="Q132" s="1582"/>
      <c r="R132" s="1582"/>
      <c r="S132" s="1582"/>
      <c r="T132" s="1582"/>
      <c r="U132" s="1582"/>
      <c r="V132" s="1582"/>
      <c r="W132" s="1582"/>
      <c r="X132" s="1582"/>
      <c r="Y132" s="1582"/>
      <c r="Z132" s="1582"/>
      <c r="AA132" s="1582"/>
    </row>
    <row r="133" spans="6:27" ht="16.5" customHeight="1">
      <c r="F133" s="1582"/>
      <c r="G133" s="1582"/>
      <c r="H133" s="1582"/>
      <c r="I133" s="1582"/>
      <c r="J133" s="1582"/>
      <c r="K133" s="1582"/>
      <c r="L133" s="1582"/>
      <c r="M133" s="1582"/>
      <c r="N133" s="1582"/>
      <c r="O133" s="1582"/>
      <c r="P133" s="1582"/>
      <c r="Q133" s="1582"/>
      <c r="R133" s="1582"/>
      <c r="S133" s="1582"/>
      <c r="T133" s="1582"/>
      <c r="U133" s="1582"/>
      <c r="V133" s="1582"/>
      <c r="W133" s="1582"/>
      <c r="X133" s="1582"/>
      <c r="Y133" s="1582"/>
      <c r="Z133" s="1582"/>
      <c r="AA133" s="1582"/>
    </row>
    <row r="134" spans="6:27" ht="16.5" customHeight="1">
      <c r="F134" s="1582"/>
      <c r="G134" s="1582"/>
      <c r="H134" s="1582"/>
      <c r="I134" s="1582"/>
      <c r="J134" s="1582"/>
      <c r="K134" s="1582"/>
      <c r="L134" s="1582"/>
      <c r="M134" s="1582"/>
      <c r="N134" s="1582"/>
      <c r="O134" s="1582"/>
      <c r="P134" s="1582"/>
      <c r="Q134" s="1582"/>
      <c r="R134" s="1582"/>
      <c r="S134" s="1582"/>
      <c r="T134" s="1582"/>
      <c r="U134" s="1582"/>
      <c r="V134" s="1582"/>
      <c r="W134" s="1582"/>
      <c r="X134" s="1582"/>
      <c r="Y134" s="1582"/>
      <c r="Z134" s="1582"/>
      <c r="AA134" s="1582"/>
    </row>
    <row r="135" spans="6:27" ht="16.5" customHeight="1">
      <c r="F135" s="1582"/>
      <c r="G135" s="1582"/>
      <c r="H135" s="1582"/>
      <c r="I135" s="1582"/>
      <c r="J135" s="1582"/>
      <c r="K135" s="1582"/>
      <c r="L135" s="1582"/>
      <c r="M135" s="1582"/>
      <c r="N135" s="1582"/>
      <c r="O135" s="1582"/>
      <c r="P135" s="1582"/>
      <c r="Q135" s="1582"/>
      <c r="R135" s="1582"/>
      <c r="S135" s="1582"/>
      <c r="T135" s="1582"/>
      <c r="U135" s="1582"/>
      <c r="V135" s="1582"/>
      <c r="W135" s="1582"/>
      <c r="X135" s="1582"/>
      <c r="Y135" s="1582"/>
      <c r="Z135" s="1582"/>
      <c r="AA135" s="1582"/>
    </row>
    <row r="136" spans="6:27" ht="16.5" customHeight="1">
      <c r="F136" s="1582"/>
      <c r="G136" s="1582"/>
      <c r="H136" s="1582"/>
      <c r="I136" s="1582"/>
      <c r="J136" s="1582"/>
      <c r="K136" s="1582"/>
      <c r="L136" s="1582"/>
      <c r="M136" s="1582"/>
      <c r="N136" s="1582"/>
      <c r="O136" s="1582"/>
      <c r="P136" s="1582"/>
      <c r="Q136" s="1582"/>
      <c r="R136" s="1582"/>
      <c r="S136" s="1582"/>
      <c r="T136" s="1582"/>
      <c r="U136" s="1582"/>
      <c r="V136" s="1582"/>
      <c r="W136" s="1582"/>
      <c r="X136" s="1582"/>
      <c r="Y136" s="1582"/>
      <c r="Z136" s="1582"/>
      <c r="AA136" s="1582"/>
    </row>
    <row r="137" spans="6:27" ht="16.5" customHeight="1">
      <c r="F137" s="1582"/>
      <c r="G137" s="1582"/>
      <c r="H137" s="1582"/>
      <c r="I137" s="1582"/>
      <c r="J137" s="1582"/>
      <c r="K137" s="1582"/>
      <c r="L137" s="1582"/>
      <c r="M137" s="1582"/>
      <c r="N137" s="1582"/>
      <c r="O137" s="1582"/>
      <c r="P137" s="1582"/>
      <c r="Q137" s="1582"/>
      <c r="R137" s="1582"/>
      <c r="S137" s="1582"/>
      <c r="T137" s="1582"/>
      <c r="U137" s="1582"/>
      <c r="V137" s="1582"/>
      <c r="W137" s="1582"/>
      <c r="X137" s="1582"/>
      <c r="Y137" s="1582"/>
      <c r="Z137" s="1582"/>
      <c r="AA137" s="1582"/>
    </row>
    <row r="138" spans="6:27" ht="16.5" customHeight="1">
      <c r="F138" s="1582"/>
      <c r="G138" s="1582"/>
      <c r="H138" s="1582"/>
      <c r="I138" s="1582"/>
      <c r="J138" s="1582"/>
      <c r="K138" s="1582"/>
      <c r="L138" s="1582"/>
      <c r="M138" s="1582"/>
      <c r="N138" s="1582"/>
      <c r="O138" s="1582"/>
      <c r="P138" s="1582"/>
      <c r="Q138" s="1582"/>
      <c r="R138" s="1582"/>
      <c r="S138" s="1582"/>
      <c r="T138" s="1582"/>
      <c r="U138" s="1582"/>
      <c r="V138" s="1582"/>
      <c r="W138" s="1582"/>
      <c r="X138" s="1582"/>
      <c r="Y138" s="1582"/>
      <c r="Z138" s="1582"/>
      <c r="AA138" s="1582"/>
    </row>
    <row r="139" spans="6:27" ht="16.5" customHeight="1">
      <c r="F139" s="1582"/>
      <c r="G139" s="1582"/>
      <c r="H139" s="1582"/>
      <c r="I139" s="1582"/>
      <c r="J139" s="1582"/>
      <c r="K139" s="1582"/>
      <c r="L139" s="1582"/>
      <c r="M139" s="1582"/>
      <c r="N139" s="1582"/>
      <c r="O139" s="1582"/>
      <c r="P139" s="1582"/>
      <c r="Q139" s="1582"/>
      <c r="R139" s="1582"/>
      <c r="S139" s="1582"/>
      <c r="T139" s="1582"/>
      <c r="U139" s="1582"/>
      <c r="V139" s="1582"/>
      <c r="W139" s="1582"/>
      <c r="X139" s="1582"/>
      <c r="Y139" s="1582"/>
      <c r="Z139" s="1582"/>
      <c r="AA139" s="1582"/>
    </row>
    <row r="140" spans="6:27" ht="16.5" customHeight="1">
      <c r="F140" s="1582"/>
      <c r="G140" s="1582"/>
      <c r="H140" s="1582"/>
      <c r="I140" s="1582"/>
      <c r="J140" s="1582"/>
      <c r="K140" s="1582"/>
      <c r="L140" s="1582"/>
      <c r="M140" s="1582"/>
      <c r="N140" s="1582"/>
      <c r="O140" s="1582"/>
      <c r="P140" s="1582"/>
      <c r="Q140" s="1582"/>
      <c r="R140" s="1582"/>
      <c r="S140" s="1582"/>
      <c r="T140" s="1582"/>
      <c r="U140" s="1582"/>
      <c r="V140" s="1582"/>
      <c r="W140" s="1582"/>
      <c r="X140" s="1582"/>
      <c r="Y140" s="1582"/>
      <c r="Z140" s="1582"/>
      <c r="AA140" s="1582"/>
    </row>
    <row r="141" spans="6:27" ht="16.5" customHeight="1">
      <c r="F141" s="1582"/>
      <c r="G141" s="1582"/>
      <c r="H141" s="1582"/>
      <c r="I141" s="1582"/>
      <c r="J141" s="1582"/>
      <c r="K141" s="1582"/>
      <c r="L141" s="1582"/>
      <c r="M141" s="1582"/>
      <c r="N141" s="1582"/>
      <c r="O141" s="1582"/>
      <c r="P141" s="1582"/>
      <c r="Q141" s="1582"/>
      <c r="R141" s="1582"/>
      <c r="S141" s="1582"/>
      <c r="T141" s="1582"/>
      <c r="U141" s="1582"/>
      <c r="V141" s="1582"/>
      <c r="W141" s="1582"/>
      <c r="X141" s="1582"/>
      <c r="Y141" s="1582"/>
      <c r="Z141" s="1582"/>
      <c r="AA141" s="1582"/>
    </row>
    <row r="142" spans="6:27" ht="16.5" customHeight="1">
      <c r="F142" s="1582"/>
      <c r="G142" s="1582"/>
      <c r="H142" s="1582"/>
      <c r="I142" s="1582"/>
      <c r="J142" s="1582"/>
      <c r="K142" s="1582"/>
      <c r="L142" s="1582"/>
      <c r="M142" s="1582"/>
      <c r="N142" s="1582"/>
      <c r="O142" s="1582"/>
      <c r="P142" s="1582"/>
      <c r="Q142" s="1582"/>
      <c r="R142" s="1582"/>
      <c r="S142" s="1582"/>
      <c r="T142" s="1582"/>
      <c r="U142" s="1582"/>
      <c r="V142" s="1582"/>
      <c r="W142" s="1582"/>
      <c r="X142" s="1582"/>
      <c r="Y142" s="1582"/>
      <c r="Z142" s="1582"/>
      <c r="AA142" s="1582"/>
    </row>
    <row r="143" spans="6:27" ht="16.5" customHeight="1">
      <c r="F143" s="1582"/>
      <c r="G143" s="1582"/>
      <c r="H143" s="1582"/>
      <c r="I143" s="1582"/>
      <c r="J143" s="1582"/>
      <c r="K143" s="1582"/>
      <c r="L143" s="1582"/>
      <c r="M143" s="1582"/>
      <c r="N143" s="1582"/>
      <c r="O143" s="1582"/>
      <c r="P143" s="1582"/>
      <c r="Q143" s="1582"/>
      <c r="R143" s="1582"/>
      <c r="S143" s="1582"/>
      <c r="T143" s="1582"/>
      <c r="U143" s="1582"/>
      <c r="V143" s="1582"/>
      <c r="W143" s="1582"/>
      <c r="X143" s="1582"/>
      <c r="Y143" s="1582"/>
      <c r="Z143" s="1582"/>
      <c r="AA143" s="1582"/>
    </row>
    <row r="144" spans="6:27" ht="16.5" customHeight="1">
      <c r="F144" s="1582"/>
      <c r="G144" s="1582"/>
      <c r="H144" s="1582"/>
      <c r="I144" s="1582"/>
      <c r="J144" s="1582"/>
      <c r="K144" s="1582"/>
      <c r="L144" s="1582"/>
      <c r="M144" s="1582"/>
      <c r="N144" s="1582"/>
      <c r="O144" s="1582"/>
      <c r="P144" s="1582"/>
      <c r="Q144" s="1582"/>
      <c r="R144" s="1582"/>
      <c r="S144" s="1582"/>
      <c r="T144" s="1582"/>
      <c r="U144" s="1582"/>
      <c r="V144" s="1582"/>
      <c r="W144" s="1582"/>
      <c r="X144" s="1582"/>
      <c r="Y144" s="1582"/>
      <c r="Z144" s="1582"/>
      <c r="AA144" s="1582"/>
    </row>
    <row r="145" spans="6:27" ht="16.5" customHeight="1">
      <c r="F145" s="1582"/>
      <c r="G145" s="1582"/>
      <c r="H145" s="1582"/>
      <c r="I145" s="1582"/>
      <c r="J145" s="1582"/>
      <c r="K145" s="1582"/>
      <c r="L145" s="1582"/>
      <c r="M145" s="1582"/>
      <c r="N145" s="1582"/>
      <c r="O145" s="1582"/>
      <c r="P145" s="1582"/>
      <c r="Q145" s="1582"/>
      <c r="R145" s="1582"/>
      <c r="S145" s="1582"/>
      <c r="T145" s="1582"/>
      <c r="U145" s="1582"/>
      <c r="V145" s="1582"/>
      <c r="W145" s="1582"/>
      <c r="X145" s="1582"/>
      <c r="Y145" s="1582"/>
      <c r="Z145" s="1582"/>
      <c r="AA145" s="1582"/>
    </row>
    <row r="146" spans="6:27" ht="16.5" customHeight="1">
      <c r="F146" s="1582"/>
      <c r="G146" s="1582"/>
      <c r="H146" s="1582"/>
      <c r="I146" s="1582"/>
      <c r="J146" s="1582"/>
      <c r="K146" s="1582"/>
      <c r="L146" s="1582"/>
      <c r="M146" s="1582"/>
      <c r="N146" s="1582"/>
      <c r="O146" s="1582"/>
      <c r="P146" s="1582"/>
      <c r="Q146" s="1582"/>
      <c r="R146" s="1582"/>
      <c r="S146" s="1582"/>
      <c r="T146" s="1582"/>
      <c r="U146" s="1582"/>
      <c r="V146" s="1582"/>
      <c r="W146" s="1582"/>
      <c r="X146" s="1582"/>
      <c r="Y146" s="1582"/>
      <c r="Z146" s="1582"/>
      <c r="AA146" s="1582"/>
    </row>
    <row r="147" spans="6:27" ht="16.5" customHeight="1">
      <c r="F147" s="1582"/>
      <c r="G147" s="1582"/>
      <c r="H147" s="1582"/>
      <c r="I147" s="1582"/>
      <c r="J147" s="1582"/>
      <c r="K147" s="1582"/>
      <c r="L147" s="1582"/>
      <c r="M147" s="1582"/>
      <c r="N147" s="1582"/>
      <c r="O147" s="1582"/>
      <c r="P147" s="1582"/>
      <c r="Q147" s="1582"/>
      <c r="R147" s="1582"/>
      <c r="S147" s="1582"/>
      <c r="T147" s="1582"/>
      <c r="U147" s="1582"/>
      <c r="V147" s="1582"/>
      <c r="W147" s="1582"/>
      <c r="X147" s="1582"/>
      <c r="Y147" s="1582"/>
      <c r="Z147" s="1582"/>
      <c r="AA147" s="1582"/>
    </row>
    <row r="148" spans="6:27" ht="16.5" customHeight="1">
      <c r="F148" s="1582"/>
      <c r="G148" s="1582"/>
      <c r="H148" s="1582"/>
      <c r="I148" s="1582"/>
      <c r="J148" s="1582"/>
      <c r="K148" s="1582"/>
      <c r="L148" s="1582"/>
      <c r="M148" s="1582"/>
      <c r="N148" s="1582"/>
      <c r="O148" s="1582"/>
      <c r="P148" s="1582"/>
      <c r="Q148" s="1582"/>
      <c r="R148" s="1582"/>
      <c r="S148" s="1582"/>
      <c r="T148" s="1582"/>
      <c r="U148" s="1582"/>
      <c r="V148" s="1582"/>
      <c r="W148" s="1582"/>
      <c r="X148" s="1582"/>
      <c r="Y148" s="1582"/>
      <c r="Z148" s="1582"/>
      <c r="AA148" s="1582"/>
    </row>
    <row r="149" spans="6:27" ht="16.5" customHeight="1">
      <c r="F149" s="1582"/>
      <c r="G149" s="1582"/>
      <c r="H149" s="1582"/>
      <c r="I149" s="1582"/>
      <c r="J149" s="1582"/>
      <c r="K149" s="1582"/>
      <c r="L149" s="1582"/>
      <c r="M149" s="1582"/>
      <c r="N149" s="1582"/>
      <c r="O149" s="1582"/>
      <c r="P149" s="1582"/>
      <c r="Q149" s="1582"/>
      <c r="R149" s="1582"/>
      <c r="S149" s="1582"/>
      <c r="T149" s="1582"/>
      <c r="U149" s="1582"/>
      <c r="V149" s="1582"/>
      <c r="W149" s="1582"/>
      <c r="X149" s="1582"/>
      <c r="Y149" s="1582"/>
      <c r="Z149" s="1582"/>
      <c r="AA149" s="1582"/>
    </row>
    <row r="150" spans="6:27" ht="16.5" customHeight="1">
      <c r="F150" s="1582"/>
      <c r="G150" s="1582"/>
      <c r="H150" s="1582"/>
      <c r="Z150" s="1582"/>
      <c r="AA150" s="1582"/>
    </row>
    <row r="151" spans="6:8" ht="16.5" customHeight="1">
      <c r="F151" s="1582"/>
      <c r="G151" s="1582"/>
      <c r="H151" s="1582"/>
    </row>
    <row r="152" spans="6:8" ht="16.5" customHeight="1">
      <c r="F152" s="1582"/>
      <c r="G152" s="1582"/>
      <c r="H152" s="1582"/>
    </row>
    <row r="153" spans="6:8" ht="16.5" customHeight="1">
      <c r="F153" s="1582"/>
      <c r="G153" s="1582"/>
      <c r="H153" s="1582"/>
    </row>
    <row r="154" spans="6:8" ht="16.5" customHeight="1">
      <c r="F154" s="1582"/>
      <c r="G154" s="1582"/>
      <c r="H154" s="1582"/>
    </row>
    <row r="155" spans="6:8" ht="16.5" customHeight="1">
      <c r="F155" s="1582"/>
      <c r="G155" s="1582"/>
      <c r="H155" s="1582"/>
    </row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</sheetData>
  <sheetProtection/>
  <printOptions/>
  <pageMargins left="0.75" right="0.75" top="1" bottom="1" header="0" footer="0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5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9"/>
      <c r="B2" s="550" t="str">
        <f>+'TOT-0115'!B2</f>
        <v>ANEXO II al Memorándum D.T.E.E. N°  90 /2016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7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471"/>
    </row>
    <row r="8" spans="2:27" s="18" customFormat="1" ht="20.25">
      <c r="B8" s="96"/>
      <c r="C8" s="23"/>
      <c r="D8" s="23"/>
      <c r="F8" s="97" t="s">
        <v>75</v>
      </c>
      <c r="G8" s="551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52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6"/>
      <c r="C10" s="23"/>
      <c r="D10" s="23"/>
      <c r="F10" s="98" t="s">
        <v>76</v>
      </c>
      <c r="H10" s="553"/>
      <c r="I10" s="554"/>
      <c r="J10" s="554"/>
      <c r="K10" s="554"/>
      <c r="L10" s="554"/>
      <c r="M10" s="554"/>
      <c r="N10" s="554"/>
      <c r="O10" s="554"/>
      <c r="P10" s="554"/>
      <c r="Q10" s="554"/>
      <c r="R10" s="23"/>
      <c r="S10" s="23"/>
      <c r="T10" s="23"/>
      <c r="U10" s="23"/>
      <c r="V10" s="23"/>
      <c r="W10" s="23"/>
      <c r="X10" s="23"/>
      <c r="Y10" s="23"/>
      <c r="Z10" s="23"/>
      <c r="AA10" s="473"/>
    </row>
    <row r="11" spans="2:27" s="8" customFormat="1" ht="16.5" customHeight="1">
      <c r="B11" s="55"/>
      <c r="C11" s="11"/>
      <c r="D11" s="11"/>
      <c r="E11" s="11"/>
      <c r="F11" s="555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6"/>
      <c r="C12" s="23"/>
      <c r="D12" s="23"/>
      <c r="F12" s="98" t="s">
        <v>84</v>
      </c>
      <c r="H12" s="553"/>
      <c r="I12" s="554"/>
      <c r="J12" s="554"/>
      <c r="K12" s="554"/>
      <c r="L12" s="554"/>
      <c r="M12" s="554"/>
      <c r="N12" s="554"/>
      <c r="O12" s="554"/>
      <c r="P12" s="554"/>
      <c r="Q12" s="554"/>
      <c r="R12" s="23"/>
      <c r="S12" s="23"/>
      <c r="T12" s="23"/>
      <c r="U12" s="23"/>
      <c r="V12" s="23"/>
      <c r="W12" s="23"/>
      <c r="X12" s="23"/>
      <c r="Y12" s="23"/>
      <c r="Z12" s="23"/>
      <c r="AA12" s="473"/>
    </row>
    <row r="13" spans="2:27" s="8" customFormat="1" ht="16.5" customHeight="1">
      <c r="B13" s="55"/>
      <c r="C13" s="11"/>
      <c r="D13" s="11"/>
      <c r="E13" s="11"/>
      <c r="F13" s="555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'TOT-0115'!B14</f>
        <v>Desde el 01 al 31 de enero de 2015</v>
      </c>
      <c r="C14" s="39"/>
      <c r="D14" s="39"/>
      <c r="E14" s="556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6"/>
      <c r="S14" s="556"/>
      <c r="T14" s="556"/>
      <c r="U14" s="556"/>
      <c r="V14" s="556"/>
      <c r="W14" s="556"/>
      <c r="X14" s="556"/>
      <c r="Y14" s="556"/>
      <c r="Z14" s="556"/>
      <c r="AA14" s="558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59" t="s">
        <v>56</v>
      </c>
      <c r="G16" s="287"/>
      <c r="H16" s="326">
        <v>0.319</v>
      </c>
      <c r="I16" s="485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60" t="s">
        <v>57</v>
      </c>
      <c r="G17" s="561"/>
      <c r="H17" s="562">
        <v>20</v>
      </c>
      <c r="I17" s="485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110"/>
      <c r="Z17" s="110"/>
      <c r="AA17" s="60"/>
    </row>
    <row r="18" spans="2:27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60"/>
    </row>
    <row r="19" spans="2:27" s="8" customFormat="1" ht="33.75" customHeight="1" thickBot="1" thickTop="1">
      <c r="B19" s="55"/>
      <c r="C19" s="332" t="s">
        <v>29</v>
      </c>
      <c r="D19" s="112" t="s">
        <v>30</v>
      </c>
      <c r="E19" s="112" t="s">
        <v>31</v>
      </c>
      <c r="F19" s="115" t="s">
        <v>58</v>
      </c>
      <c r="G19" s="113" t="s">
        <v>59</v>
      </c>
      <c r="H19" s="563" t="s">
        <v>78</v>
      </c>
      <c r="I19" s="337" t="s">
        <v>36</v>
      </c>
      <c r="J19" s="113" t="s">
        <v>37</v>
      </c>
      <c r="K19" s="113" t="s">
        <v>38</v>
      </c>
      <c r="L19" s="115" t="s">
        <v>39</v>
      </c>
      <c r="M19" s="115" t="s">
        <v>40</v>
      </c>
      <c r="N19" s="120" t="s">
        <v>171</v>
      </c>
      <c r="O19" s="120" t="s">
        <v>41</v>
      </c>
      <c r="P19" s="113" t="s">
        <v>43</v>
      </c>
      <c r="Q19" s="337" t="s">
        <v>35</v>
      </c>
      <c r="R19" s="564" t="s">
        <v>71</v>
      </c>
      <c r="S19" s="565" t="s">
        <v>79</v>
      </c>
      <c r="T19" s="566"/>
      <c r="U19" s="342" t="s">
        <v>80</v>
      </c>
      <c r="V19" s="343"/>
      <c r="W19" s="567" t="s">
        <v>48</v>
      </c>
      <c r="X19" s="341" t="s">
        <v>45</v>
      </c>
      <c r="Y19" s="131" t="s">
        <v>50</v>
      </c>
      <c r="Z19" s="568" t="s">
        <v>51</v>
      </c>
      <c r="AA19" s="60"/>
    </row>
    <row r="20" spans="2:27" s="8" customFormat="1" ht="16.5" customHeight="1" thickTop="1">
      <c r="B20" s="55"/>
      <c r="C20" s="346"/>
      <c r="D20" s="346"/>
      <c r="E20" s="346"/>
      <c r="F20" s="569"/>
      <c r="G20" s="569"/>
      <c r="H20" s="569"/>
      <c r="I20" s="434"/>
      <c r="J20" s="570"/>
      <c r="K20" s="570"/>
      <c r="L20" s="571"/>
      <c r="M20" s="571"/>
      <c r="N20" s="569"/>
      <c r="O20" s="152"/>
      <c r="P20" s="571"/>
      <c r="Q20" s="572"/>
      <c r="R20" s="573"/>
      <c r="S20" s="574"/>
      <c r="T20" s="575"/>
      <c r="U20" s="355"/>
      <c r="V20" s="356"/>
      <c r="W20" s="576"/>
      <c r="X20" s="576"/>
      <c r="Y20" s="577"/>
      <c r="Z20" s="578"/>
      <c r="AA20" s="60"/>
    </row>
    <row r="21" spans="2:27" s="8" customFormat="1" ht="16.5" customHeight="1">
      <c r="B21" s="55"/>
      <c r="C21" s="151"/>
      <c r="D21" s="151"/>
      <c r="E21" s="151"/>
      <c r="F21" s="579"/>
      <c r="G21" s="580"/>
      <c r="H21" s="581"/>
      <c r="I21" s="582"/>
      <c r="J21" s="583"/>
      <c r="K21" s="584"/>
      <c r="L21" s="585"/>
      <c r="M21" s="586"/>
      <c r="N21" s="587"/>
      <c r="O21" s="158"/>
      <c r="P21" s="437"/>
      <c r="Q21" s="588"/>
      <c r="R21" s="589"/>
      <c r="S21" s="590"/>
      <c r="T21" s="591"/>
      <c r="U21" s="368"/>
      <c r="V21" s="369"/>
      <c r="W21" s="592"/>
      <c r="X21" s="592"/>
      <c r="Y21" s="437"/>
      <c r="Z21" s="593"/>
      <c r="AA21" s="60"/>
    </row>
    <row r="22" spans="2:27" s="8" customFormat="1" ht="16.5" customHeight="1">
      <c r="B22" s="55"/>
      <c r="C22" s="151">
        <v>74</v>
      </c>
      <c r="D22" s="151">
        <v>282562</v>
      </c>
      <c r="E22" s="170">
        <v>2672</v>
      </c>
      <c r="F22" s="594" t="s">
        <v>251</v>
      </c>
      <c r="G22" s="516" t="s">
        <v>252</v>
      </c>
      <c r="H22" s="595">
        <v>80</v>
      </c>
      <c r="I22" s="377">
        <f aca="true" t="shared" si="0" ref="I22:I41">H22*$H$16</f>
        <v>25.52</v>
      </c>
      <c r="J22" s="205">
        <v>42005</v>
      </c>
      <c r="K22" s="205">
        <v>42036</v>
      </c>
      <c r="L22" s="521">
        <f aca="true" t="shared" si="1" ref="L22:L41">IF(F22="","",(K22-J22)*24)</f>
        <v>744</v>
      </c>
      <c r="M22" s="522">
        <f aca="true" t="shared" si="2" ref="M22:M41">IF(F22="","",ROUND((K22-J22)*24*60,0))</f>
        <v>44640</v>
      </c>
      <c r="N22" s="179" t="s">
        <v>187</v>
      </c>
      <c r="O22" s="283" t="str">
        <f aca="true" t="shared" si="3" ref="O22:O41">IF(F22="","","--")</f>
        <v>--</v>
      </c>
      <c r="P22" s="181" t="str">
        <f aca="true" t="shared" si="4" ref="P22:P41">IF(F22="","",IF(OR(N22="P",N22="RP"),"--","NO"))</f>
        <v>--</v>
      </c>
      <c r="Q22" s="596">
        <f aca="true" t="shared" si="5" ref="Q22:Q41">IF(OR(N22="P",N22="RP"),$H$17/10,$H$17)</f>
        <v>2</v>
      </c>
      <c r="R22" s="597">
        <f aca="true" t="shared" si="6" ref="R22:R41">IF(N22="P",I22*Q22*ROUND(M22/60,2),"--")</f>
        <v>37973.76</v>
      </c>
      <c r="S22" s="590" t="str">
        <f aca="true" t="shared" si="7" ref="S22:S41">IF(AND(N22="F",P22="NO"),I22*Q22,"--")</f>
        <v>--</v>
      </c>
      <c r="T22" s="591" t="str">
        <f aca="true" t="shared" si="8" ref="T22:T41">IF(N22="F",I22*Q22*ROUND(M22/60,2),"--")</f>
        <v>--</v>
      </c>
      <c r="U22" s="388" t="str">
        <f aca="true" t="shared" si="9" ref="U22:U41">IF(AND(N22="R",P22="NO"),I22*Q22*O22/100,"--")</f>
        <v>--</v>
      </c>
      <c r="V22" s="389" t="str">
        <f aca="true" t="shared" si="10" ref="V22:V41">IF(N22="R",I22*Q22*O22/100*ROUND(M22/60,2),"--")</f>
        <v>--</v>
      </c>
      <c r="W22" s="592" t="str">
        <f aca="true" t="shared" si="11" ref="W22:W41">IF(N22="RF",I22*Q22*ROUND(M22/60,2),"--")</f>
        <v>--</v>
      </c>
      <c r="X22" s="439" t="str">
        <f aca="true" t="shared" si="12" ref="X22:X41">IF(N22="RP",I22*Q22*O22/100*ROUND(M22/60,2),"--")</f>
        <v>--</v>
      </c>
      <c r="Y22" s="181" t="str">
        <f aca="true" t="shared" si="13" ref="Y22:Y41">IF(F22="","","SI")</f>
        <v>SI</v>
      </c>
      <c r="Z22" s="525">
        <f aca="true" t="shared" si="14" ref="Z22:Z41">IF(F22="","",SUM(R22:X22)*IF(Y22="SI",1,2)*IF(AND(O22&lt;&gt;"--",N22="RF"),O22/100,1))</f>
        <v>37973.76</v>
      </c>
      <c r="AA22" s="60"/>
    </row>
    <row r="23" spans="2:27" s="8" customFormat="1" ht="16.5" customHeight="1">
      <c r="B23" s="55"/>
      <c r="C23" s="151"/>
      <c r="D23" s="151"/>
      <c r="E23" s="151"/>
      <c r="F23" s="594"/>
      <c r="G23" s="516"/>
      <c r="H23" s="595"/>
      <c r="I23" s="377">
        <f t="shared" si="0"/>
        <v>0</v>
      </c>
      <c r="J23" s="519"/>
      <c r="K23" s="205"/>
      <c r="L23" s="521">
        <f t="shared" si="1"/>
      </c>
      <c r="M23" s="522">
        <f t="shared" si="2"/>
      </c>
      <c r="N23" s="179"/>
      <c r="O23" s="283">
        <f t="shared" si="3"/>
      </c>
      <c r="P23" s="181">
        <f t="shared" si="4"/>
      </c>
      <c r="Q23" s="596">
        <f t="shared" si="5"/>
        <v>20</v>
      </c>
      <c r="R23" s="597" t="str">
        <f t="shared" si="6"/>
        <v>--</v>
      </c>
      <c r="S23" s="590" t="str">
        <f t="shared" si="7"/>
        <v>--</v>
      </c>
      <c r="T23" s="591" t="str">
        <f t="shared" si="8"/>
        <v>--</v>
      </c>
      <c r="U23" s="388" t="str">
        <f t="shared" si="9"/>
        <v>--</v>
      </c>
      <c r="V23" s="389" t="str">
        <f t="shared" si="10"/>
        <v>--</v>
      </c>
      <c r="W23" s="592" t="str">
        <f t="shared" si="11"/>
        <v>--</v>
      </c>
      <c r="X23" s="439" t="str">
        <f t="shared" si="12"/>
        <v>--</v>
      </c>
      <c r="Y23" s="181">
        <f t="shared" si="13"/>
      </c>
      <c r="Z23" s="525">
        <f t="shared" si="14"/>
      </c>
      <c r="AA23" s="60"/>
    </row>
    <row r="24" spans="2:27" s="8" customFormat="1" ht="16.5" customHeight="1">
      <c r="B24" s="55"/>
      <c r="C24" s="151"/>
      <c r="D24" s="151"/>
      <c r="E24" s="170"/>
      <c r="F24" s="594"/>
      <c r="G24" s="516"/>
      <c r="H24" s="595"/>
      <c r="I24" s="377">
        <f t="shared" si="0"/>
        <v>0</v>
      </c>
      <c r="J24" s="519"/>
      <c r="K24" s="205"/>
      <c r="L24" s="521">
        <f t="shared" si="1"/>
      </c>
      <c r="M24" s="522">
        <f t="shared" si="2"/>
      </c>
      <c r="N24" s="179"/>
      <c r="O24" s="283">
        <f t="shared" si="3"/>
      </c>
      <c r="P24" s="181">
        <f t="shared" si="4"/>
      </c>
      <c r="Q24" s="596">
        <f t="shared" si="5"/>
        <v>20</v>
      </c>
      <c r="R24" s="597" t="str">
        <f t="shared" si="6"/>
        <v>--</v>
      </c>
      <c r="S24" s="590" t="str">
        <f t="shared" si="7"/>
        <v>--</v>
      </c>
      <c r="T24" s="591" t="str">
        <f t="shared" si="8"/>
        <v>--</v>
      </c>
      <c r="U24" s="388" t="str">
        <f t="shared" si="9"/>
        <v>--</v>
      </c>
      <c r="V24" s="389" t="str">
        <f t="shared" si="10"/>
        <v>--</v>
      </c>
      <c r="W24" s="592" t="str">
        <f t="shared" si="11"/>
        <v>--</v>
      </c>
      <c r="X24" s="439" t="str">
        <f t="shared" si="12"/>
        <v>--</v>
      </c>
      <c r="Y24" s="181">
        <f t="shared" si="13"/>
      </c>
      <c r="Z24" s="525">
        <f t="shared" si="14"/>
      </c>
      <c r="AA24" s="60"/>
    </row>
    <row r="25" spans="2:27" s="8" customFormat="1" ht="16.5" customHeight="1">
      <c r="B25" s="55"/>
      <c r="C25" s="151"/>
      <c r="D25" s="151"/>
      <c r="E25" s="151"/>
      <c r="F25" s="594"/>
      <c r="G25" s="516"/>
      <c r="H25" s="595"/>
      <c r="I25" s="377">
        <f t="shared" si="0"/>
        <v>0</v>
      </c>
      <c r="J25" s="519"/>
      <c r="K25" s="205"/>
      <c r="L25" s="521">
        <f t="shared" si="1"/>
      </c>
      <c r="M25" s="522">
        <f t="shared" si="2"/>
      </c>
      <c r="N25" s="179"/>
      <c r="O25" s="283">
        <f t="shared" si="3"/>
      </c>
      <c r="P25" s="181">
        <f t="shared" si="4"/>
      </c>
      <c r="Q25" s="596">
        <f t="shared" si="5"/>
        <v>20</v>
      </c>
      <c r="R25" s="597" t="str">
        <f t="shared" si="6"/>
        <v>--</v>
      </c>
      <c r="S25" s="590" t="str">
        <f t="shared" si="7"/>
        <v>--</v>
      </c>
      <c r="T25" s="591" t="str">
        <f t="shared" si="8"/>
        <v>--</v>
      </c>
      <c r="U25" s="388" t="str">
        <f t="shared" si="9"/>
        <v>--</v>
      </c>
      <c r="V25" s="389" t="str">
        <f t="shared" si="10"/>
        <v>--</v>
      </c>
      <c r="W25" s="592" t="str">
        <f t="shared" si="11"/>
        <v>--</v>
      </c>
      <c r="X25" s="439" t="str">
        <f t="shared" si="12"/>
        <v>--</v>
      </c>
      <c r="Y25" s="181">
        <f t="shared" si="13"/>
      </c>
      <c r="Z25" s="525">
        <f t="shared" si="14"/>
      </c>
      <c r="AA25" s="598"/>
    </row>
    <row r="26" spans="2:27" s="8" customFormat="1" ht="16.5" customHeight="1">
      <c r="B26" s="55"/>
      <c r="C26" s="151"/>
      <c r="D26" s="151"/>
      <c r="E26" s="170"/>
      <c r="F26" s="594"/>
      <c r="G26" s="516"/>
      <c r="H26" s="595"/>
      <c r="I26" s="377">
        <f t="shared" si="0"/>
        <v>0</v>
      </c>
      <c r="J26" s="519"/>
      <c r="K26" s="205"/>
      <c r="L26" s="521">
        <f t="shared" si="1"/>
      </c>
      <c r="M26" s="522">
        <f t="shared" si="2"/>
      </c>
      <c r="N26" s="179"/>
      <c r="O26" s="283">
        <f t="shared" si="3"/>
      </c>
      <c r="P26" s="181">
        <f t="shared" si="4"/>
      </c>
      <c r="Q26" s="596">
        <f t="shared" si="5"/>
        <v>20</v>
      </c>
      <c r="R26" s="597" t="str">
        <f t="shared" si="6"/>
        <v>--</v>
      </c>
      <c r="S26" s="590" t="str">
        <f t="shared" si="7"/>
        <v>--</v>
      </c>
      <c r="T26" s="591" t="str">
        <f t="shared" si="8"/>
        <v>--</v>
      </c>
      <c r="U26" s="388" t="str">
        <f t="shared" si="9"/>
        <v>--</v>
      </c>
      <c r="V26" s="389" t="str">
        <f t="shared" si="10"/>
        <v>--</v>
      </c>
      <c r="W26" s="592" t="str">
        <f t="shared" si="11"/>
        <v>--</v>
      </c>
      <c r="X26" s="439" t="str">
        <f t="shared" si="12"/>
        <v>--</v>
      </c>
      <c r="Y26" s="181">
        <f t="shared" si="13"/>
      </c>
      <c r="Z26" s="525">
        <f t="shared" si="14"/>
      </c>
      <c r="AA26" s="598"/>
    </row>
    <row r="27" spans="2:27" s="8" customFormat="1" ht="16.5" customHeight="1">
      <c r="B27" s="55"/>
      <c r="C27" s="151"/>
      <c r="D27" s="151"/>
      <c r="E27" s="151"/>
      <c r="F27" s="594"/>
      <c r="G27" s="516"/>
      <c r="H27" s="595"/>
      <c r="I27" s="377">
        <f t="shared" si="0"/>
        <v>0</v>
      </c>
      <c r="J27" s="519"/>
      <c r="K27" s="205"/>
      <c r="L27" s="521">
        <f t="shared" si="1"/>
      </c>
      <c r="M27" s="522">
        <f t="shared" si="2"/>
      </c>
      <c r="N27" s="179"/>
      <c r="O27" s="283">
        <f t="shared" si="3"/>
      </c>
      <c r="P27" s="181">
        <f t="shared" si="4"/>
      </c>
      <c r="Q27" s="596">
        <f t="shared" si="5"/>
        <v>20</v>
      </c>
      <c r="R27" s="597" t="str">
        <f t="shared" si="6"/>
        <v>--</v>
      </c>
      <c r="S27" s="590" t="str">
        <f t="shared" si="7"/>
        <v>--</v>
      </c>
      <c r="T27" s="591" t="str">
        <f t="shared" si="8"/>
        <v>--</v>
      </c>
      <c r="U27" s="388" t="str">
        <f t="shared" si="9"/>
        <v>--</v>
      </c>
      <c r="V27" s="389" t="str">
        <f t="shared" si="10"/>
        <v>--</v>
      </c>
      <c r="W27" s="592" t="str">
        <f t="shared" si="11"/>
        <v>--</v>
      </c>
      <c r="X27" s="439" t="str">
        <f t="shared" si="12"/>
        <v>--</v>
      </c>
      <c r="Y27" s="181">
        <f t="shared" si="13"/>
      </c>
      <c r="Z27" s="525">
        <f t="shared" si="14"/>
      </c>
      <c r="AA27" s="598"/>
    </row>
    <row r="28" spans="2:27" s="8" customFormat="1" ht="16.5" customHeight="1">
      <c r="B28" s="55"/>
      <c r="C28" s="151"/>
      <c r="D28" s="151"/>
      <c r="E28" s="170"/>
      <c r="F28" s="594"/>
      <c r="G28" s="516"/>
      <c r="H28" s="595"/>
      <c r="I28" s="377">
        <f t="shared" si="0"/>
        <v>0</v>
      </c>
      <c r="J28" s="519"/>
      <c r="K28" s="205"/>
      <c r="L28" s="521">
        <f t="shared" si="1"/>
      </c>
      <c r="M28" s="522">
        <f t="shared" si="2"/>
      </c>
      <c r="N28" s="179"/>
      <c r="O28" s="283">
        <f t="shared" si="3"/>
      </c>
      <c r="P28" s="181">
        <f t="shared" si="4"/>
      </c>
      <c r="Q28" s="596">
        <f t="shared" si="5"/>
        <v>20</v>
      </c>
      <c r="R28" s="597" t="str">
        <f t="shared" si="6"/>
        <v>--</v>
      </c>
      <c r="S28" s="590" t="str">
        <f t="shared" si="7"/>
        <v>--</v>
      </c>
      <c r="T28" s="591" t="str">
        <f t="shared" si="8"/>
        <v>--</v>
      </c>
      <c r="U28" s="388" t="str">
        <f t="shared" si="9"/>
        <v>--</v>
      </c>
      <c r="V28" s="389" t="str">
        <f t="shared" si="10"/>
        <v>--</v>
      </c>
      <c r="W28" s="592" t="str">
        <f t="shared" si="11"/>
        <v>--</v>
      </c>
      <c r="X28" s="439" t="str">
        <f t="shared" si="12"/>
        <v>--</v>
      </c>
      <c r="Y28" s="181">
        <f t="shared" si="13"/>
      </c>
      <c r="Z28" s="525">
        <f t="shared" si="14"/>
      </c>
      <c r="AA28" s="598"/>
    </row>
    <row r="29" spans="2:27" s="8" customFormat="1" ht="16.5" customHeight="1">
      <c r="B29" s="55"/>
      <c r="C29" s="151"/>
      <c r="D29" s="151"/>
      <c r="E29" s="151"/>
      <c r="F29" s="594"/>
      <c r="G29" s="516"/>
      <c r="H29" s="595"/>
      <c r="I29" s="377">
        <f t="shared" si="0"/>
        <v>0</v>
      </c>
      <c r="J29" s="519"/>
      <c r="K29" s="205"/>
      <c r="L29" s="521">
        <f t="shared" si="1"/>
      </c>
      <c r="M29" s="522">
        <f t="shared" si="2"/>
      </c>
      <c r="N29" s="179"/>
      <c r="O29" s="283">
        <f t="shared" si="3"/>
      </c>
      <c r="P29" s="181">
        <f t="shared" si="4"/>
      </c>
      <c r="Q29" s="596">
        <f t="shared" si="5"/>
        <v>20</v>
      </c>
      <c r="R29" s="597" t="str">
        <f t="shared" si="6"/>
        <v>--</v>
      </c>
      <c r="S29" s="590" t="str">
        <f t="shared" si="7"/>
        <v>--</v>
      </c>
      <c r="T29" s="591" t="str">
        <f t="shared" si="8"/>
        <v>--</v>
      </c>
      <c r="U29" s="388" t="str">
        <f t="shared" si="9"/>
        <v>--</v>
      </c>
      <c r="V29" s="389" t="str">
        <f t="shared" si="10"/>
        <v>--</v>
      </c>
      <c r="W29" s="592" t="str">
        <f t="shared" si="11"/>
        <v>--</v>
      </c>
      <c r="X29" s="439" t="str">
        <f t="shared" si="12"/>
        <v>--</v>
      </c>
      <c r="Y29" s="181">
        <f t="shared" si="13"/>
      </c>
      <c r="Z29" s="525">
        <f t="shared" si="14"/>
      </c>
      <c r="AA29" s="598"/>
    </row>
    <row r="30" spans="2:27" s="8" customFormat="1" ht="16.5" customHeight="1">
      <c r="B30" s="55"/>
      <c r="C30" s="151"/>
      <c r="D30" s="151"/>
      <c r="E30" s="170"/>
      <c r="F30" s="594"/>
      <c r="G30" s="516"/>
      <c r="H30" s="595"/>
      <c r="I30" s="377">
        <f t="shared" si="0"/>
        <v>0</v>
      </c>
      <c r="J30" s="519"/>
      <c r="K30" s="205"/>
      <c r="L30" s="521">
        <f t="shared" si="1"/>
      </c>
      <c r="M30" s="522">
        <f t="shared" si="2"/>
      </c>
      <c r="N30" s="179"/>
      <c r="O30" s="283">
        <f t="shared" si="3"/>
      </c>
      <c r="P30" s="181">
        <f t="shared" si="4"/>
      </c>
      <c r="Q30" s="596">
        <f t="shared" si="5"/>
        <v>20</v>
      </c>
      <c r="R30" s="597" t="str">
        <f t="shared" si="6"/>
        <v>--</v>
      </c>
      <c r="S30" s="590" t="str">
        <f t="shared" si="7"/>
        <v>--</v>
      </c>
      <c r="T30" s="591" t="str">
        <f t="shared" si="8"/>
        <v>--</v>
      </c>
      <c r="U30" s="388" t="str">
        <f t="shared" si="9"/>
        <v>--</v>
      </c>
      <c r="V30" s="389" t="str">
        <f t="shared" si="10"/>
        <v>--</v>
      </c>
      <c r="W30" s="592" t="str">
        <f t="shared" si="11"/>
        <v>--</v>
      </c>
      <c r="X30" s="439" t="str">
        <f t="shared" si="12"/>
        <v>--</v>
      </c>
      <c r="Y30" s="181">
        <f t="shared" si="13"/>
      </c>
      <c r="Z30" s="525">
        <f t="shared" si="14"/>
      </c>
      <c r="AA30" s="598"/>
    </row>
    <row r="31" spans="2:27" s="8" customFormat="1" ht="16.5" customHeight="1">
      <c r="B31" s="55"/>
      <c r="C31" s="151"/>
      <c r="D31" s="151"/>
      <c r="E31" s="151"/>
      <c r="F31" s="594"/>
      <c r="G31" s="516"/>
      <c r="H31" s="595"/>
      <c r="I31" s="377">
        <f t="shared" si="0"/>
        <v>0</v>
      </c>
      <c r="J31" s="519"/>
      <c r="K31" s="205"/>
      <c r="L31" s="521">
        <f t="shared" si="1"/>
      </c>
      <c r="M31" s="522">
        <f t="shared" si="2"/>
      </c>
      <c r="N31" s="179"/>
      <c r="O31" s="283">
        <f t="shared" si="3"/>
      </c>
      <c r="P31" s="181">
        <f t="shared" si="4"/>
      </c>
      <c r="Q31" s="596">
        <f t="shared" si="5"/>
        <v>20</v>
      </c>
      <c r="R31" s="597" t="str">
        <f t="shared" si="6"/>
        <v>--</v>
      </c>
      <c r="S31" s="590" t="str">
        <f t="shared" si="7"/>
        <v>--</v>
      </c>
      <c r="T31" s="591" t="str">
        <f t="shared" si="8"/>
        <v>--</v>
      </c>
      <c r="U31" s="388" t="str">
        <f t="shared" si="9"/>
        <v>--</v>
      </c>
      <c r="V31" s="389" t="str">
        <f t="shared" si="10"/>
        <v>--</v>
      </c>
      <c r="W31" s="592" t="str">
        <f t="shared" si="11"/>
        <v>--</v>
      </c>
      <c r="X31" s="439" t="str">
        <f t="shared" si="12"/>
        <v>--</v>
      </c>
      <c r="Y31" s="181">
        <f t="shared" si="13"/>
      </c>
      <c r="Z31" s="525">
        <f t="shared" si="14"/>
      </c>
      <c r="AA31" s="60"/>
    </row>
    <row r="32" spans="2:27" s="8" customFormat="1" ht="16.5" customHeight="1">
      <c r="B32" s="55"/>
      <c r="C32" s="151"/>
      <c r="D32" s="151"/>
      <c r="E32" s="170"/>
      <c r="F32" s="594"/>
      <c r="G32" s="516"/>
      <c r="H32" s="595"/>
      <c r="I32" s="377">
        <f t="shared" si="0"/>
        <v>0</v>
      </c>
      <c r="J32" s="519"/>
      <c r="K32" s="205"/>
      <c r="L32" s="521">
        <f t="shared" si="1"/>
      </c>
      <c r="M32" s="522">
        <f t="shared" si="2"/>
      </c>
      <c r="N32" s="179"/>
      <c r="O32" s="283">
        <f t="shared" si="3"/>
      </c>
      <c r="P32" s="181">
        <f t="shared" si="4"/>
      </c>
      <c r="Q32" s="596">
        <f t="shared" si="5"/>
        <v>20</v>
      </c>
      <c r="R32" s="597" t="str">
        <f t="shared" si="6"/>
        <v>--</v>
      </c>
      <c r="S32" s="590" t="str">
        <f t="shared" si="7"/>
        <v>--</v>
      </c>
      <c r="T32" s="591" t="str">
        <f t="shared" si="8"/>
        <v>--</v>
      </c>
      <c r="U32" s="388" t="str">
        <f t="shared" si="9"/>
        <v>--</v>
      </c>
      <c r="V32" s="389" t="str">
        <f t="shared" si="10"/>
        <v>--</v>
      </c>
      <c r="W32" s="592" t="str">
        <f t="shared" si="11"/>
        <v>--</v>
      </c>
      <c r="X32" s="439" t="str">
        <f t="shared" si="12"/>
        <v>--</v>
      </c>
      <c r="Y32" s="181">
        <f t="shared" si="13"/>
      </c>
      <c r="Z32" s="525">
        <f t="shared" si="14"/>
      </c>
      <c r="AA32" s="60"/>
    </row>
    <row r="33" spans="2:27" s="8" customFormat="1" ht="16.5" customHeight="1">
      <c r="B33" s="55"/>
      <c r="C33" s="151"/>
      <c r="D33" s="151"/>
      <c r="E33" s="151"/>
      <c r="F33" s="594"/>
      <c r="G33" s="516"/>
      <c r="H33" s="595"/>
      <c r="I33" s="377">
        <f t="shared" si="0"/>
        <v>0</v>
      </c>
      <c r="J33" s="519"/>
      <c r="K33" s="205"/>
      <c r="L33" s="521">
        <f t="shared" si="1"/>
      </c>
      <c r="M33" s="522">
        <f t="shared" si="2"/>
      </c>
      <c r="N33" s="179"/>
      <c r="O33" s="283">
        <f t="shared" si="3"/>
      </c>
      <c r="P33" s="181">
        <f t="shared" si="4"/>
      </c>
      <c r="Q33" s="596">
        <f t="shared" si="5"/>
        <v>20</v>
      </c>
      <c r="R33" s="597" t="str">
        <f t="shared" si="6"/>
        <v>--</v>
      </c>
      <c r="S33" s="590" t="str">
        <f t="shared" si="7"/>
        <v>--</v>
      </c>
      <c r="T33" s="591" t="str">
        <f t="shared" si="8"/>
        <v>--</v>
      </c>
      <c r="U33" s="388" t="str">
        <f t="shared" si="9"/>
        <v>--</v>
      </c>
      <c r="V33" s="389" t="str">
        <f t="shared" si="10"/>
        <v>--</v>
      </c>
      <c r="W33" s="592" t="str">
        <f t="shared" si="11"/>
        <v>--</v>
      </c>
      <c r="X33" s="439" t="str">
        <f t="shared" si="12"/>
        <v>--</v>
      </c>
      <c r="Y33" s="181">
        <f t="shared" si="13"/>
      </c>
      <c r="Z33" s="525">
        <f t="shared" si="14"/>
      </c>
      <c r="AA33" s="60"/>
    </row>
    <row r="34" spans="2:27" s="8" customFormat="1" ht="16.5" customHeight="1">
      <c r="B34" s="55"/>
      <c r="C34" s="151"/>
      <c r="D34" s="151"/>
      <c r="E34" s="170"/>
      <c r="F34" s="594"/>
      <c r="G34" s="516"/>
      <c r="H34" s="595"/>
      <c r="I34" s="377">
        <f t="shared" si="0"/>
        <v>0</v>
      </c>
      <c r="J34" s="519"/>
      <c r="K34" s="205"/>
      <c r="L34" s="521">
        <f t="shared" si="1"/>
      </c>
      <c r="M34" s="522">
        <f t="shared" si="2"/>
      </c>
      <c r="N34" s="179"/>
      <c r="O34" s="283">
        <f t="shared" si="3"/>
      </c>
      <c r="P34" s="181">
        <f t="shared" si="4"/>
      </c>
      <c r="Q34" s="596">
        <f t="shared" si="5"/>
        <v>20</v>
      </c>
      <c r="R34" s="597" t="str">
        <f t="shared" si="6"/>
        <v>--</v>
      </c>
      <c r="S34" s="590" t="str">
        <f t="shared" si="7"/>
        <v>--</v>
      </c>
      <c r="T34" s="591" t="str">
        <f t="shared" si="8"/>
        <v>--</v>
      </c>
      <c r="U34" s="388" t="str">
        <f t="shared" si="9"/>
        <v>--</v>
      </c>
      <c r="V34" s="389" t="str">
        <f t="shared" si="10"/>
        <v>--</v>
      </c>
      <c r="W34" s="592" t="str">
        <f t="shared" si="11"/>
        <v>--</v>
      </c>
      <c r="X34" s="439" t="str">
        <f t="shared" si="12"/>
        <v>--</v>
      </c>
      <c r="Y34" s="181">
        <f t="shared" si="13"/>
      </c>
      <c r="Z34" s="525">
        <f t="shared" si="14"/>
      </c>
      <c r="AA34" s="60"/>
    </row>
    <row r="35" spans="2:27" s="8" customFormat="1" ht="16.5" customHeight="1">
      <c r="B35" s="55"/>
      <c r="C35" s="151"/>
      <c r="D35" s="151"/>
      <c r="E35" s="151"/>
      <c r="F35" s="594"/>
      <c r="G35" s="516"/>
      <c r="H35" s="595"/>
      <c r="I35" s="377">
        <f t="shared" si="0"/>
        <v>0</v>
      </c>
      <c r="J35" s="519"/>
      <c r="K35" s="205"/>
      <c r="L35" s="521">
        <f t="shared" si="1"/>
      </c>
      <c r="M35" s="522">
        <f t="shared" si="2"/>
      </c>
      <c r="N35" s="179"/>
      <c r="O35" s="283">
        <f t="shared" si="3"/>
      </c>
      <c r="P35" s="181">
        <f t="shared" si="4"/>
      </c>
      <c r="Q35" s="596">
        <f t="shared" si="5"/>
        <v>20</v>
      </c>
      <c r="R35" s="597" t="str">
        <f t="shared" si="6"/>
        <v>--</v>
      </c>
      <c r="S35" s="590" t="str">
        <f t="shared" si="7"/>
        <v>--</v>
      </c>
      <c r="T35" s="591" t="str">
        <f t="shared" si="8"/>
        <v>--</v>
      </c>
      <c r="U35" s="388" t="str">
        <f t="shared" si="9"/>
        <v>--</v>
      </c>
      <c r="V35" s="389" t="str">
        <f t="shared" si="10"/>
        <v>--</v>
      </c>
      <c r="W35" s="592" t="str">
        <f t="shared" si="11"/>
        <v>--</v>
      </c>
      <c r="X35" s="439" t="str">
        <f t="shared" si="12"/>
        <v>--</v>
      </c>
      <c r="Y35" s="181">
        <f t="shared" si="13"/>
      </c>
      <c r="Z35" s="525">
        <f t="shared" si="14"/>
      </c>
      <c r="AA35" s="60"/>
    </row>
    <row r="36" spans="2:27" s="8" customFormat="1" ht="16.5" customHeight="1">
      <c r="B36" s="55"/>
      <c r="C36" s="151"/>
      <c r="D36" s="151"/>
      <c r="E36" s="170"/>
      <c r="F36" s="594"/>
      <c r="G36" s="516"/>
      <c r="H36" s="595"/>
      <c r="I36" s="377">
        <f t="shared" si="0"/>
        <v>0</v>
      </c>
      <c r="J36" s="519"/>
      <c r="K36" s="205"/>
      <c r="L36" s="521">
        <f t="shared" si="1"/>
      </c>
      <c r="M36" s="522">
        <f t="shared" si="2"/>
      </c>
      <c r="N36" s="179"/>
      <c r="O36" s="283">
        <f t="shared" si="3"/>
      </c>
      <c r="P36" s="181">
        <f t="shared" si="4"/>
      </c>
      <c r="Q36" s="596">
        <f t="shared" si="5"/>
        <v>20</v>
      </c>
      <c r="R36" s="597" t="str">
        <f t="shared" si="6"/>
        <v>--</v>
      </c>
      <c r="S36" s="590" t="str">
        <f t="shared" si="7"/>
        <v>--</v>
      </c>
      <c r="T36" s="591" t="str">
        <f t="shared" si="8"/>
        <v>--</v>
      </c>
      <c r="U36" s="388" t="str">
        <f t="shared" si="9"/>
        <v>--</v>
      </c>
      <c r="V36" s="389" t="str">
        <f t="shared" si="10"/>
        <v>--</v>
      </c>
      <c r="W36" s="592" t="str">
        <f t="shared" si="11"/>
        <v>--</v>
      </c>
      <c r="X36" s="439" t="str">
        <f t="shared" si="12"/>
        <v>--</v>
      </c>
      <c r="Y36" s="181">
        <f t="shared" si="13"/>
      </c>
      <c r="Z36" s="525">
        <f t="shared" si="14"/>
      </c>
      <c r="AA36" s="60"/>
    </row>
    <row r="37" spans="2:27" s="8" customFormat="1" ht="16.5" customHeight="1">
      <c r="B37" s="55"/>
      <c r="C37" s="151"/>
      <c r="D37" s="151"/>
      <c r="E37" s="151"/>
      <c r="F37" s="594"/>
      <c r="G37" s="516"/>
      <c r="H37" s="595"/>
      <c r="I37" s="377">
        <f t="shared" si="0"/>
        <v>0</v>
      </c>
      <c r="J37" s="519"/>
      <c r="K37" s="205"/>
      <c r="L37" s="521">
        <f t="shared" si="1"/>
      </c>
      <c r="M37" s="522">
        <f t="shared" si="2"/>
      </c>
      <c r="N37" s="179"/>
      <c r="O37" s="283">
        <f t="shared" si="3"/>
      </c>
      <c r="P37" s="181">
        <f t="shared" si="4"/>
      </c>
      <c r="Q37" s="596">
        <f t="shared" si="5"/>
        <v>20</v>
      </c>
      <c r="R37" s="597" t="str">
        <f t="shared" si="6"/>
        <v>--</v>
      </c>
      <c r="S37" s="590" t="str">
        <f t="shared" si="7"/>
        <v>--</v>
      </c>
      <c r="T37" s="591" t="str">
        <f t="shared" si="8"/>
        <v>--</v>
      </c>
      <c r="U37" s="388" t="str">
        <f t="shared" si="9"/>
        <v>--</v>
      </c>
      <c r="V37" s="389" t="str">
        <f t="shared" si="10"/>
        <v>--</v>
      </c>
      <c r="W37" s="592" t="str">
        <f t="shared" si="11"/>
        <v>--</v>
      </c>
      <c r="X37" s="439" t="str">
        <f t="shared" si="12"/>
        <v>--</v>
      </c>
      <c r="Y37" s="181">
        <f t="shared" si="13"/>
      </c>
      <c r="Z37" s="525">
        <f t="shared" si="14"/>
      </c>
      <c r="AA37" s="60"/>
    </row>
    <row r="38" spans="2:27" s="8" customFormat="1" ht="16.5" customHeight="1">
      <c r="B38" s="55"/>
      <c r="C38" s="151"/>
      <c r="D38" s="151"/>
      <c r="E38" s="170"/>
      <c r="F38" s="594"/>
      <c r="G38" s="516"/>
      <c r="H38" s="595"/>
      <c r="I38" s="377">
        <f t="shared" si="0"/>
        <v>0</v>
      </c>
      <c r="J38" s="519"/>
      <c r="K38" s="205"/>
      <c r="L38" s="521">
        <f t="shared" si="1"/>
      </c>
      <c r="M38" s="522">
        <f t="shared" si="2"/>
      </c>
      <c r="N38" s="179"/>
      <c r="O38" s="283">
        <f t="shared" si="3"/>
      </c>
      <c r="P38" s="181">
        <f t="shared" si="4"/>
      </c>
      <c r="Q38" s="596">
        <f t="shared" si="5"/>
        <v>20</v>
      </c>
      <c r="R38" s="597" t="str">
        <f t="shared" si="6"/>
        <v>--</v>
      </c>
      <c r="S38" s="590" t="str">
        <f t="shared" si="7"/>
        <v>--</v>
      </c>
      <c r="T38" s="591" t="str">
        <f t="shared" si="8"/>
        <v>--</v>
      </c>
      <c r="U38" s="388" t="str">
        <f t="shared" si="9"/>
        <v>--</v>
      </c>
      <c r="V38" s="389" t="str">
        <f t="shared" si="10"/>
        <v>--</v>
      </c>
      <c r="W38" s="592" t="str">
        <f t="shared" si="11"/>
        <v>--</v>
      </c>
      <c r="X38" s="439" t="str">
        <f t="shared" si="12"/>
        <v>--</v>
      </c>
      <c r="Y38" s="181">
        <f t="shared" si="13"/>
      </c>
      <c r="Z38" s="525">
        <f t="shared" si="14"/>
      </c>
      <c r="AA38" s="60"/>
    </row>
    <row r="39" spans="2:27" s="8" customFormat="1" ht="16.5" customHeight="1">
      <c r="B39" s="55"/>
      <c r="C39" s="151"/>
      <c r="D39" s="151"/>
      <c r="E39" s="151"/>
      <c r="F39" s="594"/>
      <c r="G39" s="516"/>
      <c r="H39" s="595"/>
      <c r="I39" s="377">
        <f t="shared" si="0"/>
        <v>0</v>
      </c>
      <c r="J39" s="519"/>
      <c r="K39" s="205"/>
      <c r="L39" s="521">
        <f t="shared" si="1"/>
      </c>
      <c r="M39" s="522">
        <f t="shared" si="2"/>
      </c>
      <c r="N39" s="179"/>
      <c r="O39" s="283">
        <f t="shared" si="3"/>
      </c>
      <c r="P39" s="181">
        <f t="shared" si="4"/>
      </c>
      <c r="Q39" s="596">
        <f t="shared" si="5"/>
        <v>20</v>
      </c>
      <c r="R39" s="597" t="str">
        <f t="shared" si="6"/>
        <v>--</v>
      </c>
      <c r="S39" s="590" t="str">
        <f t="shared" si="7"/>
        <v>--</v>
      </c>
      <c r="T39" s="591" t="str">
        <f t="shared" si="8"/>
        <v>--</v>
      </c>
      <c r="U39" s="388" t="str">
        <f t="shared" si="9"/>
        <v>--</v>
      </c>
      <c r="V39" s="389" t="str">
        <f t="shared" si="10"/>
        <v>--</v>
      </c>
      <c r="W39" s="592" t="str">
        <f t="shared" si="11"/>
        <v>--</v>
      </c>
      <c r="X39" s="439" t="str">
        <f t="shared" si="12"/>
        <v>--</v>
      </c>
      <c r="Y39" s="181">
        <f t="shared" si="13"/>
      </c>
      <c r="Z39" s="525">
        <f t="shared" si="14"/>
      </c>
      <c r="AA39" s="60"/>
    </row>
    <row r="40" spans="2:27" s="8" customFormat="1" ht="16.5" customHeight="1">
      <c r="B40" s="55"/>
      <c r="C40" s="151"/>
      <c r="D40" s="151"/>
      <c r="E40" s="170"/>
      <c r="F40" s="594"/>
      <c r="G40" s="516"/>
      <c r="H40" s="595"/>
      <c r="I40" s="377">
        <f t="shared" si="0"/>
        <v>0</v>
      </c>
      <c r="J40" s="519"/>
      <c r="K40" s="205"/>
      <c r="L40" s="521">
        <f t="shared" si="1"/>
      </c>
      <c r="M40" s="522">
        <f t="shared" si="2"/>
      </c>
      <c r="N40" s="179"/>
      <c r="O40" s="283">
        <f t="shared" si="3"/>
      </c>
      <c r="P40" s="181">
        <f t="shared" si="4"/>
      </c>
      <c r="Q40" s="596">
        <f t="shared" si="5"/>
        <v>20</v>
      </c>
      <c r="R40" s="597" t="str">
        <f t="shared" si="6"/>
        <v>--</v>
      </c>
      <c r="S40" s="590" t="str">
        <f t="shared" si="7"/>
        <v>--</v>
      </c>
      <c r="T40" s="591" t="str">
        <f t="shared" si="8"/>
        <v>--</v>
      </c>
      <c r="U40" s="388" t="str">
        <f t="shared" si="9"/>
        <v>--</v>
      </c>
      <c r="V40" s="389" t="str">
        <f t="shared" si="10"/>
        <v>--</v>
      </c>
      <c r="W40" s="592" t="str">
        <f t="shared" si="11"/>
        <v>--</v>
      </c>
      <c r="X40" s="439" t="str">
        <f t="shared" si="12"/>
        <v>--</v>
      </c>
      <c r="Y40" s="181">
        <f t="shared" si="13"/>
      </c>
      <c r="Z40" s="525">
        <f t="shared" si="14"/>
      </c>
      <c r="AA40" s="60"/>
    </row>
    <row r="41" spans="2:27" s="8" customFormat="1" ht="16.5" customHeight="1">
      <c r="B41" s="55"/>
      <c r="C41" s="151"/>
      <c r="D41" s="151"/>
      <c r="E41" s="151"/>
      <c r="F41" s="594"/>
      <c r="G41" s="516"/>
      <c r="H41" s="595"/>
      <c r="I41" s="377">
        <f t="shared" si="0"/>
        <v>0</v>
      </c>
      <c r="J41" s="519"/>
      <c r="K41" s="205"/>
      <c r="L41" s="521">
        <f t="shared" si="1"/>
      </c>
      <c r="M41" s="522">
        <f t="shared" si="2"/>
      </c>
      <c r="N41" s="179"/>
      <c r="O41" s="283">
        <f t="shared" si="3"/>
      </c>
      <c r="P41" s="181">
        <f t="shared" si="4"/>
      </c>
      <c r="Q41" s="596">
        <f t="shared" si="5"/>
        <v>20</v>
      </c>
      <c r="R41" s="597" t="str">
        <f t="shared" si="6"/>
        <v>--</v>
      </c>
      <c r="S41" s="590" t="str">
        <f t="shared" si="7"/>
        <v>--</v>
      </c>
      <c r="T41" s="591" t="str">
        <f t="shared" si="8"/>
        <v>--</v>
      </c>
      <c r="U41" s="388" t="str">
        <f t="shared" si="9"/>
        <v>--</v>
      </c>
      <c r="V41" s="389" t="str">
        <f t="shared" si="10"/>
        <v>--</v>
      </c>
      <c r="W41" s="592" t="str">
        <f t="shared" si="11"/>
        <v>--</v>
      </c>
      <c r="X41" s="439" t="str">
        <f t="shared" si="12"/>
        <v>--</v>
      </c>
      <c r="Y41" s="181">
        <f t="shared" si="13"/>
      </c>
      <c r="Z41" s="525">
        <f t="shared" si="14"/>
      </c>
      <c r="AA41" s="60"/>
    </row>
    <row r="42" spans="2:27" s="8" customFormat="1" ht="16.5" customHeight="1" thickBot="1">
      <c r="B42" s="55"/>
      <c r="C42" s="599"/>
      <c r="D42" s="599"/>
      <c r="E42" s="599"/>
      <c r="F42" s="599"/>
      <c r="G42" s="599"/>
      <c r="H42" s="599"/>
      <c r="I42" s="397"/>
      <c r="J42" s="526"/>
      <c r="K42" s="526"/>
      <c r="L42" s="527"/>
      <c r="M42" s="527"/>
      <c r="N42" s="526"/>
      <c r="O42" s="217"/>
      <c r="P42" s="216"/>
      <c r="Q42" s="600"/>
      <c r="R42" s="601"/>
      <c r="S42" s="602"/>
      <c r="T42" s="603"/>
      <c r="U42" s="409"/>
      <c r="V42" s="410"/>
      <c r="W42" s="604"/>
      <c r="X42" s="604"/>
      <c r="Y42" s="216"/>
      <c r="Z42" s="605"/>
      <c r="AA42" s="60"/>
    </row>
    <row r="43" spans="2:27" s="8" customFormat="1" ht="16.5" customHeight="1" thickBot="1" thickTop="1">
      <c r="B43" s="55"/>
      <c r="C43" s="230" t="s">
        <v>172</v>
      </c>
      <c r="D43" s="272"/>
      <c r="E43" s="230"/>
      <c r="F43" s="232"/>
      <c r="I43" s="11"/>
      <c r="J43" s="11"/>
      <c r="K43" s="11"/>
      <c r="L43" s="11"/>
      <c r="M43" s="11"/>
      <c r="N43" s="11"/>
      <c r="O43" s="11"/>
      <c r="P43" s="11"/>
      <c r="Q43" s="11"/>
      <c r="R43" s="606">
        <f aca="true" t="shared" si="15" ref="R43:X43">SUM(R20:R42)</f>
        <v>37973.76</v>
      </c>
      <c r="S43" s="607">
        <f t="shared" si="15"/>
        <v>0</v>
      </c>
      <c r="T43" s="608">
        <f t="shared" si="15"/>
        <v>0</v>
      </c>
      <c r="U43" s="419">
        <f t="shared" si="15"/>
        <v>0</v>
      </c>
      <c r="V43" s="420">
        <f t="shared" si="15"/>
        <v>0</v>
      </c>
      <c r="W43" s="609">
        <f t="shared" si="15"/>
        <v>0</v>
      </c>
      <c r="X43" s="609">
        <f t="shared" si="15"/>
        <v>0</v>
      </c>
      <c r="Z43" s="539">
        <f>ROUND(SUM(Z20:Z42),2)</f>
        <v>37973.76</v>
      </c>
      <c r="AA43" s="610"/>
    </row>
    <row r="44" spans="2:27" s="8" customFormat="1" ht="16.5" customHeight="1" thickBot="1" thickTop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8"/>
    </row>
    <row r="45" spans="6:29" ht="16.5" customHeight="1" thickTop="1">
      <c r="F45" s="611"/>
      <c r="G45" s="611"/>
      <c r="H45" s="611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</row>
    <row r="46" spans="6:29" ht="16.5" customHeight="1">
      <c r="F46" s="611"/>
      <c r="G46" s="611"/>
      <c r="H46" s="611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</row>
    <row r="47" spans="6:29" ht="16.5" customHeight="1">
      <c r="F47" s="611"/>
      <c r="G47" s="611"/>
      <c r="H47" s="611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</row>
    <row r="48" spans="6:29" ht="16.5" customHeight="1">
      <c r="F48" s="611"/>
      <c r="G48" s="611"/>
      <c r="H48" s="611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</row>
    <row r="49" spans="6:29" ht="16.5" customHeight="1">
      <c r="F49" s="611"/>
      <c r="G49" s="611"/>
      <c r="H49" s="611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</row>
    <row r="50" spans="6:29" ht="16.5" customHeight="1">
      <c r="F50" s="611"/>
      <c r="G50" s="611"/>
      <c r="H50" s="611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</row>
    <row r="51" spans="6:29" ht="16.5" customHeight="1"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</row>
    <row r="52" spans="6:29" ht="16.5" customHeight="1"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</row>
    <row r="53" spans="6:29" ht="16.5" customHeight="1"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</row>
    <row r="54" spans="6:29" ht="16.5" customHeight="1"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</row>
    <row r="55" spans="6:29" ht="16.5" customHeight="1"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</row>
    <row r="56" spans="6:29" ht="16.5" customHeight="1"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</row>
    <row r="57" spans="6:29" ht="16.5" customHeight="1"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</row>
    <row r="58" spans="6:29" ht="16.5" customHeight="1"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</row>
    <row r="59" spans="6:29" ht="16.5" customHeight="1"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</row>
    <row r="60" spans="6:29" ht="16.5" customHeight="1"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</row>
    <row r="61" spans="6:29" ht="16.5" customHeight="1"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</row>
    <row r="62" spans="6:29" ht="16.5" customHeight="1"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</row>
    <row r="63" spans="6:29" ht="16.5" customHeight="1"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</row>
    <row r="64" spans="6:29" ht="16.5" customHeight="1"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</row>
    <row r="65" spans="6:29" ht="16.5" customHeight="1"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</row>
    <row r="66" spans="6:29" ht="16.5" customHeight="1"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</row>
    <row r="67" spans="6:29" ht="16.5" customHeight="1"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</row>
    <row r="68" spans="6:29" ht="16.5" customHeight="1"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</row>
    <row r="69" spans="6:29" ht="16.5" customHeight="1"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</row>
    <row r="70" spans="6:29" ht="16.5" customHeight="1"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</row>
    <row r="71" spans="6:29" ht="16.5" customHeight="1"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</row>
    <row r="72" spans="6:29" ht="16.5" customHeight="1"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</row>
    <row r="73" spans="6:29" ht="16.5" customHeight="1"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</row>
    <row r="74" spans="6:29" ht="16.5" customHeight="1"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</row>
    <row r="75" spans="6:29" ht="16.5" customHeight="1"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</row>
    <row r="76" spans="6:29" ht="16.5" customHeight="1"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</row>
    <row r="77" spans="6:29" ht="16.5" customHeight="1"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</row>
    <row r="78" spans="6:29" ht="16.5" customHeight="1"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</row>
    <row r="79" spans="6:29" ht="16.5" customHeight="1"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</row>
    <row r="80" spans="6:29" ht="16.5" customHeight="1"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</row>
    <row r="81" spans="6:29" ht="16.5" customHeight="1"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</row>
    <row r="82" spans="6:29" ht="16.5" customHeight="1"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</row>
    <row r="83" spans="6:29" ht="16.5" customHeight="1"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</row>
    <row r="84" spans="6:29" ht="16.5" customHeight="1"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</row>
    <row r="85" spans="6:29" ht="16.5" customHeight="1"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</row>
    <row r="86" spans="6:29" ht="16.5" customHeight="1"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</row>
    <row r="87" spans="6:29" ht="16.5" customHeight="1"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</row>
    <row r="88" spans="6:29" ht="16.5" customHeight="1"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</row>
    <row r="89" spans="6:29" ht="16.5" customHeight="1"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</row>
    <row r="90" spans="6:29" ht="16.5" customHeight="1"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</row>
    <row r="91" spans="6:29" ht="16.5" customHeight="1"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</row>
    <row r="92" spans="6:29" ht="16.5" customHeight="1"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</row>
    <row r="93" spans="6:29" ht="16.5" customHeight="1"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</row>
    <row r="94" spans="6:29" ht="16.5" customHeight="1"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</row>
    <row r="95" spans="6:29" ht="16.5" customHeight="1"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</row>
    <row r="96" spans="6:29" ht="16.5" customHeight="1"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</row>
    <row r="97" spans="6:29" ht="16.5" customHeight="1"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</row>
    <row r="98" spans="6:29" ht="16.5" customHeight="1"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  <c r="AB98" s="428"/>
      <c r="AC98" s="428"/>
    </row>
    <row r="99" spans="6:29" ht="16.5" customHeight="1"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</row>
    <row r="100" spans="6:29" ht="16.5" customHeight="1"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</row>
    <row r="101" spans="6:29" ht="16.5" customHeight="1"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</row>
    <row r="102" spans="6:29" ht="16.5" customHeight="1"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</row>
    <row r="103" spans="6:29" ht="16.5" customHeight="1"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</row>
    <row r="104" spans="6:29" ht="16.5" customHeight="1"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</row>
    <row r="105" spans="6:29" ht="16.5" customHeight="1"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</row>
    <row r="106" spans="6:29" ht="16.5" customHeight="1"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</row>
    <row r="107" spans="6:29" ht="16.5" customHeight="1"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</row>
    <row r="108" spans="6:29" ht="16.5" customHeight="1"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</row>
    <row r="109" spans="6:29" ht="16.5" customHeight="1"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</row>
    <row r="110" spans="6:29" ht="16.5" customHeight="1"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</row>
    <row r="111" spans="6:29" ht="16.5" customHeight="1"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</row>
    <row r="112" spans="6:29" ht="16.5" customHeight="1"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</row>
    <row r="113" spans="6:29" ht="16.5" customHeight="1"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</row>
    <row r="114" spans="6:29" ht="16.5" customHeight="1"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</row>
    <row r="115" spans="6:29" ht="16.5" customHeight="1"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</row>
    <row r="116" spans="6:29" ht="16.5" customHeight="1"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</row>
    <row r="117" spans="6:29" ht="16.5" customHeight="1"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</row>
    <row r="118" spans="6:29" ht="16.5" customHeight="1"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</row>
    <row r="119" spans="6:29" ht="16.5" customHeight="1"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</row>
    <row r="120" spans="6:29" ht="16.5" customHeight="1"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</row>
    <row r="121" spans="6:29" ht="16.5" customHeight="1"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  <c r="AB121" s="428"/>
      <c r="AC121" s="428"/>
    </row>
    <row r="122" spans="6:29" ht="16.5" customHeight="1"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</row>
    <row r="123" spans="6:29" ht="16.5" customHeight="1"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</row>
    <row r="124" spans="6:29" ht="16.5" customHeight="1"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8"/>
      <c r="AC124" s="428"/>
    </row>
    <row r="125" spans="6:29" ht="16.5" customHeight="1"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</row>
    <row r="126" spans="6:29" ht="16.5" customHeight="1"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</row>
    <row r="127" spans="6:29" ht="16.5" customHeight="1"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  <c r="Z127" s="428"/>
      <c r="AA127" s="428"/>
      <c r="AB127" s="428"/>
      <c r="AC127" s="428"/>
    </row>
    <row r="128" spans="6:29" ht="16.5" customHeight="1"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</row>
    <row r="129" spans="6:29" ht="16.5" customHeight="1"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</row>
    <row r="130" spans="6:29" ht="16.5" customHeight="1"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</row>
    <row r="131" spans="6:29" ht="16.5" customHeight="1"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  <c r="AB131" s="428"/>
      <c r="AC131" s="428"/>
    </row>
    <row r="132" spans="6:29" ht="16.5" customHeight="1"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  <c r="AB132" s="428"/>
      <c r="AC132" s="428"/>
    </row>
    <row r="133" spans="6:29" ht="16.5" customHeight="1"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</row>
    <row r="134" spans="6:29" ht="16.5" customHeight="1"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  <c r="AB134" s="428"/>
      <c r="AC134" s="428"/>
    </row>
    <row r="135" spans="6:29" ht="16.5" customHeight="1"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</row>
    <row r="136" spans="6:29" ht="16.5" customHeight="1"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</row>
    <row r="137" spans="6:29" ht="16.5" customHeight="1"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  <c r="AB137" s="428"/>
      <c r="AC137" s="428"/>
    </row>
    <row r="138" spans="6:29" ht="16.5" customHeight="1"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</row>
    <row r="139" spans="6:29" ht="16.5" customHeight="1"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8"/>
      <c r="AA139" s="428"/>
      <c r="AB139" s="428"/>
      <c r="AC139" s="428"/>
    </row>
    <row r="140" spans="6:29" ht="16.5" customHeight="1"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  <c r="Z140" s="428"/>
      <c r="AA140" s="428"/>
      <c r="AB140" s="428"/>
      <c r="AC140" s="428"/>
    </row>
    <row r="141" spans="6:29" ht="16.5" customHeight="1"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  <c r="Z141" s="428"/>
      <c r="AA141" s="428"/>
      <c r="AB141" s="428"/>
      <c r="AC141" s="428"/>
    </row>
    <row r="142" spans="6:29" ht="16.5" customHeight="1"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  <c r="AB142" s="428"/>
      <c r="AC142" s="428"/>
    </row>
    <row r="143" spans="6:29" ht="16.5" customHeight="1"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8"/>
      <c r="Z143" s="428"/>
      <c r="AA143" s="428"/>
      <c r="AB143" s="428"/>
      <c r="AC143" s="428"/>
    </row>
    <row r="144" spans="6:29" ht="16.5" customHeight="1"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8"/>
      <c r="AC144" s="428"/>
    </row>
    <row r="145" spans="6:29" ht="16.5" customHeight="1"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</row>
    <row r="146" spans="6:29" ht="16.5" customHeight="1"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  <c r="AB146" s="428"/>
      <c r="AC146" s="428"/>
    </row>
    <row r="147" spans="6:29" ht="16.5" customHeight="1"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8"/>
      <c r="AB147" s="428"/>
      <c r="AC147" s="428"/>
    </row>
    <row r="148" spans="6:29" ht="16.5" customHeight="1"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  <c r="AB148" s="428"/>
      <c r="AC148" s="428"/>
    </row>
    <row r="149" spans="6:29" ht="16.5" customHeight="1"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  <c r="Z149" s="428"/>
      <c r="AA149" s="428"/>
      <c r="AB149" s="428"/>
      <c r="AC149" s="428"/>
    </row>
    <row r="150" spans="6:29" ht="16.5" customHeight="1"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  <c r="Z150" s="428"/>
      <c r="AA150" s="428"/>
      <c r="AB150" s="428"/>
      <c r="AC150" s="428"/>
    </row>
    <row r="151" spans="6:29" ht="16.5" customHeight="1"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8"/>
      <c r="AB151" s="428"/>
      <c r="AC151" s="428"/>
    </row>
    <row r="152" spans="6:29" ht="16.5" customHeight="1">
      <c r="F152" s="428"/>
      <c r="G152" s="428"/>
      <c r="H152" s="428"/>
      <c r="AB152" s="428"/>
      <c r="AC152" s="428"/>
    </row>
    <row r="153" spans="6:8" ht="16.5" customHeight="1">
      <c r="F153" s="428"/>
      <c r="G153" s="428"/>
      <c r="H153" s="428"/>
    </row>
    <row r="154" spans="6:8" ht="16.5" customHeight="1">
      <c r="F154" s="428"/>
      <c r="G154" s="428"/>
      <c r="H154" s="428"/>
    </row>
    <row r="155" spans="6:8" ht="16.5" customHeight="1">
      <c r="F155" s="428"/>
      <c r="G155" s="428"/>
      <c r="H155" s="428"/>
    </row>
    <row r="156" spans="6:8" ht="16.5" customHeight="1">
      <c r="F156" s="428"/>
      <c r="G156" s="428"/>
      <c r="H156" s="428"/>
    </row>
    <row r="157" spans="6:8" ht="16.5" customHeight="1">
      <c r="F157" s="428"/>
      <c r="G157" s="428"/>
      <c r="H157" s="428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7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7109375" style="9" customWidth="1"/>
    <col min="9" max="9" width="13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0" width="5.7109375" style="9" hidden="1" customWidth="1"/>
    <col min="21" max="22" width="12.28125" style="9" hidden="1" customWidth="1"/>
    <col min="23" max="23" width="9.7109375" style="9" customWidth="1"/>
    <col min="24" max="24" width="15.7109375" style="9" customWidth="1"/>
    <col min="25" max="25" width="4.140625" style="9" customWidth="1"/>
    <col min="26" max="16384" width="11.421875" style="9" customWidth="1"/>
  </cols>
  <sheetData>
    <row r="1" s="3" customFormat="1" ht="26.25">
      <c r="Y1" s="5"/>
    </row>
    <row r="2" spans="1:25" s="3" customFormat="1" ht="26.25">
      <c r="A2" s="89"/>
      <c r="B2" s="550" t="str">
        <f>'TOT-0115'!B2</f>
        <v>ANEXO II al Memorándum D.T.E.E. N°  90 /2016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5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471"/>
    </row>
    <row r="8" spans="2:25" s="18" customFormat="1" ht="20.25">
      <c r="B8" s="96"/>
      <c r="C8" s="23"/>
      <c r="D8" s="23"/>
      <c r="F8" s="97" t="s">
        <v>75</v>
      </c>
      <c r="G8" s="551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552"/>
    </row>
    <row r="9" spans="2:25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60"/>
    </row>
    <row r="10" spans="2:25" s="18" customFormat="1" ht="20.25">
      <c r="B10" s="96"/>
      <c r="C10" s="23"/>
      <c r="D10" s="23"/>
      <c r="F10" s="98" t="s">
        <v>76</v>
      </c>
      <c r="H10" s="553"/>
      <c r="I10" s="554"/>
      <c r="J10" s="554"/>
      <c r="K10" s="554"/>
      <c r="L10" s="554"/>
      <c r="M10" s="554"/>
      <c r="N10" s="554"/>
      <c r="O10" s="554"/>
      <c r="P10" s="554"/>
      <c r="Q10" s="554"/>
      <c r="R10" s="23"/>
      <c r="S10" s="23"/>
      <c r="T10" s="23"/>
      <c r="U10" s="23"/>
      <c r="V10" s="23"/>
      <c r="W10" s="23"/>
      <c r="X10" s="23"/>
      <c r="Y10" s="473"/>
    </row>
    <row r="11" spans="2:25" s="8" customFormat="1" ht="16.5" customHeight="1">
      <c r="B11" s="55"/>
      <c r="C11" s="11"/>
      <c r="D11" s="11"/>
      <c r="E11" s="11"/>
      <c r="F11" s="555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60"/>
    </row>
    <row r="12" spans="2:25" s="18" customFormat="1" ht="20.25">
      <c r="B12" s="96"/>
      <c r="C12" s="23"/>
      <c r="D12" s="23"/>
      <c r="F12" s="275" t="s">
        <v>255</v>
      </c>
      <c r="H12" s="553"/>
      <c r="I12" s="554"/>
      <c r="J12" s="554"/>
      <c r="K12" s="554"/>
      <c r="L12" s="554"/>
      <c r="M12" s="554"/>
      <c r="N12" s="554"/>
      <c r="O12" s="554"/>
      <c r="P12" s="554"/>
      <c r="Q12" s="554"/>
      <c r="R12" s="23"/>
      <c r="S12" s="23"/>
      <c r="T12" s="23"/>
      <c r="U12" s="23"/>
      <c r="V12" s="23"/>
      <c r="W12" s="23"/>
      <c r="X12" s="23"/>
      <c r="Y12" s="473"/>
    </row>
    <row r="13" spans="2:25" s="8" customFormat="1" ht="16.5" customHeight="1">
      <c r="B13" s="55"/>
      <c r="C13" s="11"/>
      <c r="D13" s="11"/>
      <c r="E13" s="11"/>
      <c r="F13" s="555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60"/>
    </row>
    <row r="14" spans="2:25" s="34" customFormat="1" ht="16.5" customHeight="1">
      <c r="B14" s="35" t="str">
        <f>'TOT-0115'!B14</f>
        <v>Desde el 01 al 31 de enero de 2015</v>
      </c>
      <c r="C14" s="39"/>
      <c r="D14" s="39"/>
      <c r="E14" s="556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6"/>
      <c r="S14" s="556"/>
      <c r="T14" s="556"/>
      <c r="U14" s="556"/>
      <c r="V14" s="556"/>
      <c r="W14" s="556"/>
      <c r="X14" s="556"/>
      <c r="Y14" s="558"/>
    </row>
    <row r="15" spans="2:25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60"/>
    </row>
    <row r="16" spans="2:25" s="8" customFormat="1" ht="16.5" customHeight="1" thickBot="1" thickTop="1">
      <c r="B16" s="55"/>
      <c r="C16" s="11"/>
      <c r="D16" s="11"/>
      <c r="E16" s="11"/>
      <c r="F16" s="559" t="s">
        <v>56</v>
      </c>
      <c r="G16" s="287"/>
      <c r="H16" s="612">
        <v>0.1042</v>
      </c>
      <c r="I16" s="485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60"/>
    </row>
    <row r="17" spans="2:25" s="8" customFormat="1" ht="16.5" customHeight="1" thickBot="1" thickTop="1">
      <c r="B17" s="55"/>
      <c r="C17" s="11"/>
      <c r="D17" s="11"/>
      <c r="E17" s="11"/>
      <c r="F17" s="560" t="s">
        <v>57</v>
      </c>
      <c r="G17" s="561"/>
      <c r="H17" s="562">
        <v>20</v>
      </c>
      <c r="I17" s="485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60"/>
    </row>
    <row r="18" spans="2:25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60"/>
    </row>
    <row r="19" spans="2:25" s="8" customFormat="1" ht="33.75" customHeight="1" thickBot="1" thickTop="1">
      <c r="B19" s="55"/>
      <c r="C19" s="332" t="s">
        <v>29</v>
      </c>
      <c r="D19" s="112" t="s">
        <v>30</v>
      </c>
      <c r="E19" s="112" t="s">
        <v>31</v>
      </c>
      <c r="F19" s="115" t="s">
        <v>58</v>
      </c>
      <c r="G19" s="113" t="s">
        <v>59</v>
      </c>
      <c r="H19" s="563" t="s">
        <v>60</v>
      </c>
      <c r="I19" s="337" t="s">
        <v>36</v>
      </c>
      <c r="J19" s="113" t="s">
        <v>37</v>
      </c>
      <c r="K19" s="113" t="s">
        <v>38</v>
      </c>
      <c r="L19" s="115" t="s">
        <v>39</v>
      </c>
      <c r="M19" s="115" t="s">
        <v>40</v>
      </c>
      <c r="N19" s="120" t="s">
        <v>171</v>
      </c>
      <c r="O19" s="120" t="s">
        <v>41</v>
      </c>
      <c r="P19" s="113" t="s">
        <v>43</v>
      </c>
      <c r="Q19" s="337" t="s">
        <v>35</v>
      </c>
      <c r="R19" s="564" t="s">
        <v>71</v>
      </c>
      <c r="S19" s="565" t="s">
        <v>81</v>
      </c>
      <c r="T19" s="566"/>
      <c r="U19" s="567" t="s">
        <v>48</v>
      </c>
      <c r="V19" s="341" t="s">
        <v>45</v>
      </c>
      <c r="W19" s="131" t="s">
        <v>50</v>
      </c>
      <c r="X19" s="568" t="s">
        <v>51</v>
      </c>
      <c r="Y19" s="60"/>
    </row>
    <row r="20" spans="2:25" s="8" customFormat="1" ht="16.5" customHeight="1" thickTop="1">
      <c r="B20" s="55"/>
      <c r="C20" s="346"/>
      <c r="D20" s="346"/>
      <c r="E20" s="346"/>
      <c r="F20" s="569"/>
      <c r="G20" s="569"/>
      <c r="H20" s="569"/>
      <c r="I20" s="434"/>
      <c r="J20" s="570"/>
      <c r="K20" s="570"/>
      <c r="L20" s="571"/>
      <c r="M20" s="571"/>
      <c r="N20" s="569"/>
      <c r="O20" s="152"/>
      <c r="P20" s="571"/>
      <c r="Q20" s="572"/>
      <c r="R20" s="573"/>
      <c r="S20" s="574"/>
      <c r="T20" s="575"/>
      <c r="U20" s="576"/>
      <c r="V20" s="576"/>
      <c r="W20" s="577"/>
      <c r="X20" s="578"/>
      <c r="Y20" s="60"/>
    </row>
    <row r="21" spans="2:25" s="8" customFormat="1" ht="16.5" customHeight="1">
      <c r="B21" s="55"/>
      <c r="C21" s="151"/>
      <c r="D21" s="151"/>
      <c r="E21" s="151"/>
      <c r="F21" s="579"/>
      <c r="G21" s="580"/>
      <c r="H21" s="581"/>
      <c r="I21" s="582"/>
      <c r="J21" s="583"/>
      <c r="K21" s="584"/>
      <c r="L21" s="585"/>
      <c r="M21" s="586"/>
      <c r="N21" s="587"/>
      <c r="O21" s="158"/>
      <c r="P21" s="437"/>
      <c r="Q21" s="588"/>
      <c r="R21" s="589"/>
      <c r="S21" s="590"/>
      <c r="T21" s="591"/>
      <c r="U21" s="592"/>
      <c r="V21" s="592"/>
      <c r="W21" s="437"/>
      <c r="X21" s="593"/>
      <c r="Y21" s="60"/>
    </row>
    <row r="22" spans="2:25" s="8" customFormat="1" ht="16.5" customHeight="1">
      <c r="B22" s="55"/>
      <c r="C22" s="516">
        <v>75</v>
      </c>
      <c r="D22" s="151">
        <v>283183</v>
      </c>
      <c r="E22" s="151">
        <v>4308</v>
      </c>
      <c r="F22" s="579" t="s">
        <v>253</v>
      </c>
      <c r="G22" s="580" t="s">
        <v>254</v>
      </c>
      <c r="H22" s="581">
        <v>30</v>
      </c>
      <c r="I22" s="377">
        <f aca="true" t="shared" si="0" ref="I22:I41">H22*$H$16</f>
        <v>3.126</v>
      </c>
      <c r="J22" s="583">
        <v>42006.881944444445</v>
      </c>
      <c r="K22" s="584">
        <v>42006.88263888889</v>
      </c>
      <c r="L22" s="521">
        <f>IF(F22="","",(K22-J22)*24)</f>
        <v>0.016666666720993817</v>
      </c>
      <c r="M22" s="522">
        <f>IF(F22="","",ROUND((K22-J22)*24*60,0))</f>
        <v>1</v>
      </c>
      <c r="N22" s="179" t="s">
        <v>185</v>
      </c>
      <c r="O22" s="283" t="str">
        <f aca="true" t="shared" si="1" ref="O22:O41">IF(F22="","","--")</f>
        <v>--</v>
      </c>
      <c r="P22" s="181" t="s">
        <v>82</v>
      </c>
      <c r="Q22" s="596">
        <f aca="true" t="shared" si="2" ref="Q22:Q41">IF(OR(N22="P",N22="RP"),$H$17/10,$H$17)</f>
        <v>20</v>
      </c>
      <c r="R22" s="597" t="str">
        <f aca="true" t="shared" si="3" ref="R22:R41">IF(N22="P",I22*Q22*ROUND(M22/60,2),"--")</f>
        <v>--</v>
      </c>
      <c r="S22" s="590" t="str">
        <f aca="true" t="shared" si="4" ref="S22:S41">IF(AND(N22="F",P22="NO"),I22*Q22,"--")</f>
        <v>--</v>
      </c>
      <c r="T22" s="591">
        <f aca="true" t="shared" si="5" ref="T22:T41">IF(N22="F",I22*Q22*ROUND(M22/60,2),"--")</f>
        <v>1.2504</v>
      </c>
      <c r="U22" s="592" t="str">
        <f aca="true" t="shared" si="6" ref="U22:U41">IF(N22="RF",I22*Q22*ROUND(M22/60,2),"--")</f>
        <v>--</v>
      </c>
      <c r="V22" s="439" t="s">
        <v>82</v>
      </c>
      <c r="W22" s="181" t="str">
        <f aca="true" t="shared" si="7" ref="W22:W41">IF(F22="","","SI")</f>
        <v>SI</v>
      </c>
      <c r="X22" s="525">
        <f aca="true" t="shared" si="8" ref="X22:X41">IF(F22="","",SUM(R22:V22)*IF(W22="SI",1,2)*IF(AND(O22&lt;&gt;"--",N22="RF"),O22/100,1))</f>
        <v>1.2504</v>
      </c>
      <c r="Y22" s="60"/>
    </row>
    <row r="23" spans="2:25" s="8" customFormat="1" ht="16.5" customHeight="1">
      <c r="B23" s="55"/>
      <c r="C23" s="516"/>
      <c r="D23" s="516"/>
      <c r="E23" s="516"/>
      <c r="F23" s="516"/>
      <c r="G23" s="516"/>
      <c r="H23" s="595"/>
      <c r="I23" s="377">
        <f t="shared" si="0"/>
        <v>0</v>
      </c>
      <c r="J23" s="519"/>
      <c r="K23" s="205"/>
      <c r="L23" s="521">
        <f aca="true" t="shared" si="9" ref="L23:L41">IF(F23="","",(K23-J23)*24)</f>
      </c>
      <c r="M23" s="522">
        <f aca="true" t="shared" si="10" ref="M23:M41">IF(F23="","",ROUND((K23-J23)*24*60,0))</f>
      </c>
      <c r="N23" s="179"/>
      <c r="O23" s="283">
        <f t="shared" si="1"/>
      </c>
      <c r="P23" s="181">
        <f aca="true" t="shared" si="11" ref="P23:P41">IF(F23="","",IF(OR(N23="P",N23="RP"),"--","NO"))</f>
      </c>
      <c r="Q23" s="596">
        <f t="shared" si="2"/>
        <v>20</v>
      </c>
      <c r="R23" s="597" t="str">
        <f t="shared" si="3"/>
        <v>--</v>
      </c>
      <c r="S23" s="590" t="str">
        <f t="shared" si="4"/>
        <v>--</v>
      </c>
      <c r="T23" s="591" t="str">
        <f t="shared" si="5"/>
        <v>--</v>
      </c>
      <c r="U23" s="592" t="str">
        <f t="shared" si="6"/>
        <v>--</v>
      </c>
      <c r="V23" s="439" t="s">
        <v>82</v>
      </c>
      <c r="W23" s="181">
        <f t="shared" si="7"/>
      </c>
      <c r="X23" s="525">
        <f t="shared" si="8"/>
      </c>
      <c r="Y23" s="60"/>
    </row>
    <row r="24" spans="2:25" s="8" customFormat="1" ht="16.5" customHeight="1">
      <c r="B24" s="55"/>
      <c r="C24" s="516"/>
      <c r="D24" s="516"/>
      <c r="E24" s="516"/>
      <c r="F24" s="516"/>
      <c r="G24" s="516"/>
      <c r="H24" s="595"/>
      <c r="I24" s="377">
        <f t="shared" si="0"/>
        <v>0</v>
      </c>
      <c r="J24" s="519"/>
      <c r="K24" s="205"/>
      <c r="L24" s="521">
        <f t="shared" si="9"/>
      </c>
      <c r="M24" s="522">
        <f t="shared" si="10"/>
      </c>
      <c r="N24" s="179"/>
      <c r="O24" s="283">
        <f t="shared" si="1"/>
      </c>
      <c r="P24" s="181">
        <f t="shared" si="11"/>
      </c>
      <c r="Q24" s="596">
        <f t="shared" si="2"/>
        <v>20</v>
      </c>
      <c r="R24" s="597" t="str">
        <f t="shared" si="3"/>
        <v>--</v>
      </c>
      <c r="S24" s="590" t="str">
        <f t="shared" si="4"/>
        <v>--</v>
      </c>
      <c r="T24" s="591" t="str">
        <f t="shared" si="5"/>
        <v>--</v>
      </c>
      <c r="U24" s="592" t="str">
        <f t="shared" si="6"/>
        <v>--</v>
      </c>
      <c r="V24" s="439" t="s">
        <v>82</v>
      </c>
      <c r="W24" s="181">
        <f t="shared" si="7"/>
      </c>
      <c r="X24" s="525">
        <f t="shared" si="8"/>
      </c>
      <c r="Y24" s="60"/>
    </row>
    <row r="25" spans="2:25" s="8" customFormat="1" ht="16.5" customHeight="1">
      <c r="B25" s="55"/>
      <c r="C25" s="516"/>
      <c r="D25" s="516"/>
      <c r="E25" s="516"/>
      <c r="F25" s="516"/>
      <c r="G25" s="516"/>
      <c r="H25" s="595"/>
      <c r="I25" s="377">
        <f t="shared" si="0"/>
        <v>0</v>
      </c>
      <c r="J25" s="519"/>
      <c r="K25" s="205"/>
      <c r="L25" s="521">
        <f t="shared" si="9"/>
      </c>
      <c r="M25" s="522">
        <f t="shared" si="10"/>
      </c>
      <c r="N25" s="179"/>
      <c r="O25" s="283">
        <f t="shared" si="1"/>
      </c>
      <c r="P25" s="181">
        <f t="shared" si="11"/>
      </c>
      <c r="Q25" s="596">
        <f t="shared" si="2"/>
        <v>20</v>
      </c>
      <c r="R25" s="597" t="str">
        <f t="shared" si="3"/>
        <v>--</v>
      </c>
      <c r="S25" s="590" t="str">
        <f t="shared" si="4"/>
        <v>--</v>
      </c>
      <c r="T25" s="591" t="str">
        <f t="shared" si="5"/>
        <v>--</v>
      </c>
      <c r="U25" s="592" t="str">
        <f t="shared" si="6"/>
        <v>--</v>
      </c>
      <c r="V25" s="439" t="str">
        <f aca="true" t="shared" si="12" ref="V25:V41">IF(N25="RP",I25*Q25*O25/100*ROUND(M25/60,2),"--")</f>
        <v>--</v>
      </c>
      <c r="W25" s="181">
        <f t="shared" si="7"/>
      </c>
      <c r="X25" s="525">
        <f t="shared" si="8"/>
      </c>
      <c r="Y25" s="60"/>
    </row>
    <row r="26" spans="2:25" s="8" customFormat="1" ht="16.5" customHeight="1">
      <c r="B26" s="55"/>
      <c r="C26" s="516"/>
      <c r="D26" s="516"/>
      <c r="E26" s="516"/>
      <c r="F26" s="516"/>
      <c r="G26" s="516"/>
      <c r="H26" s="595"/>
      <c r="I26" s="377">
        <f t="shared" si="0"/>
        <v>0</v>
      </c>
      <c r="J26" s="519"/>
      <c r="K26" s="205"/>
      <c r="L26" s="521">
        <f t="shared" si="9"/>
      </c>
      <c r="M26" s="522">
        <f t="shared" si="10"/>
      </c>
      <c r="N26" s="179"/>
      <c r="O26" s="283">
        <f t="shared" si="1"/>
      </c>
      <c r="P26" s="181">
        <f t="shared" si="11"/>
      </c>
      <c r="Q26" s="596">
        <f t="shared" si="2"/>
        <v>20</v>
      </c>
      <c r="R26" s="597" t="str">
        <f t="shared" si="3"/>
        <v>--</v>
      </c>
      <c r="S26" s="590" t="str">
        <f t="shared" si="4"/>
        <v>--</v>
      </c>
      <c r="T26" s="591" t="str">
        <f t="shared" si="5"/>
        <v>--</v>
      </c>
      <c r="U26" s="592" t="str">
        <f t="shared" si="6"/>
        <v>--</v>
      </c>
      <c r="V26" s="439" t="str">
        <f t="shared" si="12"/>
        <v>--</v>
      </c>
      <c r="W26" s="181">
        <f t="shared" si="7"/>
      </c>
      <c r="X26" s="525">
        <f t="shared" si="8"/>
      </c>
      <c r="Y26" s="598"/>
    </row>
    <row r="27" spans="2:25" s="8" customFormat="1" ht="16.5" customHeight="1">
      <c r="B27" s="55"/>
      <c r="C27" s="516"/>
      <c r="D27" s="516"/>
      <c r="E27" s="516"/>
      <c r="F27" s="516"/>
      <c r="G27" s="516"/>
      <c r="H27" s="595"/>
      <c r="I27" s="377">
        <f t="shared" si="0"/>
        <v>0</v>
      </c>
      <c r="J27" s="519"/>
      <c r="K27" s="205"/>
      <c r="L27" s="521">
        <f t="shared" si="9"/>
      </c>
      <c r="M27" s="522">
        <f t="shared" si="10"/>
      </c>
      <c r="N27" s="179"/>
      <c r="O27" s="283">
        <f t="shared" si="1"/>
      </c>
      <c r="P27" s="181">
        <f t="shared" si="11"/>
      </c>
      <c r="Q27" s="596">
        <f t="shared" si="2"/>
        <v>20</v>
      </c>
      <c r="R27" s="597" t="str">
        <f t="shared" si="3"/>
        <v>--</v>
      </c>
      <c r="S27" s="590" t="str">
        <f t="shared" si="4"/>
        <v>--</v>
      </c>
      <c r="T27" s="591" t="str">
        <f t="shared" si="5"/>
        <v>--</v>
      </c>
      <c r="U27" s="592" t="str">
        <f t="shared" si="6"/>
        <v>--</v>
      </c>
      <c r="V27" s="439" t="str">
        <f t="shared" si="12"/>
        <v>--</v>
      </c>
      <c r="W27" s="181">
        <f t="shared" si="7"/>
      </c>
      <c r="X27" s="525">
        <f t="shared" si="8"/>
      </c>
      <c r="Y27" s="598"/>
    </row>
    <row r="28" spans="2:25" s="8" customFormat="1" ht="16.5" customHeight="1">
      <c r="B28" s="55"/>
      <c r="C28" s="516"/>
      <c r="D28" s="516"/>
      <c r="E28" s="516"/>
      <c r="F28" s="516"/>
      <c r="G28" s="516"/>
      <c r="H28" s="595"/>
      <c r="I28" s="377">
        <f t="shared" si="0"/>
        <v>0</v>
      </c>
      <c r="J28" s="519"/>
      <c r="K28" s="205"/>
      <c r="L28" s="521">
        <f t="shared" si="9"/>
      </c>
      <c r="M28" s="522">
        <f t="shared" si="10"/>
      </c>
      <c r="N28" s="179"/>
      <c r="O28" s="283">
        <f t="shared" si="1"/>
      </c>
      <c r="P28" s="181">
        <f t="shared" si="11"/>
      </c>
      <c r="Q28" s="596">
        <f t="shared" si="2"/>
        <v>20</v>
      </c>
      <c r="R28" s="597" t="str">
        <f t="shared" si="3"/>
        <v>--</v>
      </c>
      <c r="S28" s="590" t="str">
        <f t="shared" si="4"/>
        <v>--</v>
      </c>
      <c r="T28" s="591" t="str">
        <f t="shared" si="5"/>
        <v>--</v>
      </c>
      <c r="U28" s="592" t="str">
        <f t="shared" si="6"/>
        <v>--</v>
      </c>
      <c r="V28" s="439" t="str">
        <f t="shared" si="12"/>
        <v>--</v>
      </c>
      <c r="W28" s="181">
        <f t="shared" si="7"/>
      </c>
      <c r="X28" s="525">
        <f t="shared" si="8"/>
      </c>
      <c r="Y28" s="598"/>
    </row>
    <row r="29" spans="2:25" s="8" customFormat="1" ht="16.5" customHeight="1">
      <c r="B29" s="55"/>
      <c r="C29" s="516"/>
      <c r="D29" s="516"/>
      <c r="E29" s="516"/>
      <c r="F29" s="516"/>
      <c r="G29" s="516"/>
      <c r="H29" s="595"/>
      <c r="I29" s="377">
        <f t="shared" si="0"/>
        <v>0</v>
      </c>
      <c r="J29" s="519"/>
      <c r="K29" s="205"/>
      <c r="L29" s="521">
        <f t="shared" si="9"/>
      </c>
      <c r="M29" s="522">
        <f t="shared" si="10"/>
      </c>
      <c r="N29" s="179"/>
      <c r="O29" s="283">
        <f t="shared" si="1"/>
      </c>
      <c r="P29" s="181">
        <f t="shared" si="11"/>
      </c>
      <c r="Q29" s="596">
        <f t="shared" si="2"/>
        <v>20</v>
      </c>
      <c r="R29" s="597" t="str">
        <f t="shared" si="3"/>
        <v>--</v>
      </c>
      <c r="S29" s="590" t="str">
        <f t="shared" si="4"/>
        <v>--</v>
      </c>
      <c r="T29" s="591" t="str">
        <f t="shared" si="5"/>
        <v>--</v>
      </c>
      <c r="U29" s="592" t="str">
        <f t="shared" si="6"/>
        <v>--</v>
      </c>
      <c r="V29" s="439" t="str">
        <f t="shared" si="12"/>
        <v>--</v>
      </c>
      <c r="W29" s="181">
        <f t="shared" si="7"/>
      </c>
      <c r="X29" s="525">
        <f t="shared" si="8"/>
      </c>
      <c r="Y29" s="598"/>
    </row>
    <row r="30" spans="2:25" s="8" customFormat="1" ht="16.5" customHeight="1">
      <c r="B30" s="55"/>
      <c r="C30" s="516"/>
      <c r="D30" s="516"/>
      <c r="E30" s="516"/>
      <c r="F30" s="516"/>
      <c r="G30" s="516"/>
      <c r="H30" s="595"/>
      <c r="I30" s="377">
        <f t="shared" si="0"/>
        <v>0</v>
      </c>
      <c r="J30" s="519"/>
      <c r="K30" s="205"/>
      <c r="L30" s="521">
        <f t="shared" si="9"/>
      </c>
      <c r="M30" s="522">
        <f t="shared" si="10"/>
      </c>
      <c r="N30" s="179"/>
      <c r="O30" s="283">
        <f t="shared" si="1"/>
      </c>
      <c r="P30" s="181">
        <f t="shared" si="11"/>
      </c>
      <c r="Q30" s="596">
        <f t="shared" si="2"/>
        <v>20</v>
      </c>
      <c r="R30" s="597" t="str">
        <f t="shared" si="3"/>
        <v>--</v>
      </c>
      <c r="S30" s="590" t="str">
        <f t="shared" si="4"/>
        <v>--</v>
      </c>
      <c r="T30" s="591" t="str">
        <f t="shared" si="5"/>
        <v>--</v>
      </c>
      <c r="U30" s="592" t="str">
        <f t="shared" si="6"/>
        <v>--</v>
      </c>
      <c r="V30" s="439" t="str">
        <f t="shared" si="12"/>
        <v>--</v>
      </c>
      <c r="W30" s="181">
        <f t="shared" si="7"/>
      </c>
      <c r="X30" s="525">
        <f t="shared" si="8"/>
      </c>
      <c r="Y30" s="598"/>
    </row>
    <row r="31" spans="2:25" s="8" customFormat="1" ht="16.5" customHeight="1">
      <c r="B31" s="55"/>
      <c r="C31" s="516"/>
      <c r="D31" s="516"/>
      <c r="E31" s="516"/>
      <c r="F31" s="516"/>
      <c r="G31" s="516"/>
      <c r="H31" s="595"/>
      <c r="I31" s="377">
        <f t="shared" si="0"/>
        <v>0</v>
      </c>
      <c r="J31" s="519"/>
      <c r="K31" s="205"/>
      <c r="L31" s="521">
        <f t="shared" si="9"/>
      </c>
      <c r="M31" s="522">
        <f t="shared" si="10"/>
      </c>
      <c r="N31" s="179"/>
      <c r="O31" s="283">
        <f t="shared" si="1"/>
      </c>
      <c r="P31" s="181">
        <f t="shared" si="11"/>
      </c>
      <c r="Q31" s="596">
        <f t="shared" si="2"/>
        <v>20</v>
      </c>
      <c r="R31" s="597" t="str">
        <f t="shared" si="3"/>
        <v>--</v>
      </c>
      <c r="S31" s="590" t="str">
        <f t="shared" si="4"/>
        <v>--</v>
      </c>
      <c r="T31" s="591" t="str">
        <f t="shared" si="5"/>
        <v>--</v>
      </c>
      <c r="U31" s="592" t="str">
        <f t="shared" si="6"/>
        <v>--</v>
      </c>
      <c r="V31" s="439" t="str">
        <f t="shared" si="12"/>
        <v>--</v>
      </c>
      <c r="W31" s="181">
        <f t="shared" si="7"/>
      </c>
      <c r="X31" s="525">
        <f t="shared" si="8"/>
      </c>
      <c r="Y31" s="598"/>
    </row>
    <row r="32" spans="2:25" s="8" customFormat="1" ht="16.5" customHeight="1">
      <c r="B32" s="55"/>
      <c r="C32" s="516"/>
      <c r="D32" s="516"/>
      <c r="E32" s="516"/>
      <c r="F32" s="516"/>
      <c r="G32" s="516"/>
      <c r="H32" s="595"/>
      <c r="I32" s="377">
        <f t="shared" si="0"/>
        <v>0</v>
      </c>
      <c r="J32" s="519"/>
      <c r="K32" s="205"/>
      <c r="L32" s="521">
        <f t="shared" si="9"/>
      </c>
      <c r="M32" s="522">
        <f t="shared" si="10"/>
      </c>
      <c r="N32" s="179"/>
      <c r="O32" s="283">
        <f t="shared" si="1"/>
      </c>
      <c r="P32" s="181">
        <f t="shared" si="11"/>
      </c>
      <c r="Q32" s="596">
        <f t="shared" si="2"/>
        <v>20</v>
      </c>
      <c r="R32" s="597" t="str">
        <f t="shared" si="3"/>
        <v>--</v>
      </c>
      <c r="S32" s="590" t="str">
        <f t="shared" si="4"/>
        <v>--</v>
      </c>
      <c r="T32" s="591" t="str">
        <f t="shared" si="5"/>
        <v>--</v>
      </c>
      <c r="U32" s="592" t="str">
        <f t="shared" si="6"/>
        <v>--</v>
      </c>
      <c r="V32" s="439" t="str">
        <f t="shared" si="12"/>
        <v>--</v>
      </c>
      <c r="W32" s="181">
        <f t="shared" si="7"/>
      </c>
      <c r="X32" s="525">
        <f t="shared" si="8"/>
      </c>
      <c r="Y32" s="60"/>
    </row>
    <row r="33" spans="2:25" s="8" customFormat="1" ht="16.5" customHeight="1">
      <c r="B33" s="55"/>
      <c r="C33" s="516"/>
      <c r="D33" s="516"/>
      <c r="E33" s="516"/>
      <c r="F33" s="516"/>
      <c r="G33" s="516"/>
      <c r="H33" s="595"/>
      <c r="I33" s="377">
        <f t="shared" si="0"/>
        <v>0</v>
      </c>
      <c r="J33" s="519"/>
      <c r="K33" s="205"/>
      <c r="L33" s="521">
        <f t="shared" si="9"/>
      </c>
      <c r="M33" s="522">
        <f t="shared" si="10"/>
      </c>
      <c r="N33" s="179"/>
      <c r="O33" s="283">
        <f t="shared" si="1"/>
      </c>
      <c r="P33" s="181">
        <f t="shared" si="11"/>
      </c>
      <c r="Q33" s="596">
        <f t="shared" si="2"/>
        <v>20</v>
      </c>
      <c r="R33" s="597" t="str">
        <f t="shared" si="3"/>
        <v>--</v>
      </c>
      <c r="S33" s="590" t="str">
        <f t="shared" si="4"/>
        <v>--</v>
      </c>
      <c r="T33" s="591" t="str">
        <f t="shared" si="5"/>
        <v>--</v>
      </c>
      <c r="U33" s="592" t="str">
        <f t="shared" si="6"/>
        <v>--</v>
      </c>
      <c r="V33" s="439" t="str">
        <f t="shared" si="12"/>
        <v>--</v>
      </c>
      <c r="W33" s="181">
        <f t="shared" si="7"/>
      </c>
      <c r="X33" s="525">
        <f t="shared" si="8"/>
      </c>
      <c r="Y33" s="60"/>
    </row>
    <row r="34" spans="2:25" s="8" customFormat="1" ht="16.5" customHeight="1">
      <c r="B34" s="55"/>
      <c r="C34" s="516"/>
      <c r="D34" s="516"/>
      <c r="E34" s="516"/>
      <c r="F34" s="516"/>
      <c r="G34" s="516"/>
      <c r="H34" s="595"/>
      <c r="I34" s="377">
        <f t="shared" si="0"/>
        <v>0</v>
      </c>
      <c r="J34" s="519"/>
      <c r="K34" s="205"/>
      <c r="L34" s="521">
        <f t="shared" si="9"/>
      </c>
      <c r="M34" s="522">
        <f t="shared" si="10"/>
      </c>
      <c r="N34" s="179"/>
      <c r="O34" s="283">
        <f t="shared" si="1"/>
      </c>
      <c r="P34" s="181">
        <f t="shared" si="11"/>
      </c>
      <c r="Q34" s="596">
        <f t="shared" si="2"/>
        <v>20</v>
      </c>
      <c r="R34" s="597" t="str">
        <f t="shared" si="3"/>
        <v>--</v>
      </c>
      <c r="S34" s="590" t="str">
        <f t="shared" si="4"/>
        <v>--</v>
      </c>
      <c r="T34" s="591" t="str">
        <f t="shared" si="5"/>
        <v>--</v>
      </c>
      <c r="U34" s="592" t="str">
        <f t="shared" si="6"/>
        <v>--</v>
      </c>
      <c r="V34" s="439" t="str">
        <f t="shared" si="12"/>
        <v>--</v>
      </c>
      <c r="W34" s="181">
        <f t="shared" si="7"/>
      </c>
      <c r="X34" s="525">
        <f t="shared" si="8"/>
      </c>
      <c r="Y34" s="60"/>
    </row>
    <row r="35" spans="2:25" s="8" customFormat="1" ht="16.5" customHeight="1">
      <c r="B35" s="55"/>
      <c r="C35" s="516"/>
      <c r="D35" s="516"/>
      <c r="E35" s="516"/>
      <c r="F35" s="516"/>
      <c r="G35" s="516"/>
      <c r="H35" s="595"/>
      <c r="I35" s="377">
        <f t="shared" si="0"/>
        <v>0</v>
      </c>
      <c r="J35" s="519"/>
      <c r="K35" s="205"/>
      <c r="L35" s="521">
        <f t="shared" si="9"/>
      </c>
      <c r="M35" s="522">
        <f t="shared" si="10"/>
      </c>
      <c r="N35" s="179"/>
      <c r="O35" s="283">
        <f t="shared" si="1"/>
      </c>
      <c r="P35" s="181">
        <f t="shared" si="11"/>
      </c>
      <c r="Q35" s="596">
        <f t="shared" si="2"/>
        <v>20</v>
      </c>
      <c r="R35" s="597" t="str">
        <f t="shared" si="3"/>
        <v>--</v>
      </c>
      <c r="S35" s="590" t="str">
        <f t="shared" si="4"/>
        <v>--</v>
      </c>
      <c r="T35" s="591" t="str">
        <f t="shared" si="5"/>
        <v>--</v>
      </c>
      <c r="U35" s="592" t="str">
        <f t="shared" si="6"/>
        <v>--</v>
      </c>
      <c r="V35" s="439" t="str">
        <f t="shared" si="12"/>
        <v>--</v>
      </c>
      <c r="W35" s="181">
        <f t="shared" si="7"/>
      </c>
      <c r="X35" s="525">
        <f t="shared" si="8"/>
      </c>
      <c r="Y35" s="60"/>
    </row>
    <row r="36" spans="2:25" s="8" customFormat="1" ht="16.5" customHeight="1">
      <c r="B36" s="55"/>
      <c r="C36" s="516"/>
      <c r="D36" s="516"/>
      <c r="E36" s="516"/>
      <c r="F36" s="516"/>
      <c r="G36" s="516"/>
      <c r="H36" s="595"/>
      <c r="I36" s="377">
        <f t="shared" si="0"/>
        <v>0</v>
      </c>
      <c r="J36" s="519"/>
      <c r="K36" s="205"/>
      <c r="L36" s="521">
        <f t="shared" si="9"/>
      </c>
      <c r="M36" s="522">
        <f t="shared" si="10"/>
      </c>
      <c r="N36" s="179"/>
      <c r="O36" s="283">
        <f t="shared" si="1"/>
      </c>
      <c r="P36" s="181">
        <f t="shared" si="11"/>
      </c>
      <c r="Q36" s="596">
        <f t="shared" si="2"/>
        <v>20</v>
      </c>
      <c r="R36" s="597" t="str">
        <f t="shared" si="3"/>
        <v>--</v>
      </c>
      <c r="S36" s="590" t="str">
        <f t="shared" si="4"/>
        <v>--</v>
      </c>
      <c r="T36" s="591" t="str">
        <f t="shared" si="5"/>
        <v>--</v>
      </c>
      <c r="U36" s="592" t="str">
        <f t="shared" si="6"/>
        <v>--</v>
      </c>
      <c r="V36" s="439" t="str">
        <f t="shared" si="12"/>
        <v>--</v>
      </c>
      <c r="W36" s="181">
        <f t="shared" si="7"/>
      </c>
      <c r="X36" s="525">
        <f t="shared" si="8"/>
      </c>
      <c r="Y36" s="60"/>
    </row>
    <row r="37" spans="2:25" s="8" customFormat="1" ht="16.5" customHeight="1">
      <c r="B37" s="55"/>
      <c r="C37" s="516"/>
      <c r="D37" s="516"/>
      <c r="E37" s="516"/>
      <c r="F37" s="516"/>
      <c r="G37" s="516"/>
      <c r="H37" s="595"/>
      <c r="I37" s="377">
        <f t="shared" si="0"/>
        <v>0</v>
      </c>
      <c r="J37" s="519"/>
      <c r="K37" s="205"/>
      <c r="L37" s="521">
        <f t="shared" si="9"/>
      </c>
      <c r="M37" s="522">
        <f t="shared" si="10"/>
      </c>
      <c r="N37" s="179"/>
      <c r="O37" s="283">
        <f t="shared" si="1"/>
      </c>
      <c r="P37" s="181">
        <f t="shared" si="11"/>
      </c>
      <c r="Q37" s="596">
        <f t="shared" si="2"/>
        <v>20</v>
      </c>
      <c r="R37" s="597" t="str">
        <f t="shared" si="3"/>
        <v>--</v>
      </c>
      <c r="S37" s="590" t="str">
        <f t="shared" si="4"/>
        <v>--</v>
      </c>
      <c r="T37" s="591" t="str">
        <f t="shared" si="5"/>
        <v>--</v>
      </c>
      <c r="U37" s="592" t="str">
        <f t="shared" si="6"/>
        <v>--</v>
      </c>
      <c r="V37" s="439" t="str">
        <f t="shared" si="12"/>
        <v>--</v>
      </c>
      <c r="W37" s="181">
        <f t="shared" si="7"/>
      </c>
      <c r="X37" s="525">
        <f t="shared" si="8"/>
      </c>
      <c r="Y37" s="60"/>
    </row>
    <row r="38" spans="2:25" s="8" customFormat="1" ht="16.5" customHeight="1">
      <c r="B38" s="55"/>
      <c r="C38" s="516"/>
      <c r="D38" s="516"/>
      <c r="E38" s="516"/>
      <c r="F38" s="516"/>
      <c r="G38" s="516"/>
      <c r="H38" s="595"/>
      <c r="I38" s="377">
        <f t="shared" si="0"/>
        <v>0</v>
      </c>
      <c r="J38" s="519"/>
      <c r="K38" s="205"/>
      <c r="L38" s="521">
        <f t="shared" si="9"/>
      </c>
      <c r="M38" s="522">
        <f t="shared" si="10"/>
      </c>
      <c r="N38" s="179"/>
      <c r="O38" s="283">
        <f t="shared" si="1"/>
      </c>
      <c r="P38" s="181">
        <f t="shared" si="11"/>
      </c>
      <c r="Q38" s="596">
        <f t="shared" si="2"/>
        <v>20</v>
      </c>
      <c r="R38" s="597" t="str">
        <f t="shared" si="3"/>
        <v>--</v>
      </c>
      <c r="S38" s="590" t="str">
        <f t="shared" si="4"/>
        <v>--</v>
      </c>
      <c r="T38" s="591" t="str">
        <f t="shared" si="5"/>
        <v>--</v>
      </c>
      <c r="U38" s="592" t="str">
        <f t="shared" si="6"/>
        <v>--</v>
      </c>
      <c r="V38" s="439" t="str">
        <f t="shared" si="12"/>
        <v>--</v>
      </c>
      <c r="W38" s="181">
        <f t="shared" si="7"/>
      </c>
      <c r="X38" s="525">
        <f t="shared" si="8"/>
      </c>
      <c r="Y38" s="60"/>
    </row>
    <row r="39" spans="2:25" s="8" customFormat="1" ht="16.5" customHeight="1">
      <c r="B39" s="55"/>
      <c r="C39" s="516"/>
      <c r="D39" s="516"/>
      <c r="E39" s="516"/>
      <c r="F39" s="516"/>
      <c r="G39" s="516"/>
      <c r="H39" s="595"/>
      <c r="I39" s="377">
        <f t="shared" si="0"/>
        <v>0</v>
      </c>
      <c r="J39" s="519"/>
      <c r="K39" s="205"/>
      <c r="L39" s="521">
        <f t="shared" si="9"/>
      </c>
      <c r="M39" s="522">
        <f t="shared" si="10"/>
      </c>
      <c r="N39" s="179"/>
      <c r="O39" s="283">
        <f t="shared" si="1"/>
      </c>
      <c r="P39" s="181">
        <f t="shared" si="11"/>
      </c>
      <c r="Q39" s="596">
        <f t="shared" si="2"/>
        <v>20</v>
      </c>
      <c r="R39" s="597" t="str">
        <f t="shared" si="3"/>
        <v>--</v>
      </c>
      <c r="S39" s="590" t="str">
        <f t="shared" si="4"/>
        <v>--</v>
      </c>
      <c r="T39" s="591" t="str">
        <f t="shared" si="5"/>
        <v>--</v>
      </c>
      <c r="U39" s="592" t="str">
        <f t="shared" si="6"/>
        <v>--</v>
      </c>
      <c r="V39" s="439" t="str">
        <f t="shared" si="12"/>
        <v>--</v>
      </c>
      <c r="W39" s="181">
        <f t="shared" si="7"/>
      </c>
      <c r="X39" s="525">
        <f t="shared" si="8"/>
      </c>
      <c r="Y39" s="60"/>
    </row>
    <row r="40" spans="2:25" s="8" customFormat="1" ht="16.5" customHeight="1">
      <c r="B40" s="55"/>
      <c r="C40" s="516"/>
      <c r="D40" s="516"/>
      <c r="E40" s="516"/>
      <c r="F40" s="516"/>
      <c r="G40" s="516"/>
      <c r="H40" s="595"/>
      <c r="I40" s="377">
        <f t="shared" si="0"/>
        <v>0</v>
      </c>
      <c r="J40" s="519"/>
      <c r="K40" s="205"/>
      <c r="L40" s="521">
        <f t="shared" si="9"/>
      </c>
      <c r="M40" s="522">
        <f t="shared" si="10"/>
      </c>
      <c r="N40" s="179"/>
      <c r="O40" s="283">
        <f t="shared" si="1"/>
      </c>
      <c r="P40" s="181">
        <f t="shared" si="11"/>
      </c>
      <c r="Q40" s="596">
        <f t="shared" si="2"/>
        <v>20</v>
      </c>
      <c r="R40" s="597" t="str">
        <f t="shared" si="3"/>
        <v>--</v>
      </c>
      <c r="S40" s="590" t="str">
        <f t="shared" si="4"/>
        <v>--</v>
      </c>
      <c r="T40" s="591" t="str">
        <f t="shared" si="5"/>
        <v>--</v>
      </c>
      <c r="U40" s="592" t="str">
        <f t="shared" si="6"/>
        <v>--</v>
      </c>
      <c r="V40" s="439" t="str">
        <f t="shared" si="12"/>
        <v>--</v>
      </c>
      <c r="W40" s="181">
        <f t="shared" si="7"/>
      </c>
      <c r="X40" s="525">
        <f t="shared" si="8"/>
      </c>
      <c r="Y40" s="60"/>
    </row>
    <row r="41" spans="2:25" s="8" customFormat="1" ht="16.5" customHeight="1">
      <c r="B41" s="55"/>
      <c r="C41" s="516"/>
      <c r="D41" s="516"/>
      <c r="E41" s="516"/>
      <c r="F41" s="516"/>
      <c r="G41" s="516"/>
      <c r="H41" s="595"/>
      <c r="I41" s="377">
        <f t="shared" si="0"/>
        <v>0</v>
      </c>
      <c r="J41" s="519"/>
      <c r="K41" s="205"/>
      <c r="L41" s="521">
        <f t="shared" si="9"/>
      </c>
      <c r="M41" s="522">
        <f t="shared" si="10"/>
      </c>
      <c r="N41" s="179"/>
      <c r="O41" s="283">
        <f t="shared" si="1"/>
      </c>
      <c r="P41" s="181">
        <f t="shared" si="11"/>
      </c>
      <c r="Q41" s="596">
        <f t="shared" si="2"/>
        <v>20</v>
      </c>
      <c r="R41" s="597" t="str">
        <f t="shared" si="3"/>
        <v>--</v>
      </c>
      <c r="S41" s="590" t="str">
        <f t="shared" si="4"/>
        <v>--</v>
      </c>
      <c r="T41" s="591" t="str">
        <f t="shared" si="5"/>
        <v>--</v>
      </c>
      <c r="U41" s="592" t="str">
        <f t="shared" si="6"/>
        <v>--</v>
      </c>
      <c r="V41" s="439" t="str">
        <f t="shared" si="12"/>
        <v>--</v>
      </c>
      <c r="W41" s="181">
        <f t="shared" si="7"/>
      </c>
      <c r="X41" s="525">
        <f t="shared" si="8"/>
      </c>
      <c r="Y41" s="60"/>
    </row>
    <row r="42" spans="2:25" s="8" customFormat="1" ht="16.5" customHeight="1" thickBot="1">
      <c r="B42" s="55"/>
      <c r="C42" s="549"/>
      <c r="D42" s="549"/>
      <c r="E42" s="549"/>
      <c r="F42" s="549"/>
      <c r="G42" s="549"/>
      <c r="H42" s="599"/>
      <c r="I42" s="397"/>
      <c r="J42" s="526"/>
      <c r="K42" s="526"/>
      <c r="L42" s="527"/>
      <c r="M42" s="527"/>
      <c r="N42" s="526"/>
      <c r="O42" s="217"/>
      <c r="P42" s="216"/>
      <c r="Q42" s="600"/>
      <c r="R42" s="601"/>
      <c r="S42" s="602"/>
      <c r="T42" s="603"/>
      <c r="U42" s="604"/>
      <c r="V42" s="604"/>
      <c r="W42" s="216"/>
      <c r="X42" s="605"/>
      <c r="Y42" s="60"/>
    </row>
    <row r="43" spans="2:25" s="8" customFormat="1" ht="16.5" customHeight="1" thickBot="1" thickTop="1">
      <c r="B43" s="55"/>
      <c r="C43" s="230" t="s">
        <v>172</v>
      </c>
      <c r="D43" s="272"/>
      <c r="E43" s="230"/>
      <c r="F43" s="232"/>
      <c r="I43" s="11"/>
      <c r="J43" s="11"/>
      <c r="K43" s="11"/>
      <c r="L43" s="11"/>
      <c r="M43" s="11"/>
      <c r="N43" s="11"/>
      <c r="O43" s="11"/>
      <c r="P43" s="11"/>
      <c r="Q43" s="11"/>
      <c r="R43" s="606">
        <f>SUM(R20:R42)</f>
        <v>0</v>
      </c>
      <c r="S43" s="607">
        <f>SUM(S20:S42)</f>
        <v>0</v>
      </c>
      <c r="T43" s="608">
        <f>SUM(T20:T42)</f>
        <v>1.2504</v>
      </c>
      <c r="U43" s="609">
        <f>SUM(U20:U42)</f>
        <v>0</v>
      </c>
      <c r="V43" s="609">
        <f>SUM(V20:V42)</f>
        <v>0</v>
      </c>
      <c r="X43" s="539">
        <f>ROUND(SUM(X20:X42),2)</f>
        <v>1.25</v>
      </c>
      <c r="Y43" s="610"/>
    </row>
    <row r="44" spans="2:25" s="8" customFormat="1" ht="16.5" customHeight="1" thickBot="1" thickTop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8"/>
    </row>
    <row r="45" spans="6:27" ht="16.5" customHeight="1" thickTop="1">
      <c r="F45" s="611"/>
      <c r="G45" s="611"/>
      <c r="H45" s="611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</row>
    <row r="46" spans="6:27" ht="16.5" customHeight="1">
      <c r="F46" s="611"/>
      <c r="G46" s="611"/>
      <c r="H46" s="611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</row>
    <row r="47" spans="6:27" ht="16.5" customHeight="1">
      <c r="F47" s="611"/>
      <c r="G47" s="611"/>
      <c r="H47" s="611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</row>
    <row r="48" spans="6:27" ht="16.5" customHeight="1">
      <c r="F48" s="611"/>
      <c r="G48" s="611"/>
      <c r="H48" s="611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</row>
    <row r="49" spans="6:27" ht="16.5" customHeight="1">
      <c r="F49" s="611"/>
      <c r="G49" s="611"/>
      <c r="H49" s="611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</row>
    <row r="50" spans="6:27" ht="16.5" customHeight="1">
      <c r="F50" s="611"/>
      <c r="G50" s="611"/>
      <c r="H50" s="611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</row>
    <row r="51" spans="6:27" ht="16.5" customHeight="1"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</row>
    <row r="52" spans="6:27" ht="16.5" customHeight="1"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</row>
    <row r="53" spans="6:27" ht="16.5" customHeight="1"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</row>
    <row r="54" spans="6:27" ht="16.5" customHeight="1"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</row>
    <row r="55" spans="6:27" ht="16.5" customHeight="1"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</row>
    <row r="56" spans="6:27" ht="16.5" customHeight="1"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</row>
    <row r="57" spans="6:27" ht="16.5" customHeight="1"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</row>
    <row r="58" spans="6:27" ht="16.5" customHeight="1"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</row>
    <row r="59" spans="6:27" ht="16.5" customHeight="1"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</row>
    <row r="60" spans="6:27" ht="16.5" customHeight="1"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</row>
    <row r="61" spans="6:27" ht="16.5" customHeight="1"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</row>
    <row r="62" spans="6:27" ht="16.5" customHeight="1"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</row>
    <row r="63" spans="6:27" ht="16.5" customHeight="1"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</row>
    <row r="64" spans="6:27" ht="16.5" customHeight="1"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</row>
    <row r="65" spans="6:27" ht="16.5" customHeight="1"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</row>
    <row r="66" spans="6:27" ht="16.5" customHeight="1"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</row>
    <row r="67" spans="6:27" ht="16.5" customHeight="1"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</row>
    <row r="68" spans="6:27" ht="16.5" customHeight="1"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</row>
    <row r="69" spans="6:27" ht="16.5" customHeight="1"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</row>
    <row r="70" spans="6:27" ht="16.5" customHeight="1"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</row>
    <row r="71" spans="6:27" ht="16.5" customHeight="1"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</row>
    <row r="72" spans="6:27" ht="16.5" customHeight="1"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</row>
    <row r="73" spans="6:27" ht="16.5" customHeight="1"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</row>
    <row r="74" spans="6:27" ht="16.5" customHeight="1"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</row>
    <row r="75" spans="6:27" ht="16.5" customHeight="1"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</row>
    <row r="76" spans="6:27" ht="16.5" customHeight="1"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</row>
    <row r="77" spans="6:27" ht="16.5" customHeight="1"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</row>
    <row r="78" spans="6:27" ht="16.5" customHeight="1"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</row>
    <row r="79" spans="6:27" ht="16.5" customHeight="1"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</row>
    <row r="80" spans="6:27" ht="16.5" customHeight="1"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</row>
    <row r="81" spans="6:27" ht="16.5" customHeight="1"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</row>
    <row r="82" spans="6:27" ht="16.5" customHeight="1"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</row>
    <row r="83" spans="6:27" ht="16.5" customHeight="1"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</row>
    <row r="84" spans="6:27" ht="16.5" customHeight="1"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</row>
    <row r="85" spans="6:27" ht="16.5" customHeight="1"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</row>
    <row r="86" spans="6:27" ht="16.5" customHeight="1"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</row>
    <row r="87" spans="6:27" ht="16.5" customHeight="1"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</row>
    <row r="88" spans="6:27" ht="16.5" customHeight="1"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</row>
    <row r="89" spans="6:27" ht="16.5" customHeight="1"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</row>
    <row r="90" spans="6:27" ht="16.5" customHeight="1"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</row>
    <row r="91" spans="6:27" ht="16.5" customHeight="1"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</row>
    <row r="92" spans="6:27" ht="16.5" customHeight="1"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</row>
    <row r="93" spans="6:27" ht="16.5" customHeight="1"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</row>
    <row r="94" spans="6:27" ht="16.5" customHeight="1"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</row>
    <row r="95" spans="6:27" ht="16.5" customHeight="1"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</row>
    <row r="96" spans="6:27" ht="16.5" customHeight="1"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</row>
    <row r="97" spans="6:27" ht="16.5" customHeight="1"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</row>
    <row r="98" spans="6:27" ht="16.5" customHeight="1"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</row>
    <row r="99" spans="6:27" ht="16.5" customHeight="1"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</row>
    <row r="100" spans="6:27" ht="16.5" customHeight="1"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</row>
    <row r="101" spans="6:27" ht="16.5" customHeight="1"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</row>
    <row r="102" spans="6:27" ht="16.5" customHeight="1"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</row>
    <row r="103" spans="6:27" ht="16.5" customHeight="1"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</row>
    <row r="104" spans="6:27" ht="16.5" customHeight="1"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</row>
    <row r="105" spans="6:27" ht="16.5" customHeight="1"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</row>
    <row r="106" spans="6:27" ht="16.5" customHeight="1"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</row>
    <row r="107" spans="6:27" ht="16.5" customHeight="1"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</row>
    <row r="108" spans="6:27" ht="16.5" customHeight="1"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</row>
    <row r="109" spans="6:27" ht="16.5" customHeight="1"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</row>
    <row r="110" spans="6:27" ht="16.5" customHeight="1"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</row>
    <row r="111" spans="6:27" ht="16.5" customHeight="1"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</row>
    <row r="112" spans="6:27" ht="16.5" customHeight="1"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</row>
    <row r="113" spans="6:27" ht="16.5" customHeight="1"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</row>
    <row r="114" spans="6:27" ht="16.5" customHeight="1"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</row>
    <row r="115" spans="6:27" ht="16.5" customHeight="1"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</row>
    <row r="116" spans="6:27" ht="16.5" customHeight="1"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</row>
    <row r="117" spans="6:27" ht="16.5" customHeight="1"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</row>
    <row r="118" spans="6:27" ht="16.5" customHeight="1"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</row>
    <row r="119" spans="6:27" ht="16.5" customHeight="1"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</row>
    <row r="120" spans="6:27" ht="16.5" customHeight="1"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</row>
    <row r="121" spans="6:27" ht="16.5" customHeight="1"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</row>
    <row r="122" spans="6:27" ht="16.5" customHeight="1"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</row>
    <row r="123" spans="6:27" ht="16.5" customHeight="1"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</row>
    <row r="124" spans="6:27" ht="16.5" customHeight="1"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</row>
    <row r="125" spans="6:27" ht="16.5" customHeight="1"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</row>
    <row r="126" spans="6:27" ht="16.5" customHeight="1"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</row>
    <row r="127" spans="6:27" ht="16.5" customHeight="1"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  <c r="Z127" s="428"/>
      <c r="AA127" s="428"/>
    </row>
    <row r="128" spans="6:27" ht="16.5" customHeight="1"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</row>
    <row r="129" spans="6:27" ht="16.5" customHeight="1"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</row>
    <row r="130" spans="6:27" ht="16.5" customHeight="1"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</row>
    <row r="131" spans="6:27" ht="16.5" customHeight="1"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</row>
    <row r="132" spans="6:27" ht="16.5" customHeight="1"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</row>
    <row r="133" spans="6:27" ht="16.5" customHeight="1"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</row>
    <row r="134" spans="6:27" ht="16.5" customHeight="1"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</row>
    <row r="135" spans="6:27" ht="16.5" customHeight="1"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</row>
    <row r="136" spans="6:27" ht="16.5" customHeight="1"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</row>
    <row r="137" spans="6:27" ht="16.5" customHeight="1"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</row>
    <row r="138" spans="6:27" ht="16.5" customHeight="1"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</row>
    <row r="139" spans="6:27" ht="16.5" customHeight="1"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8"/>
      <c r="AA139" s="428"/>
    </row>
    <row r="140" spans="6:27" ht="16.5" customHeight="1"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  <c r="Z140" s="428"/>
      <c r="AA140" s="428"/>
    </row>
    <row r="141" spans="6:27" ht="16.5" customHeight="1"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  <c r="Z141" s="428"/>
      <c r="AA141" s="428"/>
    </row>
    <row r="142" spans="6:27" ht="16.5" customHeight="1"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</row>
    <row r="143" spans="6:27" ht="16.5" customHeight="1"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8"/>
      <c r="Z143" s="428"/>
      <c r="AA143" s="428"/>
    </row>
    <row r="144" spans="6:27" ht="16.5" customHeight="1"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</row>
    <row r="145" spans="6:27" ht="16.5" customHeight="1"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</row>
    <row r="146" spans="6:27" ht="16.5" customHeight="1"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</row>
    <row r="147" spans="6:27" ht="16.5" customHeight="1"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8"/>
    </row>
    <row r="148" spans="6:27" ht="16.5" customHeight="1"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</row>
    <row r="149" spans="6:27" ht="16.5" customHeight="1"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  <c r="Z149" s="428"/>
      <c r="AA149" s="428"/>
    </row>
    <row r="150" spans="6:27" ht="16.5" customHeight="1"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  <c r="Z150" s="428"/>
      <c r="AA150" s="428"/>
    </row>
    <row r="151" spans="6:27" ht="16.5" customHeight="1"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8"/>
    </row>
    <row r="152" spans="6:27" ht="16.5" customHeight="1">
      <c r="F152" s="428"/>
      <c r="G152" s="428"/>
      <c r="H152" s="428"/>
      <c r="Z152" s="428"/>
      <c r="AA152" s="428"/>
    </row>
    <row r="153" spans="6:8" ht="16.5" customHeight="1">
      <c r="F153" s="428"/>
      <c r="G153" s="428"/>
      <c r="H153" s="428"/>
    </row>
    <row r="154" spans="6:8" ht="16.5" customHeight="1">
      <c r="F154" s="428"/>
      <c r="G154" s="428"/>
      <c r="H154" s="428"/>
    </row>
    <row r="155" spans="6:8" ht="16.5" customHeight="1">
      <c r="F155" s="428"/>
      <c r="G155" s="428"/>
      <c r="H155" s="428"/>
    </row>
    <row r="156" spans="6:8" ht="16.5" customHeight="1">
      <c r="F156" s="428"/>
      <c r="G156" s="428"/>
      <c r="H156" s="428"/>
    </row>
    <row r="157" spans="6:8" ht="16.5" customHeight="1">
      <c r="F157" s="428"/>
      <c r="G157" s="428"/>
      <c r="H157" s="428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15.7109375" style="9" customWidth="1"/>
    <col min="2" max="2" width="18.28125" style="9" customWidth="1"/>
    <col min="3" max="3" width="4.7109375" style="9" customWidth="1"/>
    <col min="4" max="4" width="30.7109375" style="9" customWidth="1"/>
    <col min="5" max="5" width="20.7109375" style="9" customWidth="1"/>
    <col min="6" max="6" width="19.140625" style="9" customWidth="1"/>
    <col min="7" max="7" width="13.00390625" style="9" customWidth="1"/>
    <col min="8" max="8" width="15.57421875" style="9" hidden="1" customWidth="1"/>
    <col min="9" max="9" width="11.0039062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7.421875" style="9" customWidth="1"/>
    <col min="18" max="19" width="12.140625" style="9" hidden="1" customWidth="1"/>
    <col min="20" max="20" width="11.57421875" style="9" hidden="1" customWidth="1"/>
    <col min="21" max="21" width="13.00390625" style="9" hidden="1" customWidth="1"/>
    <col min="22" max="22" width="8.421875" style="9" hidden="1" customWidth="1"/>
    <col min="23" max="23" width="15.7109375" style="9" hidden="1" customWidth="1"/>
    <col min="24" max="27" width="8.421875" style="9" hidden="1" customWidth="1"/>
    <col min="28" max="28" width="9.7109375" style="9" customWidth="1"/>
    <col min="29" max="29" width="17.28125" style="9" customWidth="1"/>
    <col min="30" max="30" width="18.2812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618" customFormat="1" ht="30.75">
      <c r="A3" s="615"/>
      <c r="B3" s="616" t="str">
        <f>+'TOT-0115'!B2</f>
        <v>ANEXO II al Memorándum D.T.E.E. N°  90 /2016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AB3" s="617"/>
      <c r="AC3" s="617"/>
      <c r="AD3" s="617"/>
    </row>
    <row r="4" spans="1:2" s="14" customFormat="1" ht="11.25">
      <c r="A4" s="12" t="s">
        <v>2</v>
      </c>
      <c r="B4" s="12"/>
    </row>
    <row r="5" spans="1:2" s="14" customFormat="1" ht="11.25">
      <c r="A5" s="12" t="s">
        <v>3</v>
      </c>
      <c r="B5" s="12"/>
    </row>
    <row r="6" s="14" customFormat="1" ht="12" thickBot="1">
      <c r="A6" s="12"/>
    </row>
    <row r="7" spans="1:30" ht="16.5" customHeight="1" thickTop="1">
      <c r="A7" s="8"/>
      <c r="B7" s="92"/>
      <c r="C7" s="93"/>
      <c r="D7" s="93"/>
      <c r="E7" s="94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619"/>
      <c r="X7" s="619"/>
      <c r="Y7" s="619"/>
      <c r="Z7" s="619"/>
      <c r="AA7" s="619"/>
      <c r="AB7" s="619"/>
      <c r="AC7" s="619"/>
      <c r="AD7" s="95"/>
    </row>
    <row r="8" spans="1:30" ht="20.25">
      <c r="A8" s="8"/>
      <c r="B8" s="55"/>
      <c r="C8" s="11"/>
      <c r="D8" s="97" t="s">
        <v>85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620"/>
      <c r="Q8" s="620"/>
      <c r="R8" s="11"/>
      <c r="S8" s="11"/>
      <c r="T8" s="11"/>
      <c r="U8" s="11"/>
      <c r="V8" s="11"/>
      <c r="AD8" s="100"/>
    </row>
    <row r="9" spans="1:30" ht="16.5" customHeight="1">
      <c r="A9" s="8"/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AD9" s="100"/>
    </row>
    <row r="10" spans="2:30" s="34" customFormat="1" ht="20.25">
      <c r="B10" s="43"/>
      <c r="C10" s="42"/>
      <c r="D10" s="97" t="s">
        <v>86</v>
      </c>
      <c r="E10" s="42"/>
      <c r="F10" s="42"/>
      <c r="G10" s="42"/>
      <c r="H10" s="42"/>
      <c r="N10" s="42"/>
      <c r="O10" s="42"/>
      <c r="P10" s="273"/>
      <c r="Q10" s="273"/>
      <c r="R10" s="42"/>
      <c r="S10" s="42"/>
      <c r="T10" s="42"/>
      <c r="U10" s="42"/>
      <c r="V10" s="42"/>
      <c r="W10" s="9"/>
      <c r="X10" s="42"/>
      <c r="Y10" s="42"/>
      <c r="Z10" s="42"/>
      <c r="AA10" s="42"/>
      <c r="AB10" s="42"/>
      <c r="AC10" s="9"/>
      <c r="AD10" s="274"/>
    </row>
    <row r="11" spans="1:30" ht="16.5" customHeight="1">
      <c r="A11" s="8"/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AD11" s="100"/>
    </row>
    <row r="12" spans="2:30" s="34" customFormat="1" ht="20.25">
      <c r="B12" s="43"/>
      <c r="C12" s="42"/>
      <c r="D12" s="97" t="s">
        <v>87</v>
      </c>
      <c r="E12" s="42"/>
      <c r="F12" s="42"/>
      <c r="G12" s="42"/>
      <c r="H12" s="42"/>
      <c r="N12" s="42"/>
      <c r="O12" s="42"/>
      <c r="P12" s="273"/>
      <c r="Q12" s="273"/>
      <c r="R12" s="42"/>
      <c r="S12" s="42"/>
      <c r="T12" s="42"/>
      <c r="U12" s="42"/>
      <c r="V12" s="42"/>
      <c r="W12" s="9"/>
      <c r="X12" s="42"/>
      <c r="Y12" s="42"/>
      <c r="Z12" s="42"/>
      <c r="AA12" s="42"/>
      <c r="AB12" s="42"/>
      <c r="AC12" s="9"/>
      <c r="AD12" s="274"/>
    </row>
    <row r="13" spans="1:30" ht="16.5" customHeight="1">
      <c r="A13" s="8"/>
      <c r="B13" s="55"/>
      <c r="C13" s="11"/>
      <c r="D13" s="11"/>
      <c r="E13" s="8"/>
      <c r="F13" s="8"/>
      <c r="G13" s="8"/>
      <c r="H13" s="8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AD13" s="100"/>
    </row>
    <row r="14" spans="2:30" s="34" customFormat="1" ht="19.5">
      <c r="B14" s="35" t="str">
        <f>'TOT-0115'!B14</f>
        <v>Desde el 01 al 31 de enero de 2015</v>
      </c>
      <c r="C14" s="36"/>
      <c r="D14" s="39"/>
      <c r="E14" s="39"/>
      <c r="F14" s="39"/>
      <c r="G14" s="39"/>
      <c r="H14" s="39"/>
      <c r="I14" s="40"/>
      <c r="J14" s="25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621"/>
      <c r="V14" s="621"/>
      <c r="W14" s="9"/>
      <c r="X14" s="622"/>
      <c r="Y14" s="622"/>
      <c r="Z14" s="622"/>
      <c r="AA14" s="622"/>
      <c r="AB14" s="621"/>
      <c r="AC14" s="25"/>
      <c r="AD14" s="41"/>
    </row>
    <row r="15" spans="1:30" ht="16.5" customHeight="1">
      <c r="A15" s="8"/>
      <c r="B15" s="55"/>
      <c r="C15" s="11"/>
      <c r="D15" s="11"/>
      <c r="E15" s="86"/>
      <c r="F15" s="86"/>
      <c r="G15" s="11"/>
      <c r="H15" s="11"/>
      <c r="I15" s="11"/>
      <c r="J15" s="623"/>
      <c r="K15" s="11"/>
      <c r="L15" s="11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100"/>
    </row>
    <row r="16" spans="1:30" ht="16.5" customHeight="1">
      <c r="A16" s="8"/>
      <c r="B16" s="55"/>
      <c r="C16" s="11"/>
      <c r="D16" s="11"/>
      <c r="E16" s="86"/>
      <c r="F16" s="86"/>
      <c r="G16" s="11"/>
      <c r="H16" s="11"/>
      <c r="I16" s="624"/>
      <c r="J16" s="11"/>
      <c r="K16" s="249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100"/>
    </row>
    <row r="17" spans="1:30" ht="16.5" customHeight="1">
      <c r="A17" s="8"/>
      <c r="B17" s="55"/>
      <c r="C17" s="11"/>
      <c r="D17" s="11"/>
      <c r="E17" s="86"/>
      <c r="F17" s="86"/>
      <c r="G17" s="11"/>
      <c r="H17" s="11"/>
      <c r="I17" s="624"/>
      <c r="J17" s="11"/>
      <c r="K17" s="249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100"/>
    </row>
    <row r="18" spans="1:30" ht="16.5" customHeight="1">
      <c r="A18" s="8"/>
      <c r="B18" s="55"/>
      <c r="C18" s="73" t="s">
        <v>88</v>
      </c>
      <c r="D18" s="4" t="s">
        <v>89</v>
      </c>
      <c r="E18" s="86"/>
      <c r="F18" s="86"/>
      <c r="G18" s="11"/>
      <c r="H18" s="11"/>
      <c r="I18" s="11"/>
      <c r="J18" s="623"/>
      <c r="K18" s="11"/>
      <c r="L18" s="11"/>
      <c r="M18" s="11"/>
      <c r="N18" s="8"/>
      <c r="O18" s="8"/>
      <c r="P18" s="11"/>
      <c r="Q18" s="11"/>
      <c r="R18" s="11"/>
      <c r="S18" s="11"/>
      <c r="T18" s="11"/>
      <c r="U18" s="11"/>
      <c r="V18" s="11"/>
      <c r="AD18" s="100"/>
    </row>
    <row r="19" spans="2:30" s="27" customFormat="1" ht="16.5" customHeight="1">
      <c r="B19" s="625"/>
      <c r="C19" s="29"/>
      <c r="D19" s="626"/>
      <c r="E19" s="627"/>
      <c r="F19" s="628"/>
      <c r="G19" s="29"/>
      <c r="H19" s="29"/>
      <c r="I19" s="29"/>
      <c r="J19" s="629"/>
      <c r="K19" s="29"/>
      <c r="L19" s="29"/>
      <c r="M19" s="29"/>
      <c r="P19" s="29"/>
      <c r="Q19" s="29"/>
      <c r="R19" s="29"/>
      <c r="S19" s="29"/>
      <c r="T19" s="29"/>
      <c r="U19" s="29"/>
      <c r="V19" s="29"/>
      <c r="W19" s="9"/>
      <c r="AD19" s="630"/>
    </row>
    <row r="20" spans="2:30" s="27" customFormat="1" ht="16.5" customHeight="1">
      <c r="B20" s="625"/>
      <c r="C20" s="29"/>
      <c r="D20" s="1101" t="s">
        <v>257</v>
      </c>
      <c r="E20" s="634"/>
      <c r="F20" s="824">
        <f>+L22*((E60+3*E61)*117.179/100+240*0.319+80*0.1603)+K60+K61</f>
        <v>2496021.136944</v>
      </c>
      <c r="G20" s="29"/>
      <c r="H20" s="29"/>
      <c r="I20" s="29"/>
      <c r="J20" s="629"/>
      <c r="K20" s="29"/>
      <c r="L20" s="29"/>
      <c r="M20" s="29"/>
      <c r="P20" s="29"/>
      <c r="Q20" s="29"/>
      <c r="R20" s="29"/>
      <c r="S20" s="29"/>
      <c r="T20" s="29"/>
      <c r="U20" s="29"/>
      <c r="V20" s="29"/>
      <c r="W20" s="9"/>
      <c r="AD20" s="630"/>
    </row>
    <row r="21" spans="2:30" s="27" customFormat="1" ht="16.5" customHeight="1">
      <c r="B21" s="625"/>
      <c r="C21" s="29"/>
      <c r="D21" s="631" t="s">
        <v>90</v>
      </c>
      <c r="F21" s="632">
        <v>434.062</v>
      </c>
      <c r="G21" s="631" t="s">
        <v>91</v>
      </c>
      <c r="H21" s="29"/>
      <c r="I21" s="29"/>
      <c r="J21" s="633"/>
      <c r="K21" s="634" t="s">
        <v>92</v>
      </c>
      <c r="L21" s="635">
        <v>0.025</v>
      </c>
      <c r="R21" s="29"/>
      <c r="S21" s="29"/>
      <c r="T21" s="29"/>
      <c r="U21" s="29"/>
      <c r="V21" s="29"/>
      <c r="W21" s="9"/>
      <c r="AD21" s="630"/>
    </row>
    <row r="22" spans="2:30" s="27" customFormat="1" ht="16.5" customHeight="1">
      <c r="B22" s="625"/>
      <c r="C22" s="29"/>
      <c r="D22" s="631" t="s">
        <v>93</v>
      </c>
      <c r="E22" s="636"/>
      <c r="F22" s="637">
        <v>1.193</v>
      </c>
      <c r="G22" s="638" t="s">
        <v>94</v>
      </c>
      <c r="H22" s="29"/>
      <c r="I22" s="29"/>
      <c r="J22" s="29"/>
      <c r="K22" s="626" t="s">
        <v>95</v>
      </c>
      <c r="L22" s="29">
        <f>MID(B14,16,2)*24</f>
        <v>744</v>
      </c>
      <c r="M22" s="29" t="s">
        <v>96</v>
      </c>
      <c r="N22" s="29"/>
      <c r="O22" s="108"/>
      <c r="P22" s="109"/>
      <c r="Q22" s="11"/>
      <c r="R22" s="29"/>
      <c r="S22" s="29"/>
      <c r="T22" s="29"/>
      <c r="U22" s="29"/>
      <c r="V22" s="29"/>
      <c r="W22" s="9"/>
      <c r="AD22" s="630"/>
    </row>
    <row r="23" spans="2:30" s="27" customFormat="1" ht="16.5" customHeight="1">
      <c r="B23" s="625"/>
      <c r="C23" s="29"/>
      <c r="D23" s="631"/>
      <c r="E23" s="636"/>
      <c r="F23" s="637"/>
      <c r="G23" s="638"/>
      <c r="H23" s="29"/>
      <c r="I23" s="29"/>
      <c r="J23" s="29"/>
      <c r="K23" s="626"/>
      <c r="L23" s="29"/>
      <c r="M23" s="29"/>
      <c r="N23" s="29"/>
      <c r="O23" s="108"/>
      <c r="P23" s="109"/>
      <c r="Q23" s="11"/>
      <c r="R23" s="29"/>
      <c r="S23" s="29"/>
      <c r="T23" s="29"/>
      <c r="U23" s="29"/>
      <c r="V23" s="29"/>
      <c r="W23" s="9"/>
      <c r="AD23" s="630"/>
    </row>
    <row r="24" spans="2:30" s="27" customFormat="1" ht="16.5" customHeight="1">
      <c r="B24" s="625"/>
      <c r="C24" s="29"/>
      <c r="D24" s="29"/>
      <c r="E24" s="63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9"/>
      <c r="AD24" s="630"/>
    </row>
    <row r="25" spans="1:30" ht="16.5" customHeight="1">
      <c r="A25" s="8"/>
      <c r="B25" s="55"/>
      <c r="C25" s="73" t="s">
        <v>97</v>
      </c>
      <c r="D25" s="28" t="s">
        <v>173</v>
      </c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100"/>
    </row>
    <row r="26" spans="1:30" ht="10.5" customHeight="1" thickBot="1">
      <c r="A26" s="8"/>
      <c r="B26" s="55"/>
      <c r="C26" s="86"/>
      <c r="D26" s="28"/>
      <c r="I26" s="11"/>
      <c r="J26" s="27"/>
      <c r="O26" s="11"/>
      <c r="P26" s="11"/>
      <c r="Q26" s="11"/>
      <c r="R26" s="11"/>
      <c r="S26" s="11"/>
      <c r="T26" s="11"/>
      <c r="V26" s="11"/>
      <c r="X26" s="11"/>
      <c r="Y26" s="11"/>
      <c r="Z26" s="11"/>
      <c r="AA26" s="11"/>
      <c r="AB26" s="11"/>
      <c r="AC26" s="11"/>
      <c r="AD26" s="100"/>
    </row>
    <row r="27" spans="2:30" s="27" customFormat="1" ht="16.5" customHeight="1" thickBot="1" thickTop="1">
      <c r="B27" s="625"/>
      <c r="C27" s="628"/>
      <c r="D27" s="9"/>
      <c r="E27" s="9"/>
      <c r="F27" s="9"/>
      <c r="G27" s="9"/>
      <c r="H27" s="9"/>
      <c r="I27" s="9"/>
      <c r="J27" s="640" t="s">
        <v>98</v>
      </c>
      <c r="K27" s="641">
        <f>+L21*F20</f>
        <v>62400.52842360001</v>
      </c>
      <c r="L27" s="9"/>
      <c r="S27" s="9"/>
      <c r="T27" s="9"/>
      <c r="U27" s="9"/>
      <c r="W27" s="9"/>
      <c r="AD27" s="630"/>
    </row>
    <row r="28" spans="2:30" s="27" customFormat="1" ht="11.25" customHeight="1" thickTop="1">
      <c r="B28" s="625"/>
      <c r="C28" s="628"/>
      <c r="D28" s="29"/>
      <c r="E28" s="63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9"/>
      <c r="W28" s="9"/>
      <c r="AD28" s="630"/>
    </row>
    <row r="29" spans="1:30" ht="16.5" customHeight="1">
      <c r="A29" s="8"/>
      <c r="B29" s="55"/>
      <c r="C29" s="73" t="s">
        <v>99</v>
      </c>
      <c r="D29" s="28" t="s">
        <v>174</v>
      </c>
      <c r="E29" s="23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100"/>
    </row>
    <row r="30" spans="1:30" ht="21.75" customHeight="1" thickBot="1">
      <c r="A30" s="8"/>
      <c r="B30" s="55"/>
      <c r="C30" s="11"/>
      <c r="D30" s="11"/>
      <c r="E30" s="23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AD30" s="100"/>
    </row>
    <row r="31" spans="2:31" s="8" customFormat="1" ht="33.75" customHeight="1" thickBot="1" thickTop="1">
      <c r="B31" s="55"/>
      <c r="C31" s="112" t="s">
        <v>29</v>
      </c>
      <c r="D31" s="276" t="s">
        <v>5</v>
      </c>
      <c r="E31" s="277" t="s">
        <v>32</v>
      </c>
      <c r="F31" s="278" t="s">
        <v>33</v>
      </c>
      <c r="G31" s="116" t="s">
        <v>34</v>
      </c>
      <c r="H31" s="279" t="s">
        <v>35</v>
      </c>
      <c r="I31" s="496" t="s">
        <v>36</v>
      </c>
      <c r="J31" s="113" t="s">
        <v>37</v>
      </c>
      <c r="K31" s="119" t="s">
        <v>38</v>
      </c>
      <c r="L31" s="120" t="s">
        <v>39</v>
      </c>
      <c r="M31" s="115" t="s">
        <v>40</v>
      </c>
      <c r="N31" s="120" t="s">
        <v>100</v>
      </c>
      <c r="O31" s="120" t="s">
        <v>41</v>
      </c>
      <c r="P31" s="119" t="s">
        <v>42</v>
      </c>
      <c r="Q31" s="113" t="s">
        <v>43</v>
      </c>
      <c r="R31" s="642" t="s">
        <v>44</v>
      </c>
      <c r="S31" s="643" t="s">
        <v>45</v>
      </c>
      <c r="T31" s="644" t="s">
        <v>52</v>
      </c>
      <c r="U31" s="645"/>
      <c r="V31" s="646"/>
      <c r="W31" s="647" t="s">
        <v>101</v>
      </c>
      <c r="X31" s="648"/>
      <c r="Y31" s="649"/>
      <c r="Z31" s="650" t="s">
        <v>48</v>
      </c>
      <c r="AA31" s="651" t="s">
        <v>102</v>
      </c>
      <c r="AB31" s="652" t="s">
        <v>50</v>
      </c>
      <c r="AC31" s="336" t="s">
        <v>51</v>
      </c>
      <c r="AD31" s="132"/>
      <c r="AE31" s="9"/>
    </row>
    <row r="32" spans="1:30" ht="16.5" customHeight="1" thickTop="1">
      <c r="A32" s="8"/>
      <c r="B32" s="55"/>
      <c r="C32" s="153"/>
      <c r="D32" s="653"/>
      <c r="E32" s="654"/>
      <c r="F32" s="655"/>
      <c r="G32" s="656"/>
      <c r="H32" s="657"/>
      <c r="I32" s="658"/>
      <c r="J32" s="659"/>
      <c r="K32" s="660"/>
      <c r="L32" s="153"/>
      <c r="M32" s="153"/>
      <c r="N32" s="281"/>
      <c r="O32" s="281"/>
      <c r="P32" s="153"/>
      <c r="Q32" s="280"/>
      <c r="R32" s="661"/>
      <c r="S32" s="662"/>
      <c r="T32" s="663"/>
      <c r="U32" s="664"/>
      <c r="V32" s="665"/>
      <c r="W32" s="666"/>
      <c r="X32" s="667"/>
      <c r="Y32" s="668"/>
      <c r="Z32" s="669"/>
      <c r="AA32" s="670"/>
      <c r="AB32" s="671"/>
      <c r="AC32" s="672"/>
      <c r="AD32" s="100"/>
    </row>
    <row r="33" spans="1:30" ht="16.5" customHeight="1">
      <c r="A33" s="8"/>
      <c r="B33" s="55"/>
      <c r="C33" s="673" t="s">
        <v>103</v>
      </c>
      <c r="D33" s="153"/>
      <c r="E33" s="674"/>
      <c r="F33" s="675"/>
      <c r="G33" s="676"/>
      <c r="H33" s="677">
        <f>IF(G33="A",200,IF(G33="B",60,20))</f>
        <v>20</v>
      </c>
      <c r="I33" s="678">
        <f>IF(F33&gt;100,F33,100)*$F$21/100</f>
        <v>434.06200000000007</v>
      </c>
      <c r="J33" s="679"/>
      <c r="K33" s="680"/>
      <c r="L33" s="681">
        <f>IF(D33="","",(K33-J33)*24)</f>
      </c>
      <c r="M33" s="522">
        <f>IF(D33="","",ROUND((K33-J33)*24*60,0))</f>
      </c>
      <c r="N33" s="682"/>
      <c r="O33" s="283">
        <f>IF(D33="","","--")</f>
      </c>
      <c r="P33" s="181">
        <f>IF(D33="","","NO")</f>
      </c>
      <c r="Q33" s="181">
        <f>IF(D33="","",IF(OR(N33="P",N33="RP"),"--","NO"))</f>
      </c>
      <c r="R33" s="683" t="str">
        <f>IF(N33="P",+I33*H33*ROUND(M33/60,2)/100,"--")</f>
        <v>--</v>
      </c>
      <c r="S33" s="684" t="str">
        <f>IF(N33="RP",I33*H33*ROUND(M33/60,2)*0.01*O33/100,"--")</f>
        <v>--</v>
      </c>
      <c r="T33" s="685" t="str">
        <f>IF(AND(N33="F",Q33="NO"),IF(P33="SI",1.2,1)*I33*H33,"--")</f>
        <v>--</v>
      </c>
      <c r="U33" s="686" t="str">
        <f>IF(AND(M33&gt;10,N33="F"),IF(M33&lt;=300,ROUND(M33/60,2),5)*I33*H33*IF(P33="SI",1.2,1),"--")</f>
        <v>--</v>
      </c>
      <c r="V33" s="687" t="str">
        <f>IF(AND(N33="F",M33&gt;300),IF(P33="SI",1.2,1)*(ROUND(M33/60,2)-5)*I33*H33*0.1,"--")</f>
        <v>--</v>
      </c>
      <c r="W33" s="688" t="str">
        <f>IF(AND(N33="R",Q33="NO"),IF(P33="SI",1.2,1)*I33*H33*O33/100,"--")</f>
        <v>--</v>
      </c>
      <c r="X33" s="689" t="str">
        <f>IF(AND(M33&gt;10,N33="R"),IF(M33&lt;=300,ROUND(M33/60,2),5)*I33*H33*O33/100*IF(P33="SI",1.2,1),"--")</f>
        <v>--</v>
      </c>
      <c r="Y33" s="690" t="str">
        <f>IF(AND(N33="R",M33&gt;300),IF(P33="SI",1.2,1)*(ROUND(M33/60,2)-5)*I33*H33*O33/100*0.1,"--")</f>
        <v>--</v>
      </c>
      <c r="Z33" s="691" t="str">
        <f>IF(N33="RF",IF(P33="SI",1.2,1)*ROUND(M33/60,2)*I33*H33*0.1,"--")</f>
        <v>--</v>
      </c>
      <c r="AA33" s="692" t="str">
        <f>IF(N33="RR",IF(P33="SI",1.2,1)*ROUND(M33/60,2)*I33*H33*O33/100*0.1,"--")</f>
        <v>--</v>
      </c>
      <c r="AB33" s="693">
        <f>IF(D33="","","SI")</f>
      </c>
      <c r="AC33" s="193">
        <f>IF(D33="","",SUM(R33:AA33)*IF(AB33="SI",1,2))</f>
      </c>
      <c r="AD33" s="100"/>
    </row>
    <row r="34" spans="1:30" ht="16.5" customHeight="1">
      <c r="A34" s="8"/>
      <c r="B34" s="55"/>
      <c r="C34" s="673" t="s">
        <v>104</v>
      </c>
      <c r="D34" s="153"/>
      <c r="E34" s="674"/>
      <c r="F34" s="675"/>
      <c r="G34" s="676"/>
      <c r="H34" s="677">
        <f>IF(G34="A",200,IF(G34="B",60,20))</f>
        <v>20</v>
      </c>
      <c r="I34" s="678">
        <f>IF(F34&gt;100,F34,100)*$F$21/100</f>
        <v>434.06200000000007</v>
      </c>
      <c r="J34" s="679"/>
      <c r="K34" s="680"/>
      <c r="L34" s="681">
        <f>IF(D34="","",(K34-J34)*24)</f>
      </c>
      <c r="M34" s="522">
        <f>IF(D34="","",ROUND((K34-J34)*24*60,0))</f>
      </c>
      <c r="N34" s="682"/>
      <c r="O34" s="283">
        <f>IF(D34="","","--")</f>
      </c>
      <c r="P34" s="181">
        <f>IF(D34="","","NO")</f>
      </c>
      <c r="Q34" s="181">
        <f>IF(D34="","",IF(OR(N34="P",N34="RP"),"--","NO"))</f>
      </c>
      <c r="R34" s="683" t="str">
        <f>IF(N34="P",+I34*H34*ROUND(M34/60,2)/100,"--")</f>
        <v>--</v>
      </c>
      <c r="S34" s="684" t="str">
        <f>IF(N34="RP",I34*H34*ROUND(M34/60,2)*0.01*O34/100,"--")</f>
        <v>--</v>
      </c>
      <c r="T34" s="685" t="str">
        <f>IF(AND(N34="F",Q34="NO"),IF(P34="SI",1.2,1)*I34*H34,"--")</f>
        <v>--</v>
      </c>
      <c r="U34" s="686" t="str">
        <f>IF(AND(M34&gt;10,N34="F"),IF(M34&lt;=300,ROUND(M34/60,2),5)*I34*H34*IF(P34="SI",1.2,1),"--")</f>
        <v>--</v>
      </c>
      <c r="V34" s="687" t="str">
        <f>IF(AND(N34="F",M34&gt;300),IF(P34="SI",1.2,1)*(ROUND(M34/60,2)-5)*I34*H34*0.1,"--")</f>
        <v>--</v>
      </c>
      <c r="W34" s="688" t="str">
        <f>IF(AND(N34="R",Q34="NO"),IF(P34="SI",1.2,1)*I34*H34*O34/100,"--")</f>
        <v>--</v>
      </c>
      <c r="X34" s="689" t="str">
        <f>IF(AND(M34&gt;10,N34="R"),IF(M34&lt;=300,ROUND(M34/60,2),5)*I34*H34*O34/100*IF(P34="SI",1.2,1),"--")</f>
        <v>--</v>
      </c>
      <c r="Y34" s="690" t="str">
        <f>IF(AND(N34="R",M34&gt;300),IF(P34="SI",1.2,1)*(ROUND(M34/60,2)-5)*I34*H34*O34/100*0.1,"--")</f>
        <v>--</v>
      </c>
      <c r="Z34" s="691" t="str">
        <f>IF(N34="RF",IF(P34="SI",1.2,1)*ROUND(M34/60,2)*I34*H34*0.1,"--")</f>
        <v>--</v>
      </c>
      <c r="AA34" s="692" t="str">
        <f>IF(N34="RR",IF(P34="SI",1.2,1)*ROUND(M34/60,2)*I34*H34*O34/100*0.1,"--")</f>
        <v>--</v>
      </c>
      <c r="AB34" s="693">
        <f>IF(D34="","","SI")</f>
      </c>
      <c r="AC34" s="193">
        <f>IF(D34="","",SUM(R34:AA34)*IF(AB34="SI",1,2))</f>
      </c>
      <c r="AD34" s="100"/>
    </row>
    <row r="35" spans="1:30" ht="16.5" customHeight="1" thickBot="1">
      <c r="A35" s="27"/>
      <c r="B35" s="55"/>
      <c r="C35" s="694"/>
      <c r="D35" s="695"/>
      <c r="E35" s="696"/>
      <c r="F35" s="697"/>
      <c r="G35" s="698"/>
      <c r="H35" s="699"/>
      <c r="I35" s="700"/>
      <c r="J35" s="701"/>
      <c r="K35" s="701"/>
      <c r="L35" s="215"/>
      <c r="M35" s="215"/>
      <c r="N35" s="215"/>
      <c r="O35" s="702"/>
      <c r="P35" s="215"/>
      <c r="Q35" s="215"/>
      <c r="R35" s="703"/>
      <c r="S35" s="704"/>
      <c r="T35" s="705"/>
      <c r="U35" s="706"/>
      <c r="V35" s="707"/>
      <c r="W35" s="708"/>
      <c r="X35" s="709"/>
      <c r="Y35" s="710"/>
      <c r="Z35" s="711"/>
      <c r="AA35" s="712"/>
      <c r="AB35" s="713"/>
      <c r="AC35" s="714"/>
      <c r="AD35" s="284"/>
    </row>
    <row r="36" spans="1:30" ht="17.25" thickBot="1" thickTop="1">
      <c r="A36" s="27"/>
      <c r="B36" s="55"/>
      <c r="C36" s="628"/>
      <c r="D36" s="628"/>
      <c r="E36" s="715"/>
      <c r="F36" s="639"/>
      <c r="G36" s="716"/>
      <c r="H36" s="716"/>
      <c r="I36" s="717"/>
      <c r="J36" s="717"/>
      <c r="K36" s="717"/>
      <c r="L36" s="717"/>
      <c r="M36" s="717"/>
      <c r="N36" s="717"/>
      <c r="O36" s="718"/>
      <c r="P36" s="717"/>
      <c r="Q36" s="717"/>
      <c r="R36" s="719">
        <f aca="true" t="shared" si="0" ref="R36:AA36">SUM(R32:R35)</f>
        <v>0</v>
      </c>
      <c r="S36" s="720">
        <f t="shared" si="0"/>
        <v>0</v>
      </c>
      <c r="T36" s="721">
        <f t="shared" si="0"/>
        <v>0</v>
      </c>
      <c r="U36" s="721">
        <f t="shared" si="0"/>
        <v>0</v>
      </c>
      <c r="V36" s="721">
        <f t="shared" si="0"/>
        <v>0</v>
      </c>
      <c r="W36" s="722">
        <f t="shared" si="0"/>
        <v>0</v>
      </c>
      <c r="X36" s="722">
        <f t="shared" si="0"/>
        <v>0</v>
      </c>
      <c r="Y36" s="722">
        <f t="shared" si="0"/>
        <v>0</v>
      </c>
      <c r="Z36" s="723">
        <f t="shared" si="0"/>
        <v>0</v>
      </c>
      <c r="AA36" s="724">
        <f t="shared" si="0"/>
        <v>0</v>
      </c>
      <c r="AB36" s="725"/>
      <c r="AC36" s="726">
        <f>SUM(AC32:AC35)</f>
        <v>0</v>
      </c>
      <c r="AD36" s="284"/>
    </row>
    <row r="37" spans="1:30" ht="17.25" thickBot="1" thickTop="1">
      <c r="A37" s="27"/>
      <c r="B37" s="55"/>
      <c r="C37" s="727"/>
      <c r="D37" s="728"/>
      <c r="G37" s="729"/>
      <c r="H37" s="730"/>
      <c r="I37" s="731"/>
      <c r="J37" s="731"/>
      <c r="L37" s="717"/>
      <c r="M37" s="717"/>
      <c r="N37" s="717"/>
      <c r="O37" s="718"/>
      <c r="P37" s="717"/>
      <c r="Q37" s="717"/>
      <c r="R37" s="732"/>
      <c r="S37" s="733"/>
      <c r="T37" s="734"/>
      <c r="U37" s="734"/>
      <c r="V37" s="734"/>
      <c r="W37" s="732"/>
      <c r="X37" s="732"/>
      <c r="Y37" s="732"/>
      <c r="Z37" s="732"/>
      <c r="AA37" s="732"/>
      <c r="AB37" s="735"/>
      <c r="AC37" s="736"/>
      <c r="AD37" s="284"/>
    </row>
    <row r="38" spans="1:33" s="8" customFormat="1" ht="27" thickBot="1" thickTop="1">
      <c r="A38" s="90"/>
      <c r="B38" s="303"/>
      <c r="C38" s="332" t="s">
        <v>29</v>
      </c>
      <c r="D38" s="333" t="s">
        <v>58</v>
      </c>
      <c r="E38" s="334" t="s">
        <v>59</v>
      </c>
      <c r="F38" s="2102" t="s">
        <v>60</v>
      </c>
      <c r="G38" s="2103"/>
      <c r="H38" s="337" t="s">
        <v>36</v>
      </c>
      <c r="I38" s="737"/>
      <c r="J38" s="334" t="s">
        <v>37</v>
      </c>
      <c r="K38" s="334" t="s">
        <v>38</v>
      </c>
      <c r="L38" s="333" t="s">
        <v>61</v>
      </c>
      <c r="M38" s="333" t="s">
        <v>40</v>
      </c>
      <c r="N38" s="120" t="s">
        <v>114</v>
      </c>
      <c r="O38" s="334" t="s">
        <v>43</v>
      </c>
      <c r="P38" s="2114" t="s">
        <v>115</v>
      </c>
      <c r="Q38" s="2115"/>
      <c r="R38" s="337" t="s">
        <v>116</v>
      </c>
      <c r="S38" s="738" t="s">
        <v>44</v>
      </c>
      <c r="T38" s="739" t="s">
        <v>117</v>
      </c>
      <c r="U38" s="740"/>
      <c r="V38" s="741" t="s">
        <v>48</v>
      </c>
      <c r="W38" s="742" t="s">
        <v>118</v>
      </c>
      <c r="X38" s="743"/>
      <c r="Y38" s="743"/>
      <c r="Z38" s="743"/>
      <c r="AA38" s="744"/>
      <c r="AB38" s="131" t="s">
        <v>50</v>
      </c>
      <c r="AC38" s="336" t="s">
        <v>51</v>
      </c>
      <c r="AD38" s="100"/>
      <c r="AF38" s="9"/>
      <c r="AG38" s="9"/>
    </row>
    <row r="39" spans="1:30" ht="15.75" thickTop="1">
      <c r="A39" s="8"/>
      <c r="B39" s="55"/>
      <c r="C39" s="260"/>
      <c r="D39" s="260"/>
      <c r="E39" s="260"/>
      <c r="F39" s="2104"/>
      <c r="G39" s="2105"/>
      <c r="H39" s="745"/>
      <c r="I39" s="745"/>
      <c r="J39" s="260"/>
      <c r="K39" s="260"/>
      <c r="L39" s="260"/>
      <c r="M39" s="260"/>
      <c r="N39" s="260"/>
      <c r="O39" s="746"/>
      <c r="P39" s="2104"/>
      <c r="Q39" s="2105"/>
      <c r="R39" s="747"/>
      <c r="S39" s="747"/>
      <c r="T39" s="747"/>
      <c r="U39" s="747"/>
      <c r="V39" s="747"/>
      <c r="W39" s="747"/>
      <c r="X39" s="747"/>
      <c r="Y39" s="747"/>
      <c r="Z39" s="747"/>
      <c r="AA39" s="748"/>
      <c r="AB39" s="746"/>
      <c r="AC39" s="749"/>
      <c r="AD39" s="100"/>
    </row>
    <row r="40" spans="1:30" ht="15">
      <c r="A40" s="8"/>
      <c r="B40" s="55"/>
      <c r="C40" s="673" t="s">
        <v>103</v>
      </c>
      <c r="D40" s="750"/>
      <c r="E40" s="751"/>
      <c r="F40" s="2106"/>
      <c r="G40" s="2107"/>
      <c r="H40" s="752">
        <f>F40*$F$23</f>
        <v>0</v>
      </c>
      <c r="I40" s="753"/>
      <c r="J40" s="519"/>
      <c r="K40" s="205"/>
      <c r="L40" s="379">
        <f>IF(D40="","",(K40-J40)*24)</f>
      </c>
      <c r="M40" s="380">
        <f>IF(D40="","",(K40-J40)*24*60)</f>
      </c>
      <c r="N40" s="754"/>
      <c r="O40" s="382">
        <f>IF(D40="","",IF(N40="P","--","NO"))</f>
      </c>
      <c r="P40" s="2110">
        <f>IF(D40="","","--")</f>
      </c>
      <c r="Q40" s="2111"/>
      <c r="R40" s="755">
        <f>IF(OR(N40="P",N40="RP"),20/10,20)</f>
        <v>20</v>
      </c>
      <c r="S40" s="756" t="str">
        <f>IF(N40="P",H40*R40*ROUND(M40/60,2),"--")</f>
        <v>--</v>
      </c>
      <c r="T40" s="757" t="str">
        <f>IF(AND(N40="F",O40="NO"),H40*R40,"--")</f>
        <v>--</v>
      </c>
      <c r="U40" s="758" t="str">
        <f>IF(N40="F",H40*R40*ROUND(M40/60,2),"--")</f>
        <v>--</v>
      </c>
      <c r="V40" s="514" t="str">
        <f>IF(N40="RF",H40*R40*ROUND(M40/60,2),"--")</f>
        <v>--</v>
      </c>
      <c r="W40" s="759" t="str">
        <f>IF(N40="RP",H40*R40*P40/100*ROUND(M40/60,2),"--")</f>
        <v>--</v>
      </c>
      <c r="X40" s="760"/>
      <c r="Y40" s="760"/>
      <c r="Z40" s="760"/>
      <c r="AA40" s="761"/>
      <c r="AB40" s="392">
        <f>IF(D40="","","SI")</f>
      </c>
      <c r="AC40" s="456">
        <f>IF(D40="","",SUM(S40:W40)*IF(AB40="SI",1,2)*IF(AND(P40&lt;&gt;"--",N40="RF"),P40/100,1))</f>
      </c>
      <c r="AD40" s="284"/>
    </row>
    <row r="41" spans="1:30" ht="15">
      <c r="A41" s="8"/>
      <c r="B41" s="55"/>
      <c r="C41" s="673" t="s">
        <v>104</v>
      </c>
      <c r="D41" s="750"/>
      <c r="E41" s="751"/>
      <c r="F41" s="2106"/>
      <c r="G41" s="2107"/>
      <c r="H41" s="752">
        <f>F41*$F$23</f>
        <v>0</v>
      </c>
      <c r="I41" s="753"/>
      <c r="J41" s="762"/>
      <c r="K41" s="763"/>
      <c r="L41" s="379">
        <f>IF(D41="","",(K41-J41)*24)</f>
      </c>
      <c r="M41" s="380">
        <f>IF(D41="","",(K41-J41)*24*60)</f>
      </c>
      <c r="N41" s="754"/>
      <c r="O41" s="382">
        <f>IF(D41="","",IF(N41="P","--","NO"))</f>
      </c>
      <c r="P41" s="2110">
        <f>IF(D41="","","--")</f>
      </c>
      <c r="Q41" s="2111"/>
      <c r="R41" s="755">
        <f>IF(OR(N41="P",N41="RP"),20/10,20)</f>
        <v>20</v>
      </c>
      <c r="S41" s="756" t="str">
        <f>IF(N41="P",H41*R41*ROUND(M41/60,2),"--")</f>
        <v>--</v>
      </c>
      <c r="T41" s="757" t="str">
        <f>IF(AND(N41="F",O41="NO"),H41*R41,"--")</f>
        <v>--</v>
      </c>
      <c r="U41" s="758" t="str">
        <f>IF(N41="F",H41*R41*ROUND(M41/60,2),"--")</f>
        <v>--</v>
      </c>
      <c r="V41" s="514" t="str">
        <f>IF(N41="RF",H41*R41*ROUND(M41/60,2),"--")</f>
        <v>--</v>
      </c>
      <c r="W41" s="759" t="str">
        <f>IF(N41="RP",H41*R41*P41/100*ROUND(M41/60,2),"--")</f>
        <v>--</v>
      </c>
      <c r="X41" s="760"/>
      <c r="Y41" s="760"/>
      <c r="Z41" s="760"/>
      <c r="AA41" s="761"/>
      <c r="AB41" s="392">
        <f>IF(D41="","","SI")</f>
      </c>
      <c r="AC41" s="456">
        <f>IF(D41="","",SUM(S41:W41)*IF(AB41="SI",1,2)*IF(AND(P41&lt;&gt;"--",N41="RF"),P41/100,1))</f>
      </c>
      <c r="AD41" s="284"/>
    </row>
    <row r="42" spans="1:30" ht="15">
      <c r="A42" s="8"/>
      <c r="B42" s="55"/>
      <c r="C42" s="673" t="s">
        <v>105</v>
      </c>
      <c r="D42" s="750"/>
      <c r="E42" s="751"/>
      <c r="F42" s="2106"/>
      <c r="G42" s="2107"/>
      <c r="H42" s="752">
        <f>F42*$F$23</f>
        <v>0</v>
      </c>
      <c r="I42" s="753"/>
      <c r="J42" s="762"/>
      <c r="K42" s="763"/>
      <c r="L42" s="379">
        <f>IF(D42="","",(K42-J42)*24)</f>
      </c>
      <c r="M42" s="380">
        <f>IF(D42="","",(K42-J42)*24*60)</f>
      </c>
      <c r="N42" s="754"/>
      <c r="O42" s="382">
        <f>IF(D42="","",IF(N42="P","--","NO"))</f>
      </c>
      <c r="P42" s="2110">
        <f>IF(D42="","","--")</f>
      </c>
      <c r="Q42" s="2111"/>
      <c r="R42" s="755">
        <f>IF(OR(N42="P",N42="RP"),20/10,20)</f>
        <v>20</v>
      </c>
      <c r="S42" s="756" t="str">
        <f>IF(N42="P",H42*R42*ROUND(M42/60,2),"--")</f>
        <v>--</v>
      </c>
      <c r="T42" s="757" t="str">
        <f>IF(AND(N42="F",O42="NO"),H42*R42,"--")</f>
        <v>--</v>
      </c>
      <c r="U42" s="758" t="str">
        <f>IF(N42="F",H42*R42*ROUND(M42/60,2),"--")</f>
        <v>--</v>
      </c>
      <c r="V42" s="514" t="str">
        <f>IF(N42="RF",H42*R42*ROUND(M42/60,2),"--")</f>
        <v>--</v>
      </c>
      <c r="W42" s="759" t="str">
        <f>IF(N42="RP",H42*R42*P42/100*ROUND(M42/60,2),"--")</f>
        <v>--</v>
      </c>
      <c r="X42" s="760"/>
      <c r="Y42" s="760"/>
      <c r="Z42" s="760"/>
      <c r="AA42" s="761"/>
      <c r="AB42" s="392">
        <f>IF(D42="","","SI")</f>
      </c>
      <c r="AC42" s="456">
        <f>IF(D42="","",SUM(S42:W42)*IF(AB42="SI",1,2)*IF(AND(P42&lt;&gt;"--",N42="RF"),P42/100,1))</f>
      </c>
      <c r="AD42" s="284"/>
    </row>
    <row r="43" spans="1:30" ht="15">
      <c r="A43" s="8"/>
      <c r="B43" s="55"/>
      <c r="C43" s="673" t="s">
        <v>106</v>
      </c>
      <c r="D43" s="750"/>
      <c r="E43" s="751"/>
      <c r="F43" s="2106"/>
      <c r="G43" s="2107"/>
      <c r="H43" s="752">
        <f>F43*$F$23</f>
        <v>0</v>
      </c>
      <c r="I43" s="753"/>
      <c r="J43" s="762"/>
      <c r="K43" s="763"/>
      <c r="L43" s="379">
        <f>IF(D43="","",(K43-J43)*24)</f>
      </c>
      <c r="M43" s="380">
        <f>IF(D43="","",(K43-J43)*24*60)</f>
      </c>
      <c r="N43" s="754"/>
      <c r="O43" s="382">
        <f>IF(D43="","",IF(N43="P","--","NO"))</f>
      </c>
      <c r="P43" s="2110">
        <f>IF(D43="","","--")</f>
      </c>
      <c r="Q43" s="2111"/>
      <c r="R43" s="755">
        <f>IF(OR(N43="P",N43="RP"),20/10,20)</f>
        <v>20</v>
      </c>
      <c r="S43" s="756" t="str">
        <f>IF(N43="P",H43*R43*ROUND(M43/60,2),"--")</f>
        <v>--</v>
      </c>
      <c r="T43" s="757" t="str">
        <f>IF(AND(N43="F",O43="NO"),H43*R43,"--")</f>
        <v>--</v>
      </c>
      <c r="U43" s="758" t="str">
        <f>IF(N43="F",H43*R43*ROUND(M43/60,2),"--")</f>
        <v>--</v>
      </c>
      <c r="V43" s="514" t="str">
        <f>IF(N43="RF",H43*R43*ROUND(M43/60,2),"--")</f>
        <v>--</v>
      </c>
      <c r="W43" s="759" t="str">
        <f>IF(N43="RP",H43*R43*P43/100*ROUND(M43/60,2),"--")</f>
        <v>--</v>
      </c>
      <c r="X43" s="760"/>
      <c r="Y43" s="760"/>
      <c r="Z43" s="760"/>
      <c r="AA43" s="761"/>
      <c r="AB43" s="392">
        <f>IF(D43="","","SI")</f>
      </c>
      <c r="AC43" s="456">
        <f>IF(D43="","",SUM(S43:W43)*IF(AB43="SI",1,2)*IF(AND(P43&lt;&gt;"--",N43="RF"),P43/100,1))</f>
      </c>
      <c r="AD43" s="284"/>
    </row>
    <row r="44" spans="1:30" ht="16.5" thickBot="1">
      <c r="A44" s="27"/>
      <c r="B44" s="55"/>
      <c r="C44" s="764"/>
      <c r="D44" s="765"/>
      <c r="E44" s="766"/>
      <c r="F44" s="2108"/>
      <c r="G44" s="2109"/>
      <c r="H44" s="767"/>
      <c r="I44" s="767"/>
      <c r="J44" s="768"/>
      <c r="K44" s="769"/>
      <c r="L44" s="770"/>
      <c r="M44" s="771"/>
      <c r="N44" s="772"/>
      <c r="O44" s="215"/>
      <c r="P44" s="2112"/>
      <c r="Q44" s="2113"/>
      <c r="R44" s="775"/>
      <c r="S44" s="775"/>
      <c r="T44" s="775"/>
      <c r="U44" s="775"/>
      <c r="V44" s="775"/>
      <c r="W44" s="775"/>
      <c r="X44" s="775"/>
      <c r="Y44" s="775"/>
      <c r="Z44" s="775"/>
      <c r="AA44" s="776"/>
      <c r="AB44" s="777"/>
      <c r="AC44" s="778"/>
      <c r="AD44" s="284"/>
    </row>
    <row r="45" spans="1:30" ht="17.25" thickBot="1" thickTop="1">
      <c r="A45" s="27"/>
      <c r="B45" s="55"/>
      <c r="C45" s="319"/>
      <c r="D45" s="234"/>
      <c r="E45" s="234"/>
      <c r="F45" s="779"/>
      <c r="G45" s="780"/>
      <c r="H45" s="781"/>
      <c r="I45" s="782"/>
      <c r="J45" s="783"/>
      <c r="K45" s="784"/>
      <c r="L45" s="785"/>
      <c r="M45" s="781"/>
      <c r="N45" s="786"/>
      <c r="O45" s="236"/>
      <c r="P45" s="787"/>
      <c r="Q45" s="788"/>
      <c r="R45" s="789"/>
      <c r="S45" s="789"/>
      <c r="T45" s="789"/>
      <c r="U45" s="790"/>
      <c r="V45" s="790"/>
      <c r="W45" s="790"/>
      <c r="X45" s="790"/>
      <c r="Y45" s="790"/>
      <c r="Z45" s="790"/>
      <c r="AA45" s="790"/>
      <c r="AB45" s="790"/>
      <c r="AC45" s="791">
        <f>SUM(AC39:AC44)</f>
        <v>0</v>
      </c>
      <c r="AD45" s="284"/>
    </row>
    <row r="46" spans="1:30" ht="17.25" hidden="1" thickBot="1" thickTop="1">
      <c r="A46" s="27"/>
      <c r="B46" s="11"/>
      <c r="C46" s="319">
        <v>3</v>
      </c>
      <c r="D46" s="11">
        <v>4</v>
      </c>
      <c r="E46" s="319">
        <v>5</v>
      </c>
      <c r="F46" s="11">
        <v>6</v>
      </c>
      <c r="G46" s="319">
        <v>7</v>
      </c>
      <c r="H46" s="11">
        <v>8</v>
      </c>
      <c r="I46" s="319">
        <v>9</v>
      </c>
      <c r="J46" s="11">
        <v>10</v>
      </c>
      <c r="K46" s="319">
        <v>11</v>
      </c>
      <c r="L46" s="11">
        <v>12</v>
      </c>
      <c r="M46" s="319">
        <v>13</v>
      </c>
      <c r="N46" s="11">
        <v>14</v>
      </c>
      <c r="O46" s="319">
        <v>15</v>
      </c>
      <c r="P46" s="11">
        <v>16</v>
      </c>
      <c r="Q46" s="319">
        <v>17</v>
      </c>
      <c r="R46" s="11">
        <v>18</v>
      </c>
      <c r="S46" s="319">
        <v>19</v>
      </c>
      <c r="T46" s="11">
        <v>20</v>
      </c>
      <c r="U46" s="319">
        <v>21</v>
      </c>
      <c r="V46" s="11">
        <v>22</v>
      </c>
      <c r="W46" s="319">
        <v>23</v>
      </c>
      <c r="X46" s="11">
        <v>24</v>
      </c>
      <c r="Y46" s="319">
        <v>25</v>
      </c>
      <c r="Z46" s="11">
        <v>26</v>
      </c>
      <c r="AA46" s="319">
        <v>27</v>
      </c>
      <c r="AB46" s="11">
        <v>28</v>
      </c>
      <c r="AC46" s="319">
        <v>29</v>
      </c>
      <c r="AD46" s="284"/>
    </row>
    <row r="47" spans="1:33" s="8" customFormat="1" ht="31.5" customHeight="1" thickBot="1" thickTop="1">
      <c r="A47" s="90"/>
      <c r="B47" s="303"/>
      <c r="C47" s="332" t="s">
        <v>29</v>
      </c>
      <c r="D47" s="333" t="s">
        <v>58</v>
      </c>
      <c r="E47" s="113" t="s">
        <v>59</v>
      </c>
      <c r="F47" s="2116" t="s">
        <v>78</v>
      </c>
      <c r="G47" s="2117"/>
      <c r="H47" s="337" t="s">
        <v>36</v>
      </c>
      <c r="I47" s="792"/>
      <c r="J47" s="113" t="s">
        <v>37</v>
      </c>
      <c r="K47" s="113" t="s">
        <v>38</v>
      </c>
      <c r="L47" s="115" t="s">
        <v>39</v>
      </c>
      <c r="M47" s="115" t="s">
        <v>40</v>
      </c>
      <c r="N47" s="120" t="s">
        <v>171</v>
      </c>
      <c r="O47" s="120" t="s">
        <v>41</v>
      </c>
      <c r="P47" s="2118" t="s">
        <v>43</v>
      </c>
      <c r="Q47" s="2119"/>
      <c r="R47" s="793" t="s">
        <v>35</v>
      </c>
      <c r="S47" s="564" t="s">
        <v>71</v>
      </c>
      <c r="T47" s="565" t="s">
        <v>79</v>
      </c>
      <c r="U47" s="566"/>
      <c r="V47" s="342" t="s">
        <v>80</v>
      </c>
      <c r="W47" s="343"/>
      <c r="X47" s="567" t="s">
        <v>48</v>
      </c>
      <c r="Y47" s="341" t="s">
        <v>45</v>
      </c>
      <c r="Z47" s="792"/>
      <c r="AA47" s="792"/>
      <c r="AB47" s="131" t="s">
        <v>50</v>
      </c>
      <c r="AC47" s="568" t="s">
        <v>51</v>
      </c>
      <c r="AD47" s="100"/>
      <c r="AF47" s="9"/>
      <c r="AG47" s="9"/>
    </row>
    <row r="48" spans="1:30" ht="15.75" thickTop="1">
      <c r="A48" s="8"/>
      <c r="B48" s="55"/>
      <c r="C48" s="260"/>
      <c r="D48" s="260"/>
      <c r="E48" s="260"/>
      <c r="F48" s="2104"/>
      <c r="G48" s="2105"/>
      <c r="H48" s="745"/>
      <c r="I48" s="745"/>
      <c r="J48" s="260"/>
      <c r="K48" s="260"/>
      <c r="L48" s="260"/>
      <c r="M48" s="260"/>
      <c r="N48" s="179"/>
      <c r="O48" s="283"/>
      <c r="P48" s="613"/>
      <c r="Q48" s="587"/>
      <c r="R48" s="747"/>
      <c r="S48" s="747"/>
      <c r="T48" s="747"/>
      <c r="U48" s="747"/>
      <c r="V48" s="747"/>
      <c r="W48" s="747"/>
      <c r="X48" s="747"/>
      <c r="Y48" s="747"/>
      <c r="Z48" s="747"/>
      <c r="AA48" s="748"/>
      <c r="AB48" s="392">
        <f>IF(D48="","","SI")</f>
      </c>
      <c r="AC48" s="749"/>
      <c r="AD48" s="100"/>
    </row>
    <row r="49" spans="1:30" ht="15">
      <c r="A49" s="8"/>
      <c r="B49" s="55"/>
      <c r="C49" s="673" t="s">
        <v>103</v>
      </c>
      <c r="D49" s="594" t="s">
        <v>251</v>
      </c>
      <c r="E49" s="516" t="s">
        <v>252</v>
      </c>
      <c r="F49" s="2120">
        <v>80</v>
      </c>
      <c r="G49" s="2121"/>
      <c r="H49" s="377">
        <f>F49*$F$22</f>
        <v>95.44</v>
      </c>
      <c r="I49" s="792"/>
      <c r="J49" s="205">
        <v>42005</v>
      </c>
      <c r="K49" s="205">
        <v>42036</v>
      </c>
      <c r="L49" s="521">
        <f>IF(D49="","",(K49-J49)*24)</f>
        <v>744</v>
      </c>
      <c r="M49" s="522">
        <f>IF(D49="","",ROUND((K49-J49)*24*60,0))</f>
        <v>44640</v>
      </c>
      <c r="N49" s="179" t="s">
        <v>187</v>
      </c>
      <c r="O49" s="283" t="str">
        <f>IF(D49="","","--")</f>
        <v>--</v>
      </c>
      <c r="P49" s="2122" t="str">
        <f>IF(D49="","",IF(OR(N49="P",N49="RP"),"--","NO"))</f>
        <v>--</v>
      </c>
      <c r="Q49" s="2123"/>
      <c r="R49" s="596">
        <f>IF(OR(N49="P",N49="RP"),20/10,20)</f>
        <v>2</v>
      </c>
      <c r="S49" s="597">
        <f>IF(N49="P",H49*R49*ROUND(M49/60,2),"--")</f>
        <v>142014.72</v>
      </c>
      <c r="T49" s="590" t="str">
        <f>IF(AND(N49="F",P49="NO"),H49*R49,"--")</f>
        <v>--</v>
      </c>
      <c r="U49" s="591" t="str">
        <f>IF(N49="F",H49*R49*ROUND(M49/60,2),"--")</f>
        <v>--</v>
      </c>
      <c r="V49" s="388" t="str">
        <f>IF(AND(N49="R",P49="NO"),H49*R49*O49/100,"--")</f>
        <v>--</v>
      </c>
      <c r="W49" s="389" t="str">
        <f>IF(N49="R",H49*R49*O49/100*ROUND(M49/60,2),"--")</f>
        <v>--</v>
      </c>
      <c r="X49" s="592" t="str">
        <f>IF(N49="RF",H49*R49*ROUND(M49/60,2),"--")</f>
        <v>--</v>
      </c>
      <c r="Y49" s="439" t="str">
        <f>IF(N49="RP",H49*R49*O49/100*ROUND(M49/60,2),"--")</f>
        <v>--</v>
      </c>
      <c r="Z49" s="792"/>
      <c r="AA49" s="792"/>
      <c r="AB49" s="181" t="str">
        <f>IF(D49="","","SI")</f>
        <v>SI</v>
      </c>
      <c r="AC49" s="525">
        <f>IF(D49="","",SUM(S49:Y49)*IF(AB49="SI",1,2)*IF(AND(O49&lt;&gt;"--",N49="RF"),O49/100,1))</f>
        <v>142014.72</v>
      </c>
      <c r="AD49" s="284"/>
    </row>
    <row r="50" spans="2:30" s="27" customFormat="1" ht="16.5" customHeight="1">
      <c r="B50" s="625"/>
      <c r="C50" s="673" t="s">
        <v>104</v>
      </c>
      <c r="D50" s="594"/>
      <c r="E50" s="516"/>
      <c r="F50" s="794"/>
      <c r="G50" s="795"/>
      <c r="H50" s="377">
        <f>F50*$F$22</f>
        <v>0</v>
      </c>
      <c r="I50" s="792"/>
      <c r="J50" s="762"/>
      <c r="K50" s="763"/>
      <c r="L50" s="521">
        <f>IF(D50="","",(K50-J50)*24)</f>
      </c>
      <c r="M50" s="522">
        <f>IF(D50="","",ROUND((K50-J50)*24*60,0))</f>
      </c>
      <c r="N50" s="179"/>
      <c r="O50" s="283">
        <f>IF(D50="","","--")</f>
      </c>
      <c r="P50" s="613">
        <f>IF(D50="","",IF(OR(N50="P",N50="RP"),"--","NO"))</f>
      </c>
      <c r="Q50" s="587"/>
      <c r="R50" s="596">
        <f>IF(OR(N50="P",N50="RP"),200/10,200)</f>
        <v>200</v>
      </c>
      <c r="S50" s="597" t="str">
        <f>IF(N50="P",H50*R50*ROUND(M50/60,2),"--")</f>
        <v>--</v>
      </c>
      <c r="T50" s="590" t="str">
        <f>IF(AND(N50="F",P50="NO"),H50*R50,"--")</f>
        <v>--</v>
      </c>
      <c r="U50" s="591" t="str">
        <f>IF(N50="F",H50*R50*ROUND(M50/60,2),"--")</f>
        <v>--</v>
      </c>
      <c r="V50" s="388" t="str">
        <f>IF(AND(N50="R",P50="NO"),H50*R50*O50/100,"--")</f>
        <v>--</v>
      </c>
      <c r="W50" s="389" t="str">
        <f>IF(N50="R",H50*R50*O50/100*ROUND(M50/60,2),"--")</f>
        <v>--</v>
      </c>
      <c r="X50" s="592" t="str">
        <f>IF(N50="RF",H50*R50*ROUND(M50/60,2),"--")</f>
        <v>--</v>
      </c>
      <c r="Y50" s="439" t="str">
        <f>IF(N50="RP",H50*R50*O50/100*ROUND(M50/60,2),"--")</f>
        <v>--</v>
      </c>
      <c r="Z50" s="792"/>
      <c r="AA50" s="792"/>
      <c r="AB50" s="181">
        <f>IF(D50="","","SI")</f>
      </c>
      <c r="AC50" s="525">
        <f>IF(D50="","",SUM(S50:Y50)*IF(AB50="SI",1,2)*IF(AND(O50&lt;&gt;"--",N50="RF"),O50/100,1))</f>
      </c>
      <c r="AD50" s="796"/>
    </row>
    <row r="51" spans="1:30" ht="15">
      <c r="A51" s="8"/>
      <c r="B51" s="55"/>
      <c r="C51" s="673" t="s">
        <v>105</v>
      </c>
      <c r="D51" s="594"/>
      <c r="E51" s="516"/>
      <c r="F51" s="794"/>
      <c r="G51" s="795"/>
      <c r="H51" s="377">
        <f>F51*$F$22</f>
        <v>0</v>
      </c>
      <c r="I51" s="792"/>
      <c r="J51" s="762"/>
      <c r="K51" s="763"/>
      <c r="L51" s="521">
        <f>IF(D51="","",(K51-J51)*24)</f>
      </c>
      <c r="M51" s="522">
        <f>IF(D51="","",ROUND((K51-J51)*24*60,0))</f>
      </c>
      <c r="N51" s="179"/>
      <c r="O51" s="283">
        <f>IF(D51="","","--")</f>
      </c>
      <c r="P51" s="613">
        <f>IF(D51="","",IF(OR(N51="P",N51="RP"),"--","NO"))</f>
      </c>
      <c r="Q51" s="587"/>
      <c r="R51" s="596">
        <f>IF(OR(N51="P",N51="RP"),200/10,200)</f>
        <v>200</v>
      </c>
      <c r="S51" s="597" t="str">
        <f>IF(N51="P",H51*R51*ROUND(M51/60,2),"--")</f>
        <v>--</v>
      </c>
      <c r="T51" s="590" t="str">
        <f>IF(AND(N51="F",P51="NO"),H51*R51,"--")</f>
        <v>--</v>
      </c>
      <c r="U51" s="591" t="str">
        <f>IF(N51="F",H51*R51*ROUND(M51/60,2),"--")</f>
        <v>--</v>
      </c>
      <c r="V51" s="388" t="str">
        <f>IF(AND(N51="R",P51="NO"),H51*R51*O51/100,"--")</f>
        <v>--</v>
      </c>
      <c r="W51" s="389" t="str">
        <f>IF(N51="R",H51*R51*O51/100*ROUND(M51/60,2),"--")</f>
        <v>--</v>
      </c>
      <c r="X51" s="592" t="str">
        <f>IF(N51="RF",H51*R51*ROUND(M51/60,2),"--")</f>
        <v>--</v>
      </c>
      <c r="Y51" s="439" t="str">
        <f>IF(N51="RP",H51*R51*O51/100*ROUND(M51/60,2),"--")</f>
        <v>--</v>
      </c>
      <c r="Z51" s="792"/>
      <c r="AA51" s="792"/>
      <c r="AB51" s="181">
        <f>IF(D51="","","SI")</f>
      </c>
      <c r="AC51" s="525">
        <f>IF(D51="","",SUM(S51:Y51)*IF(AB51="SI",1,2)*IF(AND(O51&lt;&gt;"--",N51="RF"),O51/100,1))</f>
      </c>
      <c r="AD51" s="284"/>
    </row>
    <row r="52" spans="1:30" ht="15">
      <c r="A52" s="8"/>
      <c r="B52" s="55"/>
      <c r="C52" s="673" t="s">
        <v>106</v>
      </c>
      <c r="D52" s="594"/>
      <c r="E52" s="516"/>
      <c r="F52" s="794"/>
      <c r="G52" s="795"/>
      <c r="H52" s="377">
        <f>F52*$F$22</f>
        <v>0</v>
      </c>
      <c r="I52" s="792"/>
      <c r="J52" s="762"/>
      <c r="K52" s="763"/>
      <c r="L52" s="521">
        <f>IF(D52="","",(K52-J52)*24)</f>
      </c>
      <c r="M52" s="522">
        <f>IF(D52="","",ROUND((K52-J52)*24*60,0))</f>
      </c>
      <c r="N52" s="179"/>
      <c r="O52" s="283">
        <f>IF(D52="","","--")</f>
      </c>
      <c r="P52" s="613">
        <f>IF(D52="","",IF(OR(N52="P",N52="RP"),"--","NO"))</f>
      </c>
      <c r="Q52" s="587"/>
      <c r="R52" s="596">
        <f>IF(OR(N52="P",N52="RP"),200/10,200)</f>
        <v>200</v>
      </c>
      <c r="S52" s="597" t="str">
        <f>IF(N52="P",H52*R52*ROUND(M52/60,2),"--")</f>
        <v>--</v>
      </c>
      <c r="T52" s="590" t="str">
        <f>IF(AND(N52="F",P52="NO"),H52*R52,"--")</f>
        <v>--</v>
      </c>
      <c r="U52" s="591" t="str">
        <f>IF(N52="F",H52*R52*ROUND(M52/60,2),"--")</f>
        <v>--</v>
      </c>
      <c r="V52" s="388" t="str">
        <f>IF(AND(N52="R",P52="NO"),H52*R52*O52/100,"--")</f>
        <v>--</v>
      </c>
      <c r="W52" s="389" t="str">
        <f>IF(N52="R",H52*R52*O52/100*ROUND(M52/60,2),"--")</f>
        <v>--</v>
      </c>
      <c r="X52" s="592" t="str">
        <f>IF(N52="RF",H52*R52*ROUND(M52/60,2),"--")</f>
        <v>--</v>
      </c>
      <c r="Y52" s="439" t="str">
        <f>IF(N52="RP",H52*R52*O52/100*ROUND(M52/60,2),"--")</f>
        <v>--</v>
      </c>
      <c r="Z52" s="792"/>
      <c r="AA52" s="792"/>
      <c r="AB52" s="181">
        <f>IF(D52="","","SI")</f>
      </c>
      <c r="AC52" s="525">
        <f>IF(D52="","",SUM(S52:Y52)*IF(AB52="SI",1,2)*IF(AND(O52&lt;&gt;"--",N52="RF"),O52/100,1))</f>
      </c>
      <c r="AD52" s="284"/>
    </row>
    <row r="53" spans="1:30" ht="16.5" thickBot="1">
      <c r="A53" s="27"/>
      <c r="B53" s="55"/>
      <c r="C53" s="764"/>
      <c r="D53" s="765"/>
      <c r="E53" s="766"/>
      <c r="F53" s="2108"/>
      <c r="G53" s="2109"/>
      <c r="H53" s="767"/>
      <c r="I53" s="767"/>
      <c r="J53" s="768"/>
      <c r="K53" s="769"/>
      <c r="L53" s="770"/>
      <c r="M53" s="771"/>
      <c r="N53" s="772"/>
      <c r="O53" s="215"/>
      <c r="P53" s="2112"/>
      <c r="Q53" s="2113"/>
      <c r="R53" s="775"/>
      <c r="S53" s="775"/>
      <c r="T53" s="775"/>
      <c r="U53" s="775"/>
      <c r="V53" s="775"/>
      <c r="W53" s="775"/>
      <c r="X53" s="775"/>
      <c r="Y53" s="775"/>
      <c r="Z53" s="775"/>
      <c r="AA53" s="776"/>
      <c r="AB53" s="777"/>
      <c r="AC53" s="778"/>
      <c r="AD53" s="284"/>
    </row>
    <row r="54" spans="1:30" ht="17.25" thickBot="1" thickTop="1">
      <c r="A54" s="27"/>
      <c r="B54" s="55"/>
      <c r="C54" s="319"/>
      <c r="D54" s="234"/>
      <c r="E54" s="234"/>
      <c r="F54" s="779"/>
      <c r="G54" s="780"/>
      <c r="H54" s="781"/>
      <c r="I54" s="782"/>
      <c r="J54" s="783"/>
      <c r="K54" s="784"/>
      <c r="L54" s="785"/>
      <c r="M54" s="781"/>
      <c r="N54" s="786"/>
      <c r="O54" s="236"/>
      <c r="P54" s="787"/>
      <c r="Q54" s="797"/>
      <c r="R54" s="789"/>
      <c r="S54" s="789"/>
      <c r="T54" s="789"/>
      <c r="U54" s="790"/>
      <c r="V54" s="790"/>
      <c r="W54" s="790"/>
      <c r="X54" s="790"/>
      <c r="Y54" s="790"/>
      <c r="Z54" s="790"/>
      <c r="AA54" s="790"/>
      <c r="AB54" s="798"/>
      <c r="AC54" s="791">
        <f>SUM(AC48:AC53)</f>
        <v>142014.72</v>
      </c>
      <c r="AD54" s="284"/>
    </row>
    <row r="55" spans="1:30" ht="17.25" thickBot="1" thickTop="1">
      <c r="A55" s="27"/>
      <c r="B55" s="55"/>
      <c r="C55" s="319"/>
      <c r="D55" s="234"/>
      <c r="E55" s="234"/>
      <c r="F55" s="779"/>
      <c r="G55" s="780"/>
      <c r="H55" s="781"/>
      <c r="I55" s="782"/>
      <c r="J55" s="640" t="s">
        <v>119</v>
      </c>
      <c r="K55" s="641">
        <f>AC36+AC45+AC54</f>
        <v>142014.72</v>
      </c>
      <c r="L55" s="785"/>
      <c r="M55" s="781"/>
      <c r="N55" s="799"/>
      <c r="O55" s="800"/>
      <c r="P55" s="787"/>
      <c r="Q55" s="797"/>
      <c r="R55" s="801"/>
      <c r="S55" s="801"/>
      <c r="T55" s="801"/>
      <c r="U55" s="798"/>
      <c r="V55" s="798"/>
      <c r="W55" s="798"/>
      <c r="X55" s="798"/>
      <c r="Y55" s="798"/>
      <c r="Z55" s="798"/>
      <c r="AA55" s="798"/>
      <c r="AB55" s="798"/>
      <c r="AC55" s="802"/>
      <c r="AD55" s="284"/>
    </row>
    <row r="56" spans="1:30" ht="13.5" customHeight="1" thickTop="1">
      <c r="A56" s="27"/>
      <c r="B56" s="625"/>
      <c r="C56" s="628"/>
      <c r="D56" s="803"/>
      <c r="E56" s="804"/>
      <c r="F56" s="805"/>
      <c r="G56" s="806"/>
      <c r="H56" s="806"/>
      <c r="I56" s="804"/>
      <c r="J56" s="807"/>
      <c r="K56" s="807"/>
      <c r="L56" s="804"/>
      <c r="M56" s="804"/>
      <c r="N56" s="804"/>
      <c r="O56" s="808"/>
      <c r="P56" s="804"/>
      <c r="Q56" s="804"/>
      <c r="R56" s="809"/>
      <c r="S56" s="810"/>
      <c r="T56" s="810"/>
      <c r="U56" s="811"/>
      <c r="AC56" s="811"/>
      <c r="AD56" s="796"/>
    </row>
    <row r="57" spans="1:30" ht="16.5" customHeight="1">
      <c r="A57" s="27"/>
      <c r="B57" s="625"/>
      <c r="C57" s="813" t="s">
        <v>120</v>
      </c>
      <c r="D57" s="814" t="s">
        <v>175</v>
      </c>
      <c r="E57" s="804"/>
      <c r="F57" s="805"/>
      <c r="G57" s="806"/>
      <c r="H57" s="806"/>
      <c r="I57" s="804"/>
      <c r="J57" s="807"/>
      <c r="K57" s="807"/>
      <c r="L57" s="804"/>
      <c r="M57" s="804"/>
      <c r="N57" s="804"/>
      <c r="O57" s="808"/>
      <c r="P57" s="804"/>
      <c r="Q57" s="804"/>
      <c r="R57" s="809"/>
      <c r="S57" s="810"/>
      <c r="T57" s="810"/>
      <c r="U57" s="811"/>
      <c r="AC57" s="811"/>
      <c r="AD57" s="796"/>
    </row>
    <row r="58" spans="1:30" ht="16.5" customHeight="1">
      <c r="A58" s="27"/>
      <c r="B58" s="625"/>
      <c r="C58" s="813"/>
      <c r="D58" s="803"/>
      <c r="E58" s="804"/>
      <c r="F58" s="805"/>
      <c r="G58" s="806"/>
      <c r="H58" s="806"/>
      <c r="I58" s="804"/>
      <c r="J58" s="807"/>
      <c r="K58" s="807"/>
      <c r="L58" s="804"/>
      <c r="M58" s="804"/>
      <c r="N58" s="804"/>
      <c r="O58" s="808"/>
      <c r="P58" s="804"/>
      <c r="Q58" s="804"/>
      <c r="R58" s="804"/>
      <c r="S58" s="809"/>
      <c r="T58" s="810"/>
      <c r="AD58" s="796"/>
    </row>
    <row r="59" spans="2:30" s="27" customFormat="1" ht="16.5" customHeight="1">
      <c r="B59" s="625"/>
      <c r="C59" s="628"/>
      <c r="D59" s="815" t="s">
        <v>5</v>
      </c>
      <c r="E59" s="717" t="s">
        <v>121</v>
      </c>
      <c r="F59" s="717" t="s">
        <v>122</v>
      </c>
      <c r="G59" s="816" t="s">
        <v>176</v>
      </c>
      <c r="H59" s="718"/>
      <c r="I59" s="717"/>
      <c r="J59" s="9"/>
      <c r="K59" s="817" t="s">
        <v>177</v>
      </c>
      <c r="L59" s="9"/>
      <c r="M59" s="9"/>
      <c r="O59" s="817" t="s">
        <v>178</v>
      </c>
      <c r="P59" s="818"/>
      <c r="Q59" s="819"/>
      <c r="R59" s="820"/>
      <c r="S59" s="29"/>
      <c r="T59" s="9"/>
      <c r="U59" s="9"/>
      <c r="V59" s="9"/>
      <c r="W59" s="9"/>
      <c r="X59" s="29"/>
      <c r="Y59" s="29"/>
      <c r="Z59" s="29"/>
      <c r="AA59" s="29"/>
      <c r="AB59" s="29"/>
      <c r="AC59" s="821" t="s">
        <v>179</v>
      </c>
      <c r="AD59" s="796"/>
    </row>
    <row r="60" spans="2:30" s="27" customFormat="1" ht="16.5" customHeight="1">
      <c r="B60" s="625"/>
      <c r="C60" s="628"/>
      <c r="D60" s="717" t="s">
        <v>123</v>
      </c>
      <c r="E60" s="822">
        <v>267</v>
      </c>
      <c r="F60" s="823">
        <v>500</v>
      </c>
      <c r="G60" s="824">
        <f>E60*$F$21*$L$22/100</f>
        <v>862255.48176</v>
      </c>
      <c r="H60" s="824">
        <f>F60*$F$21*$L$22/100</f>
        <v>1614710.64</v>
      </c>
      <c r="I60" s="824">
        <f>G60*$F$21*$L$22/100</f>
        <v>2784586201.5923963</v>
      </c>
      <c r="J60" s="25"/>
      <c r="K60" s="825">
        <v>2118439</v>
      </c>
      <c r="L60" s="25"/>
      <c r="M60" s="826" t="s">
        <v>256</v>
      </c>
      <c r="R60" s="820"/>
      <c r="S60" s="29"/>
      <c r="T60" s="9"/>
      <c r="U60" s="9"/>
      <c r="V60" s="9"/>
      <c r="W60" s="9"/>
      <c r="X60" s="29"/>
      <c r="Y60" s="29"/>
      <c r="Z60" s="29"/>
      <c r="AA60" s="29"/>
      <c r="AB60" s="827"/>
      <c r="AC60" s="638">
        <f>K60+G60</f>
        <v>2980694.48176</v>
      </c>
      <c r="AD60" s="796"/>
    </row>
    <row r="61" spans="2:30" s="27" customFormat="1" ht="16.5" customHeight="1">
      <c r="B61" s="625"/>
      <c r="C61" s="628"/>
      <c r="D61" s="717" t="s">
        <v>124</v>
      </c>
      <c r="E61" s="822">
        <f>3*3.6</f>
        <v>10.8</v>
      </c>
      <c r="F61" s="823">
        <v>500</v>
      </c>
      <c r="G61" s="824">
        <f>E61*$F$21*$L$22/100</f>
        <v>34877.749824</v>
      </c>
      <c r="H61" s="828"/>
      <c r="I61" s="829"/>
      <c r="J61" s="25"/>
      <c r="K61" s="824">
        <v>50060</v>
      </c>
      <c r="L61" s="25"/>
      <c r="M61" s="826" t="s">
        <v>256</v>
      </c>
      <c r="O61" s="830"/>
      <c r="P61" s="9"/>
      <c r="Q61" s="820"/>
      <c r="R61" s="820"/>
      <c r="S61" s="29"/>
      <c r="T61" s="9"/>
      <c r="U61" s="9"/>
      <c r="V61" s="9"/>
      <c r="W61" s="9"/>
      <c r="X61" s="29"/>
      <c r="Y61" s="29"/>
      <c r="Z61" s="29"/>
      <c r="AA61" s="29"/>
      <c r="AB61" s="29"/>
      <c r="AC61" s="638">
        <f>K61+G61</f>
        <v>84937.749824</v>
      </c>
      <c r="AD61" s="796"/>
    </row>
    <row r="62" spans="2:30" s="27" customFormat="1" ht="16.5" customHeight="1">
      <c r="B62" s="625"/>
      <c r="C62" s="628"/>
      <c r="D62" s="717" t="s">
        <v>258</v>
      </c>
      <c r="E62" s="822"/>
      <c r="F62" s="823" t="s">
        <v>260</v>
      </c>
      <c r="G62" s="824"/>
      <c r="H62" s="828"/>
      <c r="I62" s="829"/>
      <c r="J62" s="25"/>
      <c r="K62" s="824"/>
      <c r="L62" s="25"/>
      <c r="M62" s="826"/>
      <c r="O62" s="830"/>
      <c r="P62" s="9"/>
      <c r="Q62" s="820"/>
      <c r="R62" s="820"/>
      <c r="S62" s="29"/>
      <c r="T62" s="9"/>
      <c r="U62" s="9"/>
      <c r="V62" s="9"/>
      <c r="W62" s="9"/>
      <c r="X62" s="29"/>
      <c r="Y62" s="29"/>
      <c r="Z62" s="29"/>
      <c r="AA62" s="29"/>
      <c r="AB62" s="29"/>
      <c r="AC62" s="638"/>
      <c r="AD62" s="796"/>
    </row>
    <row r="63" spans="2:30" s="27" customFormat="1" ht="16.5" customHeight="1">
      <c r="B63" s="625"/>
      <c r="C63" s="628"/>
      <c r="D63" s="815" t="s">
        <v>264</v>
      </c>
      <c r="E63" s="633"/>
      <c r="F63" s="717">
        <v>320</v>
      </c>
      <c r="G63" s="718"/>
      <c r="H63" s="9"/>
      <c r="I63" s="717"/>
      <c r="J63" s="717"/>
      <c r="K63" s="9"/>
      <c r="L63" s="638"/>
      <c r="M63" s="819"/>
      <c r="N63" s="819"/>
      <c r="O63" s="825">
        <v>0</v>
      </c>
      <c r="P63" s="25"/>
      <c r="Q63" s="826" t="s">
        <v>256</v>
      </c>
      <c r="R63" s="820"/>
      <c r="S63" s="29"/>
      <c r="T63" s="9"/>
      <c r="U63" s="9"/>
      <c r="V63" s="9"/>
      <c r="W63" s="9"/>
      <c r="X63" s="29"/>
      <c r="Y63" s="29"/>
      <c r="Z63" s="29"/>
      <c r="AA63" s="29"/>
      <c r="AB63" s="29"/>
      <c r="AC63" s="831">
        <f>+F63*$F$22*$L$22</f>
        <v>284029.44</v>
      </c>
      <c r="AD63" s="796"/>
    </row>
    <row r="64" spans="1:30" ht="16.5" customHeight="1">
      <c r="A64" s="27"/>
      <c r="B64" s="625"/>
      <c r="C64" s="628"/>
      <c r="D64" s="807"/>
      <c r="E64" s="633"/>
      <c r="F64" s="717"/>
      <c r="G64" s="717"/>
      <c r="H64" s="718"/>
      <c r="J64" s="717"/>
      <c r="L64" s="832"/>
      <c r="M64" s="819"/>
      <c r="N64" s="819"/>
      <c r="O64" s="820"/>
      <c r="P64" s="820"/>
      <c r="Q64" s="826"/>
      <c r="R64" s="820"/>
      <c r="S64" s="820"/>
      <c r="AC64" s="627">
        <f>SUM(AC60:AC63)</f>
        <v>3349661.671584</v>
      </c>
      <c r="AD64" s="796"/>
    </row>
    <row r="65" spans="2:30" ht="16.5" customHeight="1">
      <c r="B65" s="625"/>
      <c r="C65" s="813" t="s">
        <v>125</v>
      </c>
      <c r="D65" s="833" t="s">
        <v>126</v>
      </c>
      <c r="E65" s="717"/>
      <c r="F65" s="834"/>
      <c r="G65" s="716"/>
      <c r="H65" s="807"/>
      <c r="I65" s="807"/>
      <c r="J65" s="807"/>
      <c r="K65" s="717"/>
      <c r="L65" s="717"/>
      <c r="M65" s="807"/>
      <c r="N65" s="717"/>
      <c r="O65" s="807"/>
      <c r="P65" s="807"/>
      <c r="Q65" s="819"/>
      <c r="R65" s="807"/>
      <c r="S65" s="807"/>
      <c r="T65" s="807"/>
      <c r="U65" s="807"/>
      <c r="AC65" s="807"/>
      <c r="AD65" s="796"/>
    </row>
    <row r="66" spans="2:30" s="27" customFormat="1" ht="16.5" customHeight="1">
      <c r="B66" s="625"/>
      <c r="C66" s="628"/>
      <c r="D66" s="815" t="s">
        <v>127</v>
      </c>
      <c r="E66" s="835">
        <f>10*K55*K27/AC64</f>
        <v>26455.78700412152</v>
      </c>
      <c r="G66" s="716"/>
      <c r="L66" s="717"/>
      <c r="N66" s="717"/>
      <c r="O66" s="718"/>
      <c r="V66" s="9"/>
      <c r="W66" s="9"/>
      <c r="AD66" s="796"/>
    </row>
    <row r="67" spans="2:30" s="27" customFormat="1" ht="16.5" customHeight="1">
      <c r="B67" s="625"/>
      <c r="C67" s="628"/>
      <c r="E67" s="836"/>
      <c r="F67" s="639"/>
      <c r="G67" s="716"/>
      <c r="J67" s="716"/>
      <c r="K67" s="736"/>
      <c r="L67" s="717"/>
      <c r="M67" s="717"/>
      <c r="N67" s="717"/>
      <c r="O67" s="718"/>
      <c r="P67" s="717"/>
      <c r="Q67" s="717"/>
      <c r="R67" s="735"/>
      <c r="S67" s="735"/>
      <c r="T67" s="735"/>
      <c r="U67" s="837"/>
      <c r="V67" s="9"/>
      <c r="W67" s="9"/>
      <c r="AC67" s="837"/>
      <c r="AD67" s="796"/>
    </row>
    <row r="68" spans="2:30" ht="16.5" customHeight="1">
      <c r="B68" s="625"/>
      <c r="C68" s="628"/>
      <c r="D68" s="838" t="s">
        <v>128</v>
      </c>
      <c r="E68" s="839"/>
      <c r="F68" s="639"/>
      <c r="G68" s="716"/>
      <c r="H68" s="807"/>
      <c r="I68" s="807"/>
      <c r="N68" s="717"/>
      <c r="O68" s="718"/>
      <c r="P68" s="717"/>
      <c r="Q68" s="717"/>
      <c r="R68" s="818"/>
      <c r="S68" s="818"/>
      <c r="T68" s="818"/>
      <c r="U68" s="819"/>
      <c r="AC68" s="819"/>
      <c r="AD68" s="796"/>
    </row>
    <row r="69" spans="2:30" ht="16.5" customHeight="1" thickBot="1">
      <c r="B69" s="625"/>
      <c r="C69" s="628"/>
      <c r="D69" s="838"/>
      <c r="E69" s="839"/>
      <c r="F69" s="639"/>
      <c r="G69" s="716"/>
      <c r="H69" s="807"/>
      <c r="I69" s="807"/>
      <c r="N69" s="717"/>
      <c r="O69" s="718"/>
      <c r="P69" s="717"/>
      <c r="Q69" s="717"/>
      <c r="R69" s="818"/>
      <c r="S69" s="818"/>
      <c r="T69" s="818"/>
      <c r="U69" s="819"/>
      <c r="AC69" s="819"/>
      <c r="AD69" s="796"/>
    </row>
    <row r="70" spans="2:30" s="840" customFormat="1" ht="21" thickBot="1" thickTop="1">
      <c r="B70" s="841"/>
      <c r="C70" s="842"/>
      <c r="D70" s="843"/>
      <c r="E70" s="844"/>
      <c r="F70" s="845"/>
      <c r="G70" s="846"/>
      <c r="I70" s="9"/>
      <c r="J70" s="847" t="s">
        <v>129</v>
      </c>
      <c r="K70" s="848">
        <f>IF(E66&gt;3*K27,K27*3,E66)</f>
        <v>26455.78700412152</v>
      </c>
      <c r="M70" s="849"/>
      <c r="N70" s="849"/>
      <c r="O70" s="850"/>
      <c r="P70" s="849"/>
      <c r="Q70" s="849"/>
      <c r="R70" s="851"/>
      <c r="S70" s="851"/>
      <c r="T70" s="851"/>
      <c r="U70" s="852"/>
      <c r="V70" s="9"/>
      <c r="W70" s="9"/>
      <c r="AC70" s="852"/>
      <c r="AD70" s="853"/>
    </row>
    <row r="71" spans="2:30" ht="16.5" customHeight="1" thickBot="1" thickTop="1">
      <c r="B71" s="76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854"/>
      <c r="W71" s="854"/>
      <c r="X71" s="854"/>
      <c r="Y71" s="854"/>
      <c r="Z71" s="854"/>
      <c r="AA71" s="854"/>
      <c r="AB71" s="854"/>
      <c r="AC71" s="78"/>
      <c r="AD71" s="855"/>
    </row>
    <row r="72" spans="2:23" ht="16.5" customHeight="1" thickTop="1">
      <c r="B72" s="249"/>
      <c r="C72" s="272"/>
      <c r="W72" s="249"/>
    </row>
  </sheetData>
  <sheetProtection password="CC12"/>
  <mergeCells count="21">
    <mergeCell ref="F53:G53"/>
    <mergeCell ref="F47:G47"/>
    <mergeCell ref="F48:G48"/>
    <mergeCell ref="P47:Q47"/>
    <mergeCell ref="P53:Q53"/>
    <mergeCell ref="F49:G49"/>
    <mergeCell ref="P49:Q49"/>
    <mergeCell ref="P42:Q42"/>
    <mergeCell ref="P43:Q43"/>
    <mergeCell ref="P44:Q44"/>
    <mergeCell ref="P38:Q38"/>
    <mergeCell ref="P39:Q39"/>
    <mergeCell ref="P40:Q40"/>
    <mergeCell ref="P41:Q41"/>
    <mergeCell ref="F38:G38"/>
    <mergeCell ref="F39:G39"/>
    <mergeCell ref="F40:G40"/>
    <mergeCell ref="F44:G44"/>
    <mergeCell ref="F43:G43"/>
    <mergeCell ref="F41:G41"/>
    <mergeCell ref="F42:G4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0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zoomScale="50" zoomScaleNormal="50" zoomScalePageLayoutView="0" workbookViewId="0" topLeftCell="A1">
      <selection activeCell="A18" sqref="A18"/>
    </sheetView>
  </sheetViews>
  <sheetFormatPr defaultColWidth="11.421875" defaultRowHeight="12.75"/>
  <cols>
    <col min="1" max="1" width="33.7109375" style="9" customWidth="1"/>
    <col min="2" max="2" width="19.140625" style="9" customWidth="1"/>
    <col min="3" max="3" width="6.57421875" style="9" bestFit="1" customWidth="1"/>
    <col min="4" max="4" width="32.28125" style="9" customWidth="1"/>
    <col min="5" max="5" width="24.140625" style="9" customWidth="1"/>
    <col min="6" max="6" width="16.57421875" style="9" customWidth="1"/>
    <col min="7" max="7" width="14.421875" style="9" customWidth="1"/>
    <col min="8" max="8" width="8.7109375" style="9" hidden="1" customWidth="1"/>
    <col min="9" max="9" width="18.7109375" style="9" customWidth="1"/>
    <col min="10" max="10" width="20.7109375" style="9" bestFit="1" customWidth="1"/>
    <col min="11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10.7109375" style="9" hidden="1" customWidth="1"/>
    <col min="17" max="17" width="13.00390625" style="9" hidden="1" customWidth="1"/>
    <col min="18" max="19" width="4.7109375" style="9" hidden="1" customWidth="1"/>
    <col min="20" max="20" width="11.7109375" style="9" hidden="1" customWidth="1"/>
    <col min="21" max="21" width="14.8515625" style="9" customWidth="1"/>
    <col min="22" max="22" width="20.7109375" style="9" customWidth="1"/>
    <col min="23" max="23" width="19.140625" style="9" customWidth="1"/>
    <col min="24" max="24" width="17.7109375" style="9" customWidth="1"/>
    <col min="25" max="25" width="12.8515625" style="9" customWidth="1"/>
    <col min="26" max="26" width="14.28125" style="9" customWidth="1"/>
    <col min="27" max="27" width="24.28125" style="9" customWidth="1"/>
    <col min="28" max="28" width="9.7109375" style="9" customWidth="1"/>
    <col min="29" max="29" width="17.28125" style="9" customWidth="1"/>
    <col min="30" max="30" width="25.710937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5"/>
      <c r="AD1" s="879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618" customFormat="1" ht="30.75">
      <c r="A3" s="615"/>
      <c r="B3" s="616" t="str">
        <f>+'TOT-0115'!B2</f>
        <v>ANEXO II al Memorándum D.T.E.E. N°  90 /2016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AB3" s="617"/>
      <c r="AC3" s="617"/>
      <c r="AD3" s="617"/>
    </row>
    <row r="4" spans="1:2" s="14" customFormat="1" ht="11.25">
      <c r="A4" s="856" t="s">
        <v>2</v>
      </c>
      <c r="B4" s="286"/>
    </row>
    <row r="5" spans="1:2" s="14" customFormat="1" ht="12" thickBot="1">
      <c r="A5" s="856" t="s">
        <v>3</v>
      </c>
      <c r="B5" s="856"/>
    </row>
    <row r="6" spans="1:23" ht="16.5" customHeight="1" thickTop="1">
      <c r="A6" s="8"/>
      <c r="B6" s="92"/>
      <c r="C6" s="93"/>
      <c r="D6" s="93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5"/>
    </row>
    <row r="7" spans="1:23" ht="20.25">
      <c r="A7" s="8"/>
      <c r="B7" s="55"/>
      <c r="C7" s="11"/>
      <c r="D7" s="97" t="s">
        <v>85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20"/>
      <c r="Q7" s="620"/>
      <c r="R7" s="11"/>
      <c r="S7" s="11"/>
      <c r="T7" s="11"/>
      <c r="U7" s="11"/>
      <c r="V7" s="11"/>
      <c r="W7" s="100"/>
    </row>
    <row r="8" spans="1:23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0"/>
    </row>
    <row r="9" spans="2:23" s="34" customFormat="1" ht="20.25">
      <c r="B9" s="43"/>
      <c r="C9" s="42"/>
      <c r="D9" s="97" t="s">
        <v>86</v>
      </c>
      <c r="E9" s="42"/>
      <c r="F9" s="42"/>
      <c r="G9" s="42"/>
      <c r="H9" s="42"/>
      <c r="N9" s="42"/>
      <c r="O9" s="42"/>
      <c r="P9" s="273"/>
      <c r="Q9" s="273"/>
      <c r="R9" s="42"/>
      <c r="S9" s="42"/>
      <c r="T9" s="42"/>
      <c r="U9" s="42"/>
      <c r="V9" s="42"/>
      <c r="W9" s="274"/>
    </row>
    <row r="10" spans="1:23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0"/>
    </row>
    <row r="11" spans="2:23" s="34" customFormat="1" ht="20.25">
      <c r="B11" s="43"/>
      <c r="C11" s="42"/>
      <c r="D11" s="97" t="s">
        <v>134</v>
      </c>
      <c r="E11" s="42"/>
      <c r="F11" s="42"/>
      <c r="G11" s="42"/>
      <c r="H11" s="42"/>
      <c r="N11" s="42"/>
      <c r="O11" s="42"/>
      <c r="P11" s="273"/>
      <c r="Q11" s="273"/>
      <c r="R11" s="42"/>
      <c r="S11" s="42"/>
      <c r="T11" s="42"/>
      <c r="U11" s="42"/>
      <c r="V11" s="42"/>
      <c r="W11" s="274"/>
    </row>
    <row r="12" spans="1:23" ht="16.5" customHeight="1">
      <c r="A12" s="8"/>
      <c r="B12" s="55"/>
      <c r="C12" s="11"/>
      <c r="D12" s="11"/>
      <c r="E12" s="8"/>
      <c r="F12" s="8"/>
      <c r="G12" s="8"/>
      <c r="H12" s="8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W12" s="100"/>
    </row>
    <row r="13" spans="2:23" s="34" customFormat="1" ht="19.5">
      <c r="B13" s="35" t="str">
        <f>'TOT-0115'!B14</f>
        <v>Desde el 01 al 31 de enero de 2015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621"/>
      <c r="V13" s="621"/>
      <c r="W13" s="41"/>
    </row>
    <row r="14" spans="1:23" ht="16.5" customHeight="1">
      <c r="A14" s="8"/>
      <c r="B14" s="55"/>
      <c r="C14" s="11"/>
      <c r="D14" s="11"/>
      <c r="E14" s="86"/>
      <c r="F14" s="86"/>
      <c r="G14" s="11"/>
      <c r="H14" s="11"/>
      <c r="I14" s="11"/>
      <c r="J14" s="623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W14" s="100"/>
    </row>
    <row r="15" spans="1:23" ht="16.5" customHeight="1">
      <c r="A15" s="8"/>
      <c r="B15" s="55"/>
      <c r="C15" s="11"/>
      <c r="D15" s="11"/>
      <c r="E15" s="86"/>
      <c r="F15" s="86"/>
      <c r="G15" s="11"/>
      <c r="H15" s="11"/>
      <c r="I15" s="624"/>
      <c r="J15" s="11"/>
      <c r="K15" s="249"/>
      <c r="M15" s="11"/>
      <c r="N15" s="8"/>
      <c r="O15" s="8"/>
      <c r="P15" s="11"/>
      <c r="Q15" s="11"/>
      <c r="R15" s="11"/>
      <c r="S15" s="11"/>
      <c r="T15" s="11"/>
      <c r="U15" s="11"/>
      <c r="V15" s="11"/>
      <c r="W15" s="100"/>
    </row>
    <row r="16" spans="1:23" ht="16.5" customHeight="1">
      <c r="A16" s="8"/>
      <c r="B16" s="55"/>
      <c r="C16" s="11"/>
      <c r="D16" s="11"/>
      <c r="E16" s="86"/>
      <c r="F16" s="86"/>
      <c r="G16" s="11"/>
      <c r="H16" s="11"/>
      <c r="I16" s="624"/>
      <c r="J16" s="11"/>
      <c r="K16" s="249"/>
      <c r="M16" s="11"/>
      <c r="N16" s="8"/>
      <c r="O16" s="8"/>
      <c r="P16" s="11"/>
      <c r="Q16" s="11"/>
      <c r="R16" s="11"/>
      <c r="S16" s="11"/>
      <c r="T16" s="11"/>
      <c r="U16" s="11"/>
      <c r="V16" s="11"/>
      <c r="W16" s="100"/>
    </row>
    <row r="17" spans="1:23" ht="16.5" customHeight="1" thickBot="1">
      <c r="A17" s="8"/>
      <c r="B17" s="55"/>
      <c r="C17" s="73" t="s">
        <v>88</v>
      </c>
      <c r="D17" s="4" t="s">
        <v>89</v>
      </c>
      <c r="E17" s="86"/>
      <c r="F17" s="86"/>
      <c r="G17" s="11"/>
      <c r="H17" s="11"/>
      <c r="I17" s="11"/>
      <c r="J17" s="623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W17" s="100"/>
    </row>
    <row r="18" spans="2:23" s="27" customFormat="1" ht="16.5" customHeight="1" thickBot="1">
      <c r="B18" s="625"/>
      <c r="C18" s="29"/>
      <c r="D18" s="626"/>
      <c r="E18" s="634" t="s">
        <v>135</v>
      </c>
      <c r="F18" s="824">
        <v>1765091.4679999999</v>
      </c>
      <c r="G18" s="826"/>
      <c r="H18" s="29"/>
      <c r="I18" s="29"/>
      <c r="J18" s="629"/>
      <c r="K18" s="29"/>
      <c r="L18" s="29"/>
      <c r="M18" s="29"/>
      <c r="N18" s="880" t="s">
        <v>35</v>
      </c>
      <c r="P18" s="29"/>
      <c r="Q18" s="29"/>
      <c r="R18" s="29"/>
      <c r="S18" s="29"/>
      <c r="T18" s="29"/>
      <c r="U18" s="29"/>
      <c r="V18" s="29"/>
      <c r="W18" s="630"/>
    </row>
    <row r="19" spans="2:23" s="27" customFormat="1" ht="16.5" customHeight="1">
      <c r="B19" s="625"/>
      <c r="C19" s="29"/>
      <c r="D19" s="881"/>
      <c r="E19" s="634" t="s">
        <v>92</v>
      </c>
      <c r="F19" s="635">
        <v>0.025</v>
      </c>
      <c r="G19" s="632"/>
      <c r="H19" s="29"/>
      <c r="I19" s="108"/>
      <c r="J19" s="109"/>
      <c r="K19" s="882" t="s">
        <v>136</v>
      </c>
      <c r="L19" s="883"/>
      <c r="M19" s="884">
        <v>236.734</v>
      </c>
      <c r="N19" s="885">
        <v>200</v>
      </c>
      <c r="R19" s="29"/>
      <c r="S19" s="29"/>
      <c r="T19" s="29"/>
      <c r="U19" s="29"/>
      <c r="V19" s="29"/>
      <c r="W19" s="630"/>
    </row>
    <row r="20" spans="2:23" s="27" customFormat="1" ht="16.5" customHeight="1">
      <c r="B20" s="625"/>
      <c r="C20" s="29"/>
      <c r="D20" s="881"/>
      <c r="E20" s="626" t="s">
        <v>95</v>
      </c>
      <c r="F20" s="29">
        <f>MID(B13,16,2)*24</f>
        <v>744</v>
      </c>
      <c r="G20" s="29" t="s">
        <v>96</v>
      </c>
      <c r="H20" s="29"/>
      <c r="I20" s="29"/>
      <c r="J20" s="29"/>
      <c r="K20" s="886" t="s">
        <v>69</v>
      </c>
      <c r="L20" s="887"/>
      <c r="M20" s="888" t="s">
        <v>74</v>
      </c>
      <c r="N20" s="889">
        <v>100</v>
      </c>
      <c r="O20" s="29"/>
      <c r="P20" s="857"/>
      <c r="Q20" s="29"/>
      <c r="R20" s="29"/>
      <c r="S20" s="29"/>
      <c r="T20" s="29"/>
      <c r="U20" s="29"/>
      <c r="V20" s="29"/>
      <c r="W20" s="630"/>
    </row>
    <row r="21" spans="2:23" s="27" customFormat="1" ht="16.5" customHeight="1" thickBot="1">
      <c r="B21" s="625"/>
      <c r="C21" s="29"/>
      <c r="D21" s="881"/>
      <c r="E21" s="626" t="s">
        <v>137</v>
      </c>
      <c r="F21" s="29">
        <v>1.193</v>
      </c>
      <c r="G21" s="27" t="s">
        <v>94</v>
      </c>
      <c r="H21" s="29"/>
      <c r="I21" s="29"/>
      <c r="J21" s="29"/>
      <c r="K21" s="890" t="s">
        <v>138</v>
      </c>
      <c r="L21" s="891"/>
      <c r="M21" s="892">
        <v>189.391</v>
      </c>
      <c r="N21" s="893">
        <v>40</v>
      </c>
      <c r="O21" s="29"/>
      <c r="P21" s="857"/>
      <c r="Q21" s="29"/>
      <c r="R21" s="29"/>
      <c r="S21" s="29"/>
      <c r="T21" s="29"/>
      <c r="U21" s="29"/>
      <c r="V21" s="29"/>
      <c r="W21" s="630"/>
    </row>
    <row r="22" spans="2:23" s="27" customFormat="1" ht="16.5" customHeight="1">
      <c r="B22" s="625"/>
      <c r="C22" s="29"/>
      <c r="D22" s="29"/>
      <c r="E22" s="63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30"/>
    </row>
    <row r="23" spans="1:23" ht="16.5" customHeight="1">
      <c r="A23" s="8"/>
      <c r="B23" s="55"/>
      <c r="C23" s="73" t="s">
        <v>97</v>
      </c>
      <c r="D23" s="28" t="s">
        <v>173</v>
      </c>
      <c r="I23" s="11"/>
      <c r="J23" s="27"/>
      <c r="O23" s="11"/>
      <c r="P23" s="11"/>
      <c r="Q23" s="11"/>
      <c r="R23" s="11"/>
      <c r="S23" s="11"/>
      <c r="T23" s="11"/>
      <c r="V23" s="11"/>
      <c r="W23" s="100"/>
    </row>
    <row r="24" spans="1:23" ht="10.5" customHeight="1" thickBot="1">
      <c r="A24" s="8"/>
      <c r="B24" s="55"/>
      <c r="C24" s="86"/>
      <c r="D24" s="28"/>
      <c r="I24" s="11"/>
      <c r="J24" s="27"/>
      <c r="O24" s="11"/>
      <c r="P24" s="11"/>
      <c r="Q24" s="11"/>
      <c r="R24" s="11"/>
      <c r="S24" s="11"/>
      <c r="T24" s="11"/>
      <c r="V24" s="11"/>
      <c r="W24" s="100"/>
    </row>
    <row r="25" spans="2:23" s="27" customFormat="1" ht="16.5" customHeight="1" thickBot="1" thickTop="1">
      <c r="B25" s="625"/>
      <c r="C25" s="628"/>
      <c r="D25" s="9"/>
      <c r="E25" s="9"/>
      <c r="F25" s="9"/>
      <c r="G25" s="9"/>
      <c r="H25" s="9"/>
      <c r="I25" s="640" t="s">
        <v>98</v>
      </c>
      <c r="J25" s="894">
        <f>+F18*F19</f>
        <v>44127.2867</v>
      </c>
      <c r="L25" s="9"/>
      <c r="S25" s="9"/>
      <c r="T25" s="9"/>
      <c r="U25" s="9"/>
      <c r="W25" s="630"/>
    </row>
    <row r="26" spans="2:23" s="27" customFormat="1" ht="11.25" customHeight="1" thickTop="1">
      <c r="B26" s="625"/>
      <c r="C26" s="628"/>
      <c r="D26" s="29"/>
      <c r="E26" s="63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9"/>
      <c r="W26" s="630"/>
    </row>
    <row r="27" spans="1:23" ht="16.5" customHeight="1">
      <c r="A27" s="8"/>
      <c r="B27" s="55"/>
      <c r="C27" s="73" t="s">
        <v>99</v>
      </c>
      <c r="D27" s="28" t="s">
        <v>174</v>
      </c>
      <c r="E27" s="23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0"/>
    </row>
    <row r="28" spans="1:23" ht="13.5" customHeight="1" thickBot="1">
      <c r="A28" s="27"/>
      <c r="B28" s="55"/>
      <c r="C28" s="628"/>
      <c r="D28" s="628"/>
      <c r="E28" s="715"/>
      <c r="F28" s="639"/>
      <c r="G28" s="716"/>
      <c r="H28" s="716"/>
      <c r="I28" s="717"/>
      <c r="J28" s="717"/>
      <c r="K28" s="717"/>
      <c r="L28" s="717"/>
      <c r="M28" s="717"/>
      <c r="N28" s="717"/>
      <c r="O28" s="718"/>
      <c r="P28" s="717"/>
      <c r="Q28" s="717"/>
      <c r="R28" s="895"/>
      <c r="S28" s="896"/>
      <c r="T28" s="897"/>
      <c r="U28" s="897"/>
      <c r="V28" s="897"/>
      <c r="W28" s="284"/>
    </row>
    <row r="29" spans="1:26" s="8" customFormat="1" ht="33.75" customHeight="1" thickBot="1" thickTop="1">
      <c r="A29" s="90"/>
      <c r="B29" s="303"/>
      <c r="C29" s="332" t="s">
        <v>29</v>
      </c>
      <c r="D29" s="333" t="s">
        <v>58</v>
      </c>
      <c r="E29" s="334" t="s">
        <v>59</v>
      </c>
      <c r="F29" s="335" t="s">
        <v>60</v>
      </c>
      <c r="G29" s="336" t="s">
        <v>32</v>
      </c>
      <c r="H29" s="337" t="s">
        <v>36</v>
      </c>
      <c r="I29" s="334" t="s">
        <v>37</v>
      </c>
      <c r="J29" s="334" t="s">
        <v>38</v>
      </c>
      <c r="K29" s="333" t="s">
        <v>61</v>
      </c>
      <c r="L29" s="333" t="s">
        <v>40</v>
      </c>
      <c r="M29" s="120" t="s">
        <v>114</v>
      </c>
      <c r="N29" s="334" t="s">
        <v>43</v>
      </c>
      <c r="O29" s="858" t="s">
        <v>62</v>
      </c>
      <c r="P29" s="337" t="s">
        <v>116</v>
      </c>
      <c r="Q29" s="738" t="s">
        <v>44</v>
      </c>
      <c r="R29" s="739" t="s">
        <v>117</v>
      </c>
      <c r="S29" s="740"/>
      <c r="T29" s="741" t="s">
        <v>48</v>
      </c>
      <c r="U29" s="131" t="s">
        <v>50</v>
      </c>
      <c r="V29" s="336" t="s">
        <v>51</v>
      </c>
      <c r="W29" s="100"/>
      <c r="Y29" s="9"/>
      <c r="Z29" s="9"/>
    </row>
    <row r="30" spans="1:23" ht="16.5" customHeight="1" thickTop="1">
      <c r="A30" s="8"/>
      <c r="B30" s="55"/>
      <c r="C30" s="260"/>
      <c r="D30" s="260"/>
      <c r="E30" s="260"/>
      <c r="F30" s="260"/>
      <c r="G30" s="859"/>
      <c r="H30" s="860"/>
      <c r="I30" s="260"/>
      <c r="J30" s="260"/>
      <c r="K30" s="260"/>
      <c r="L30" s="260"/>
      <c r="M30" s="260"/>
      <c r="N30" s="746"/>
      <c r="O30" s="898"/>
      <c r="P30" s="861"/>
      <c r="Q30" s="862"/>
      <c r="R30" s="863"/>
      <c r="S30" s="864"/>
      <c r="T30" s="865"/>
      <c r="U30" s="746"/>
      <c r="V30" s="749"/>
      <c r="W30" s="100"/>
    </row>
    <row r="31" spans="1:23" ht="16.5" customHeight="1">
      <c r="A31" s="8"/>
      <c r="B31" s="55"/>
      <c r="C31" s="673" t="s">
        <v>103</v>
      </c>
      <c r="D31" s="750"/>
      <c r="E31" s="751"/>
      <c r="F31" s="866"/>
      <c r="G31" s="867"/>
      <c r="H31" s="752">
        <f>F31*$F$21</f>
        <v>0</v>
      </c>
      <c r="I31" s="763"/>
      <c r="J31" s="763"/>
      <c r="K31" s="379">
        <f>IF(D31="","",(J31-I31)*24)</f>
      </c>
      <c r="L31" s="380">
        <f>IF(D31="","",(J31-I31)*24*60)</f>
      </c>
      <c r="M31" s="754"/>
      <c r="N31" s="382">
        <f>IF(D31="","",IF(OR(M31="P",M31="RP"),"--","NO"))</f>
      </c>
      <c r="O31" s="899">
        <f>IF(D31="","","NO")</f>
      </c>
      <c r="P31" s="614">
        <f>200*IF(O31="SI",1,0.1)*IF(M31="P",0.1,1)</f>
        <v>20</v>
      </c>
      <c r="Q31" s="756" t="str">
        <f>IF(M31="P",H31*P31*ROUND(L31/60,2),"--")</f>
        <v>--</v>
      </c>
      <c r="R31" s="757" t="str">
        <f>IF(AND(M31="F",N31="NO"),H31*P31,"--")</f>
        <v>--</v>
      </c>
      <c r="S31" s="758" t="str">
        <f>IF(M31="F",H31*P31*ROUND(L31/60,2),"--")</f>
        <v>--</v>
      </c>
      <c r="T31" s="514" t="str">
        <f>IF(M31="RF",H31*P31*ROUND(L31/60,2),"--")</f>
        <v>--</v>
      </c>
      <c r="U31" s="392">
        <f>IF(D31="","","SI")</f>
      </c>
      <c r="V31" s="456">
        <f>IF(D31="","",SUM(Q31:T31)*IF(U31="SI",1,2))</f>
      </c>
      <c r="W31" s="284"/>
    </row>
    <row r="32" spans="1:23" ht="16.5" customHeight="1">
      <c r="A32" s="8"/>
      <c r="B32" s="55"/>
      <c r="C32" s="673" t="s">
        <v>104</v>
      </c>
      <c r="D32" s="750"/>
      <c r="E32" s="751"/>
      <c r="F32" s="866"/>
      <c r="G32" s="867"/>
      <c r="H32" s="752">
        <f>F32*$F$21</f>
        <v>0</v>
      </c>
      <c r="I32" s="763"/>
      <c r="J32" s="763"/>
      <c r="K32" s="379">
        <f>IF(D32="","",(J32-I32)*24)</f>
      </c>
      <c r="L32" s="380">
        <f>IF(D32="","",(J32-I32)*24*60)</f>
      </c>
      <c r="M32" s="754"/>
      <c r="N32" s="382">
        <f>IF(D32="","",IF(OR(M32="P",M32="RP"),"--","NO"))</f>
      </c>
      <c r="O32" s="899">
        <f>IF(D32="","","NO")</f>
      </c>
      <c r="P32" s="614">
        <f>200*IF(O32="SI",1,0.1)*IF(M32="P",0.1,1)</f>
        <v>20</v>
      </c>
      <c r="Q32" s="756" t="str">
        <f>IF(M32="P",H32*P32*ROUND(L32/60,2),"--")</f>
        <v>--</v>
      </c>
      <c r="R32" s="757" t="str">
        <f>IF(AND(M32="F",N32="NO"),H32*P32,"--")</f>
        <v>--</v>
      </c>
      <c r="S32" s="758" t="str">
        <f>IF(M32="F",H32*P32*ROUND(L32/60,2),"--")</f>
        <v>--</v>
      </c>
      <c r="T32" s="514" t="str">
        <f>IF(M32="RF",H32*P32*ROUND(L32/60,2),"--")</f>
        <v>--</v>
      </c>
      <c r="U32" s="392">
        <f>IF(D32="","","SI")</f>
      </c>
      <c r="V32" s="456">
        <f>IF(D32="","",SUM(Q32:T32)*IF(U32="SI",1,2))</f>
      </c>
      <c r="W32" s="284"/>
    </row>
    <row r="33" spans="1:23" ht="16.5" customHeight="1" thickBot="1">
      <c r="A33" s="27"/>
      <c r="B33" s="55"/>
      <c r="C33" s="764"/>
      <c r="D33" s="765"/>
      <c r="E33" s="766"/>
      <c r="F33" s="868"/>
      <c r="G33" s="869"/>
      <c r="H33" s="870"/>
      <c r="I33" s="768"/>
      <c r="J33" s="769"/>
      <c r="K33" s="770"/>
      <c r="L33" s="771"/>
      <c r="M33" s="772"/>
      <c r="N33" s="215"/>
      <c r="O33" s="900"/>
      <c r="P33" s="871"/>
      <c r="Q33" s="872"/>
      <c r="R33" s="873"/>
      <c r="S33" s="874"/>
      <c r="T33" s="875"/>
      <c r="U33" s="777"/>
      <c r="V33" s="778"/>
      <c r="W33" s="284"/>
    </row>
    <row r="34" spans="1:23" ht="16.5" customHeight="1" thickBot="1" thickTop="1">
      <c r="A34" s="27"/>
      <c r="B34" s="55"/>
      <c r="C34" s="319"/>
      <c r="D34" s="234"/>
      <c r="E34" s="234"/>
      <c r="F34" s="779"/>
      <c r="G34" s="780"/>
      <c r="H34" s="781"/>
      <c r="I34" s="782"/>
      <c r="J34" s="783"/>
      <c r="K34" s="784"/>
      <c r="L34" s="785"/>
      <c r="M34" s="781"/>
      <c r="N34" s="786"/>
      <c r="O34" s="236"/>
      <c r="P34" s="787"/>
      <c r="Q34" s="797"/>
      <c r="R34" s="801"/>
      <c r="S34" s="801"/>
      <c r="T34" s="801"/>
      <c r="U34" s="798"/>
      <c r="V34" s="791">
        <f>SUM(V30:V33)</f>
        <v>0</v>
      </c>
      <c r="W34" s="284"/>
    </row>
    <row r="35" spans="1:23" ht="16.5" customHeight="1" thickBot="1" thickTop="1">
      <c r="A35" s="27"/>
      <c r="B35" s="55"/>
      <c r="C35" s="319"/>
      <c r="D35" s="234"/>
      <c r="E35" s="234"/>
      <c r="F35" s="779"/>
      <c r="G35" s="780"/>
      <c r="H35" s="781"/>
      <c r="I35" s="782"/>
      <c r="L35" s="785"/>
      <c r="M35" s="781"/>
      <c r="N35" s="799"/>
      <c r="O35" s="800"/>
      <c r="P35" s="787"/>
      <c r="Q35" s="797"/>
      <c r="R35" s="801"/>
      <c r="S35" s="801"/>
      <c r="T35" s="801"/>
      <c r="U35" s="798"/>
      <c r="V35" s="798"/>
      <c r="W35" s="284"/>
    </row>
    <row r="36" spans="2:23" s="8" customFormat="1" ht="33.75" customHeight="1" thickBot="1" thickTop="1">
      <c r="B36" s="55"/>
      <c r="C36" s="112" t="s">
        <v>29</v>
      </c>
      <c r="D36" s="115" t="s">
        <v>58</v>
      </c>
      <c r="E36" s="2118" t="s">
        <v>59</v>
      </c>
      <c r="F36" s="2127"/>
      <c r="G36" s="131" t="s">
        <v>32</v>
      </c>
      <c r="H36" s="337" t="s">
        <v>36</v>
      </c>
      <c r="I36" s="113" t="s">
        <v>37</v>
      </c>
      <c r="J36" s="493" t="s">
        <v>38</v>
      </c>
      <c r="K36" s="495" t="s">
        <v>39</v>
      </c>
      <c r="L36" s="495" t="s">
        <v>40</v>
      </c>
      <c r="M36" s="120" t="s">
        <v>171</v>
      </c>
      <c r="N36" s="2118" t="s">
        <v>43</v>
      </c>
      <c r="O36" s="2119"/>
      <c r="P36" s="496" t="s">
        <v>35</v>
      </c>
      <c r="Q36" s="497" t="s">
        <v>71</v>
      </c>
      <c r="R36" s="498" t="s">
        <v>72</v>
      </c>
      <c r="S36" s="499"/>
      <c r="T36" s="500" t="s">
        <v>48</v>
      </c>
      <c r="U36" s="131" t="s">
        <v>50</v>
      </c>
      <c r="V36" s="336" t="s">
        <v>51</v>
      </c>
      <c r="W36" s="60"/>
    </row>
    <row r="37" spans="2:23" s="8" customFormat="1" ht="16.5" customHeight="1" thickTop="1">
      <c r="B37" s="55"/>
      <c r="C37" s="153"/>
      <c r="D37" s="508"/>
      <c r="E37" s="2128"/>
      <c r="F37" s="2129"/>
      <c r="G37" s="508"/>
      <c r="H37" s="509"/>
      <c r="I37" s="508"/>
      <c r="J37" s="508"/>
      <c r="K37" s="508"/>
      <c r="L37" s="508"/>
      <c r="M37" s="508"/>
      <c r="N37" s="2130"/>
      <c r="O37" s="2131"/>
      <c r="P37" s="510"/>
      <c r="Q37" s="511"/>
      <c r="R37" s="512"/>
      <c r="S37" s="513"/>
      <c r="T37" s="514"/>
      <c r="U37" s="508"/>
      <c r="V37" s="515"/>
      <c r="W37" s="60"/>
    </row>
    <row r="38" spans="2:23" s="8" customFormat="1" ht="16.5" customHeight="1">
      <c r="B38" s="55"/>
      <c r="C38" s="673" t="s">
        <v>103</v>
      </c>
      <c r="D38" s="508" t="s">
        <v>219</v>
      </c>
      <c r="E38" s="2128" t="s">
        <v>220</v>
      </c>
      <c r="F38" s="2129"/>
      <c r="G38" s="902">
        <v>132</v>
      </c>
      <c r="H38" s="518">
        <f aca="true" t="shared" si="0" ref="H38:H48">IF(G38=500,$M$19,IF(G38=220,$M$20,$M$21))</f>
        <v>189.391</v>
      </c>
      <c r="I38" s="903">
        <v>42006.37152777778</v>
      </c>
      <c r="J38" s="904">
        <v>42006.59722222222</v>
      </c>
      <c r="K38" s="521">
        <f aca="true" t="shared" si="1" ref="K38:K48">IF(D38="","",(J38-I38)*24)</f>
        <v>5.416666666511446</v>
      </c>
      <c r="L38" s="522">
        <f aca="true" t="shared" si="2" ref="L38:L48">IF(D38="","",ROUND((J38-I38)*24*60,0))</f>
        <v>325</v>
      </c>
      <c r="M38" s="682" t="s">
        <v>187</v>
      </c>
      <c r="N38" s="2122" t="str">
        <f aca="true" t="shared" si="3" ref="N38:N48">IF(D38="","",IF(OR(M38="P",M38="RP"),"--","NO"))</f>
        <v>--</v>
      </c>
      <c r="O38" s="2123"/>
      <c r="P38" s="523">
        <f aca="true" t="shared" si="4" ref="P38:P48">IF(G38=500,$N$19,IF(G38=220,$N$20,$N$21))</f>
        <v>40</v>
      </c>
      <c r="Q38" s="905">
        <f aca="true" t="shared" si="5" ref="Q38:Q48">IF(M38="P",H38*P38*ROUND(L38/60,2)*0.1,"--")</f>
        <v>4105.99688</v>
      </c>
      <c r="R38" s="512" t="str">
        <f aca="true" t="shared" si="6" ref="R38:R48">IF(AND(M38="F",N38="NO"),H38*P38,"--")</f>
        <v>--</v>
      </c>
      <c r="S38" s="513" t="str">
        <f aca="true" t="shared" si="7" ref="S38:S48">IF(M38="F",H38*P38*ROUND(L38/60,2),"--")</f>
        <v>--</v>
      </c>
      <c r="T38" s="514" t="str">
        <f aca="true" t="shared" si="8" ref="T38:T48">IF(M38="RF",H38*P38*ROUND(L38/60,2),"--")</f>
        <v>--</v>
      </c>
      <c r="U38" s="906" t="str">
        <f aca="true" t="shared" si="9" ref="U38:U48">IF(D38="","","SI")</f>
        <v>SI</v>
      </c>
      <c r="V38" s="525">
        <f aca="true" t="shared" si="10" ref="V38:V48">IF(D38="","",SUM(Q38:T38)*IF(U38="SI",1,2))</f>
        <v>4105.99688</v>
      </c>
      <c r="W38" s="60"/>
    </row>
    <row r="39" spans="2:23" s="8" customFormat="1" ht="16.5" customHeight="1">
      <c r="B39" s="55"/>
      <c r="C39" s="673" t="s">
        <v>104</v>
      </c>
      <c r="D39" s="508" t="s">
        <v>221</v>
      </c>
      <c r="E39" s="2128" t="s">
        <v>222</v>
      </c>
      <c r="F39" s="2129"/>
      <c r="G39" s="902">
        <v>132</v>
      </c>
      <c r="H39" s="518">
        <f t="shared" si="0"/>
        <v>189.391</v>
      </c>
      <c r="I39" s="903">
        <v>42013.38055555556</v>
      </c>
      <c r="J39" s="904">
        <v>42013.629166666666</v>
      </c>
      <c r="K39" s="521">
        <f t="shared" si="1"/>
        <v>5.966666666558012</v>
      </c>
      <c r="L39" s="522">
        <f t="shared" si="2"/>
        <v>358</v>
      </c>
      <c r="M39" s="682" t="s">
        <v>187</v>
      </c>
      <c r="N39" s="2122" t="str">
        <f t="shared" si="3"/>
        <v>--</v>
      </c>
      <c r="O39" s="2123"/>
      <c r="P39" s="523">
        <f t="shared" si="4"/>
        <v>40</v>
      </c>
      <c r="Q39" s="905">
        <f t="shared" si="5"/>
        <v>4522.65708</v>
      </c>
      <c r="R39" s="512" t="str">
        <f t="shared" si="6"/>
        <v>--</v>
      </c>
      <c r="S39" s="513" t="str">
        <f t="shared" si="7"/>
        <v>--</v>
      </c>
      <c r="T39" s="514" t="str">
        <f t="shared" si="8"/>
        <v>--</v>
      </c>
      <c r="U39" s="906" t="str">
        <f t="shared" si="9"/>
        <v>SI</v>
      </c>
      <c r="V39" s="525">
        <f t="shared" si="10"/>
        <v>4522.65708</v>
      </c>
      <c r="W39" s="60"/>
    </row>
    <row r="40" spans="2:23" s="8" customFormat="1" ht="16.5" customHeight="1">
      <c r="B40" s="55"/>
      <c r="C40" s="673" t="s">
        <v>105</v>
      </c>
      <c r="D40" s="508" t="s">
        <v>223</v>
      </c>
      <c r="E40" s="2128" t="s">
        <v>224</v>
      </c>
      <c r="F40" s="2129"/>
      <c r="G40" s="902">
        <v>132</v>
      </c>
      <c r="H40" s="518">
        <f t="shared" si="0"/>
        <v>189.391</v>
      </c>
      <c r="I40" s="903">
        <v>42018.38402777778</v>
      </c>
      <c r="J40" s="904">
        <v>42018.615277777775</v>
      </c>
      <c r="K40" s="521">
        <f t="shared" si="1"/>
        <v>5.549999999930151</v>
      </c>
      <c r="L40" s="522">
        <f t="shared" si="2"/>
        <v>333</v>
      </c>
      <c r="M40" s="682" t="s">
        <v>187</v>
      </c>
      <c r="N40" s="2122" t="str">
        <f t="shared" si="3"/>
        <v>--</v>
      </c>
      <c r="O40" s="2123"/>
      <c r="P40" s="523">
        <f t="shared" si="4"/>
        <v>40</v>
      </c>
      <c r="Q40" s="905">
        <f t="shared" si="5"/>
        <v>4204.4802</v>
      </c>
      <c r="R40" s="512" t="str">
        <f t="shared" si="6"/>
        <v>--</v>
      </c>
      <c r="S40" s="513" t="str">
        <f t="shared" si="7"/>
        <v>--</v>
      </c>
      <c r="T40" s="514" t="str">
        <f t="shared" si="8"/>
        <v>--</v>
      </c>
      <c r="U40" s="906" t="str">
        <f t="shared" si="9"/>
        <v>SI</v>
      </c>
      <c r="V40" s="525">
        <f t="shared" si="10"/>
        <v>4204.4802</v>
      </c>
      <c r="W40" s="60"/>
    </row>
    <row r="41" spans="2:23" s="8" customFormat="1" ht="16.5" customHeight="1">
      <c r="B41" s="55"/>
      <c r="C41" s="673" t="s">
        <v>106</v>
      </c>
      <c r="D41" s="508" t="s">
        <v>223</v>
      </c>
      <c r="E41" s="2128" t="s">
        <v>225</v>
      </c>
      <c r="F41" s="2129"/>
      <c r="G41" s="902">
        <v>132</v>
      </c>
      <c r="H41" s="518">
        <f t="shared" si="0"/>
        <v>189.391</v>
      </c>
      <c r="I41" s="903">
        <v>42024.260416666664</v>
      </c>
      <c r="J41" s="904">
        <v>42024.63402777778</v>
      </c>
      <c r="K41" s="521">
        <f t="shared" si="1"/>
        <v>8.966666666732635</v>
      </c>
      <c r="L41" s="522">
        <f t="shared" si="2"/>
        <v>538</v>
      </c>
      <c r="M41" s="682" t="s">
        <v>187</v>
      </c>
      <c r="N41" s="2122" t="str">
        <f t="shared" si="3"/>
        <v>--</v>
      </c>
      <c r="O41" s="2123"/>
      <c r="P41" s="523">
        <f t="shared" si="4"/>
        <v>40</v>
      </c>
      <c r="Q41" s="905">
        <f t="shared" si="5"/>
        <v>6795.34908</v>
      </c>
      <c r="R41" s="512" t="str">
        <f t="shared" si="6"/>
        <v>--</v>
      </c>
      <c r="S41" s="513" t="str">
        <f t="shared" si="7"/>
        <v>--</v>
      </c>
      <c r="T41" s="514" t="str">
        <f t="shared" si="8"/>
        <v>--</v>
      </c>
      <c r="U41" s="906" t="str">
        <f t="shared" si="9"/>
        <v>SI</v>
      </c>
      <c r="V41" s="525">
        <f t="shared" si="10"/>
        <v>6795.34908</v>
      </c>
      <c r="W41" s="60"/>
    </row>
    <row r="42" spans="2:23" s="8" customFormat="1" ht="16.5" customHeight="1">
      <c r="B42" s="55"/>
      <c r="C42" s="673" t="s">
        <v>107</v>
      </c>
      <c r="D42" s="508" t="s">
        <v>226</v>
      </c>
      <c r="E42" s="2128" t="s">
        <v>227</v>
      </c>
      <c r="F42" s="2129"/>
      <c r="G42" s="902">
        <v>132</v>
      </c>
      <c r="H42" s="518">
        <f t="shared" si="0"/>
        <v>189.391</v>
      </c>
      <c r="I42" s="903">
        <v>42024.31041666667</v>
      </c>
      <c r="J42" s="904">
        <v>42024.57708333333</v>
      </c>
      <c r="K42" s="521">
        <f t="shared" si="1"/>
        <v>6.399999999906868</v>
      </c>
      <c r="L42" s="522">
        <f t="shared" si="2"/>
        <v>384</v>
      </c>
      <c r="M42" s="682" t="s">
        <v>187</v>
      </c>
      <c r="N42" s="2122" t="str">
        <f t="shared" si="3"/>
        <v>--</v>
      </c>
      <c r="O42" s="2123"/>
      <c r="P42" s="523">
        <f t="shared" si="4"/>
        <v>40</v>
      </c>
      <c r="Q42" s="905">
        <f t="shared" si="5"/>
        <v>4848.4096</v>
      </c>
      <c r="R42" s="512" t="str">
        <f t="shared" si="6"/>
        <v>--</v>
      </c>
      <c r="S42" s="513" t="str">
        <f t="shared" si="7"/>
        <v>--</v>
      </c>
      <c r="T42" s="514" t="str">
        <f t="shared" si="8"/>
        <v>--</v>
      </c>
      <c r="U42" s="906" t="str">
        <f t="shared" si="9"/>
        <v>SI</v>
      </c>
      <c r="V42" s="525">
        <f t="shared" si="10"/>
        <v>4848.4096</v>
      </c>
      <c r="W42" s="60"/>
    </row>
    <row r="43" spans="2:23" s="8" customFormat="1" ht="16.5" customHeight="1">
      <c r="B43" s="55"/>
      <c r="C43" s="673" t="s">
        <v>108</v>
      </c>
      <c r="D43" s="508" t="s">
        <v>223</v>
      </c>
      <c r="E43" s="2128" t="s">
        <v>225</v>
      </c>
      <c r="F43" s="2129"/>
      <c r="G43" s="902">
        <v>132</v>
      </c>
      <c r="H43" s="518">
        <f t="shared" si="0"/>
        <v>189.391</v>
      </c>
      <c r="I43" s="903">
        <v>42025.375</v>
      </c>
      <c r="J43" s="904">
        <v>42025.506944444445</v>
      </c>
      <c r="K43" s="521">
        <f t="shared" si="1"/>
        <v>3.166666666686069</v>
      </c>
      <c r="L43" s="522">
        <f t="shared" si="2"/>
        <v>190</v>
      </c>
      <c r="M43" s="682" t="s">
        <v>187</v>
      </c>
      <c r="N43" s="2122" t="str">
        <f t="shared" si="3"/>
        <v>--</v>
      </c>
      <c r="O43" s="2123"/>
      <c r="P43" s="523">
        <f t="shared" si="4"/>
        <v>40</v>
      </c>
      <c r="Q43" s="905">
        <f t="shared" si="5"/>
        <v>2401.47788</v>
      </c>
      <c r="R43" s="512" t="str">
        <f t="shared" si="6"/>
        <v>--</v>
      </c>
      <c r="S43" s="513" t="str">
        <f t="shared" si="7"/>
        <v>--</v>
      </c>
      <c r="T43" s="514" t="str">
        <f t="shared" si="8"/>
        <v>--</v>
      </c>
      <c r="U43" s="906" t="str">
        <f t="shared" si="9"/>
        <v>SI</v>
      </c>
      <c r="V43" s="525">
        <f t="shared" si="10"/>
        <v>2401.47788</v>
      </c>
      <c r="W43" s="60"/>
    </row>
    <row r="44" spans="2:23" s="8" customFormat="1" ht="16.5" customHeight="1">
      <c r="B44" s="55"/>
      <c r="C44" s="673" t="s">
        <v>109</v>
      </c>
      <c r="D44" s="508" t="s">
        <v>226</v>
      </c>
      <c r="E44" s="2128" t="s">
        <v>228</v>
      </c>
      <c r="F44" s="2129"/>
      <c r="G44" s="902">
        <v>132</v>
      </c>
      <c r="H44" s="518">
        <f t="shared" si="0"/>
        <v>189.391</v>
      </c>
      <c r="I44" s="903">
        <v>42031.35555555556</v>
      </c>
      <c r="J44" s="904">
        <v>42031.56319444445</v>
      </c>
      <c r="K44" s="521">
        <f t="shared" si="1"/>
        <v>4.983333333337214</v>
      </c>
      <c r="L44" s="522">
        <f t="shared" si="2"/>
        <v>299</v>
      </c>
      <c r="M44" s="682" t="s">
        <v>187</v>
      </c>
      <c r="N44" s="2122" t="str">
        <f t="shared" si="3"/>
        <v>--</v>
      </c>
      <c r="O44" s="2123"/>
      <c r="P44" s="523">
        <f t="shared" si="4"/>
        <v>40</v>
      </c>
      <c r="Q44" s="905">
        <f t="shared" si="5"/>
        <v>3772.66872</v>
      </c>
      <c r="R44" s="512" t="str">
        <f t="shared" si="6"/>
        <v>--</v>
      </c>
      <c r="S44" s="513" t="str">
        <f t="shared" si="7"/>
        <v>--</v>
      </c>
      <c r="T44" s="514" t="str">
        <f t="shared" si="8"/>
        <v>--</v>
      </c>
      <c r="U44" s="906" t="str">
        <f t="shared" si="9"/>
        <v>SI</v>
      </c>
      <c r="V44" s="525">
        <f t="shared" si="10"/>
        <v>3772.66872</v>
      </c>
      <c r="W44" s="60"/>
    </row>
    <row r="45" spans="2:23" s="8" customFormat="1" ht="16.5" customHeight="1">
      <c r="B45" s="55"/>
      <c r="C45" s="673" t="s">
        <v>110</v>
      </c>
      <c r="D45" s="508" t="s">
        <v>226</v>
      </c>
      <c r="E45" s="2128" t="s">
        <v>228</v>
      </c>
      <c r="F45" s="2129"/>
      <c r="G45" s="902">
        <v>132</v>
      </c>
      <c r="H45" s="518">
        <f t="shared" si="0"/>
        <v>189.391</v>
      </c>
      <c r="I45" s="903">
        <v>42032.375</v>
      </c>
      <c r="J45" s="904">
        <v>42032.71319444444</v>
      </c>
      <c r="K45" s="521">
        <f t="shared" si="1"/>
        <v>8.116666666581295</v>
      </c>
      <c r="L45" s="522">
        <f t="shared" si="2"/>
        <v>487</v>
      </c>
      <c r="M45" s="682" t="s">
        <v>187</v>
      </c>
      <c r="N45" s="2122" t="str">
        <f t="shared" si="3"/>
        <v>--</v>
      </c>
      <c r="O45" s="2123"/>
      <c r="P45" s="523">
        <f t="shared" si="4"/>
        <v>40</v>
      </c>
      <c r="Q45" s="905">
        <f t="shared" si="5"/>
        <v>6151.419679999999</v>
      </c>
      <c r="R45" s="512" t="str">
        <f t="shared" si="6"/>
        <v>--</v>
      </c>
      <c r="S45" s="513" t="str">
        <f t="shared" si="7"/>
        <v>--</v>
      </c>
      <c r="T45" s="514" t="str">
        <f t="shared" si="8"/>
        <v>--</v>
      </c>
      <c r="U45" s="906" t="str">
        <f t="shared" si="9"/>
        <v>SI</v>
      </c>
      <c r="V45" s="525">
        <f t="shared" si="10"/>
        <v>6151.419679999999</v>
      </c>
      <c r="W45" s="60"/>
    </row>
    <row r="46" spans="2:23" s="8" customFormat="1" ht="16.5" customHeight="1">
      <c r="B46" s="55"/>
      <c r="C46" s="673" t="s">
        <v>111</v>
      </c>
      <c r="D46" s="508" t="s">
        <v>223</v>
      </c>
      <c r="E46" s="2128" t="s">
        <v>225</v>
      </c>
      <c r="F46" s="2129"/>
      <c r="G46" s="902">
        <v>132</v>
      </c>
      <c r="H46" s="518">
        <f t="shared" si="0"/>
        <v>189.391</v>
      </c>
      <c r="I46" s="903">
        <v>42034.76180555556</v>
      </c>
      <c r="J46" s="904">
        <v>42035.17847222222</v>
      </c>
      <c r="K46" s="521">
        <f t="shared" si="1"/>
        <v>9.999999999941792</v>
      </c>
      <c r="L46" s="522">
        <f t="shared" si="2"/>
        <v>600</v>
      </c>
      <c r="M46" s="682" t="s">
        <v>187</v>
      </c>
      <c r="N46" s="2122" t="str">
        <f t="shared" si="3"/>
        <v>--</v>
      </c>
      <c r="O46" s="2123"/>
      <c r="P46" s="523">
        <f t="shared" si="4"/>
        <v>40</v>
      </c>
      <c r="Q46" s="905">
        <f t="shared" si="5"/>
        <v>7575.639999999999</v>
      </c>
      <c r="R46" s="512" t="str">
        <f t="shared" si="6"/>
        <v>--</v>
      </c>
      <c r="S46" s="513" t="str">
        <f t="shared" si="7"/>
        <v>--</v>
      </c>
      <c r="T46" s="514" t="str">
        <f t="shared" si="8"/>
        <v>--</v>
      </c>
      <c r="U46" s="906" t="str">
        <f t="shared" si="9"/>
        <v>SI</v>
      </c>
      <c r="V46" s="525">
        <f t="shared" si="10"/>
        <v>7575.639999999999</v>
      </c>
      <c r="W46" s="60"/>
    </row>
    <row r="47" spans="2:23" s="8" customFormat="1" ht="16.5" customHeight="1">
      <c r="B47" s="55"/>
      <c r="C47" s="673" t="s">
        <v>112</v>
      </c>
      <c r="D47" s="508"/>
      <c r="E47" s="2128"/>
      <c r="F47" s="2129"/>
      <c r="G47" s="902"/>
      <c r="H47" s="518">
        <f t="shared" si="0"/>
        <v>189.391</v>
      </c>
      <c r="I47" s="903"/>
      <c r="J47" s="904"/>
      <c r="K47" s="521">
        <f t="shared" si="1"/>
      </c>
      <c r="L47" s="522">
        <f t="shared" si="2"/>
      </c>
      <c r="M47" s="682"/>
      <c r="N47" s="2122">
        <f t="shared" si="3"/>
      </c>
      <c r="O47" s="2123"/>
      <c r="P47" s="523">
        <f t="shared" si="4"/>
        <v>40</v>
      </c>
      <c r="Q47" s="905" t="str">
        <f t="shared" si="5"/>
        <v>--</v>
      </c>
      <c r="R47" s="512" t="str">
        <f t="shared" si="6"/>
        <v>--</v>
      </c>
      <c r="S47" s="513" t="str">
        <f t="shared" si="7"/>
        <v>--</v>
      </c>
      <c r="T47" s="514" t="str">
        <f t="shared" si="8"/>
        <v>--</v>
      </c>
      <c r="U47" s="906">
        <f t="shared" si="9"/>
      </c>
      <c r="V47" s="525">
        <f t="shared" si="10"/>
      </c>
      <c r="W47" s="60"/>
    </row>
    <row r="48" spans="2:23" s="8" customFormat="1" ht="16.5" customHeight="1">
      <c r="B48" s="55"/>
      <c r="C48" s="673" t="s">
        <v>113</v>
      </c>
      <c r="D48" s="508"/>
      <c r="E48" s="2128"/>
      <c r="F48" s="2129"/>
      <c r="G48" s="902"/>
      <c r="H48" s="518">
        <f t="shared" si="0"/>
        <v>189.391</v>
      </c>
      <c r="I48" s="903"/>
      <c r="J48" s="904"/>
      <c r="K48" s="521">
        <f t="shared" si="1"/>
      </c>
      <c r="L48" s="522">
        <f t="shared" si="2"/>
      </c>
      <c r="M48" s="682"/>
      <c r="N48" s="2122">
        <f t="shared" si="3"/>
      </c>
      <c r="O48" s="2123"/>
      <c r="P48" s="523">
        <f t="shared" si="4"/>
        <v>40</v>
      </c>
      <c r="Q48" s="905" t="str">
        <f t="shared" si="5"/>
        <v>--</v>
      </c>
      <c r="R48" s="512" t="str">
        <f t="shared" si="6"/>
        <v>--</v>
      </c>
      <c r="S48" s="513" t="str">
        <f t="shared" si="7"/>
        <v>--</v>
      </c>
      <c r="T48" s="514" t="str">
        <f t="shared" si="8"/>
        <v>--</v>
      </c>
      <c r="U48" s="906">
        <f t="shared" si="9"/>
      </c>
      <c r="V48" s="525">
        <f t="shared" si="10"/>
      </c>
      <c r="W48" s="60"/>
    </row>
    <row r="49" spans="2:28" s="8" customFormat="1" ht="16.5" customHeight="1" thickBot="1">
      <c r="B49" s="55"/>
      <c r="C49" s="764"/>
      <c r="D49" s="812"/>
      <c r="E49" s="2132"/>
      <c r="F49" s="2133"/>
      <c r="G49" s="907"/>
      <c r="H49" s="908"/>
      <c r="I49" s="909"/>
      <c r="J49" s="910"/>
      <c r="K49" s="911"/>
      <c r="L49" s="912"/>
      <c r="M49" s="774"/>
      <c r="N49" s="2112"/>
      <c r="O49" s="2113"/>
      <c r="P49" s="913"/>
      <c r="Q49" s="914"/>
      <c r="R49" s="915"/>
      <c r="S49" s="916"/>
      <c r="T49" s="917"/>
      <c r="U49" s="918"/>
      <c r="V49" s="919"/>
      <c r="W49" s="60"/>
      <c r="X49" s="9"/>
      <c r="Y49" s="9"/>
      <c r="Z49" s="9"/>
      <c r="AA49" s="9"/>
      <c r="AB49" s="9"/>
    </row>
    <row r="50" spans="1:23" ht="17.25" thickBot="1" thickTop="1">
      <c r="A50" s="27"/>
      <c r="B50" s="625"/>
      <c r="C50" s="628"/>
      <c r="D50" s="803"/>
      <c r="E50" s="804"/>
      <c r="F50" s="805"/>
      <c r="G50" s="806"/>
      <c r="H50" s="806"/>
      <c r="I50" s="804"/>
      <c r="J50" s="807"/>
      <c r="K50" s="807"/>
      <c r="L50" s="804"/>
      <c r="M50" s="804"/>
      <c r="N50" s="804"/>
      <c r="O50" s="808"/>
      <c r="P50" s="804"/>
      <c r="Q50" s="804"/>
      <c r="R50" s="809"/>
      <c r="S50" s="810"/>
      <c r="T50" s="810"/>
      <c r="U50" s="811"/>
      <c r="V50" s="791">
        <f>SUM(V38:V49)</f>
        <v>44378.09912</v>
      </c>
      <c r="W50" s="796"/>
    </row>
    <row r="51" spans="1:23" ht="17.25" thickBot="1" thickTop="1">
      <c r="A51" s="27"/>
      <c r="B51" s="625"/>
      <c r="C51" s="628"/>
      <c r="D51" s="803"/>
      <c r="E51" s="804"/>
      <c r="F51" s="805"/>
      <c r="G51" s="806"/>
      <c r="H51" s="806"/>
      <c r="I51" s="640" t="s">
        <v>119</v>
      </c>
      <c r="J51" s="894">
        <f>+V50+V34</f>
        <v>44378.09912</v>
      </c>
      <c r="L51" s="804"/>
      <c r="M51" s="804"/>
      <c r="N51" s="804"/>
      <c r="O51" s="808"/>
      <c r="P51" s="804"/>
      <c r="Q51" s="804"/>
      <c r="R51" s="809"/>
      <c r="S51" s="810"/>
      <c r="T51" s="810"/>
      <c r="U51" s="811"/>
      <c r="W51" s="796"/>
    </row>
    <row r="52" spans="1:23" ht="13.5" customHeight="1" thickTop="1">
      <c r="A52" s="27"/>
      <c r="B52" s="625"/>
      <c r="C52" s="628"/>
      <c r="D52" s="803"/>
      <c r="E52" s="804"/>
      <c r="F52" s="805"/>
      <c r="G52" s="806"/>
      <c r="H52" s="806"/>
      <c r="I52" s="804"/>
      <c r="J52" s="807"/>
      <c r="K52" s="807"/>
      <c r="L52" s="804"/>
      <c r="M52" s="804"/>
      <c r="N52" s="804"/>
      <c r="O52" s="808"/>
      <c r="P52" s="804"/>
      <c r="Q52" s="804"/>
      <c r="R52" s="809"/>
      <c r="S52" s="810"/>
      <c r="T52" s="810"/>
      <c r="U52" s="811"/>
      <c r="W52" s="796"/>
    </row>
    <row r="53" spans="1:23" ht="16.5" customHeight="1">
      <c r="A53" s="27"/>
      <c r="B53" s="625"/>
      <c r="C53" s="813" t="s">
        <v>120</v>
      </c>
      <c r="D53" s="814" t="s">
        <v>175</v>
      </c>
      <c r="E53" s="804"/>
      <c r="F53" s="805"/>
      <c r="G53" s="806"/>
      <c r="H53" s="806"/>
      <c r="I53" s="804"/>
      <c r="J53" s="807"/>
      <c r="K53" s="807"/>
      <c r="L53" s="804"/>
      <c r="M53" s="804"/>
      <c r="N53" s="804"/>
      <c r="O53" s="808"/>
      <c r="P53" s="804"/>
      <c r="Q53" s="804"/>
      <c r="R53" s="809"/>
      <c r="S53" s="810"/>
      <c r="T53" s="810"/>
      <c r="U53" s="811"/>
      <c r="W53" s="796"/>
    </row>
    <row r="54" spans="1:23" ht="16.5" customHeight="1">
      <c r="A54" s="27"/>
      <c r="B54" s="625"/>
      <c r="C54" s="813"/>
      <c r="D54" s="803"/>
      <c r="E54" s="804"/>
      <c r="F54" s="805"/>
      <c r="G54" s="806"/>
      <c r="H54" s="806"/>
      <c r="I54" s="804"/>
      <c r="J54" s="807"/>
      <c r="K54" s="807"/>
      <c r="L54" s="804"/>
      <c r="M54" s="804"/>
      <c r="N54" s="804"/>
      <c r="O54" s="808"/>
      <c r="P54" s="804"/>
      <c r="Q54" s="804"/>
      <c r="R54" s="804"/>
      <c r="S54" s="809"/>
      <c r="T54" s="810"/>
      <c r="W54" s="796"/>
    </row>
    <row r="55" spans="2:23" s="27" customFormat="1" ht="16.5" customHeight="1">
      <c r="B55" s="625"/>
      <c r="C55" s="628"/>
      <c r="D55" s="815" t="s">
        <v>130</v>
      </c>
      <c r="E55" s="717" t="s">
        <v>131</v>
      </c>
      <c r="F55" s="717" t="s">
        <v>122</v>
      </c>
      <c r="G55" s="816" t="s">
        <v>180</v>
      </c>
      <c r="H55" s="9"/>
      <c r="I55" s="920"/>
      <c r="J55" s="828" t="s">
        <v>132</v>
      </c>
      <c r="K55" s="828"/>
      <c r="L55" s="717" t="s">
        <v>122</v>
      </c>
      <c r="M55" s="9" t="s">
        <v>139</v>
      </c>
      <c r="O55" s="816" t="s">
        <v>181</v>
      </c>
      <c r="P55" s="9"/>
      <c r="Q55" s="820"/>
      <c r="R55" s="820"/>
      <c r="S55" s="29"/>
      <c r="T55" s="9"/>
      <c r="U55" s="9"/>
      <c r="V55" s="9"/>
      <c r="W55" s="796"/>
    </row>
    <row r="56" spans="2:23" s="27" customFormat="1" ht="16.5" customHeight="1">
      <c r="B56" s="625"/>
      <c r="C56" s="628"/>
      <c r="D56" s="921" t="s">
        <v>140</v>
      </c>
      <c r="E56" s="921">
        <v>300</v>
      </c>
      <c r="F56" s="922">
        <v>500</v>
      </c>
      <c r="G56" s="2126">
        <f>+E56*$F$20*$F$21</f>
        <v>266277.60000000003</v>
      </c>
      <c r="H56" s="2126"/>
      <c r="I56" s="2126"/>
      <c r="J56" s="923" t="s">
        <v>141</v>
      </c>
      <c r="K56" s="923"/>
      <c r="L56" s="921">
        <v>500</v>
      </c>
      <c r="M56" s="921">
        <v>2</v>
      </c>
      <c r="O56" s="2126">
        <f>+M56*$F$20*$M$19</f>
        <v>352260.19200000004</v>
      </c>
      <c r="P56" s="2126"/>
      <c r="Q56" s="2126"/>
      <c r="R56" s="2126"/>
      <c r="S56" s="2126"/>
      <c r="T56" s="2126"/>
      <c r="U56" s="2126"/>
      <c r="V56" s="9"/>
      <c r="W56" s="796"/>
    </row>
    <row r="57" spans="2:23" s="27" customFormat="1" ht="16.5" customHeight="1">
      <c r="B57" s="625"/>
      <c r="C57" s="628"/>
      <c r="D57" s="921" t="s">
        <v>142</v>
      </c>
      <c r="E57" s="728">
        <v>300</v>
      </c>
      <c r="F57" s="922">
        <v>500</v>
      </c>
      <c r="G57" s="2126">
        <f>+E57*$F$20*$F$21</f>
        <v>266277.60000000003</v>
      </c>
      <c r="H57" s="2126"/>
      <c r="I57" s="2126"/>
      <c r="J57" s="923" t="s">
        <v>141</v>
      </c>
      <c r="K57" s="923"/>
      <c r="L57" s="921">
        <v>132</v>
      </c>
      <c r="M57" s="921">
        <v>9</v>
      </c>
      <c r="O57" s="2126">
        <f>+M57*$F$20*$M$21</f>
        <v>1268162.136</v>
      </c>
      <c r="P57" s="2126"/>
      <c r="Q57" s="2126"/>
      <c r="R57" s="2126"/>
      <c r="S57" s="2126"/>
      <c r="T57" s="2126"/>
      <c r="U57" s="2126"/>
      <c r="V57" s="9"/>
      <c r="W57" s="796"/>
    </row>
    <row r="58" spans="2:23" s="27" customFormat="1" ht="16.5" customHeight="1">
      <c r="B58" s="625"/>
      <c r="C58" s="628"/>
      <c r="D58" s="924" t="s">
        <v>143</v>
      </c>
      <c r="E58" s="728">
        <v>300</v>
      </c>
      <c r="F58" s="922">
        <v>500</v>
      </c>
      <c r="G58" s="2126">
        <f>+E58*$F$20*$F$21</f>
        <v>266277.60000000003</v>
      </c>
      <c r="H58" s="2126"/>
      <c r="I58" s="2126"/>
      <c r="J58" s="923" t="s">
        <v>144</v>
      </c>
      <c r="K58" s="923"/>
      <c r="L58" s="921">
        <v>132</v>
      </c>
      <c r="M58" s="921">
        <v>8</v>
      </c>
      <c r="O58" s="2126">
        <f>+M58*$F$20*$M$21</f>
        <v>1127255.2319999998</v>
      </c>
      <c r="P58" s="2126"/>
      <c r="Q58" s="2126"/>
      <c r="R58" s="2126"/>
      <c r="S58" s="2126"/>
      <c r="T58" s="2126"/>
      <c r="U58" s="2126"/>
      <c r="V58" s="9"/>
      <c r="W58" s="796"/>
    </row>
    <row r="59" spans="1:23" ht="16.5" customHeight="1">
      <c r="A59" s="27"/>
      <c r="B59" s="625"/>
      <c r="C59" s="628"/>
      <c r="D59" s="924" t="s">
        <v>145</v>
      </c>
      <c r="E59" s="728">
        <v>300</v>
      </c>
      <c r="F59" s="922">
        <v>500</v>
      </c>
      <c r="G59" s="2126">
        <f>+E59*$F$20*$F$21</f>
        <v>266277.60000000003</v>
      </c>
      <c r="H59" s="2126"/>
      <c r="I59" s="2126"/>
      <c r="J59" s="923" t="s">
        <v>146</v>
      </c>
      <c r="K59" s="923"/>
      <c r="L59" s="921">
        <v>132</v>
      </c>
      <c r="M59" s="921">
        <v>5</v>
      </c>
      <c r="O59" s="2125">
        <f>+M59*$F$20*$M$21</f>
        <v>704534.52</v>
      </c>
      <c r="P59" s="2125"/>
      <c r="Q59" s="2125"/>
      <c r="R59" s="2125"/>
      <c r="S59" s="2125"/>
      <c r="T59" s="2125"/>
      <c r="U59" s="2125"/>
      <c r="W59" s="796"/>
    </row>
    <row r="60" spans="1:23" ht="16.5" customHeight="1">
      <c r="A60" s="27"/>
      <c r="B60" s="625"/>
      <c r="C60" s="628"/>
      <c r="D60" s="924" t="s">
        <v>147</v>
      </c>
      <c r="E60" s="728">
        <v>600</v>
      </c>
      <c r="F60" s="922">
        <v>500</v>
      </c>
      <c r="G60" s="2125">
        <f>+E60*$F$20*$F$21</f>
        <v>532555.2000000001</v>
      </c>
      <c r="H60" s="2125"/>
      <c r="I60" s="2125"/>
      <c r="M60" s="921"/>
      <c r="O60" s="2126">
        <f>SUM(O56:P59)</f>
        <v>3452212.0799999996</v>
      </c>
      <c r="P60" s="2126"/>
      <c r="Q60" s="2126"/>
      <c r="R60" s="2126"/>
      <c r="S60" s="2126"/>
      <c r="T60" s="2126"/>
      <c r="U60" s="2126"/>
      <c r="W60" s="796"/>
    </row>
    <row r="61" spans="1:23" ht="16.5" customHeight="1">
      <c r="A61" s="27"/>
      <c r="B61" s="625"/>
      <c r="C61" s="628"/>
      <c r="D61" s="924"/>
      <c r="E61" s="728"/>
      <c r="F61" s="922"/>
      <c r="G61" s="2126">
        <f>SUM(G56:G60)</f>
        <v>1597665.6</v>
      </c>
      <c r="H61" s="2126"/>
      <c r="I61" s="2126"/>
      <c r="M61" s="921"/>
      <c r="N61" s="920"/>
      <c r="O61" s="920"/>
      <c r="P61" s="877"/>
      <c r="Q61" s="877"/>
      <c r="R61" s="877"/>
      <c r="S61" s="877"/>
      <c r="W61" s="796"/>
    </row>
    <row r="62" spans="1:23" ht="16.5" customHeight="1">
      <c r="A62" s="27"/>
      <c r="B62" s="625"/>
      <c r="C62" s="628"/>
      <c r="D62" s="815"/>
      <c r="E62" s="829"/>
      <c r="F62" s="829"/>
      <c r="G62" s="717"/>
      <c r="I62" s="818"/>
      <c r="J62" s="816"/>
      <c r="L62" s="817"/>
      <c r="M62" s="818"/>
      <c r="N62" s="819"/>
      <c r="O62" s="820"/>
      <c r="P62" s="820"/>
      <c r="Q62" s="820"/>
      <c r="R62" s="820"/>
      <c r="S62" s="820"/>
      <c r="W62" s="796"/>
    </row>
    <row r="63" spans="1:23" ht="16.5" customHeight="1">
      <c r="A63" s="27"/>
      <c r="B63" s="625"/>
      <c r="C63" s="2124" t="s">
        <v>305</v>
      </c>
      <c r="D63" s="2124"/>
      <c r="E63" s="1448" t="s">
        <v>306</v>
      </c>
      <c r="F63" s="1449">
        <v>19613.9</v>
      </c>
      <c r="G63" s="717"/>
      <c r="I63" s="818"/>
      <c r="J63" s="816"/>
      <c r="L63" s="817"/>
      <c r="M63" s="818"/>
      <c r="N63" s="819"/>
      <c r="O63" s="820"/>
      <c r="P63" s="820"/>
      <c r="Q63" s="820"/>
      <c r="R63" s="820"/>
      <c r="S63" s="820"/>
      <c r="W63" s="796"/>
    </row>
    <row r="64" spans="1:23" ht="16.5" customHeight="1">
      <c r="A64" s="27"/>
      <c r="B64" s="625"/>
      <c r="C64" s="628"/>
      <c r="D64" s="815"/>
      <c r="E64" s="829"/>
      <c r="F64" s="829"/>
      <c r="G64" s="717"/>
      <c r="I64" s="818"/>
      <c r="J64" s="816"/>
      <c r="L64" s="817"/>
      <c r="M64" s="818"/>
      <c r="N64" s="819"/>
      <c r="O64" s="820"/>
      <c r="P64" s="820"/>
      <c r="Q64" s="820"/>
      <c r="R64" s="820"/>
      <c r="S64" s="820"/>
      <c r="W64" s="796"/>
    </row>
    <row r="65" spans="1:23" ht="16.5" customHeight="1" thickBot="1">
      <c r="A65" s="27"/>
      <c r="B65" s="625"/>
      <c r="C65" s="628"/>
      <c r="D65" s="815"/>
      <c r="E65" s="829"/>
      <c r="F65" s="829"/>
      <c r="G65" s="717"/>
      <c r="I65" s="818"/>
      <c r="J65" s="816"/>
      <c r="L65" s="817"/>
      <c r="M65" s="818"/>
      <c r="N65" s="819"/>
      <c r="O65" s="820"/>
      <c r="P65" s="820"/>
      <c r="Q65" s="820"/>
      <c r="R65" s="820"/>
      <c r="S65" s="820"/>
      <c r="W65" s="796"/>
    </row>
    <row r="66" spans="1:23" ht="16.5" customHeight="1" thickBot="1" thickTop="1">
      <c r="A66" s="27"/>
      <c r="B66" s="625"/>
      <c r="C66" s="628"/>
      <c r="D66" s="717"/>
      <c r="E66" s="878"/>
      <c r="F66" s="878"/>
      <c r="G66" s="823"/>
      <c r="H66" s="25"/>
      <c r="I66" s="640" t="s">
        <v>148</v>
      </c>
      <c r="J66" s="894">
        <f>+G61+O60+F63</f>
        <v>5069491.58</v>
      </c>
      <c r="L66" s="825"/>
      <c r="M66" s="25"/>
      <c r="N66" s="826"/>
      <c r="O66" s="877"/>
      <c r="P66" s="877"/>
      <c r="Q66" s="877"/>
      <c r="R66" s="877"/>
      <c r="S66" s="877"/>
      <c r="W66" s="796"/>
    </row>
    <row r="67" spans="1:23" ht="16.5" customHeight="1" thickTop="1">
      <c r="A67" s="27"/>
      <c r="B67" s="625"/>
      <c r="C67" s="628"/>
      <c r="D67" s="807"/>
      <c r="E67" s="633"/>
      <c r="F67" s="717"/>
      <c r="G67" s="717"/>
      <c r="H67" s="718"/>
      <c r="J67" s="717"/>
      <c r="K67" s="1447"/>
      <c r="L67" s="832"/>
      <c r="M67" s="819"/>
      <c r="N67" s="819"/>
      <c r="O67" s="820"/>
      <c r="P67" s="820"/>
      <c r="Q67" s="820"/>
      <c r="R67" s="820"/>
      <c r="S67" s="820"/>
      <c r="W67" s="796"/>
    </row>
    <row r="68" spans="2:23" ht="16.5" customHeight="1">
      <c r="B68" s="625"/>
      <c r="C68" s="813" t="s">
        <v>125</v>
      </c>
      <c r="D68" s="833" t="s">
        <v>126</v>
      </c>
      <c r="E68" s="717"/>
      <c r="F68" s="834"/>
      <c r="G68" s="716"/>
      <c r="H68" s="807"/>
      <c r="I68" s="807"/>
      <c r="J68" s="807"/>
      <c r="K68" s="717"/>
      <c r="L68" s="717"/>
      <c r="M68" s="807"/>
      <c r="N68" s="717"/>
      <c r="O68" s="807"/>
      <c r="P68" s="807"/>
      <c r="Q68" s="807"/>
      <c r="R68" s="807"/>
      <c r="S68" s="807"/>
      <c r="T68" s="807"/>
      <c r="U68" s="807"/>
      <c r="W68" s="796"/>
    </row>
    <row r="69" spans="2:23" s="27" customFormat="1" ht="16.5" customHeight="1">
      <c r="B69" s="625"/>
      <c r="C69" s="628"/>
      <c r="D69" s="815" t="s">
        <v>127</v>
      </c>
      <c r="E69" s="835">
        <f>10*J51*J25/J66</f>
        <v>3862.882642502105</v>
      </c>
      <c r="G69" s="716"/>
      <c r="L69" s="717"/>
      <c r="N69" s="717"/>
      <c r="O69" s="718"/>
      <c r="V69" s="9"/>
      <c r="W69" s="796"/>
    </row>
    <row r="70" spans="2:23" s="27" customFormat="1" ht="12.75" customHeight="1">
      <c r="B70" s="625"/>
      <c r="C70" s="628"/>
      <c r="E70" s="836"/>
      <c r="F70" s="639"/>
      <c r="G70" s="716"/>
      <c r="J70" s="716"/>
      <c r="K70" s="736"/>
      <c r="L70" s="717"/>
      <c r="M70" s="717"/>
      <c r="N70" s="717"/>
      <c r="O70" s="718"/>
      <c r="P70" s="717"/>
      <c r="Q70" s="717"/>
      <c r="R70" s="735"/>
      <c r="S70" s="735"/>
      <c r="T70" s="735"/>
      <c r="U70" s="837"/>
      <c r="V70" s="9"/>
      <c r="W70" s="796"/>
    </row>
    <row r="71" spans="2:23" ht="16.5" customHeight="1">
      <c r="B71" s="625"/>
      <c r="C71" s="628"/>
      <c r="D71" s="838" t="s">
        <v>149</v>
      </c>
      <c r="E71" s="839"/>
      <c r="F71" s="639"/>
      <c r="G71" s="716"/>
      <c r="H71" s="807"/>
      <c r="I71" s="807"/>
      <c r="N71" s="717"/>
      <c r="O71" s="718"/>
      <c r="P71" s="717"/>
      <c r="Q71" s="717"/>
      <c r="R71" s="818"/>
      <c r="S71" s="818"/>
      <c r="T71" s="818"/>
      <c r="U71" s="819"/>
      <c r="W71" s="796"/>
    </row>
    <row r="72" spans="2:23" ht="13.5" customHeight="1" thickBot="1">
      <c r="B72" s="625"/>
      <c r="C72" s="628"/>
      <c r="D72" s="838"/>
      <c r="E72" s="839"/>
      <c r="F72" s="639"/>
      <c r="G72" s="716"/>
      <c r="H72" s="807"/>
      <c r="I72" s="807"/>
      <c r="N72" s="717"/>
      <c r="O72" s="718"/>
      <c r="P72" s="717"/>
      <c r="Q72" s="717"/>
      <c r="R72" s="818"/>
      <c r="S72" s="818"/>
      <c r="T72" s="818"/>
      <c r="U72" s="819"/>
      <c r="W72" s="796"/>
    </row>
    <row r="73" spans="2:23" s="840" customFormat="1" ht="21" thickBot="1" thickTop="1">
      <c r="B73" s="841"/>
      <c r="C73" s="842"/>
      <c r="D73" s="843"/>
      <c r="E73" s="844"/>
      <c r="F73" s="845"/>
      <c r="G73" s="846"/>
      <c r="I73" s="847" t="s">
        <v>129</v>
      </c>
      <c r="J73" s="848">
        <f>IF(E69&gt;3*J25,J25*3,E69)</f>
        <v>3862.882642502105</v>
      </c>
      <c r="M73" s="849"/>
      <c r="N73" s="849"/>
      <c r="O73" s="850"/>
      <c r="P73" s="849"/>
      <c r="Q73" s="849"/>
      <c r="R73" s="851"/>
      <c r="S73" s="851"/>
      <c r="T73" s="851"/>
      <c r="U73" s="852"/>
      <c r="V73" s="9"/>
      <c r="W73" s="853"/>
    </row>
    <row r="74" spans="2:23" ht="16.5" customHeight="1" thickBot="1" thickTop="1">
      <c r="B74" s="76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854"/>
      <c r="W74" s="855"/>
    </row>
    <row r="75" spans="2:23" ht="16.5" customHeight="1" thickTop="1">
      <c r="B75" s="249"/>
      <c r="C75" s="272"/>
      <c r="W75" s="249"/>
    </row>
  </sheetData>
  <sheetProtection password="CC12"/>
  <mergeCells count="40">
    <mergeCell ref="O56:U56"/>
    <mergeCell ref="N49:O49"/>
    <mergeCell ref="N41:O41"/>
    <mergeCell ref="N42:O42"/>
    <mergeCell ref="N43:O43"/>
    <mergeCell ref="N44:O44"/>
    <mergeCell ref="N45:O45"/>
    <mergeCell ref="N46:O46"/>
    <mergeCell ref="N47:O47"/>
    <mergeCell ref="N48:O48"/>
    <mergeCell ref="E49:F49"/>
    <mergeCell ref="E41:F41"/>
    <mergeCell ref="E42:F42"/>
    <mergeCell ref="G56:I56"/>
    <mergeCell ref="E43:F43"/>
    <mergeCell ref="E48:F48"/>
    <mergeCell ref="E44:F44"/>
    <mergeCell ref="E45:F45"/>
    <mergeCell ref="E46:F46"/>
    <mergeCell ref="E47:F47"/>
    <mergeCell ref="N36:O36"/>
    <mergeCell ref="E36:F36"/>
    <mergeCell ref="E37:F37"/>
    <mergeCell ref="E38:F38"/>
    <mergeCell ref="E39:F39"/>
    <mergeCell ref="E40:F40"/>
    <mergeCell ref="N37:O37"/>
    <mergeCell ref="N38:O38"/>
    <mergeCell ref="N39:O39"/>
    <mergeCell ref="N40:O40"/>
    <mergeCell ref="C63:D63"/>
    <mergeCell ref="O59:U59"/>
    <mergeCell ref="O60:U60"/>
    <mergeCell ref="O57:U57"/>
    <mergeCell ref="O58:U58"/>
    <mergeCell ref="G60:I60"/>
    <mergeCell ref="G61:I61"/>
    <mergeCell ref="G57:I57"/>
    <mergeCell ref="G58:I58"/>
    <mergeCell ref="G59:I59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8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zoomScale="55" zoomScaleNormal="55" zoomScalePageLayoutView="0" workbookViewId="0" topLeftCell="A1">
      <selection activeCell="A15" sqref="A15"/>
    </sheetView>
  </sheetViews>
  <sheetFormatPr defaultColWidth="11.421875" defaultRowHeight="12.75"/>
  <cols>
    <col min="1" max="1" width="33.7109375" style="9" customWidth="1"/>
    <col min="2" max="2" width="19.140625" style="9" customWidth="1"/>
    <col min="3" max="3" width="4.7109375" style="9" customWidth="1"/>
    <col min="4" max="4" width="32.28125" style="9" customWidth="1"/>
    <col min="5" max="5" width="24.140625" style="9" customWidth="1"/>
    <col min="6" max="6" width="16.57421875" style="9" customWidth="1"/>
    <col min="7" max="7" width="14.7109375" style="9" customWidth="1"/>
    <col min="8" max="8" width="8.7109375" style="9" hidden="1" customWidth="1"/>
    <col min="9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10.421875" style="9" hidden="1" customWidth="1"/>
    <col min="17" max="17" width="13.140625" style="9" hidden="1" customWidth="1"/>
    <col min="18" max="18" width="17.140625" style="9" hidden="1" customWidth="1"/>
    <col min="19" max="19" width="4.7109375" style="9" hidden="1" customWidth="1"/>
    <col min="20" max="20" width="11.7109375" style="9" hidden="1" customWidth="1"/>
    <col min="21" max="21" width="14.8515625" style="9" customWidth="1"/>
    <col min="22" max="22" width="20.7109375" style="9" customWidth="1"/>
    <col min="23" max="23" width="19.140625" style="9" customWidth="1"/>
    <col min="24" max="24" width="17.7109375" style="9" customWidth="1"/>
    <col min="25" max="25" width="12.8515625" style="9" customWidth="1"/>
    <col min="26" max="26" width="14.28125" style="9" customWidth="1"/>
    <col min="27" max="27" width="24.28125" style="9" customWidth="1"/>
    <col min="28" max="28" width="9.7109375" style="9" customWidth="1"/>
    <col min="29" max="29" width="17.28125" style="9" customWidth="1"/>
    <col min="30" max="30" width="25.710937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5"/>
      <c r="AD1" s="879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618" customFormat="1" ht="30.75">
      <c r="A3" s="615"/>
      <c r="B3" s="616" t="str">
        <f>+'TOT-0115'!B2</f>
        <v>ANEXO II al Memorándum D.T.E.E. N°  90 /2016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AB3" s="617"/>
      <c r="AC3" s="617"/>
      <c r="AD3" s="617"/>
    </row>
    <row r="4" spans="1:2" s="14" customFormat="1" ht="11.25">
      <c r="A4" s="856" t="s">
        <v>2</v>
      </c>
      <c r="B4" s="286"/>
    </row>
    <row r="5" spans="1:2" s="14" customFormat="1" ht="12" thickBot="1">
      <c r="A5" s="856" t="s">
        <v>3</v>
      </c>
      <c r="B5" s="856"/>
    </row>
    <row r="6" spans="1:23" ht="16.5" customHeight="1" thickTop="1">
      <c r="A6" s="8"/>
      <c r="B6" s="92"/>
      <c r="C6" s="93"/>
      <c r="D6" s="93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5"/>
    </row>
    <row r="7" spans="1:23" ht="20.25">
      <c r="A7" s="8"/>
      <c r="B7" s="55"/>
      <c r="C7" s="11"/>
      <c r="D7" s="97" t="s">
        <v>85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20"/>
      <c r="Q7" s="620"/>
      <c r="R7" s="11"/>
      <c r="S7" s="11"/>
      <c r="T7" s="11"/>
      <c r="U7" s="11"/>
      <c r="V7" s="11"/>
      <c r="W7" s="100"/>
    </row>
    <row r="8" spans="1:23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0"/>
    </row>
    <row r="9" spans="2:23" s="34" customFormat="1" ht="20.25">
      <c r="B9" s="43"/>
      <c r="C9" s="42"/>
      <c r="D9" s="97" t="s">
        <v>86</v>
      </c>
      <c r="E9" s="42"/>
      <c r="F9" s="42"/>
      <c r="G9" s="42"/>
      <c r="H9" s="42"/>
      <c r="N9" s="42"/>
      <c r="O9" s="42"/>
      <c r="P9" s="273"/>
      <c r="Q9" s="273"/>
      <c r="R9" s="42"/>
      <c r="S9" s="42"/>
      <c r="T9" s="42"/>
      <c r="U9" s="42"/>
      <c r="V9" s="42"/>
      <c r="W9" s="274"/>
    </row>
    <row r="10" spans="1:23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0"/>
    </row>
    <row r="11" spans="2:23" s="34" customFormat="1" ht="20.25">
      <c r="B11" s="43"/>
      <c r="C11" s="42"/>
      <c r="D11" s="97" t="s">
        <v>150</v>
      </c>
      <c r="E11" s="42"/>
      <c r="F11" s="42"/>
      <c r="G11" s="42"/>
      <c r="H11" s="42"/>
      <c r="N11" s="42"/>
      <c r="O11" s="42"/>
      <c r="P11" s="273"/>
      <c r="Q11" s="273"/>
      <c r="R11" s="42"/>
      <c r="S11" s="42"/>
      <c r="T11" s="42"/>
      <c r="U11" s="42"/>
      <c r="V11" s="42"/>
      <c r="W11" s="274"/>
    </row>
    <row r="12" spans="1:23" ht="16.5" customHeight="1">
      <c r="A12" s="8"/>
      <c r="B12" s="55"/>
      <c r="C12" s="11"/>
      <c r="D12" s="11"/>
      <c r="E12" s="8"/>
      <c r="F12" s="8"/>
      <c r="G12" s="8"/>
      <c r="H12" s="8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W12" s="100"/>
    </row>
    <row r="13" spans="2:23" s="34" customFormat="1" ht="19.5">
      <c r="B13" s="35" t="str">
        <f>'TOT-0115'!B14</f>
        <v>Desde el 01 al 31 de enero de 2015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621"/>
      <c r="V13" s="621"/>
      <c r="W13" s="41"/>
    </row>
    <row r="14" spans="1:23" ht="16.5" customHeight="1">
      <c r="A14" s="8"/>
      <c r="B14" s="55"/>
      <c r="C14" s="11"/>
      <c r="D14" s="11"/>
      <c r="E14" s="86"/>
      <c r="F14" s="86"/>
      <c r="G14" s="11"/>
      <c r="H14" s="11"/>
      <c r="I14" s="11"/>
      <c r="J14" s="623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W14" s="100"/>
    </row>
    <row r="15" spans="1:23" ht="16.5" customHeight="1">
      <c r="A15" s="8"/>
      <c r="B15" s="55"/>
      <c r="C15" s="11"/>
      <c r="D15" s="11"/>
      <c r="E15" s="86"/>
      <c r="F15" s="86"/>
      <c r="G15" s="11"/>
      <c r="H15" s="11"/>
      <c r="I15" s="624"/>
      <c r="J15" s="11"/>
      <c r="K15" s="249"/>
      <c r="M15" s="11"/>
      <c r="N15" s="8"/>
      <c r="O15" s="8"/>
      <c r="P15" s="11"/>
      <c r="Q15" s="11"/>
      <c r="R15" s="11"/>
      <c r="S15" s="11"/>
      <c r="T15" s="11"/>
      <c r="U15" s="11"/>
      <c r="V15" s="11"/>
      <c r="W15" s="100"/>
    </row>
    <row r="16" spans="1:23" ht="16.5" customHeight="1">
      <c r="A16" s="8"/>
      <c r="B16" s="55"/>
      <c r="C16" s="11"/>
      <c r="D16" s="11"/>
      <c r="E16" s="86"/>
      <c r="F16" s="86"/>
      <c r="G16" s="11"/>
      <c r="H16" s="11"/>
      <c r="I16" s="624"/>
      <c r="J16" s="11"/>
      <c r="K16" s="249"/>
      <c r="M16" s="11"/>
      <c r="N16" s="8"/>
      <c r="O16" s="8"/>
      <c r="P16" s="11"/>
      <c r="Q16" s="11"/>
      <c r="R16" s="11"/>
      <c r="S16" s="11"/>
      <c r="T16" s="11"/>
      <c r="U16" s="11"/>
      <c r="V16" s="11"/>
      <c r="W16" s="100"/>
    </row>
    <row r="17" spans="1:23" ht="16.5" customHeight="1">
      <c r="A17" s="8"/>
      <c r="B17" s="55"/>
      <c r="C17" s="73" t="s">
        <v>88</v>
      </c>
      <c r="D17" s="4" t="s">
        <v>89</v>
      </c>
      <c r="E17" s="86"/>
      <c r="F17" s="86"/>
      <c r="G17" s="11"/>
      <c r="H17" s="11"/>
      <c r="I17" s="11"/>
      <c r="J17" s="623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W17" s="100"/>
    </row>
    <row r="18" spans="2:23" s="27" customFormat="1" ht="16.5" customHeight="1" thickBot="1">
      <c r="B18" s="625"/>
      <c r="C18" s="29"/>
      <c r="D18" s="626"/>
      <c r="E18" s="627"/>
      <c r="F18" s="628"/>
      <c r="G18" s="29"/>
      <c r="H18" s="29"/>
      <c r="I18" s="29"/>
      <c r="J18" s="629"/>
      <c r="K18" s="29"/>
      <c r="L18" s="29"/>
      <c r="M18" s="29"/>
      <c r="N18" s="29"/>
      <c r="P18" s="29"/>
      <c r="Q18" s="29"/>
      <c r="R18" s="29"/>
      <c r="S18" s="29"/>
      <c r="T18" s="29"/>
      <c r="U18" s="29"/>
      <c r="V18" s="29"/>
      <c r="W18" s="630"/>
    </row>
    <row r="19" spans="2:23" s="27" customFormat="1" ht="16.5" customHeight="1" thickBot="1">
      <c r="B19" s="625"/>
      <c r="C19" s="29"/>
      <c r="D19" s="626"/>
      <c r="E19" s="634" t="s">
        <v>261</v>
      </c>
      <c r="F19" s="1102">
        <f>+F21*($E$52*0.319+M$52*51.126+$E$55*0.1042)</f>
        <v>153090.648</v>
      </c>
      <c r="G19" s="824"/>
      <c r="H19" s="29"/>
      <c r="I19" s="29"/>
      <c r="J19" s="629"/>
      <c r="K19" s="29"/>
      <c r="L19" s="29"/>
      <c r="M19" s="29"/>
      <c r="N19" s="880" t="s">
        <v>35</v>
      </c>
      <c r="P19" s="29"/>
      <c r="Q19" s="29"/>
      <c r="R19" s="29"/>
      <c r="S19" s="29"/>
      <c r="T19" s="29"/>
      <c r="U19" s="29"/>
      <c r="V19" s="29"/>
      <c r="W19" s="630"/>
    </row>
    <row r="20" spans="2:23" s="27" customFormat="1" ht="16.5" customHeight="1">
      <c r="B20" s="625"/>
      <c r="C20" s="29"/>
      <c r="E20" s="634" t="s">
        <v>92</v>
      </c>
      <c r="F20" s="635">
        <v>0.04</v>
      </c>
      <c r="G20" s="632"/>
      <c r="H20" s="29"/>
      <c r="I20" s="108" t="s">
        <v>151</v>
      </c>
      <c r="J20" s="109"/>
      <c r="K20" s="882" t="s">
        <v>136</v>
      </c>
      <c r="L20" s="883"/>
      <c r="M20" s="884" t="s">
        <v>313</v>
      </c>
      <c r="N20" s="885">
        <v>200</v>
      </c>
      <c r="R20" s="29"/>
      <c r="S20" s="29"/>
      <c r="T20" s="29"/>
      <c r="U20" s="29"/>
      <c r="V20" s="29"/>
      <c r="W20" s="630"/>
    </row>
    <row r="21" spans="2:23" s="27" customFormat="1" ht="16.5" customHeight="1">
      <c r="B21" s="625"/>
      <c r="C21" s="29"/>
      <c r="E21" s="626" t="s">
        <v>95</v>
      </c>
      <c r="F21" s="29">
        <f>MID(B13,16,2)*24</f>
        <v>744</v>
      </c>
      <c r="G21" s="29" t="s">
        <v>96</v>
      </c>
      <c r="H21" s="29"/>
      <c r="I21" s="29"/>
      <c r="J21" s="29"/>
      <c r="K21" s="886" t="s">
        <v>69</v>
      </c>
      <c r="L21" s="887"/>
      <c r="M21" s="888" t="s">
        <v>313</v>
      </c>
      <c r="N21" s="889">
        <v>100</v>
      </c>
      <c r="O21" s="29"/>
      <c r="P21" s="857"/>
      <c r="Q21" s="29"/>
      <c r="R21" s="29"/>
      <c r="S21" s="29"/>
      <c r="T21" s="29"/>
      <c r="U21" s="29"/>
      <c r="V21" s="29"/>
      <c r="W21" s="630"/>
    </row>
    <row r="22" spans="2:23" s="27" customFormat="1" ht="16.5" customHeight="1" thickBot="1">
      <c r="B22" s="625"/>
      <c r="C22" s="29"/>
      <c r="E22" s="626" t="s">
        <v>137</v>
      </c>
      <c r="F22" s="29">
        <v>1.193</v>
      </c>
      <c r="G22" s="27" t="s">
        <v>94</v>
      </c>
      <c r="H22" s="29"/>
      <c r="I22" s="29"/>
      <c r="J22" s="29"/>
      <c r="K22" s="890" t="s">
        <v>138</v>
      </c>
      <c r="L22" s="891"/>
      <c r="M22" s="892">
        <v>189.391</v>
      </c>
      <c r="N22" s="893">
        <v>40</v>
      </c>
      <c r="O22" s="29"/>
      <c r="P22" s="857"/>
      <c r="Q22" s="29"/>
      <c r="R22" s="29"/>
      <c r="S22" s="29"/>
      <c r="T22" s="29"/>
      <c r="U22" s="29"/>
      <c r="V22" s="29"/>
      <c r="W22" s="630"/>
    </row>
    <row r="23" spans="2:23" s="27" customFormat="1" ht="16.5" customHeight="1">
      <c r="B23" s="625"/>
      <c r="C23" s="29"/>
      <c r="D23" s="29"/>
      <c r="E23" s="63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30"/>
    </row>
    <row r="24" spans="1:23" ht="16.5" customHeight="1">
      <c r="A24" s="8"/>
      <c r="B24" s="55"/>
      <c r="C24" s="73" t="s">
        <v>97</v>
      </c>
      <c r="D24" s="28" t="s">
        <v>173</v>
      </c>
      <c r="I24" s="11"/>
      <c r="J24" s="27"/>
      <c r="O24" s="11"/>
      <c r="P24" s="11"/>
      <c r="Q24" s="11"/>
      <c r="R24" s="11"/>
      <c r="S24" s="11"/>
      <c r="T24" s="11"/>
      <c r="V24" s="11"/>
      <c r="W24" s="100"/>
    </row>
    <row r="25" spans="1:23" ht="10.5" customHeight="1" thickBot="1">
      <c r="A25" s="8"/>
      <c r="B25" s="55"/>
      <c r="C25" s="86"/>
      <c r="D25" s="28"/>
      <c r="I25" s="11"/>
      <c r="J25" s="27"/>
      <c r="O25" s="11"/>
      <c r="P25" s="11"/>
      <c r="Q25" s="11"/>
      <c r="R25" s="11"/>
      <c r="S25" s="11"/>
      <c r="T25" s="11"/>
      <c r="V25" s="11"/>
      <c r="W25" s="100"/>
    </row>
    <row r="26" spans="2:23" s="27" customFormat="1" ht="16.5" customHeight="1" thickBot="1" thickTop="1">
      <c r="B26" s="625"/>
      <c r="C26" s="628"/>
      <c r="D26" s="9"/>
      <c r="E26" s="9"/>
      <c r="F26" s="9"/>
      <c r="G26" s="9"/>
      <c r="H26" s="9"/>
      <c r="I26" s="640" t="s">
        <v>98</v>
      </c>
      <c r="J26" s="894">
        <f>+F19*F20</f>
        <v>6123.6259199999995</v>
      </c>
      <c r="L26" s="9"/>
      <c r="S26" s="9"/>
      <c r="T26" s="9"/>
      <c r="U26" s="9"/>
      <c r="W26" s="630"/>
    </row>
    <row r="27" spans="2:23" s="27" customFormat="1" ht="11.25" customHeight="1" thickTop="1">
      <c r="B27" s="625"/>
      <c r="C27" s="628"/>
      <c r="D27" s="29"/>
      <c r="E27" s="63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9"/>
      <c r="W27" s="630"/>
    </row>
    <row r="28" spans="1:23" ht="16.5" customHeight="1">
      <c r="A28" s="8"/>
      <c r="B28" s="55"/>
      <c r="C28" s="73" t="s">
        <v>99</v>
      </c>
      <c r="D28" s="28" t="s">
        <v>174</v>
      </c>
      <c r="E28" s="23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0"/>
    </row>
    <row r="29" spans="1:23" ht="13.5" customHeight="1" thickBot="1">
      <c r="A29" s="27"/>
      <c r="B29" s="55"/>
      <c r="C29" s="628"/>
      <c r="D29" s="628"/>
      <c r="E29" s="715"/>
      <c r="F29" s="639"/>
      <c r="G29" s="716"/>
      <c r="H29" s="716"/>
      <c r="I29" s="717"/>
      <c r="J29" s="717"/>
      <c r="K29" s="717"/>
      <c r="L29" s="717"/>
      <c r="M29" s="717"/>
      <c r="N29" s="717"/>
      <c r="O29" s="718"/>
      <c r="P29" s="717"/>
      <c r="Q29" s="717"/>
      <c r="R29" s="895"/>
      <c r="S29" s="896"/>
      <c r="T29" s="897"/>
      <c r="U29" s="897"/>
      <c r="V29" s="897"/>
      <c r="W29" s="284"/>
    </row>
    <row r="30" spans="1:26" s="8" customFormat="1" ht="33.75" customHeight="1" thickBot="1" thickTop="1">
      <c r="A30" s="90"/>
      <c r="B30" s="303"/>
      <c r="C30" s="332" t="s">
        <v>29</v>
      </c>
      <c r="D30" s="333" t="s">
        <v>58</v>
      </c>
      <c r="E30" s="334" t="s">
        <v>59</v>
      </c>
      <c r="F30" s="335" t="s">
        <v>60</v>
      </c>
      <c r="G30" s="336" t="s">
        <v>32</v>
      </c>
      <c r="H30" s="337" t="s">
        <v>36</v>
      </c>
      <c r="I30" s="334" t="s">
        <v>37</v>
      </c>
      <c r="J30" s="334" t="s">
        <v>38</v>
      </c>
      <c r="K30" s="333" t="s">
        <v>61</v>
      </c>
      <c r="L30" s="333" t="s">
        <v>40</v>
      </c>
      <c r="M30" s="120" t="s">
        <v>114</v>
      </c>
      <c r="N30" s="334" t="s">
        <v>43</v>
      </c>
      <c r="O30" s="858" t="s">
        <v>62</v>
      </c>
      <c r="P30" s="337" t="s">
        <v>116</v>
      </c>
      <c r="Q30" s="738" t="s">
        <v>44</v>
      </c>
      <c r="R30" s="739" t="s">
        <v>117</v>
      </c>
      <c r="S30" s="740"/>
      <c r="T30" s="741" t="s">
        <v>48</v>
      </c>
      <c r="U30" s="131" t="s">
        <v>50</v>
      </c>
      <c r="V30" s="336" t="s">
        <v>51</v>
      </c>
      <c r="W30" s="100"/>
      <c r="Y30" s="9"/>
      <c r="Z30" s="9"/>
    </row>
    <row r="31" spans="1:23" ht="16.5" customHeight="1" thickTop="1">
      <c r="A31" s="8"/>
      <c r="B31" s="55"/>
      <c r="C31" s="260"/>
      <c r="D31" s="260"/>
      <c r="E31" s="260"/>
      <c r="F31" s="260"/>
      <c r="G31" s="859"/>
      <c r="H31" s="860"/>
      <c r="I31" s="260"/>
      <c r="J31" s="260"/>
      <c r="K31" s="260"/>
      <c r="L31" s="260"/>
      <c r="M31" s="260"/>
      <c r="N31" s="746"/>
      <c r="O31" s="898"/>
      <c r="P31" s="861"/>
      <c r="Q31" s="862"/>
      <c r="R31" s="863"/>
      <c r="S31" s="864"/>
      <c r="T31" s="865"/>
      <c r="U31" s="746"/>
      <c r="V31" s="749"/>
      <c r="W31" s="100"/>
    </row>
    <row r="32" spans="1:23" ht="16.5" customHeight="1">
      <c r="A32" s="8"/>
      <c r="B32" s="55"/>
      <c r="C32" s="673" t="s">
        <v>103</v>
      </c>
      <c r="D32" s="750" t="s">
        <v>205</v>
      </c>
      <c r="E32" s="751" t="s">
        <v>206</v>
      </c>
      <c r="F32" s="866">
        <v>300</v>
      </c>
      <c r="G32" s="1100" t="s">
        <v>133</v>
      </c>
      <c r="H32" s="752">
        <f aca="true" t="shared" si="0" ref="H32:H37">F32*$F$22</f>
        <v>357.90000000000003</v>
      </c>
      <c r="I32" s="763">
        <v>42016.31805555556</v>
      </c>
      <c r="J32" s="763">
        <v>42016.419444444444</v>
      </c>
      <c r="K32" s="379">
        <f aca="true" t="shared" si="1" ref="K32:K37">IF(D32="","",(J32-I32)*24)</f>
        <v>2.43333333323244</v>
      </c>
      <c r="L32" s="380">
        <f aca="true" t="shared" si="2" ref="L32:L37">IF(D32="","",(J32-I32)*24*60)</f>
        <v>145.9999999939464</v>
      </c>
      <c r="M32" s="754" t="s">
        <v>185</v>
      </c>
      <c r="N32" s="382" t="str">
        <f aca="true" t="shared" si="3" ref="N32:N37">IF(D32="","",IF(OR(M32="P",M32="RP"),"--","NO"))</f>
        <v>NO</v>
      </c>
      <c r="O32" s="899" t="str">
        <f aca="true" t="shared" si="4" ref="O32:O37">IF(D32="","","NO")</f>
        <v>NO</v>
      </c>
      <c r="P32" s="614">
        <f aca="true" t="shared" si="5" ref="P32:P37">200*IF(O32="SI",1,0.1)*IF(M32="P",0.1,1)</f>
        <v>20</v>
      </c>
      <c r="Q32" s="756" t="str">
        <f aca="true" t="shared" si="6" ref="Q32:Q37">IF(M32="P",H32*P32*ROUND(L32/60,2),"--")</f>
        <v>--</v>
      </c>
      <c r="R32" s="757">
        <f aca="true" t="shared" si="7" ref="R32:R37">IF(AND(M32="F",N32="NO"),H32*P32,"--")</f>
        <v>7158.000000000001</v>
      </c>
      <c r="S32" s="758">
        <f aca="true" t="shared" si="8" ref="S32:S37">IF(M32="F",H32*P32*ROUND(L32/60,2),"--")</f>
        <v>17393.940000000002</v>
      </c>
      <c r="T32" s="514" t="str">
        <f aca="true" t="shared" si="9" ref="T32:T37">IF(M32="RF",H32*P32*ROUND(L32/60,2),"--")</f>
        <v>--</v>
      </c>
      <c r="U32" s="392" t="str">
        <f aca="true" t="shared" si="10" ref="U32:U37">IF(D32="","","SI")</f>
        <v>SI</v>
      </c>
      <c r="V32" s="456">
        <f aca="true" t="shared" si="11" ref="V32:V37">IF(D32="","",SUM(Q32:T32)*IF(U32="SI",1,2))</f>
        <v>24551.940000000002</v>
      </c>
      <c r="W32" s="284"/>
    </row>
    <row r="33" spans="1:23" ht="16.5" customHeight="1">
      <c r="A33" s="8"/>
      <c r="B33" s="55"/>
      <c r="C33" s="673" t="s">
        <v>104</v>
      </c>
      <c r="D33" s="750" t="s">
        <v>205</v>
      </c>
      <c r="E33" s="751" t="s">
        <v>206</v>
      </c>
      <c r="F33" s="866">
        <v>300</v>
      </c>
      <c r="G33" s="1100" t="s">
        <v>133</v>
      </c>
      <c r="H33" s="752">
        <f t="shared" si="0"/>
        <v>357.90000000000003</v>
      </c>
      <c r="I33" s="763">
        <v>42025.24166666667</v>
      </c>
      <c r="J33" s="763">
        <v>42025.334027777775</v>
      </c>
      <c r="K33" s="379">
        <f t="shared" si="1"/>
        <v>2.2166666665580124</v>
      </c>
      <c r="L33" s="380">
        <f t="shared" si="2"/>
        <v>132.99999999348074</v>
      </c>
      <c r="M33" s="754" t="s">
        <v>187</v>
      </c>
      <c r="N33" s="382" t="str">
        <f t="shared" si="3"/>
        <v>--</v>
      </c>
      <c r="O33" s="899" t="str">
        <f t="shared" si="4"/>
        <v>NO</v>
      </c>
      <c r="P33" s="614">
        <f t="shared" si="5"/>
        <v>2</v>
      </c>
      <c r="Q33" s="756">
        <f t="shared" si="6"/>
        <v>1589.0760000000002</v>
      </c>
      <c r="R33" s="757" t="str">
        <f t="shared" si="7"/>
        <v>--</v>
      </c>
      <c r="S33" s="758" t="str">
        <f t="shared" si="8"/>
        <v>--</v>
      </c>
      <c r="T33" s="514" t="str">
        <f t="shared" si="9"/>
        <v>--</v>
      </c>
      <c r="U33" s="392" t="str">
        <f t="shared" si="10"/>
        <v>SI</v>
      </c>
      <c r="V33" s="456">
        <f t="shared" si="11"/>
        <v>1589.0760000000002</v>
      </c>
      <c r="W33" s="284"/>
    </row>
    <row r="34" spans="1:23" ht="16.5" customHeight="1">
      <c r="A34" s="8"/>
      <c r="B34" s="55"/>
      <c r="C34" s="673" t="s">
        <v>105</v>
      </c>
      <c r="D34" s="750" t="s">
        <v>205</v>
      </c>
      <c r="E34" s="751" t="s">
        <v>206</v>
      </c>
      <c r="F34" s="866">
        <v>300</v>
      </c>
      <c r="G34" s="1100" t="s">
        <v>133</v>
      </c>
      <c r="H34" s="752">
        <f t="shared" si="0"/>
        <v>357.90000000000003</v>
      </c>
      <c r="I34" s="763">
        <v>42025.535416666666</v>
      </c>
      <c r="J34" s="763">
        <v>42025.5875</v>
      </c>
      <c r="K34" s="379">
        <f t="shared" si="1"/>
        <v>1.2500000000582077</v>
      </c>
      <c r="L34" s="380">
        <f t="shared" si="2"/>
        <v>75.00000000349246</v>
      </c>
      <c r="M34" s="754" t="s">
        <v>185</v>
      </c>
      <c r="N34" s="382" t="str">
        <f t="shared" si="3"/>
        <v>NO</v>
      </c>
      <c r="O34" s="899" t="str">
        <f t="shared" si="4"/>
        <v>NO</v>
      </c>
      <c r="P34" s="614">
        <f t="shared" si="5"/>
        <v>20</v>
      </c>
      <c r="Q34" s="756" t="str">
        <f t="shared" si="6"/>
        <v>--</v>
      </c>
      <c r="R34" s="757">
        <f t="shared" si="7"/>
        <v>7158.000000000001</v>
      </c>
      <c r="S34" s="758">
        <f t="shared" si="8"/>
        <v>8947.500000000002</v>
      </c>
      <c r="T34" s="514" t="str">
        <f t="shared" si="9"/>
        <v>--</v>
      </c>
      <c r="U34" s="392" t="str">
        <f t="shared" si="10"/>
        <v>SI</v>
      </c>
      <c r="V34" s="456">
        <f t="shared" si="11"/>
        <v>16105.500000000004</v>
      </c>
      <c r="W34" s="284"/>
    </row>
    <row r="35" spans="1:23" ht="16.5" customHeight="1">
      <c r="A35" s="8"/>
      <c r="B35" s="55"/>
      <c r="C35" s="673" t="s">
        <v>106</v>
      </c>
      <c r="D35" s="750" t="s">
        <v>205</v>
      </c>
      <c r="E35" s="751" t="s">
        <v>206</v>
      </c>
      <c r="F35" s="866">
        <v>300</v>
      </c>
      <c r="G35" s="1100" t="s">
        <v>133</v>
      </c>
      <c r="H35" s="752">
        <f t="shared" si="0"/>
        <v>357.90000000000003</v>
      </c>
      <c r="I35" s="763">
        <v>42025.634722222225</v>
      </c>
      <c r="J35" s="763">
        <v>42025.65555555555</v>
      </c>
      <c r="K35" s="379">
        <f t="shared" si="1"/>
        <v>0.4999999998835847</v>
      </c>
      <c r="L35" s="380">
        <f t="shared" si="2"/>
        <v>29.99999999301508</v>
      </c>
      <c r="M35" s="754" t="s">
        <v>185</v>
      </c>
      <c r="N35" s="382" t="str">
        <f t="shared" si="3"/>
        <v>NO</v>
      </c>
      <c r="O35" s="899" t="str">
        <f t="shared" si="4"/>
        <v>NO</v>
      </c>
      <c r="P35" s="614">
        <f t="shared" si="5"/>
        <v>20</v>
      </c>
      <c r="Q35" s="756" t="str">
        <f t="shared" si="6"/>
        <v>--</v>
      </c>
      <c r="R35" s="757">
        <f t="shared" si="7"/>
        <v>7158.000000000001</v>
      </c>
      <c r="S35" s="758">
        <f t="shared" si="8"/>
        <v>3579.0000000000005</v>
      </c>
      <c r="T35" s="514" t="str">
        <f t="shared" si="9"/>
        <v>--</v>
      </c>
      <c r="U35" s="392" t="str">
        <f t="shared" si="10"/>
        <v>SI</v>
      </c>
      <c r="V35" s="456">
        <f t="shared" si="11"/>
        <v>10737.000000000002</v>
      </c>
      <c r="W35" s="284"/>
    </row>
    <row r="36" spans="1:23" ht="16.5" customHeight="1">
      <c r="A36" s="8"/>
      <c r="B36" s="55"/>
      <c r="C36" s="673" t="s">
        <v>107</v>
      </c>
      <c r="D36" s="750"/>
      <c r="E36" s="751"/>
      <c r="F36" s="866"/>
      <c r="G36" s="867"/>
      <c r="H36" s="752">
        <f t="shared" si="0"/>
        <v>0</v>
      </c>
      <c r="I36" s="763"/>
      <c r="J36" s="763"/>
      <c r="K36" s="379">
        <f t="shared" si="1"/>
      </c>
      <c r="L36" s="380">
        <f t="shared" si="2"/>
      </c>
      <c r="M36" s="754"/>
      <c r="N36" s="382">
        <f t="shared" si="3"/>
      </c>
      <c r="O36" s="899">
        <f t="shared" si="4"/>
      </c>
      <c r="P36" s="614">
        <f t="shared" si="5"/>
        <v>20</v>
      </c>
      <c r="Q36" s="756" t="str">
        <f t="shared" si="6"/>
        <v>--</v>
      </c>
      <c r="R36" s="757" t="str">
        <f t="shared" si="7"/>
        <v>--</v>
      </c>
      <c r="S36" s="758" t="str">
        <f t="shared" si="8"/>
        <v>--</v>
      </c>
      <c r="T36" s="514" t="str">
        <f t="shared" si="9"/>
        <v>--</v>
      </c>
      <c r="U36" s="392">
        <f t="shared" si="10"/>
      </c>
      <c r="V36" s="456">
        <f t="shared" si="11"/>
      </c>
      <c r="W36" s="284"/>
    </row>
    <row r="37" spans="1:23" ht="16.5" customHeight="1">
      <c r="A37" s="8"/>
      <c r="B37" s="55"/>
      <c r="C37" s="673" t="s">
        <v>108</v>
      </c>
      <c r="D37" s="750"/>
      <c r="E37" s="751"/>
      <c r="F37" s="866"/>
      <c r="G37" s="867"/>
      <c r="H37" s="752">
        <f t="shared" si="0"/>
        <v>0</v>
      </c>
      <c r="I37" s="763"/>
      <c r="J37" s="763"/>
      <c r="K37" s="379">
        <f t="shared" si="1"/>
      </c>
      <c r="L37" s="380">
        <f t="shared" si="2"/>
      </c>
      <c r="M37" s="754"/>
      <c r="N37" s="382">
        <f t="shared" si="3"/>
      </c>
      <c r="O37" s="899">
        <f t="shared" si="4"/>
      </c>
      <c r="P37" s="614">
        <f t="shared" si="5"/>
        <v>20</v>
      </c>
      <c r="Q37" s="756" t="str">
        <f t="shared" si="6"/>
        <v>--</v>
      </c>
      <c r="R37" s="757" t="str">
        <f t="shared" si="7"/>
        <v>--</v>
      </c>
      <c r="S37" s="758" t="str">
        <f t="shared" si="8"/>
        <v>--</v>
      </c>
      <c r="T37" s="514" t="str">
        <f t="shared" si="9"/>
        <v>--</v>
      </c>
      <c r="U37" s="392">
        <f t="shared" si="10"/>
      </c>
      <c r="V37" s="456">
        <f t="shared" si="11"/>
      </c>
      <c r="W37" s="284"/>
    </row>
    <row r="38" spans="1:23" ht="16.5" customHeight="1" thickBot="1">
      <c r="A38" s="27"/>
      <c r="B38" s="55"/>
      <c r="C38" s="764"/>
      <c r="D38" s="765"/>
      <c r="E38" s="766"/>
      <c r="F38" s="868"/>
      <c r="G38" s="869"/>
      <c r="H38" s="870"/>
      <c r="I38" s="768"/>
      <c r="J38" s="769"/>
      <c r="K38" s="770"/>
      <c r="L38" s="771"/>
      <c r="M38" s="772"/>
      <c r="N38" s="215"/>
      <c r="O38" s="900"/>
      <c r="P38" s="871"/>
      <c r="Q38" s="872"/>
      <c r="R38" s="873"/>
      <c r="S38" s="874"/>
      <c r="T38" s="875"/>
      <c r="U38" s="777"/>
      <c r="V38" s="778"/>
      <c r="W38" s="284"/>
    </row>
    <row r="39" spans="1:23" ht="16.5" customHeight="1" thickBot="1" thickTop="1">
      <c r="A39" s="27"/>
      <c r="B39" s="55"/>
      <c r="C39" s="319"/>
      <c r="D39" s="234"/>
      <c r="E39" s="234"/>
      <c r="F39" s="779"/>
      <c r="G39" s="780"/>
      <c r="H39" s="781"/>
      <c r="I39" s="782"/>
      <c r="J39" s="783"/>
      <c r="K39" s="784"/>
      <c r="L39" s="785"/>
      <c r="M39" s="781"/>
      <c r="N39" s="786"/>
      <c r="O39" s="236"/>
      <c r="P39" s="787"/>
      <c r="Q39" s="797"/>
      <c r="R39" s="801"/>
      <c r="S39" s="801"/>
      <c r="T39" s="801"/>
      <c r="U39" s="798"/>
      <c r="V39" s="791">
        <f>SUM(V31:V38)</f>
        <v>52983.516</v>
      </c>
      <c r="W39" s="284"/>
    </row>
    <row r="40" spans="1:23" ht="16.5" customHeight="1" thickBot="1" thickTop="1">
      <c r="A40" s="27"/>
      <c r="B40" s="55"/>
      <c r="C40" s="319"/>
      <c r="D40" s="234"/>
      <c r="E40" s="234"/>
      <c r="F40" s="779"/>
      <c r="G40" s="780"/>
      <c r="H40" s="781"/>
      <c r="I40" s="782"/>
      <c r="L40" s="785"/>
      <c r="M40" s="781"/>
      <c r="N40" s="799"/>
      <c r="O40" s="800"/>
      <c r="P40" s="787"/>
      <c r="Q40" s="797"/>
      <c r="R40" s="801"/>
      <c r="S40" s="801"/>
      <c r="T40" s="801"/>
      <c r="U40" s="798"/>
      <c r="V40" s="798"/>
      <c r="W40" s="284"/>
    </row>
    <row r="41" spans="2:23" s="8" customFormat="1" ht="33.75" customHeight="1" thickBot="1" thickTop="1">
      <c r="B41" s="55"/>
      <c r="C41" s="112" t="s">
        <v>29</v>
      </c>
      <c r="D41" s="115" t="s">
        <v>58</v>
      </c>
      <c r="E41" s="2118" t="s">
        <v>59</v>
      </c>
      <c r="F41" s="2127"/>
      <c r="G41" s="131" t="s">
        <v>263</v>
      </c>
      <c r="H41" s="337" t="s">
        <v>36</v>
      </c>
      <c r="I41" s="113" t="s">
        <v>37</v>
      </c>
      <c r="J41" s="493" t="s">
        <v>38</v>
      </c>
      <c r="K41" s="495" t="s">
        <v>39</v>
      </c>
      <c r="L41" s="495" t="s">
        <v>40</v>
      </c>
      <c r="M41" s="120" t="s">
        <v>171</v>
      </c>
      <c r="N41" s="2118" t="s">
        <v>43</v>
      </c>
      <c r="O41" s="2119"/>
      <c r="P41" s="496" t="s">
        <v>35</v>
      </c>
      <c r="Q41" s="497" t="s">
        <v>71</v>
      </c>
      <c r="R41" s="498" t="s">
        <v>72</v>
      </c>
      <c r="S41" s="499"/>
      <c r="T41" s="500" t="s">
        <v>48</v>
      </c>
      <c r="U41" s="131" t="s">
        <v>50</v>
      </c>
      <c r="V41" s="336" t="s">
        <v>51</v>
      </c>
      <c r="W41" s="60"/>
    </row>
    <row r="42" spans="2:23" s="8" customFormat="1" ht="16.5" customHeight="1" thickTop="1">
      <c r="B42" s="55"/>
      <c r="C42" s="153"/>
      <c r="D42" s="508"/>
      <c r="E42" s="2128"/>
      <c r="F42" s="2129"/>
      <c r="G42" s="508"/>
      <c r="H42" s="509"/>
      <c r="I42" s="508"/>
      <c r="J42" s="508"/>
      <c r="K42" s="508"/>
      <c r="L42" s="508"/>
      <c r="M42" s="508"/>
      <c r="N42" s="508"/>
      <c r="O42" s="901"/>
      <c r="P42" s="510"/>
      <c r="Q42" s="511"/>
      <c r="R42" s="512"/>
      <c r="S42" s="513"/>
      <c r="T42" s="514"/>
      <c r="U42" s="508"/>
      <c r="V42" s="515"/>
      <c r="W42" s="60"/>
    </row>
    <row r="43" spans="2:23" s="8" customFormat="1" ht="16.5" customHeight="1">
      <c r="B43" s="55"/>
      <c r="C43" s="673" t="s">
        <v>103</v>
      </c>
      <c r="D43" s="579" t="s">
        <v>253</v>
      </c>
      <c r="E43" s="2128" t="s">
        <v>254</v>
      </c>
      <c r="F43" s="2129"/>
      <c r="G43" s="902">
        <v>30</v>
      </c>
      <c r="H43" s="518">
        <f>IF(G43=500,$M$20,IF(G43=220,$M$21,$M$22))</f>
        <v>189.391</v>
      </c>
      <c r="I43" s="583">
        <v>42006.881944444445</v>
      </c>
      <c r="J43" s="584">
        <v>42006.88263888889</v>
      </c>
      <c r="K43" s="521">
        <f>IF(D43="","",(J43-I43)*24)</f>
        <v>0.016666666720993817</v>
      </c>
      <c r="L43" s="522">
        <f>IF(D43="","",ROUND((J43-I43)*24*60,0))</f>
        <v>1</v>
      </c>
      <c r="M43" s="682" t="s">
        <v>185</v>
      </c>
      <c r="N43" s="2122" t="s">
        <v>82</v>
      </c>
      <c r="O43" s="2123"/>
      <c r="P43" s="523">
        <f>IF(G43=500,$N$20,IF(G43=220,$N$21,$N$22))</f>
        <v>40</v>
      </c>
      <c r="Q43" s="905" t="str">
        <f>IF(M43="P",H43*P43*ROUND(L43/60,2)*0.1,"--")</f>
        <v>--</v>
      </c>
      <c r="R43" s="512" t="str">
        <f>IF(AND(M43="F",N43="NO"),H43*P43,"--")</f>
        <v>--</v>
      </c>
      <c r="S43" s="513">
        <f>IF(M43="F",H43*P43*ROUND(L43/60,2),"--")</f>
        <v>151.5128</v>
      </c>
      <c r="T43" s="514" t="str">
        <f>IF(M43="RF",H43*P43*ROUND(L43/60,2),"--")</f>
        <v>--</v>
      </c>
      <c r="U43" s="906" t="str">
        <f>IF(D43="","","SI")</f>
        <v>SI</v>
      </c>
      <c r="V43" s="525">
        <v>14.32</v>
      </c>
      <c r="W43" s="60"/>
    </row>
    <row r="44" spans="2:23" s="8" customFormat="1" ht="16.5" customHeight="1">
      <c r="B44" s="55"/>
      <c r="C44" s="673" t="s">
        <v>104</v>
      </c>
      <c r="D44" s="508"/>
      <c r="E44" s="580"/>
      <c r="F44" s="876"/>
      <c r="G44" s="902"/>
      <c r="H44" s="518">
        <f>IF(G44=500,$M$20,IF(G44=220,$M$21,$M$22))</f>
        <v>189.391</v>
      </c>
      <c r="I44" s="903"/>
      <c r="J44" s="904"/>
      <c r="K44" s="521">
        <f>IF(D44="","",(J44-I44)*24)</f>
      </c>
      <c r="L44" s="522">
        <f>IF(D44="","",ROUND((J44-I44)*24*60,0))</f>
      </c>
      <c r="M44" s="682"/>
      <c r="N44" s="613">
        <f>IF(D44="","",IF(OR(M44="P",M44="RP"),"--","NO"))</f>
      </c>
      <c r="O44" s="587"/>
      <c r="P44" s="523">
        <f>IF(G44=500,$N$20,IF(G44=220,$N$21,$N$22))</f>
        <v>40</v>
      </c>
      <c r="Q44" s="905" t="str">
        <f>IF(M44="P",H44*P44*ROUND(L44/60,2)*0.1,"--")</f>
        <v>--</v>
      </c>
      <c r="R44" s="512" t="str">
        <f>IF(AND(M44="F",N44="NO"),H44*P44,"--")</f>
        <v>--</v>
      </c>
      <c r="S44" s="513" t="str">
        <f>IF(M44="F",H44*P44*ROUND(L44/60,2),"--")</f>
        <v>--</v>
      </c>
      <c r="T44" s="514" t="str">
        <f>IF(M44="RF",H44*P44*ROUND(L44/60,2),"--")</f>
        <v>--</v>
      </c>
      <c r="U44" s="906">
        <f>IF(D44="","","SI")</f>
      </c>
      <c r="V44" s="525">
        <f>IF(D44="","",SUM(Q44:T44)*IF(U44="SI",1,2))</f>
      </c>
      <c r="W44" s="60"/>
    </row>
    <row r="45" spans="2:28" s="8" customFormat="1" ht="16.5" customHeight="1" thickBot="1">
      <c r="B45" s="55"/>
      <c r="C45" s="925"/>
      <c r="D45" s="812"/>
      <c r="E45" s="2132"/>
      <c r="F45" s="2133"/>
      <c r="G45" s="907"/>
      <c r="H45" s="908"/>
      <c r="I45" s="909"/>
      <c r="J45" s="910"/>
      <c r="K45" s="911"/>
      <c r="L45" s="912"/>
      <c r="M45" s="774"/>
      <c r="N45" s="773"/>
      <c r="O45" s="774"/>
      <c r="P45" s="913"/>
      <c r="Q45" s="914"/>
      <c r="R45" s="915"/>
      <c r="S45" s="916"/>
      <c r="T45" s="917"/>
      <c r="U45" s="918"/>
      <c r="V45" s="919"/>
      <c r="W45" s="60"/>
      <c r="X45" s="9"/>
      <c r="Y45" s="9"/>
      <c r="Z45" s="9"/>
      <c r="AA45" s="9"/>
      <c r="AB45" s="9"/>
    </row>
    <row r="46" spans="1:23" ht="17.25" thickBot="1" thickTop="1">
      <c r="A46" s="27"/>
      <c r="B46" s="625"/>
      <c r="C46" s="628"/>
      <c r="D46" s="803"/>
      <c r="E46" s="804"/>
      <c r="F46" s="805"/>
      <c r="G46" s="806"/>
      <c r="H46" s="806"/>
      <c r="I46" s="804"/>
      <c r="J46" s="807"/>
      <c r="K46" s="807"/>
      <c r="L46" s="804"/>
      <c r="M46" s="804"/>
      <c r="N46" s="804"/>
      <c r="O46" s="808"/>
      <c r="P46" s="804"/>
      <c r="Q46" s="804"/>
      <c r="R46" s="809"/>
      <c r="S46" s="810"/>
      <c r="T46" s="810"/>
      <c r="U46" s="811"/>
      <c r="V46" s="791">
        <f>SUM(V43:V45)</f>
        <v>14.32</v>
      </c>
      <c r="W46" s="796"/>
    </row>
    <row r="47" spans="1:23" ht="17.25" thickBot="1" thickTop="1">
      <c r="A47" s="27"/>
      <c r="B47" s="625"/>
      <c r="C47" s="628"/>
      <c r="D47" s="803"/>
      <c r="E47" s="804"/>
      <c r="F47" s="805"/>
      <c r="G47" s="806"/>
      <c r="H47" s="806"/>
      <c r="I47" s="640" t="s">
        <v>119</v>
      </c>
      <c r="J47" s="894">
        <f>+V46+V39</f>
        <v>52997.836</v>
      </c>
      <c r="L47" s="804"/>
      <c r="M47" s="804"/>
      <c r="N47" s="804"/>
      <c r="O47" s="808"/>
      <c r="P47" s="804"/>
      <c r="Q47" s="804"/>
      <c r="R47" s="809"/>
      <c r="S47" s="810"/>
      <c r="T47" s="810"/>
      <c r="U47" s="811"/>
      <c r="W47" s="796"/>
    </row>
    <row r="48" spans="1:23" ht="13.5" customHeight="1" thickTop="1">
      <c r="A48" s="27"/>
      <c r="B48" s="625"/>
      <c r="C48" s="628"/>
      <c r="D48" s="803"/>
      <c r="E48" s="804"/>
      <c r="F48" s="805"/>
      <c r="G48" s="806"/>
      <c r="H48" s="806"/>
      <c r="I48" s="804"/>
      <c r="J48" s="807"/>
      <c r="K48" s="807"/>
      <c r="L48" s="804"/>
      <c r="M48" s="804"/>
      <c r="N48" s="804"/>
      <c r="O48" s="808"/>
      <c r="P48" s="804"/>
      <c r="Q48" s="804"/>
      <c r="R48" s="809"/>
      <c r="S48" s="810"/>
      <c r="T48" s="810"/>
      <c r="U48" s="811"/>
      <c r="W48" s="796"/>
    </row>
    <row r="49" spans="1:23" ht="16.5" customHeight="1">
      <c r="A49" s="27"/>
      <c r="B49" s="625"/>
      <c r="C49" s="813" t="s">
        <v>120</v>
      </c>
      <c r="D49" s="814" t="s">
        <v>175</v>
      </c>
      <c r="E49" s="804"/>
      <c r="F49" s="805"/>
      <c r="G49" s="806"/>
      <c r="H49" s="806"/>
      <c r="I49" s="804"/>
      <c r="J49" s="807"/>
      <c r="K49" s="807"/>
      <c r="L49" s="804"/>
      <c r="M49" s="804"/>
      <c r="N49" s="804"/>
      <c r="O49" s="808"/>
      <c r="P49" s="804"/>
      <c r="Q49" s="804"/>
      <c r="R49" s="809"/>
      <c r="S49" s="810"/>
      <c r="T49" s="810"/>
      <c r="U49" s="811"/>
      <c r="W49" s="796"/>
    </row>
    <row r="50" spans="1:32" ht="16.5" customHeight="1">
      <c r="A50" s="27"/>
      <c r="B50" s="625"/>
      <c r="C50" s="813"/>
      <c r="D50" s="803"/>
      <c r="E50" s="804"/>
      <c r="F50" s="805"/>
      <c r="G50" s="806"/>
      <c r="H50" s="806"/>
      <c r="I50" s="804"/>
      <c r="J50" s="807"/>
      <c r="K50" s="807"/>
      <c r="L50" s="804"/>
      <c r="M50" s="804"/>
      <c r="N50" s="804"/>
      <c r="O50" s="808"/>
      <c r="P50" s="804"/>
      <c r="Q50" s="804"/>
      <c r="R50" s="804"/>
      <c r="S50" s="809"/>
      <c r="T50" s="810"/>
      <c r="W50" s="796"/>
      <c r="AC50" s="249"/>
      <c r="AD50" s="249"/>
      <c r="AE50" s="249"/>
      <c r="AF50" s="249"/>
    </row>
    <row r="51" spans="2:32" s="27" customFormat="1" ht="16.5" customHeight="1">
      <c r="B51" s="625"/>
      <c r="C51" s="628"/>
      <c r="D51" s="815" t="s">
        <v>130</v>
      </c>
      <c r="E51" s="717" t="s">
        <v>131</v>
      </c>
      <c r="F51" s="717" t="s">
        <v>122</v>
      </c>
      <c r="G51" s="816" t="s">
        <v>180</v>
      </c>
      <c r="H51" s="9"/>
      <c r="I51" s="920"/>
      <c r="J51" s="828" t="s">
        <v>132</v>
      </c>
      <c r="K51" s="828"/>
      <c r="L51" s="717" t="s">
        <v>122</v>
      </c>
      <c r="M51" s="9" t="s">
        <v>139</v>
      </c>
      <c r="O51" s="816" t="s">
        <v>181</v>
      </c>
      <c r="P51" s="9"/>
      <c r="Q51" s="820"/>
      <c r="R51" s="820"/>
      <c r="S51" s="29"/>
      <c r="T51" s="9"/>
      <c r="U51" s="9"/>
      <c r="V51" s="9"/>
      <c r="W51" s="796"/>
      <c r="AC51" s="29"/>
      <c r="AD51" s="29"/>
      <c r="AE51" s="29"/>
      <c r="AF51" s="29"/>
    </row>
    <row r="52" spans="2:32" s="27" customFormat="1" ht="16.5" customHeight="1">
      <c r="B52" s="625"/>
      <c r="C52" s="628"/>
      <c r="D52" s="921" t="s">
        <v>152</v>
      </c>
      <c r="E52" s="921">
        <v>300</v>
      </c>
      <c r="F52" s="926" t="s">
        <v>133</v>
      </c>
      <c r="G52" s="2125">
        <f>+E52*$F$21*$F$22</f>
        <v>266277.60000000003</v>
      </c>
      <c r="H52" s="2125"/>
      <c r="I52" s="2125"/>
      <c r="J52" s="923" t="s">
        <v>153</v>
      </c>
      <c r="K52" s="923"/>
      <c r="L52" s="921">
        <v>132</v>
      </c>
      <c r="M52" s="921">
        <v>2</v>
      </c>
      <c r="O52" s="2125">
        <f>+M52*$F$21*$M$22</f>
        <v>281813.80799999996</v>
      </c>
      <c r="P52" s="2125"/>
      <c r="Q52" s="2125"/>
      <c r="R52" s="2125"/>
      <c r="S52" s="2125"/>
      <c r="T52" s="2125"/>
      <c r="U52" s="2125"/>
      <c r="V52" s="9"/>
      <c r="W52" s="796"/>
      <c r="AC52" s="29"/>
      <c r="AD52" s="29"/>
      <c r="AE52" s="29"/>
      <c r="AF52" s="29"/>
    </row>
    <row r="53" spans="1:32" ht="16.5" customHeight="1">
      <c r="A53" s="27"/>
      <c r="B53" s="625"/>
      <c r="C53" s="628"/>
      <c r="D53" s="924"/>
      <c r="E53" s="728"/>
      <c r="F53" s="922"/>
      <c r="G53" s="2126">
        <f>+G52</f>
        <v>266277.60000000003</v>
      </c>
      <c r="H53" s="2126"/>
      <c r="I53" s="2126"/>
      <c r="M53" s="921"/>
      <c r="O53" s="2126">
        <f>SUM(O52:P52)</f>
        <v>281813.80799999996</v>
      </c>
      <c r="P53" s="2126"/>
      <c r="Q53" s="2126"/>
      <c r="R53" s="2126"/>
      <c r="S53" s="2126"/>
      <c r="T53" s="2126"/>
      <c r="U53" s="2126"/>
      <c r="W53" s="796"/>
      <c r="AC53" s="249"/>
      <c r="AD53" s="249"/>
      <c r="AE53" s="249"/>
      <c r="AF53" s="249"/>
    </row>
    <row r="54" spans="2:32" s="27" customFormat="1" ht="16.5" customHeight="1">
      <c r="B54" s="625"/>
      <c r="C54" s="628"/>
      <c r="D54" s="717" t="s">
        <v>258</v>
      </c>
      <c r="E54" s="823" t="s">
        <v>260</v>
      </c>
      <c r="G54" s="2134" t="s">
        <v>262</v>
      </c>
      <c r="H54" s="2134"/>
      <c r="I54" s="2134"/>
      <c r="J54" s="25"/>
      <c r="K54" s="824"/>
      <c r="L54" s="25"/>
      <c r="M54" s="826"/>
      <c r="O54" s="830"/>
      <c r="P54" s="9"/>
      <c r="Q54" s="820"/>
      <c r="R54" s="820"/>
      <c r="S54" s="29"/>
      <c r="T54" s="9"/>
      <c r="U54" s="9"/>
      <c r="V54" s="9"/>
      <c r="W54" s="796"/>
      <c r="X54" s="29"/>
      <c r="Y54" s="29"/>
      <c r="Z54" s="29"/>
      <c r="AA54" s="29"/>
      <c r="AB54" s="29"/>
      <c r="AC54" s="638"/>
      <c r="AD54" s="1669"/>
      <c r="AE54" s="29"/>
      <c r="AF54" s="29"/>
    </row>
    <row r="55" spans="2:32" s="27" customFormat="1" ht="16.5" customHeight="1">
      <c r="B55" s="625"/>
      <c r="C55" s="628"/>
      <c r="D55" s="815" t="s">
        <v>259</v>
      </c>
      <c r="E55" s="717">
        <v>75</v>
      </c>
      <c r="G55" s="2125">
        <f>+E55*F21*F22</f>
        <v>66569.40000000001</v>
      </c>
      <c r="H55" s="2125"/>
      <c r="I55" s="2125"/>
      <c r="J55" s="717"/>
      <c r="K55" s="9"/>
      <c r="L55" s="638"/>
      <c r="M55" s="819"/>
      <c r="N55" s="819"/>
      <c r="O55" s="825"/>
      <c r="P55" s="25"/>
      <c r="Q55" s="826" t="s">
        <v>256</v>
      </c>
      <c r="R55" s="820"/>
      <c r="S55" s="29"/>
      <c r="T55" s="9"/>
      <c r="U55" s="9"/>
      <c r="V55" s="9"/>
      <c r="W55" s="796"/>
      <c r="X55" s="29"/>
      <c r="Y55" s="29"/>
      <c r="Z55" s="29"/>
      <c r="AA55" s="29"/>
      <c r="AB55" s="29"/>
      <c r="AC55" s="638"/>
      <c r="AD55" s="1669"/>
      <c r="AE55" s="29"/>
      <c r="AF55" s="29"/>
    </row>
    <row r="56" spans="1:32" ht="16.5" customHeight="1">
      <c r="A56" s="27"/>
      <c r="B56" s="625"/>
      <c r="C56" s="628"/>
      <c r="D56" s="924"/>
      <c r="E56" s="728"/>
      <c r="F56" s="922"/>
      <c r="G56" s="2126">
        <f>+G55</f>
        <v>66569.40000000001</v>
      </c>
      <c r="H56" s="2126"/>
      <c r="I56" s="2126"/>
      <c r="M56" s="921"/>
      <c r="N56" s="920"/>
      <c r="O56" s="920"/>
      <c r="P56" s="877"/>
      <c r="Q56" s="877"/>
      <c r="R56" s="877"/>
      <c r="S56" s="877"/>
      <c r="W56" s="796"/>
      <c r="AC56" s="249"/>
      <c r="AD56" s="249"/>
      <c r="AE56" s="249"/>
      <c r="AF56" s="249"/>
    </row>
    <row r="57" spans="1:32" ht="16.5" customHeight="1" thickBot="1">
      <c r="A57" s="27"/>
      <c r="B57" s="625"/>
      <c r="C57" s="628"/>
      <c r="D57" s="815"/>
      <c r="E57" s="829"/>
      <c r="F57" s="829"/>
      <c r="G57" s="717"/>
      <c r="I57" s="818"/>
      <c r="J57" s="816"/>
      <c r="L57" s="817"/>
      <c r="M57" s="818"/>
      <c r="N57" s="819"/>
      <c r="O57" s="820"/>
      <c r="P57" s="820"/>
      <c r="Q57" s="820"/>
      <c r="R57" s="820"/>
      <c r="S57" s="820"/>
      <c r="W57" s="796"/>
      <c r="AC57" s="249"/>
      <c r="AD57" s="249"/>
      <c r="AE57" s="249"/>
      <c r="AF57" s="249"/>
    </row>
    <row r="58" spans="1:32" ht="16.5" customHeight="1" thickBot="1" thickTop="1">
      <c r="A58" s="27"/>
      <c r="B58" s="625"/>
      <c r="C58" s="628"/>
      <c r="D58" s="717"/>
      <c r="E58" s="878"/>
      <c r="F58" s="878"/>
      <c r="G58" s="823"/>
      <c r="H58" s="25"/>
      <c r="I58" s="640" t="s">
        <v>148</v>
      </c>
      <c r="J58" s="894">
        <f>+G53+O53+G56</f>
        <v>614660.8080000001</v>
      </c>
      <c r="L58" s="825"/>
      <c r="M58" s="25"/>
      <c r="N58" s="826"/>
      <c r="O58" s="877"/>
      <c r="P58" s="877"/>
      <c r="Q58" s="877"/>
      <c r="R58" s="877"/>
      <c r="S58" s="877"/>
      <c r="W58" s="796"/>
      <c r="AC58" s="249"/>
      <c r="AD58" s="249"/>
      <c r="AE58" s="249"/>
      <c r="AF58" s="249"/>
    </row>
    <row r="59" spans="1:32" ht="16.5" customHeight="1" thickTop="1">
      <c r="A59" s="27"/>
      <c r="B59" s="625"/>
      <c r="C59" s="628"/>
      <c r="D59" s="807"/>
      <c r="E59" s="633"/>
      <c r="F59" s="717"/>
      <c r="G59" s="717"/>
      <c r="H59" s="718"/>
      <c r="J59" s="717"/>
      <c r="L59" s="832"/>
      <c r="M59" s="819"/>
      <c r="N59" s="819"/>
      <c r="O59" s="820"/>
      <c r="P59" s="820"/>
      <c r="Q59" s="820"/>
      <c r="R59" s="820"/>
      <c r="S59" s="820"/>
      <c r="W59" s="796"/>
      <c r="AC59" s="249"/>
      <c r="AD59" s="249"/>
      <c r="AE59" s="249"/>
      <c r="AF59" s="249"/>
    </row>
    <row r="60" spans="2:32" ht="16.5" customHeight="1">
      <c r="B60" s="625"/>
      <c r="C60" s="813" t="s">
        <v>125</v>
      </c>
      <c r="D60" s="833" t="s">
        <v>126</v>
      </c>
      <c r="E60" s="717"/>
      <c r="F60" s="834"/>
      <c r="G60" s="716"/>
      <c r="H60" s="807"/>
      <c r="I60" s="807"/>
      <c r="J60" s="807"/>
      <c r="K60" s="717"/>
      <c r="L60" s="717"/>
      <c r="M60" s="807"/>
      <c r="N60" s="717"/>
      <c r="O60" s="807"/>
      <c r="P60" s="807"/>
      <c r="Q60" s="807"/>
      <c r="R60" s="807"/>
      <c r="S60" s="807"/>
      <c r="T60" s="807"/>
      <c r="U60" s="807"/>
      <c r="W60" s="796"/>
      <c r="AC60" s="249"/>
      <c r="AD60" s="249"/>
      <c r="AE60" s="249"/>
      <c r="AF60" s="249"/>
    </row>
    <row r="61" spans="2:23" s="27" customFormat="1" ht="16.5" customHeight="1">
      <c r="B61" s="625"/>
      <c r="C61" s="628"/>
      <c r="D61" s="815" t="s">
        <v>127</v>
      </c>
      <c r="E61" s="835">
        <f>10*J47*J26/J58</f>
        <v>5279.967715682126</v>
      </c>
      <c r="G61" s="716"/>
      <c r="L61" s="717"/>
      <c r="N61" s="717"/>
      <c r="O61" s="718"/>
      <c r="V61" s="9"/>
      <c r="W61" s="796"/>
    </row>
    <row r="62" spans="2:23" s="27" customFormat="1" ht="12.75" customHeight="1">
      <c r="B62" s="625"/>
      <c r="C62" s="628"/>
      <c r="E62" s="836"/>
      <c r="F62" s="639"/>
      <c r="G62" s="716"/>
      <c r="J62" s="716"/>
      <c r="K62" s="736"/>
      <c r="L62" s="717"/>
      <c r="M62" s="717"/>
      <c r="N62" s="717"/>
      <c r="O62" s="718"/>
      <c r="P62" s="717"/>
      <c r="Q62" s="717"/>
      <c r="R62" s="735"/>
      <c r="S62" s="735"/>
      <c r="T62" s="735"/>
      <c r="U62" s="837"/>
      <c r="V62" s="9"/>
      <c r="W62" s="796"/>
    </row>
    <row r="63" spans="2:23" ht="16.5" customHeight="1">
      <c r="B63" s="625"/>
      <c r="C63" s="628"/>
      <c r="D63" s="838" t="s">
        <v>154</v>
      </c>
      <c r="E63" s="839"/>
      <c r="F63" s="639"/>
      <c r="G63" s="716"/>
      <c r="H63" s="807"/>
      <c r="I63" s="807"/>
      <c r="N63" s="717"/>
      <c r="O63" s="718"/>
      <c r="P63" s="717"/>
      <c r="Q63" s="717"/>
      <c r="R63" s="818"/>
      <c r="S63" s="818"/>
      <c r="T63" s="818"/>
      <c r="U63" s="819"/>
      <c r="W63" s="796"/>
    </row>
    <row r="64" spans="2:23" ht="13.5" customHeight="1" thickBot="1">
      <c r="B64" s="625"/>
      <c r="C64" s="628"/>
      <c r="D64" s="838"/>
      <c r="E64" s="839"/>
      <c r="F64" s="639"/>
      <c r="G64" s="716"/>
      <c r="H64" s="807"/>
      <c r="I64" s="807"/>
      <c r="N64" s="717"/>
      <c r="O64" s="718"/>
      <c r="P64" s="717"/>
      <c r="Q64" s="717"/>
      <c r="R64" s="818"/>
      <c r="S64" s="818"/>
      <c r="T64" s="818"/>
      <c r="U64" s="819"/>
      <c r="W64" s="796"/>
    </row>
    <row r="65" spans="2:23" s="840" customFormat="1" ht="21" thickBot="1" thickTop="1">
      <c r="B65" s="841"/>
      <c r="C65" s="842"/>
      <c r="D65" s="843"/>
      <c r="E65" s="844"/>
      <c r="F65" s="845"/>
      <c r="G65" s="846"/>
      <c r="I65" s="847" t="s">
        <v>129</v>
      </c>
      <c r="J65" s="848">
        <f>IF(E61&gt;3*J26,J26*3,E61)</f>
        <v>5279.967715682126</v>
      </c>
      <c r="M65" s="849"/>
      <c r="N65" s="849"/>
      <c r="O65" s="850"/>
      <c r="P65" s="849"/>
      <c r="Q65" s="849"/>
      <c r="R65" s="851"/>
      <c r="S65" s="851"/>
      <c r="T65" s="851"/>
      <c r="U65" s="852"/>
      <c r="V65" s="9"/>
      <c r="W65" s="853"/>
    </row>
    <row r="66" spans="2:23" ht="16.5" customHeight="1" thickBot="1" thickTop="1"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854"/>
      <c r="W66" s="855"/>
    </row>
    <row r="67" spans="2:23" ht="16.5" customHeight="1" thickTop="1">
      <c r="B67" s="249"/>
      <c r="C67" s="272"/>
      <c r="W67" s="249"/>
    </row>
  </sheetData>
  <sheetProtection password="CC12"/>
  <mergeCells count="13">
    <mergeCell ref="G53:I53"/>
    <mergeCell ref="G52:I52"/>
    <mergeCell ref="O52:U52"/>
    <mergeCell ref="G55:I55"/>
    <mergeCell ref="G56:I56"/>
    <mergeCell ref="E43:F43"/>
    <mergeCell ref="E41:F41"/>
    <mergeCell ref="E42:F42"/>
    <mergeCell ref="N41:O41"/>
    <mergeCell ref="E45:F45"/>
    <mergeCell ref="N43:O43"/>
    <mergeCell ref="G54:I54"/>
    <mergeCell ref="O53:U53"/>
  </mergeCells>
  <printOptions horizontalCentered="1"/>
  <pageMargins left="1.1" right="0.1968503937007874" top="1.15" bottom="0.7874015748031497" header="0.5118110236220472" footer="0.5118110236220472"/>
  <pageSetup fitToHeight="1" fitToWidth="1" horizontalDpi="600" verticalDpi="600" orientation="landscape" paperSize="9" scale="3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8"/>
  <sheetViews>
    <sheetView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1" width="29.57421875" style="1672" customWidth="1"/>
    <col min="2" max="2" width="14.8515625" style="1672" customWidth="1"/>
    <col min="3" max="3" width="4.7109375" style="1672" customWidth="1"/>
    <col min="4" max="4" width="30.7109375" style="1672" customWidth="1"/>
    <col min="5" max="5" width="20.7109375" style="1672" customWidth="1"/>
    <col min="6" max="6" width="17.140625" style="1672" customWidth="1"/>
    <col min="7" max="7" width="14.7109375" style="1672" customWidth="1"/>
    <col min="8" max="8" width="9.8515625" style="1672" hidden="1" customWidth="1"/>
    <col min="9" max="9" width="11.00390625" style="1672" hidden="1" customWidth="1"/>
    <col min="10" max="11" width="18.7109375" style="1672" customWidth="1"/>
    <col min="12" max="13" width="10.7109375" style="1672" customWidth="1"/>
    <col min="14" max="14" width="9.7109375" style="1672" customWidth="1"/>
    <col min="15" max="15" width="10.57421875" style="1672" customWidth="1"/>
    <col min="16" max="16" width="8.421875" style="1672" customWidth="1"/>
    <col min="17" max="17" width="5.8515625" style="1672" customWidth="1"/>
    <col min="18" max="18" width="12.140625" style="1672" hidden="1" customWidth="1"/>
    <col min="19" max="19" width="13.00390625" style="1672" hidden="1" customWidth="1"/>
    <col min="20" max="20" width="11.57421875" style="1672" hidden="1" customWidth="1"/>
    <col min="21" max="21" width="15.8515625" style="1672" hidden="1" customWidth="1"/>
    <col min="22" max="22" width="11.7109375" style="1672" hidden="1" customWidth="1"/>
    <col min="23" max="27" width="8.421875" style="1672" hidden="1" customWidth="1"/>
    <col min="28" max="28" width="9.7109375" style="1672" customWidth="1"/>
    <col min="29" max="29" width="17.28125" style="1672" customWidth="1"/>
    <col min="30" max="30" width="14.8515625" style="1672" customWidth="1"/>
    <col min="31" max="31" width="4.140625" style="1672" customWidth="1"/>
    <col min="32" max="32" width="7.140625" style="1672" customWidth="1"/>
    <col min="33" max="33" width="5.28125" style="1672" customWidth="1"/>
    <col min="34" max="34" width="5.421875" style="1672" customWidth="1"/>
    <col min="35" max="35" width="4.7109375" style="1672" customWidth="1"/>
    <col min="36" max="36" width="5.28125" style="1672" customWidth="1"/>
    <col min="37" max="38" width="13.28125" style="1672" customWidth="1"/>
    <col min="39" max="39" width="6.57421875" style="1672" customWidth="1"/>
    <col min="40" max="40" width="6.421875" style="1672" customWidth="1"/>
    <col min="41" max="44" width="11.421875" style="1672" customWidth="1"/>
    <col min="45" max="45" width="12.7109375" style="1672" customWidth="1"/>
    <col min="46" max="48" width="11.421875" style="1672" customWidth="1"/>
    <col min="49" max="49" width="21.00390625" style="1672" customWidth="1"/>
    <col min="50" max="16384" width="11.421875" style="1672" customWidth="1"/>
  </cols>
  <sheetData>
    <row r="1" spans="1:30" ht="13.5">
      <c r="A1" s="1670"/>
      <c r="B1" s="1671"/>
      <c r="C1" s="1671"/>
      <c r="D1" s="1671"/>
      <c r="E1" s="1671"/>
      <c r="F1" s="1671"/>
      <c r="G1" s="1671"/>
      <c r="H1" s="1671"/>
      <c r="I1" s="1671"/>
      <c r="J1" s="1671"/>
      <c r="K1" s="1671"/>
      <c r="L1" s="1671"/>
      <c r="M1" s="1671"/>
      <c r="N1" s="1671"/>
      <c r="O1" s="1671"/>
      <c r="P1" s="1671"/>
      <c r="Q1" s="1671"/>
      <c r="R1" s="1671"/>
      <c r="S1" s="1671"/>
      <c r="T1" s="1671"/>
      <c r="U1" s="1671"/>
      <c r="V1" s="1671"/>
      <c r="AD1" s="1673"/>
    </row>
    <row r="2" spans="1:23" ht="27" customHeight="1">
      <c r="A2" s="1670"/>
      <c r="B2" s="1671"/>
      <c r="C2" s="1671"/>
      <c r="D2" s="1671"/>
      <c r="E2" s="1671"/>
      <c r="F2" s="1671"/>
      <c r="G2" s="1671"/>
      <c r="H2" s="1671"/>
      <c r="I2" s="1671"/>
      <c r="J2" s="1671"/>
      <c r="K2" s="1671"/>
      <c r="L2" s="1671"/>
      <c r="M2" s="1671"/>
      <c r="N2" s="1671"/>
      <c r="O2" s="1671"/>
      <c r="P2" s="1671"/>
      <c r="Q2" s="1671"/>
      <c r="R2" s="1671"/>
      <c r="S2" s="1671"/>
      <c r="T2" s="1671"/>
      <c r="U2" s="1671"/>
      <c r="V2" s="1671"/>
      <c r="W2" s="1671"/>
    </row>
    <row r="3" spans="1:30" s="1677" customFormat="1" ht="30.75">
      <c r="A3" s="1674"/>
      <c r="B3" s="1675" t="str">
        <f>+'TOT-0115'!B2</f>
        <v>ANEXO II al Memorándum D.T.E.E. N°  90 /2016</v>
      </c>
      <c r="C3" s="1676"/>
      <c r="D3" s="1676"/>
      <c r="E3" s="1676"/>
      <c r="F3" s="1676"/>
      <c r="G3" s="1676"/>
      <c r="H3" s="1676"/>
      <c r="I3" s="1676"/>
      <c r="J3" s="1676"/>
      <c r="K3" s="1676"/>
      <c r="L3" s="1676"/>
      <c r="M3" s="1676"/>
      <c r="N3" s="1676"/>
      <c r="O3" s="1676"/>
      <c r="P3" s="1676"/>
      <c r="Q3" s="1676"/>
      <c r="R3" s="1676"/>
      <c r="S3" s="1676"/>
      <c r="T3" s="1676"/>
      <c r="U3" s="1676"/>
      <c r="V3" s="1676"/>
      <c r="W3" s="1676"/>
      <c r="AB3" s="1676"/>
      <c r="AC3" s="1676"/>
      <c r="AD3" s="1676"/>
    </row>
    <row r="4" spans="1:2" s="1680" customFormat="1" ht="11.25">
      <c r="A4" s="1678" t="s">
        <v>2</v>
      </c>
      <c r="B4" s="1679"/>
    </row>
    <row r="5" spans="1:2" s="1680" customFormat="1" ht="12" thickBot="1">
      <c r="A5" s="1678" t="s">
        <v>3</v>
      </c>
      <c r="B5" s="1678"/>
    </row>
    <row r="6" spans="1:30" ht="16.5" customHeight="1" thickTop="1">
      <c r="A6" s="1671"/>
      <c r="B6" s="1681"/>
      <c r="C6" s="1682"/>
      <c r="D6" s="1682"/>
      <c r="E6" s="1683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4"/>
      <c r="X6" s="1684"/>
      <c r="Y6" s="1684"/>
      <c r="Z6" s="1684"/>
      <c r="AA6" s="1684"/>
      <c r="AB6" s="1684"/>
      <c r="AC6" s="1684"/>
      <c r="AD6" s="1685"/>
    </row>
    <row r="7" spans="1:30" ht="20.25">
      <c r="A7" s="1671"/>
      <c r="B7" s="1686"/>
      <c r="C7" s="1687"/>
      <c r="D7" s="1688" t="s">
        <v>85</v>
      </c>
      <c r="E7" s="1687"/>
      <c r="F7" s="1687"/>
      <c r="G7" s="1687"/>
      <c r="H7" s="1687"/>
      <c r="I7" s="1687"/>
      <c r="J7" s="1687"/>
      <c r="K7" s="1687"/>
      <c r="L7" s="1687"/>
      <c r="M7" s="1687"/>
      <c r="N7" s="1687"/>
      <c r="O7" s="1687"/>
      <c r="P7" s="1689"/>
      <c r="Q7" s="1689"/>
      <c r="R7" s="1687"/>
      <c r="S7" s="1687"/>
      <c r="T7" s="1687"/>
      <c r="U7" s="1687"/>
      <c r="V7" s="1687"/>
      <c r="AD7" s="1690"/>
    </row>
    <row r="8" spans="1:30" ht="16.5" customHeight="1">
      <c r="A8" s="1671"/>
      <c r="B8" s="1686"/>
      <c r="C8" s="1687"/>
      <c r="D8" s="1687"/>
      <c r="E8" s="1687"/>
      <c r="F8" s="1687"/>
      <c r="G8" s="1687"/>
      <c r="H8" s="1687"/>
      <c r="I8" s="1687"/>
      <c r="J8" s="1687"/>
      <c r="K8" s="1687"/>
      <c r="L8" s="1687"/>
      <c r="M8" s="1687"/>
      <c r="N8" s="1687"/>
      <c r="O8" s="1687"/>
      <c r="P8" s="1687"/>
      <c r="Q8" s="1687"/>
      <c r="R8" s="1687"/>
      <c r="S8" s="1687"/>
      <c r="T8" s="1687"/>
      <c r="U8" s="1687"/>
      <c r="V8" s="1687"/>
      <c r="AD8" s="1690"/>
    </row>
    <row r="9" spans="2:30" s="1691" customFormat="1" ht="20.25">
      <c r="B9" s="1692"/>
      <c r="C9" s="1693"/>
      <c r="D9" s="1688" t="s">
        <v>86</v>
      </c>
      <c r="E9" s="1693"/>
      <c r="F9" s="1693"/>
      <c r="G9" s="1693"/>
      <c r="H9" s="1693"/>
      <c r="N9" s="1693"/>
      <c r="O9" s="1693"/>
      <c r="P9" s="1694"/>
      <c r="Q9" s="1694"/>
      <c r="R9" s="1693"/>
      <c r="S9" s="1693"/>
      <c r="T9" s="1693"/>
      <c r="U9" s="1693"/>
      <c r="V9" s="1693"/>
      <c r="W9" s="1672"/>
      <c r="X9" s="1693"/>
      <c r="Y9" s="1693"/>
      <c r="Z9" s="1693"/>
      <c r="AA9" s="1693"/>
      <c r="AB9" s="1693"/>
      <c r="AC9" s="1672"/>
      <c r="AD9" s="1695"/>
    </row>
    <row r="10" spans="1:30" ht="16.5" customHeight="1">
      <c r="A10" s="1671"/>
      <c r="B10" s="1686"/>
      <c r="C10" s="1687"/>
      <c r="D10" s="1687"/>
      <c r="E10" s="1687"/>
      <c r="F10" s="1687"/>
      <c r="G10" s="1687"/>
      <c r="H10" s="1687"/>
      <c r="I10" s="1687"/>
      <c r="J10" s="1687"/>
      <c r="K10" s="1687"/>
      <c r="L10" s="1687"/>
      <c r="M10" s="1687"/>
      <c r="N10" s="1687"/>
      <c r="O10" s="1687"/>
      <c r="P10" s="1687"/>
      <c r="Q10" s="1687"/>
      <c r="R10" s="1687"/>
      <c r="S10" s="1687"/>
      <c r="T10" s="1687"/>
      <c r="U10" s="1687"/>
      <c r="V10" s="1687"/>
      <c r="AD10" s="1690"/>
    </row>
    <row r="11" spans="2:30" s="1691" customFormat="1" ht="20.25">
      <c r="B11" s="1692"/>
      <c r="C11" s="1693"/>
      <c r="D11" s="1688" t="s">
        <v>345</v>
      </c>
      <c r="E11" s="1693"/>
      <c r="F11" s="1693"/>
      <c r="G11" s="1693"/>
      <c r="H11" s="1693"/>
      <c r="N11" s="1693"/>
      <c r="O11" s="1693"/>
      <c r="P11" s="1694"/>
      <c r="Q11" s="1694"/>
      <c r="R11" s="1693"/>
      <c r="S11" s="1693"/>
      <c r="T11" s="1693"/>
      <c r="U11" s="1693"/>
      <c r="V11" s="1693"/>
      <c r="W11" s="1672"/>
      <c r="X11" s="1693"/>
      <c r="Y11" s="1693"/>
      <c r="Z11" s="1693"/>
      <c r="AA11" s="1693"/>
      <c r="AB11" s="1693"/>
      <c r="AC11" s="1672"/>
      <c r="AD11" s="1695"/>
    </row>
    <row r="12" spans="1:30" ht="16.5" customHeight="1">
      <c r="A12" s="1671"/>
      <c r="B12" s="1686"/>
      <c r="C12" s="1687"/>
      <c r="D12" s="1687"/>
      <c r="E12" s="1671"/>
      <c r="F12" s="1671"/>
      <c r="G12" s="1671"/>
      <c r="H12" s="1671"/>
      <c r="I12" s="1696"/>
      <c r="J12" s="1696"/>
      <c r="K12" s="1696"/>
      <c r="L12" s="1696"/>
      <c r="M12" s="1696"/>
      <c r="N12" s="1696"/>
      <c r="O12" s="1696"/>
      <c r="P12" s="1696"/>
      <c r="Q12" s="1696"/>
      <c r="R12" s="1687"/>
      <c r="S12" s="1687"/>
      <c r="T12" s="1687"/>
      <c r="U12" s="1687"/>
      <c r="V12" s="1687"/>
      <c r="AD12" s="1690"/>
    </row>
    <row r="13" spans="2:30" s="1691" customFormat="1" ht="19.5">
      <c r="B13" s="1697" t="str">
        <f>+'TOT-0115'!B14</f>
        <v>Desde el 01 al 31 de enero de 2015</v>
      </c>
      <c r="C13" s="1698"/>
      <c r="D13" s="1699"/>
      <c r="E13" s="1699"/>
      <c r="F13" s="1699"/>
      <c r="G13" s="1699"/>
      <c r="H13" s="1699"/>
      <c r="I13" s="1700"/>
      <c r="J13" s="1701"/>
      <c r="K13" s="1700"/>
      <c r="L13" s="1700"/>
      <c r="M13" s="1700"/>
      <c r="N13" s="1700"/>
      <c r="O13" s="1700"/>
      <c r="P13" s="1700"/>
      <c r="Q13" s="1700"/>
      <c r="R13" s="1700"/>
      <c r="S13" s="1700"/>
      <c r="T13" s="1700"/>
      <c r="U13" s="1702"/>
      <c r="V13" s="1702"/>
      <c r="W13" s="1672"/>
      <c r="X13" s="1703"/>
      <c r="Y13" s="1703"/>
      <c r="Z13" s="1703"/>
      <c r="AA13" s="1703"/>
      <c r="AB13" s="1702"/>
      <c r="AC13" s="1701"/>
      <c r="AD13" s="1704"/>
    </row>
    <row r="14" spans="1:30" ht="16.5" customHeight="1">
      <c r="A14" s="1671"/>
      <c r="B14" s="1686"/>
      <c r="C14" s="1687"/>
      <c r="D14" s="1687"/>
      <c r="E14" s="1705"/>
      <c r="F14" s="1705"/>
      <c r="G14" s="1687"/>
      <c r="H14" s="1687"/>
      <c r="I14" s="1687"/>
      <c r="J14" s="1706"/>
      <c r="K14" s="1687"/>
      <c r="L14" s="1687"/>
      <c r="M14" s="1687"/>
      <c r="N14" s="1671"/>
      <c r="O14" s="1671"/>
      <c r="P14" s="1687"/>
      <c r="Q14" s="1687"/>
      <c r="R14" s="1687"/>
      <c r="S14" s="1687"/>
      <c r="T14" s="1687"/>
      <c r="U14" s="1687"/>
      <c r="V14" s="1687"/>
      <c r="AD14" s="1690"/>
    </row>
    <row r="15" spans="1:30" ht="16.5" customHeight="1">
      <c r="A15" s="1671"/>
      <c r="B15" s="1686"/>
      <c r="C15" s="1687"/>
      <c r="D15" s="1687"/>
      <c r="E15" s="1705"/>
      <c r="F15" s="1705"/>
      <c r="G15" s="1687"/>
      <c r="H15" s="1687"/>
      <c r="I15" s="1707"/>
      <c r="J15" s="1687"/>
      <c r="K15" s="1708"/>
      <c r="M15" s="1687"/>
      <c r="N15" s="1671"/>
      <c r="O15" s="1671"/>
      <c r="P15" s="1687"/>
      <c r="Q15" s="1687"/>
      <c r="R15" s="1687"/>
      <c r="S15" s="1687"/>
      <c r="T15" s="1687"/>
      <c r="U15" s="1687"/>
      <c r="V15" s="1687"/>
      <c r="AD15" s="1690"/>
    </row>
    <row r="16" spans="1:30" ht="16.5" customHeight="1">
      <c r="A16" s="1671"/>
      <c r="B16" s="1686"/>
      <c r="C16" s="1687"/>
      <c r="D16" s="1687"/>
      <c r="E16" s="1705"/>
      <c r="F16" s="1705"/>
      <c r="G16" s="1687"/>
      <c r="H16" s="1687"/>
      <c r="I16" s="1707"/>
      <c r="J16" s="1687"/>
      <c r="K16" s="1708"/>
      <c r="M16" s="1687"/>
      <c r="N16" s="1671"/>
      <c r="O16" s="1671"/>
      <c r="P16" s="1687"/>
      <c r="Q16" s="1687"/>
      <c r="R16" s="1687"/>
      <c r="S16" s="1687"/>
      <c r="T16" s="1687"/>
      <c r="U16" s="1687"/>
      <c r="V16" s="1687"/>
      <c r="AD16" s="1690"/>
    </row>
    <row r="17" spans="1:30" ht="16.5" customHeight="1">
      <c r="A17" s="1671"/>
      <c r="B17" s="1686"/>
      <c r="C17" s="1709" t="s">
        <v>88</v>
      </c>
      <c r="D17" s="1710" t="s">
        <v>89</v>
      </c>
      <c r="E17" s="1705"/>
      <c r="F17" s="1705"/>
      <c r="G17" s="1687"/>
      <c r="H17" s="1687"/>
      <c r="I17" s="1687"/>
      <c r="J17" s="1706"/>
      <c r="K17" s="1687"/>
      <c r="L17" s="1687"/>
      <c r="M17" s="1687"/>
      <c r="N17" s="1671"/>
      <c r="O17" s="1671"/>
      <c r="P17" s="1687"/>
      <c r="Q17" s="1687"/>
      <c r="R17" s="1687"/>
      <c r="S17" s="1687"/>
      <c r="T17" s="1687"/>
      <c r="U17" s="1687"/>
      <c r="V17" s="1687"/>
      <c r="AD17" s="1690"/>
    </row>
    <row r="18" spans="2:30" s="1711" customFormat="1" ht="16.5" customHeight="1">
      <c r="B18" s="1712"/>
      <c r="C18" s="1713"/>
      <c r="D18" s="1714"/>
      <c r="E18" s="1715"/>
      <c r="F18" s="1716"/>
      <c r="G18" s="1713"/>
      <c r="H18" s="1713"/>
      <c r="I18" s="1713"/>
      <c r="J18" s="1717"/>
      <c r="K18" s="1713"/>
      <c r="L18" s="1713"/>
      <c r="M18" s="1713"/>
      <c r="P18" s="1713"/>
      <c r="Q18" s="1713"/>
      <c r="R18" s="1713"/>
      <c r="S18" s="1713"/>
      <c r="T18" s="1713"/>
      <c r="U18" s="1713"/>
      <c r="V18" s="1713"/>
      <c r="W18" s="1672"/>
      <c r="AD18" s="1718"/>
    </row>
    <row r="19" spans="2:30" s="1711" customFormat="1" ht="16.5" customHeight="1">
      <c r="B19" s="1712"/>
      <c r="C19" s="1713"/>
      <c r="D19" s="1719" t="s">
        <v>324</v>
      </c>
      <c r="E19" s="1720"/>
      <c r="F19" s="1721">
        <v>1578187.0593818387</v>
      </c>
      <c r="G19" s="1713"/>
      <c r="H19" s="1713"/>
      <c r="I19" s="1713"/>
      <c r="J19" s="1717"/>
      <c r="K19" s="1713"/>
      <c r="L19" s="1713"/>
      <c r="M19" s="1713"/>
      <c r="P19" s="1713"/>
      <c r="Q19" s="1713"/>
      <c r="R19" s="1713"/>
      <c r="S19" s="1713"/>
      <c r="T19" s="1713"/>
      <c r="U19" s="1713"/>
      <c r="V19" s="1713"/>
      <c r="W19" s="1672"/>
      <c r="AD19" s="1718"/>
    </row>
    <row r="20" spans="2:30" s="1711" customFormat="1" ht="16.5" customHeight="1">
      <c r="B20" s="1712"/>
      <c r="C20" s="1713"/>
      <c r="D20" s="1722" t="s">
        <v>90</v>
      </c>
      <c r="F20" s="1723">
        <v>434.062</v>
      </c>
      <c r="G20" s="1722" t="s">
        <v>91</v>
      </c>
      <c r="H20" s="1713"/>
      <c r="I20" s="1713"/>
      <c r="J20" s="1724"/>
      <c r="K20" s="1720" t="s">
        <v>92</v>
      </c>
      <c r="L20" s="1725">
        <v>0.04</v>
      </c>
      <c r="R20" s="1713"/>
      <c r="S20" s="1713"/>
      <c r="T20" s="1713"/>
      <c r="U20" s="1713"/>
      <c r="V20" s="1713"/>
      <c r="W20" s="1672"/>
      <c r="AD20" s="1718"/>
    </row>
    <row r="21" spans="2:30" s="1711" customFormat="1" ht="16.5" customHeight="1">
      <c r="B21" s="1712"/>
      <c r="C21" s="1713"/>
      <c r="D21" s="1722" t="s">
        <v>325</v>
      </c>
      <c r="G21" s="1722" t="s">
        <v>91</v>
      </c>
      <c r="H21" s="1713"/>
      <c r="I21" s="1713"/>
      <c r="J21" s="1713"/>
      <c r="K21" s="1714" t="s">
        <v>95</v>
      </c>
      <c r="L21" s="1713">
        <f>MID(B13,16,2)*24</f>
        <v>744</v>
      </c>
      <c r="M21" s="1713" t="s">
        <v>96</v>
      </c>
      <c r="R21" s="1713"/>
      <c r="S21" s="1713"/>
      <c r="T21" s="1713"/>
      <c r="U21" s="1713"/>
      <c r="V21" s="1713"/>
      <c r="W21" s="1672"/>
      <c r="AD21" s="1718"/>
    </row>
    <row r="22" spans="2:30" s="1711" customFormat="1" ht="16.5" customHeight="1">
      <c r="B22" s="1712"/>
      <c r="C22" s="1713"/>
      <c r="D22" s="1722" t="s">
        <v>93</v>
      </c>
      <c r="F22" s="1723">
        <v>1.193</v>
      </c>
      <c r="G22" s="1722" t="s">
        <v>94</v>
      </c>
      <c r="H22" s="1713"/>
      <c r="I22" s="1713"/>
      <c r="N22" s="1713"/>
      <c r="O22" s="1713"/>
      <c r="P22" s="1726"/>
      <c r="Q22" s="1713"/>
      <c r="R22" s="1713"/>
      <c r="S22" s="1713"/>
      <c r="T22" s="1713"/>
      <c r="U22" s="1713"/>
      <c r="V22" s="1713"/>
      <c r="W22" s="1672"/>
      <c r="AD22" s="1718"/>
    </row>
    <row r="23" spans="2:30" s="1711" customFormat="1" ht="16.5" customHeight="1">
      <c r="B23" s="1712"/>
      <c r="C23" s="1713"/>
      <c r="D23" s="1722" t="s">
        <v>326</v>
      </c>
      <c r="F23" s="1723">
        <v>189.391</v>
      </c>
      <c r="G23" s="1722" t="s">
        <v>327</v>
      </c>
      <c r="H23" s="1713"/>
      <c r="I23" s="1713"/>
      <c r="J23" s="1713"/>
      <c r="K23" s="1727"/>
      <c r="L23" s="1728"/>
      <c r="M23" s="1713"/>
      <c r="N23" s="1713"/>
      <c r="O23" s="1713"/>
      <c r="P23" s="1726"/>
      <c r="Q23" s="1713"/>
      <c r="R23" s="1713"/>
      <c r="S23" s="1713"/>
      <c r="T23" s="1713"/>
      <c r="U23" s="1713"/>
      <c r="V23" s="1713"/>
      <c r="W23" s="1672"/>
      <c r="AD23" s="1718"/>
    </row>
    <row r="24" spans="2:30" s="1711" customFormat="1" ht="9" customHeight="1">
      <c r="B24" s="1712"/>
      <c r="C24" s="1713"/>
      <c r="H24" s="1713"/>
      <c r="I24" s="1713"/>
      <c r="J24" s="1713"/>
      <c r="K24" s="1727"/>
      <c r="L24" s="1728"/>
      <c r="M24" s="1713"/>
      <c r="N24" s="1713"/>
      <c r="O24" s="1713"/>
      <c r="P24" s="1726"/>
      <c r="Q24" s="1713"/>
      <c r="R24" s="1713"/>
      <c r="S24" s="1713"/>
      <c r="T24" s="1713"/>
      <c r="U24" s="1713"/>
      <c r="V24" s="1713"/>
      <c r="W24" s="1672"/>
      <c r="AD24" s="1718"/>
    </row>
    <row r="25" spans="2:30" s="1711" customFormat="1" ht="8.25" customHeight="1">
      <c r="B25" s="1712"/>
      <c r="C25" s="1713"/>
      <c r="D25" s="1713"/>
      <c r="E25" s="1729"/>
      <c r="F25" s="1713"/>
      <c r="G25" s="1713"/>
      <c r="H25" s="1713"/>
      <c r="I25" s="1713"/>
      <c r="J25" s="1713"/>
      <c r="K25" s="1713"/>
      <c r="L25" s="1713"/>
      <c r="M25" s="1713"/>
      <c r="N25" s="1713"/>
      <c r="O25" s="1713"/>
      <c r="P25" s="1713"/>
      <c r="Q25" s="1713"/>
      <c r="R25" s="1713"/>
      <c r="S25" s="1713"/>
      <c r="T25" s="1713"/>
      <c r="U25" s="1713"/>
      <c r="V25" s="1713"/>
      <c r="W25" s="1672"/>
      <c r="AD25" s="1718"/>
    </row>
    <row r="26" spans="1:30" ht="16.5" customHeight="1">
      <c r="A26" s="1671"/>
      <c r="B26" s="1686"/>
      <c r="C26" s="1709" t="s">
        <v>97</v>
      </c>
      <c r="D26" s="1730" t="s">
        <v>343</v>
      </c>
      <c r="I26" s="1687"/>
      <c r="J26" s="1711"/>
      <c r="O26" s="1687"/>
      <c r="P26" s="1687"/>
      <c r="Q26" s="1687"/>
      <c r="R26" s="1687"/>
      <c r="S26" s="1687"/>
      <c r="T26" s="1687"/>
      <c r="V26" s="1687"/>
      <c r="X26" s="1687"/>
      <c r="Y26" s="1687"/>
      <c r="Z26" s="1687"/>
      <c r="AA26" s="1687"/>
      <c r="AB26" s="1687"/>
      <c r="AC26" s="1687"/>
      <c r="AD26" s="1690"/>
    </row>
    <row r="27" spans="1:30" ht="10.5" customHeight="1" thickBot="1">
      <c r="A27" s="1671"/>
      <c r="B27" s="1686"/>
      <c r="C27" s="1705"/>
      <c r="D27" s="1730"/>
      <c r="I27" s="1687"/>
      <c r="J27" s="1711"/>
      <c r="O27" s="1687"/>
      <c r="P27" s="1687"/>
      <c r="Q27" s="1687"/>
      <c r="R27" s="1687"/>
      <c r="S27" s="1687"/>
      <c r="T27" s="1687"/>
      <c r="V27" s="1687"/>
      <c r="X27" s="1687"/>
      <c r="Y27" s="1687"/>
      <c r="Z27" s="1687"/>
      <c r="AA27" s="1687"/>
      <c r="AB27" s="1687"/>
      <c r="AC27" s="1687"/>
      <c r="AD27" s="1690"/>
    </row>
    <row r="28" spans="2:30" s="1711" customFormat="1" ht="16.5" customHeight="1" thickBot="1" thickTop="1">
      <c r="B28" s="1712"/>
      <c r="C28" s="1716"/>
      <c r="D28" s="1672"/>
      <c r="E28" s="1672"/>
      <c r="F28" s="1672"/>
      <c r="G28" s="1672"/>
      <c r="H28" s="1672"/>
      <c r="I28" s="1672"/>
      <c r="J28" s="1731" t="s">
        <v>98</v>
      </c>
      <c r="K28" s="1732">
        <f>L20*F19</f>
        <v>63127.48237527355</v>
      </c>
      <c r="L28" s="1672"/>
      <c r="S28" s="1672"/>
      <c r="T28" s="1672"/>
      <c r="U28" s="1672"/>
      <c r="W28" s="1672"/>
      <c r="AD28" s="1718"/>
    </row>
    <row r="29" spans="2:30" s="1711" customFormat="1" ht="11.25" customHeight="1" thickTop="1">
      <c r="B29" s="1712"/>
      <c r="C29" s="1716"/>
      <c r="D29" s="1713"/>
      <c r="E29" s="1729"/>
      <c r="F29" s="1713"/>
      <c r="G29" s="1713"/>
      <c r="H29" s="1713"/>
      <c r="I29" s="1713"/>
      <c r="J29" s="1713"/>
      <c r="K29" s="1713"/>
      <c r="L29" s="1713"/>
      <c r="M29" s="1713"/>
      <c r="N29" s="1713"/>
      <c r="O29" s="1713"/>
      <c r="P29" s="1713"/>
      <c r="Q29" s="1713"/>
      <c r="R29" s="1713"/>
      <c r="S29" s="1713"/>
      <c r="T29" s="1713"/>
      <c r="U29" s="1672"/>
      <c r="W29" s="1672"/>
      <c r="AD29" s="1718"/>
    </row>
    <row r="30" spans="1:30" ht="16.5" customHeight="1">
      <c r="A30" s="1671"/>
      <c r="B30" s="1686"/>
      <c r="C30" s="1709" t="s">
        <v>99</v>
      </c>
      <c r="D30" s="1730" t="s">
        <v>174</v>
      </c>
      <c r="E30" s="1733"/>
      <c r="F30" s="1687"/>
      <c r="G30" s="1687"/>
      <c r="H30" s="1687"/>
      <c r="I30" s="1687"/>
      <c r="J30" s="1687"/>
      <c r="K30" s="1687"/>
      <c r="L30" s="1687"/>
      <c r="M30" s="1687"/>
      <c r="N30" s="1687"/>
      <c r="O30" s="1687"/>
      <c r="P30" s="1687"/>
      <c r="Q30" s="1687"/>
      <c r="R30" s="1687"/>
      <c r="S30" s="1687"/>
      <c r="T30" s="1687"/>
      <c r="U30" s="1687"/>
      <c r="V30" s="1687"/>
      <c r="AD30" s="1690"/>
    </row>
    <row r="31" spans="1:30" ht="21.75" customHeight="1" thickBot="1">
      <c r="A31" s="1671"/>
      <c r="B31" s="1686"/>
      <c r="C31" s="1687"/>
      <c r="D31" s="1687"/>
      <c r="E31" s="1733"/>
      <c r="F31" s="1687"/>
      <c r="G31" s="1687"/>
      <c r="H31" s="1687"/>
      <c r="I31" s="1687"/>
      <c r="J31" s="1687"/>
      <c r="K31" s="1687"/>
      <c r="L31" s="1687"/>
      <c r="M31" s="1687"/>
      <c r="N31" s="1687"/>
      <c r="O31" s="1687"/>
      <c r="P31" s="1687"/>
      <c r="Q31" s="1687"/>
      <c r="R31" s="1687"/>
      <c r="S31" s="1687"/>
      <c r="T31" s="1687"/>
      <c r="U31" s="1687"/>
      <c r="V31" s="1687"/>
      <c r="AD31" s="1690"/>
    </row>
    <row r="32" spans="2:31" s="1671" customFormat="1" ht="33.75" customHeight="1" thickBot="1" thickTop="1">
      <c r="B32" s="1686"/>
      <c r="C32" s="1734" t="s">
        <v>29</v>
      </c>
      <c r="D32" s="276" t="s">
        <v>5</v>
      </c>
      <c r="E32" s="1735" t="s">
        <v>32</v>
      </c>
      <c r="F32" s="1736" t="s">
        <v>33</v>
      </c>
      <c r="G32" s="1737" t="s">
        <v>34</v>
      </c>
      <c r="H32" s="1738" t="s">
        <v>35</v>
      </c>
      <c r="I32" s="1739" t="s">
        <v>36</v>
      </c>
      <c r="J32" s="1740" t="s">
        <v>37</v>
      </c>
      <c r="K32" s="1741" t="s">
        <v>38</v>
      </c>
      <c r="L32" s="1742" t="s">
        <v>39</v>
      </c>
      <c r="M32" s="1743" t="s">
        <v>40</v>
      </c>
      <c r="N32" s="1742" t="s">
        <v>100</v>
      </c>
      <c r="O32" s="1742" t="s">
        <v>41</v>
      </c>
      <c r="P32" s="1741" t="s">
        <v>42</v>
      </c>
      <c r="Q32" s="1740" t="s">
        <v>43</v>
      </c>
      <c r="R32" s="1744" t="s">
        <v>44</v>
      </c>
      <c r="S32" s="1745" t="s">
        <v>45</v>
      </c>
      <c r="T32" s="1746" t="s">
        <v>52</v>
      </c>
      <c r="U32" s="1747"/>
      <c r="V32" s="1748"/>
      <c r="W32" s="1749" t="s">
        <v>101</v>
      </c>
      <c r="X32" s="1750"/>
      <c r="Y32" s="1751"/>
      <c r="Z32" s="1752" t="s">
        <v>48</v>
      </c>
      <c r="AA32" s="1753" t="s">
        <v>102</v>
      </c>
      <c r="AB32" s="1754" t="s">
        <v>50</v>
      </c>
      <c r="AC32" s="1755" t="s">
        <v>51</v>
      </c>
      <c r="AD32" s="1756"/>
      <c r="AE32" s="1672"/>
    </row>
    <row r="33" spans="1:30" ht="16.5" customHeight="1" thickTop="1">
      <c r="A33" s="1671"/>
      <c r="B33" s="1686"/>
      <c r="C33" s="1757"/>
      <c r="D33" s="1758"/>
      <c r="E33" s="1759"/>
      <c r="F33" s="1760"/>
      <c r="G33" s="1761"/>
      <c r="H33" s="1762"/>
      <c r="I33" s="1763"/>
      <c r="J33" s="1764"/>
      <c r="K33" s="1765"/>
      <c r="L33" s="1757"/>
      <c r="M33" s="1757"/>
      <c r="N33" s="1766"/>
      <c r="O33" s="1766"/>
      <c r="P33" s="1757"/>
      <c r="Q33" s="1767"/>
      <c r="R33" s="1768"/>
      <c r="S33" s="1769"/>
      <c r="T33" s="1770"/>
      <c r="U33" s="1771"/>
      <c r="V33" s="1772"/>
      <c r="W33" s="1773"/>
      <c r="X33" s="1774"/>
      <c r="Y33" s="1775"/>
      <c r="Z33" s="1776"/>
      <c r="AA33" s="1777"/>
      <c r="AB33" s="1778"/>
      <c r="AC33" s="1779"/>
      <c r="AD33" s="1690"/>
    </row>
    <row r="34" spans="1:30" ht="16.5" customHeight="1">
      <c r="A34" s="1671"/>
      <c r="B34" s="1686"/>
      <c r="C34" s="1780" t="s">
        <v>103</v>
      </c>
      <c r="D34" s="1781" t="s">
        <v>195</v>
      </c>
      <c r="E34" s="1782">
        <v>500</v>
      </c>
      <c r="F34" s="1782">
        <v>280.70001220703125</v>
      </c>
      <c r="G34" s="1782" t="s">
        <v>184</v>
      </c>
      <c r="H34" s="1783">
        <v>20</v>
      </c>
      <c r="I34" s="1784">
        <f>IF(E34=500,IF(F34&lt;100,100*$F$20/100,F34*$F$20/100),IF(F34&lt;100,100*$F$21/100,F34*$F$21/100))</f>
        <v>1218.412086986084</v>
      </c>
      <c r="J34" s="1785">
        <v>42017.93125</v>
      </c>
      <c r="K34" s="1786">
        <v>42017.955555555556</v>
      </c>
      <c r="L34" s="1787">
        <f>IF(D34="","",(K34-J34)*24)</f>
        <v>0.5833333333139308</v>
      </c>
      <c r="M34" s="1788">
        <f>IF(D34="","",(K34-J34)*24*60)</f>
        <v>34.99999999883585</v>
      </c>
      <c r="N34" s="1789" t="s">
        <v>185</v>
      </c>
      <c r="O34" s="1790" t="str">
        <f>IF(D34="","","--")</f>
        <v>--</v>
      </c>
      <c r="P34" s="1791" t="str">
        <f>IF(D34="","","NO")</f>
        <v>NO</v>
      </c>
      <c r="Q34" s="1791" t="str">
        <f>IF(D34="","",IF(OR(N34="P",N34="RP"),"--","NO"))</f>
        <v>NO</v>
      </c>
      <c r="R34" s="1792" t="str">
        <f>IF(N34="P",I34*H34*ROUND(M34/60,2)*0.01,"--")</f>
        <v>--</v>
      </c>
      <c r="S34" s="1793" t="str">
        <f>IF(N34="RP",I34*H34*ROUND(M34/60,2)*0.01*O34/100,"--")</f>
        <v>--</v>
      </c>
      <c r="T34" s="1794">
        <f>IF(AND(N34="F",Q34="NO"),I34*H34*IF(P34="SI",1.2,1),"--")</f>
        <v>24368.241739721678</v>
      </c>
      <c r="U34" s="1795">
        <f>IF(AND(N34="F",M34&gt;=10),I34*H34*IF(P34="SI",1.2,1)*IF(M34&lt;=300,ROUND(M34/60,2),5),"--")</f>
        <v>14133.580209038571</v>
      </c>
      <c r="V34" s="1796" t="str">
        <f>IF(AND(N34="F",M34&gt;300),(ROUND(M34/60,2)-5)*I34*H34*0.1*IF(P34="SI",1.2,1),"--")</f>
        <v>--</v>
      </c>
      <c r="W34" s="1797" t="str">
        <f>IF(AND(N34="R",Q34="NO"),I34*H34*O34/100*IF(P34="SI",1.2,1),"--")</f>
        <v>--</v>
      </c>
      <c r="X34" s="1798" t="str">
        <f>IF(AND(N34="R",M34&gt;=10),I34*H34*O34/100*IF(P34="SI",1.2,1)*IF(M34&lt;=300,ROUND(M34/60,2),5),"--")</f>
        <v>--</v>
      </c>
      <c r="Y34" s="1799" t="str">
        <f>IF(AND(N34="R",M34&gt;300),(ROUND(M34/60,2)-5)*I34*H34*0.1*O34/100*IF(P34="SI",1.2,1),"--")</f>
        <v>--</v>
      </c>
      <c r="Z34" s="1800" t="str">
        <f>IF(N34="RF",ROUND(M34/60,2)*I34*H34*0.1*IF(P34="SI",1.2,1),"--")</f>
        <v>--</v>
      </c>
      <c r="AA34" s="1801" t="str">
        <f>IF(N34="RR",ROUND(M34/60,2)*I34*H34*0.1*O34/100*IF(P34="SI",1.2,1),"--")</f>
        <v>--</v>
      </c>
      <c r="AB34" s="1802" t="str">
        <f>IF(D34="","","SI")</f>
        <v>SI</v>
      </c>
      <c r="AC34" s="1803">
        <f>IF(D34="","",SUM(R34:AA34)*IF(AB34="SI",1,2))</f>
        <v>38501.82194876025</v>
      </c>
      <c r="AD34" s="1690"/>
    </row>
    <row r="35" spans="1:30" ht="16.5" customHeight="1">
      <c r="A35" s="1671"/>
      <c r="B35" s="1686"/>
      <c r="C35" s="1780" t="s">
        <v>104</v>
      </c>
      <c r="D35" s="1781"/>
      <c r="E35" s="1782"/>
      <c r="F35" s="1804"/>
      <c r="G35" s="1805"/>
      <c r="H35" s="1783">
        <v>20</v>
      </c>
      <c r="I35" s="1784">
        <f>IF(E35=500,IF(F35&lt;100,100*$F$20/100,F35*$F$20/100),IF(F35&lt;100,100*$F$21/100,F35*$F$21/100))</f>
        <v>0</v>
      </c>
      <c r="J35" s="1806"/>
      <c r="K35" s="1807"/>
      <c r="L35" s="1787">
        <f>IF(D35="","",(K35-J35)*24)</f>
      </c>
      <c r="M35" s="1788">
        <f>IF(D35="","",(K35-J35)*24*60)</f>
      </c>
      <c r="N35" s="1789"/>
      <c r="O35" s="1790">
        <f>IF(D35="","","--")</f>
      </c>
      <c r="P35" s="1791">
        <f>IF(D35="","","NO")</f>
      </c>
      <c r="Q35" s="1791">
        <f>IF(D35="","",IF(OR(N35="P",N35="RP"),"--","NO"))</f>
      </c>
      <c r="R35" s="1792" t="str">
        <f>IF(N35="P",I35*H35*ROUND(M35/60,2)*0.01,"--")</f>
        <v>--</v>
      </c>
      <c r="S35" s="1793" t="str">
        <f>IF(N35="RP",I35*H35*ROUND(M35/60,2)*0.01*O35/100,"--")</f>
        <v>--</v>
      </c>
      <c r="T35" s="1794" t="str">
        <f>IF(AND(N35="F",Q35="NO"),I35*H35*IF(P35="SI",1.2,1),"--")</f>
        <v>--</v>
      </c>
      <c r="U35" s="1795" t="str">
        <f>IF(AND(N35="F",M35&gt;=10),I35*H35*IF(P35="SI",1.2,1)*IF(M35&lt;=300,ROUND(M35/60,2),5),"--")</f>
        <v>--</v>
      </c>
      <c r="V35" s="1796" t="str">
        <f>IF(AND(N35="F",M35&gt;300),(ROUND(M35/60,2)-5)*I35*H35*0.1*IF(P35="SI",1.2,1),"--")</f>
        <v>--</v>
      </c>
      <c r="W35" s="1797" t="str">
        <f>IF(AND(N35="R",Q35="NO"),I35*H35*O35/100*IF(P35="SI",1.2,1),"--")</f>
        <v>--</v>
      </c>
      <c r="X35" s="1798" t="str">
        <f>IF(AND(N35="R",M35&gt;=10),I35*H35*O35/100*IF(P35="SI",1.2,1)*IF(M35&lt;=300,ROUND(M35/60,2),5),"--")</f>
        <v>--</v>
      </c>
      <c r="Y35" s="1799" t="str">
        <f>IF(AND(N35="R",M35&gt;300),(ROUND(M35/60,2)-5)*I35*H35*0.1*O35/100*IF(P35="SI",1.2,1),"--")</f>
        <v>--</v>
      </c>
      <c r="Z35" s="1800" t="str">
        <f>IF(N35="RF",ROUND(M35/60,2)*I35*H35*0.1*IF(P35="SI",1.2,1),"--")</f>
        <v>--</v>
      </c>
      <c r="AA35" s="1801" t="str">
        <f>IF(N35="RR",ROUND(M35/60,2)*I35*H35*0.1*O35/100*IF(P35="SI",1.2,1),"--")</f>
        <v>--</v>
      </c>
      <c r="AB35" s="1802">
        <f>IF(D35="","","SI")</f>
      </c>
      <c r="AC35" s="1803">
        <f>IF(D35="","",SUM(R35:AA35)*IF(AB35="SI",1,2))</f>
      </c>
      <c r="AD35" s="1690"/>
    </row>
    <row r="36" spans="1:30" ht="16.5" customHeight="1" thickBot="1">
      <c r="A36" s="1711"/>
      <c r="B36" s="1686"/>
      <c r="C36" s="1808"/>
      <c r="D36" s="1809"/>
      <c r="E36" s="1810"/>
      <c r="F36" s="1811"/>
      <c r="G36" s="1812"/>
      <c r="H36" s="1813"/>
      <c r="I36" s="1814"/>
      <c r="J36" s="1815"/>
      <c r="K36" s="1815"/>
      <c r="L36" s="1816"/>
      <c r="M36" s="1816"/>
      <c r="N36" s="1816"/>
      <c r="O36" s="1817"/>
      <c r="P36" s="1816"/>
      <c r="Q36" s="1816"/>
      <c r="R36" s="1818"/>
      <c r="S36" s="1819"/>
      <c r="T36" s="1820"/>
      <c r="U36" s="1821"/>
      <c r="V36" s="1822"/>
      <c r="W36" s="1823"/>
      <c r="X36" s="1824"/>
      <c r="Y36" s="1825"/>
      <c r="Z36" s="1826"/>
      <c r="AA36" s="1827"/>
      <c r="AB36" s="1828"/>
      <c r="AC36" s="1829"/>
      <c r="AD36" s="1830"/>
    </row>
    <row r="37" spans="1:30" ht="16.5" customHeight="1" thickBot="1" thickTop="1">
      <c r="A37" s="1711"/>
      <c r="B37" s="1686"/>
      <c r="C37" s="1716"/>
      <c r="D37" s="1716"/>
      <c r="E37" s="1831"/>
      <c r="F37" s="1729"/>
      <c r="G37" s="1832"/>
      <c r="H37" s="1832"/>
      <c r="I37" s="1833"/>
      <c r="J37" s="1833"/>
      <c r="K37" s="1833"/>
      <c r="L37" s="1833"/>
      <c r="M37" s="1833"/>
      <c r="N37" s="1833"/>
      <c r="O37" s="1834"/>
      <c r="P37" s="1833"/>
      <c r="Q37" s="1833"/>
      <c r="R37" s="1833"/>
      <c r="S37" s="1833"/>
      <c r="T37" s="1833"/>
      <c r="U37" s="1833"/>
      <c r="V37" s="1833"/>
      <c r="W37" s="1833"/>
      <c r="X37" s="1833"/>
      <c r="Y37" s="1833"/>
      <c r="Z37" s="1833"/>
      <c r="AA37" s="1833"/>
      <c r="AB37" s="1835"/>
      <c r="AC37" s="1836">
        <f>SUM(AC33:AC36)</f>
        <v>38501.82194876025</v>
      </c>
      <c r="AD37" s="1830"/>
    </row>
    <row r="38" spans="1:30" ht="13.5" customHeight="1" thickBot="1" thickTop="1">
      <c r="A38" s="1711"/>
      <c r="B38" s="1686"/>
      <c r="C38" s="1716"/>
      <c r="D38" s="1716"/>
      <c r="E38" s="1831"/>
      <c r="F38" s="1729"/>
      <c r="G38" s="1832"/>
      <c r="H38" s="1832"/>
      <c r="I38" s="1833"/>
      <c r="J38" s="1833"/>
      <c r="K38" s="1833"/>
      <c r="L38" s="1833"/>
      <c r="M38" s="1833"/>
      <c r="N38" s="1833"/>
      <c r="O38" s="1834"/>
      <c r="P38" s="1833"/>
      <c r="Q38" s="1833"/>
      <c r="R38" s="1833"/>
      <c r="S38" s="1833"/>
      <c r="T38" s="1833"/>
      <c r="U38" s="1833"/>
      <c r="V38" s="1833"/>
      <c r="W38" s="1833"/>
      <c r="X38" s="1833"/>
      <c r="Y38" s="1833"/>
      <c r="Z38" s="1833"/>
      <c r="AA38" s="1833"/>
      <c r="AB38" s="1837"/>
      <c r="AC38" s="1838"/>
      <c r="AD38" s="1830"/>
    </row>
    <row r="39" spans="1:33" s="1671" customFormat="1" ht="33.75" customHeight="1" thickBot="1" thickTop="1">
      <c r="A39" s="1670"/>
      <c r="B39" s="1839"/>
      <c r="C39" s="1840" t="s">
        <v>29</v>
      </c>
      <c r="D39" s="1841" t="s">
        <v>58</v>
      </c>
      <c r="E39" s="1842" t="s">
        <v>59</v>
      </c>
      <c r="F39" s="1843" t="s">
        <v>78</v>
      </c>
      <c r="G39" s="1755" t="s">
        <v>32</v>
      </c>
      <c r="H39" s="1844" t="s">
        <v>36</v>
      </c>
      <c r="I39" s="1845"/>
      <c r="J39" s="1842" t="s">
        <v>37</v>
      </c>
      <c r="K39" s="1842" t="s">
        <v>38</v>
      </c>
      <c r="L39" s="1841" t="s">
        <v>61</v>
      </c>
      <c r="M39" s="1841" t="s">
        <v>40</v>
      </c>
      <c r="N39" s="1742" t="s">
        <v>114</v>
      </c>
      <c r="O39" s="1842" t="s">
        <v>43</v>
      </c>
      <c r="P39" s="1846" t="s">
        <v>62</v>
      </c>
      <c r="Q39" s="1847"/>
      <c r="R39" s="1844" t="s">
        <v>116</v>
      </c>
      <c r="S39" s="1848" t="s">
        <v>44</v>
      </c>
      <c r="T39" s="1849" t="s">
        <v>117</v>
      </c>
      <c r="U39" s="1850"/>
      <c r="V39" s="1851" t="s">
        <v>48</v>
      </c>
      <c r="W39" s="1852"/>
      <c r="X39" s="1853"/>
      <c r="Y39" s="1853"/>
      <c r="Z39" s="1853"/>
      <c r="AA39" s="1854"/>
      <c r="AB39" s="1855" t="s">
        <v>50</v>
      </c>
      <c r="AC39" s="1755" t="s">
        <v>51</v>
      </c>
      <c r="AD39" s="1690"/>
      <c r="AF39" s="1672"/>
      <c r="AG39" s="1672"/>
    </row>
    <row r="40" spans="1:30" ht="16.5" customHeight="1" thickTop="1">
      <c r="A40" s="1671"/>
      <c r="B40" s="1686"/>
      <c r="C40" s="1757"/>
      <c r="D40" s="1856"/>
      <c r="E40" s="1856"/>
      <c r="F40" s="1856"/>
      <c r="G40" s="1857"/>
      <c r="H40" s="1858"/>
      <c r="I40" s="1859"/>
      <c r="J40" s="1856"/>
      <c r="K40" s="1856"/>
      <c r="L40" s="1856"/>
      <c r="M40" s="1856"/>
      <c r="N40" s="1856"/>
      <c r="O40" s="1860"/>
      <c r="P40" s="2139"/>
      <c r="Q40" s="2140"/>
      <c r="R40" s="1861"/>
      <c r="S40" s="1862"/>
      <c r="T40" s="1863"/>
      <c r="U40" s="1864"/>
      <c r="V40" s="1865"/>
      <c r="W40" s="1866"/>
      <c r="X40" s="1867"/>
      <c r="Y40" s="1867"/>
      <c r="Z40" s="1867"/>
      <c r="AA40" s="1868"/>
      <c r="AB40" s="1860"/>
      <c r="AC40" s="1869"/>
      <c r="AD40" s="1690"/>
    </row>
    <row r="41" spans="1:30" ht="16.5" customHeight="1">
      <c r="A41" s="1671"/>
      <c r="B41" s="1686"/>
      <c r="C41" s="1780" t="s">
        <v>103</v>
      </c>
      <c r="D41" s="1870"/>
      <c r="E41" s="1870"/>
      <c r="F41" s="1870"/>
      <c r="G41" s="1871"/>
      <c r="H41" s="1872">
        <f>F41*$F$22</f>
        <v>0</v>
      </c>
      <c r="I41" s="1873"/>
      <c r="J41" s="1874"/>
      <c r="K41" s="1874"/>
      <c r="L41" s="1875">
        <f>IF(D41="","",(K41-J41)*24)</f>
      </c>
      <c r="M41" s="1876">
        <f>IF(D41="","",(K41-J41)*24*60)</f>
      </c>
      <c r="N41" s="1877"/>
      <c r="O41" s="1878">
        <f>IF(D41="","",IF(OR(N41="P",N41="RP"),"--","NO"))</f>
      </c>
      <c r="P41" s="2135">
        <f>IF(D41="","","NO")</f>
      </c>
      <c r="Q41" s="2136"/>
      <c r="R41" s="1880">
        <f>200*IF(P41="SI",1,0.1)*IF(N41="P",0.1,1)</f>
        <v>20</v>
      </c>
      <c r="S41" s="1881" t="str">
        <f>IF(N41="P",H41*R41*ROUND(M41/60,2),"--")</f>
        <v>--</v>
      </c>
      <c r="T41" s="1882" t="str">
        <f>IF(AND(N41="F",O41="NO"),H41*R41,"--")</f>
        <v>--</v>
      </c>
      <c r="U41" s="1883" t="str">
        <f>IF(N41="F",H41*R41*ROUND(M41/60,2),"--")</f>
        <v>--</v>
      </c>
      <c r="V41" s="1884" t="str">
        <f>IF(N41="RF",H41*R41*ROUND(M41/60,2),"--")</f>
        <v>--</v>
      </c>
      <c r="W41" s="1885"/>
      <c r="X41" s="1886"/>
      <c r="Y41" s="1886"/>
      <c r="Z41" s="1886"/>
      <c r="AA41" s="1887"/>
      <c r="AB41" s="1888">
        <f>IF(D41="","","SI")</f>
      </c>
      <c r="AC41" s="1889">
        <f>IF(D41="","",SUM(S41:V41)*IF(AB41="SI",1,2))</f>
      </c>
      <c r="AD41" s="1690"/>
    </row>
    <row r="42" spans="1:30" ht="16.5" customHeight="1">
      <c r="A42" s="1671"/>
      <c r="B42" s="1686"/>
      <c r="C42" s="1780" t="s">
        <v>104</v>
      </c>
      <c r="D42" s="1870"/>
      <c r="E42" s="1870"/>
      <c r="F42" s="1870"/>
      <c r="G42" s="1871"/>
      <c r="H42" s="1872">
        <f>F42*$F$22</f>
        <v>0</v>
      </c>
      <c r="I42" s="1873"/>
      <c r="J42" s="1874"/>
      <c r="K42" s="1807"/>
      <c r="L42" s="1875">
        <f>IF(D42="","",(K42-J42)*24)</f>
      </c>
      <c r="M42" s="1876">
        <f>IF(D42="","",(K42-J42)*24*60)</f>
      </c>
      <c r="N42" s="1877"/>
      <c r="O42" s="1878">
        <f>IF(D42="","",IF(OR(N42="P",N42="RP"),"--","NO"))</f>
      </c>
      <c r="P42" s="2135">
        <f>IF(D42="","","NO")</f>
      </c>
      <c r="Q42" s="2136"/>
      <c r="R42" s="1880">
        <f>200*IF(P42="SI",1,0.1)*IF(N42="P",0.1,1)</f>
        <v>20</v>
      </c>
      <c r="S42" s="1881" t="str">
        <f>IF(N42="P",H42*R42*ROUND(M42/60,2),"--")</f>
        <v>--</v>
      </c>
      <c r="T42" s="1882" t="str">
        <f>IF(AND(N42="F",O42="NO"),H42*R42,"--")</f>
        <v>--</v>
      </c>
      <c r="U42" s="1883" t="str">
        <f>IF(N42="F",H42*R42*ROUND(M42/60,2),"--")</f>
        <v>--</v>
      </c>
      <c r="V42" s="1884" t="str">
        <f>IF(N42="RF",H42*R42*ROUND(M42/60,2),"--")</f>
        <v>--</v>
      </c>
      <c r="W42" s="1885"/>
      <c r="X42" s="1886"/>
      <c r="Y42" s="1886"/>
      <c r="Z42" s="1886"/>
      <c r="AA42" s="1887"/>
      <c r="AB42" s="1888">
        <f>IF(D42="","","SI")</f>
      </c>
      <c r="AC42" s="1889">
        <f>IF(D42="","",SUM(S42:V42)*IF(AB42="SI",1,2))</f>
      </c>
      <c r="AD42" s="1690"/>
    </row>
    <row r="43" spans="1:30" ht="16.5" customHeight="1" thickBot="1">
      <c r="A43" s="1711"/>
      <c r="B43" s="1686"/>
      <c r="C43" s="1808"/>
      <c r="D43" s="1890"/>
      <c r="E43" s="1891"/>
      <c r="F43" s="1892"/>
      <c r="G43" s="1893"/>
      <c r="H43" s="1894"/>
      <c r="I43" s="1895"/>
      <c r="J43" s="1896"/>
      <c r="K43" s="1897"/>
      <c r="L43" s="1898"/>
      <c r="M43" s="1899"/>
      <c r="N43" s="1900"/>
      <c r="O43" s="1816"/>
      <c r="P43" s="2141"/>
      <c r="Q43" s="2142"/>
      <c r="R43" s="1901"/>
      <c r="S43" s="1902"/>
      <c r="T43" s="1903"/>
      <c r="U43" s="1904"/>
      <c r="V43" s="1905"/>
      <c r="W43" s="1906"/>
      <c r="X43" s="1907"/>
      <c r="Y43" s="1907"/>
      <c r="Z43" s="1907"/>
      <c r="AA43" s="1908"/>
      <c r="AB43" s="1909"/>
      <c r="AC43" s="1910"/>
      <c r="AD43" s="1830"/>
    </row>
    <row r="44" spans="1:30" ht="16.5" customHeight="1" thickBot="1" thickTop="1">
      <c r="A44" s="1711"/>
      <c r="B44" s="1686"/>
      <c r="C44" s="1911"/>
      <c r="D44" s="1733"/>
      <c r="E44" s="1733"/>
      <c r="F44" s="1912"/>
      <c r="G44" s="1913"/>
      <c r="H44" s="1913"/>
      <c r="I44" s="1913"/>
      <c r="J44" s="1914"/>
      <c r="K44" s="1915"/>
      <c r="L44" s="1916"/>
      <c r="M44" s="1917"/>
      <c r="N44" s="1918"/>
      <c r="O44" s="1919"/>
      <c r="P44" s="1920"/>
      <c r="Q44" s="1920"/>
      <c r="R44" s="1920"/>
      <c r="S44" s="1920"/>
      <c r="T44" s="1920"/>
      <c r="U44" s="1920"/>
      <c r="V44" s="1920"/>
      <c r="W44" s="1920"/>
      <c r="X44" s="1920"/>
      <c r="Y44" s="1920"/>
      <c r="Z44" s="1920"/>
      <c r="AA44" s="1920"/>
      <c r="AB44" s="1921"/>
      <c r="AC44" s="1922">
        <f>SUM(AC40:AC43)</f>
        <v>0</v>
      </c>
      <c r="AD44" s="1830"/>
    </row>
    <row r="45" spans="1:30" ht="16.5" customHeight="1" thickBot="1" thickTop="1">
      <c r="A45" s="1711"/>
      <c r="B45" s="1686"/>
      <c r="C45" s="1911"/>
      <c r="D45" s="1733"/>
      <c r="E45" s="1911"/>
      <c r="F45" s="1733"/>
      <c r="G45" s="1911"/>
      <c r="H45" s="1733"/>
      <c r="I45" s="1911"/>
      <c r="J45" s="1733"/>
      <c r="K45" s="1911"/>
      <c r="L45" s="1733"/>
      <c r="M45" s="1911"/>
      <c r="N45" s="1733"/>
      <c r="O45" s="1911"/>
      <c r="P45" s="1733"/>
      <c r="Q45" s="1911"/>
      <c r="R45" s="1733"/>
      <c r="S45" s="1911"/>
      <c r="T45" s="1733"/>
      <c r="U45" s="1911"/>
      <c r="V45" s="1733"/>
      <c r="W45" s="1911"/>
      <c r="X45" s="1733"/>
      <c r="Y45" s="1911"/>
      <c r="Z45" s="1733"/>
      <c r="AA45" s="1911"/>
      <c r="AB45" s="1733"/>
      <c r="AC45" s="1911"/>
      <c r="AD45" s="1830"/>
    </row>
    <row r="46" spans="1:33" s="1671" customFormat="1" ht="33.75" customHeight="1" thickBot="1" thickTop="1">
      <c r="A46" s="1670"/>
      <c r="B46" s="1839"/>
      <c r="C46" s="1840" t="s">
        <v>29</v>
      </c>
      <c r="D46" s="1841" t="s">
        <v>58</v>
      </c>
      <c r="E46" s="1842" t="s">
        <v>59</v>
      </c>
      <c r="F46" s="2150" t="s">
        <v>32</v>
      </c>
      <c r="G46" s="2151"/>
      <c r="H46" s="1844" t="s">
        <v>36</v>
      </c>
      <c r="I46" s="1845"/>
      <c r="J46" s="1842" t="s">
        <v>37</v>
      </c>
      <c r="K46" s="1842" t="s">
        <v>38</v>
      </c>
      <c r="L46" s="1841" t="s">
        <v>61</v>
      </c>
      <c r="M46" s="1841" t="s">
        <v>40</v>
      </c>
      <c r="N46" s="1742" t="s">
        <v>114</v>
      </c>
      <c r="O46" s="2143" t="s">
        <v>43</v>
      </c>
      <c r="P46" s="2144"/>
      <c r="Q46" s="2145"/>
      <c r="R46" s="1739" t="s">
        <v>35</v>
      </c>
      <c r="S46" s="1923" t="s">
        <v>71</v>
      </c>
      <c r="T46" s="1924" t="s">
        <v>72</v>
      </c>
      <c r="U46" s="1925"/>
      <c r="V46" s="1926" t="s">
        <v>48</v>
      </c>
      <c r="W46" s="1853"/>
      <c r="X46" s="1853"/>
      <c r="Y46" s="1853"/>
      <c r="Z46" s="1853"/>
      <c r="AA46" s="1854"/>
      <c r="AB46" s="1855" t="s">
        <v>50</v>
      </c>
      <c r="AC46" s="1755" t="s">
        <v>51</v>
      </c>
      <c r="AD46" s="1690"/>
      <c r="AF46" s="1672"/>
      <c r="AG46" s="1672"/>
    </row>
    <row r="47" spans="1:30" ht="16.5" customHeight="1" thickTop="1">
      <c r="A47" s="1671"/>
      <c r="B47" s="1686"/>
      <c r="C47" s="1757"/>
      <c r="D47" s="1856"/>
      <c r="E47" s="1856"/>
      <c r="F47" s="2139"/>
      <c r="G47" s="2140"/>
      <c r="H47" s="1858"/>
      <c r="I47" s="1859"/>
      <c r="J47" s="1856"/>
      <c r="K47" s="1856"/>
      <c r="L47" s="1856"/>
      <c r="M47" s="1856"/>
      <c r="N47" s="1856"/>
      <c r="O47" s="2139"/>
      <c r="P47" s="2146"/>
      <c r="Q47" s="2140"/>
      <c r="R47" s="1927"/>
      <c r="S47" s="1928"/>
      <c r="T47" s="1929"/>
      <c r="U47" s="1930"/>
      <c r="V47" s="1931"/>
      <c r="W47" s="1867"/>
      <c r="X47" s="1867"/>
      <c r="Y47" s="1867"/>
      <c r="Z47" s="1867"/>
      <c r="AA47" s="1868"/>
      <c r="AB47" s="1860"/>
      <c r="AC47" s="1869"/>
      <c r="AD47" s="1690"/>
    </row>
    <row r="48" spans="1:30" ht="15">
      <c r="A48" s="1671"/>
      <c r="B48" s="1686"/>
      <c r="C48" s="1780" t="s">
        <v>103</v>
      </c>
      <c r="D48" s="1932"/>
      <c r="E48" s="1933"/>
      <c r="F48" s="2152"/>
      <c r="G48" s="2153"/>
      <c r="H48" s="1872">
        <f>IF(F48=132,$F$23,0)</f>
        <v>0</v>
      </c>
      <c r="I48" s="1873"/>
      <c r="J48" s="1934"/>
      <c r="K48" s="1935"/>
      <c r="L48" s="1875">
        <f>IF(D48="","",(K48-J48)*24)</f>
      </c>
      <c r="M48" s="1876">
        <f>IF(D48="","",(K48-J48)*24*60)</f>
      </c>
      <c r="N48" s="1877"/>
      <c r="O48" s="2158">
        <f>IF(D48="","",IF(N48="P","--","NO"))</f>
      </c>
      <c r="P48" s="2159"/>
      <c r="Q48" s="2160"/>
      <c r="R48" s="1927">
        <f>IF(F48=132,40,0)</f>
        <v>0</v>
      </c>
      <c r="S48" s="1936" t="str">
        <f>IF(N48="P",H48*R48*ROUND(M48/60,2)*0.1,"--")</f>
        <v>--</v>
      </c>
      <c r="T48" s="1937" t="str">
        <f>IF(AND(N48="F",O48="NO"),H48*R48,"--")</f>
        <v>--</v>
      </c>
      <c r="U48" s="1938" t="str">
        <f>IF(N48="F",H48*R48*ROUND(M48/60,2),"--")</f>
        <v>--</v>
      </c>
      <c r="V48" s="1884" t="str">
        <f>IF(N48="RF",H48*R48*ROUND(M48/60,2),"--")</f>
        <v>--</v>
      </c>
      <c r="W48" s="1886"/>
      <c r="X48" s="1886"/>
      <c r="Y48" s="1886"/>
      <c r="Z48" s="1886"/>
      <c r="AA48" s="1887"/>
      <c r="AB48" s="1888">
        <f>IF(D48="","","SI")</f>
      </c>
      <c r="AC48" s="1939">
        <f>IF(D48="","",SUM(S48:V48)*IF(AB48="SI",1,2))</f>
      </c>
      <c r="AD48" s="1830"/>
    </row>
    <row r="49" spans="1:30" ht="16.5" customHeight="1">
      <c r="A49" s="1671"/>
      <c r="B49" s="1686"/>
      <c r="C49" s="1780" t="s">
        <v>104</v>
      </c>
      <c r="D49" s="1932"/>
      <c r="E49" s="1933"/>
      <c r="F49" s="2152"/>
      <c r="G49" s="2153"/>
      <c r="H49" s="1872">
        <f>IF(F49=132,$F$23,0)</f>
        <v>0</v>
      </c>
      <c r="I49" s="1873"/>
      <c r="J49" s="1874"/>
      <c r="K49" s="1874"/>
      <c r="L49" s="1875">
        <f>IF(D49="","",(K49-J49)*24)</f>
      </c>
      <c r="M49" s="1876">
        <f>IF(D49="","",(K49-J49)*24*60)</f>
      </c>
      <c r="N49" s="1877"/>
      <c r="O49" s="2158">
        <f>IF(D49="","",IF(N49="P","--","NO"))</f>
      </c>
      <c r="P49" s="2159"/>
      <c r="Q49" s="2160"/>
      <c r="R49" s="1927">
        <f>IF(F49=132,40,0)</f>
        <v>0</v>
      </c>
      <c r="S49" s="1936" t="str">
        <f>IF(N49="P",H49*R49*ROUND(M49/60,2)*0.1,"--")</f>
        <v>--</v>
      </c>
      <c r="T49" s="1937" t="str">
        <f>IF(AND(N49="F",O49="NO"),H49*R49,"--")</f>
        <v>--</v>
      </c>
      <c r="U49" s="1938" t="str">
        <f>IF(N49="F",H49*R49*ROUND(M49/60,2),"--")</f>
        <v>--</v>
      </c>
      <c r="V49" s="1884" t="str">
        <f>IF(N49="RF",H49*R49*ROUND(M49/60,2),"--")</f>
        <v>--</v>
      </c>
      <c r="W49" s="1886"/>
      <c r="X49" s="1886"/>
      <c r="Y49" s="1886"/>
      <c r="Z49" s="1886"/>
      <c r="AA49" s="1887"/>
      <c r="AB49" s="1888">
        <f>IF(D49="","","SI")</f>
      </c>
      <c r="AC49" s="1939">
        <f>IF(D49="","",SUM(S49:V49)*IF(AB49="SI",1,2))</f>
      </c>
      <c r="AD49" s="1690"/>
    </row>
    <row r="50" spans="1:30" ht="16.5" customHeight="1" thickBot="1">
      <c r="A50" s="1711"/>
      <c r="B50" s="1686"/>
      <c r="C50" s="1808"/>
      <c r="D50" s="1890"/>
      <c r="E50" s="1891"/>
      <c r="F50" s="2162"/>
      <c r="G50" s="2163"/>
      <c r="H50" s="1894"/>
      <c r="I50" s="1895"/>
      <c r="J50" s="1896"/>
      <c r="K50" s="1897"/>
      <c r="L50" s="1898"/>
      <c r="M50" s="1899"/>
      <c r="N50" s="1900"/>
      <c r="O50" s="2141"/>
      <c r="P50" s="2147"/>
      <c r="Q50" s="2142"/>
      <c r="R50" s="1927"/>
      <c r="S50" s="1936"/>
      <c r="T50" s="1937"/>
      <c r="U50" s="1938"/>
      <c r="V50" s="1884"/>
      <c r="W50" s="1907"/>
      <c r="X50" s="1907"/>
      <c r="Y50" s="1907"/>
      <c r="Z50" s="1907"/>
      <c r="AA50" s="1908"/>
      <c r="AB50" s="1909"/>
      <c r="AC50" s="1939"/>
      <c r="AD50" s="1830"/>
    </row>
    <row r="51" spans="1:30" ht="16.5" customHeight="1" thickBot="1" thickTop="1">
      <c r="A51" s="1711"/>
      <c r="B51" s="1686"/>
      <c r="C51" s="1911"/>
      <c r="D51" s="1733"/>
      <c r="E51" s="1733"/>
      <c r="F51" s="1912"/>
      <c r="G51" s="1912"/>
      <c r="H51" s="1912"/>
      <c r="I51" s="1912"/>
      <c r="J51" s="1914"/>
      <c r="K51" s="1915"/>
      <c r="L51" s="1916"/>
      <c r="M51" s="1917"/>
      <c r="N51" s="1918"/>
      <c r="O51" s="1919"/>
      <c r="P51" s="1919"/>
      <c r="Q51" s="1919"/>
      <c r="R51" s="1919"/>
      <c r="S51" s="1919"/>
      <c r="T51" s="1919"/>
      <c r="U51" s="1919"/>
      <c r="V51" s="1919"/>
      <c r="W51" s="1919"/>
      <c r="X51" s="1919"/>
      <c r="Y51" s="1919"/>
      <c r="Z51" s="1919"/>
      <c r="AA51" s="1919"/>
      <c r="AB51" s="1921"/>
      <c r="AC51" s="1922">
        <f>SUM(AC47:AC50)</f>
        <v>0</v>
      </c>
      <c r="AD51" s="1830"/>
    </row>
    <row r="52" spans="1:30" ht="16.5" customHeight="1" thickBot="1" thickTop="1">
      <c r="A52" s="1711"/>
      <c r="B52" s="1686"/>
      <c r="C52" s="1940">
        <v>3</v>
      </c>
      <c r="D52" s="1941">
        <v>4</v>
      </c>
      <c r="E52" s="1940">
        <v>5</v>
      </c>
      <c r="F52" s="1941">
        <v>6</v>
      </c>
      <c r="G52" s="1940">
        <v>7</v>
      </c>
      <c r="H52" s="1941">
        <v>8</v>
      </c>
      <c r="I52" s="1940">
        <v>9</v>
      </c>
      <c r="J52" s="1941">
        <v>10</v>
      </c>
      <c r="K52" s="1940">
        <v>11</v>
      </c>
      <c r="L52" s="1941">
        <v>12</v>
      </c>
      <c r="M52" s="1940">
        <v>13</v>
      </c>
      <c r="N52" s="1941">
        <v>14</v>
      </c>
      <c r="O52" s="1940">
        <v>15</v>
      </c>
      <c r="P52" s="1941">
        <v>16</v>
      </c>
      <c r="Q52" s="1940">
        <v>17</v>
      </c>
      <c r="R52" s="1941">
        <v>18</v>
      </c>
      <c r="S52" s="1940">
        <v>19</v>
      </c>
      <c r="T52" s="1941">
        <v>20</v>
      </c>
      <c r="U52" s="1940">
        <v>21</v>
      </c>
      <c r="V52" s="1941">
        <v>22</v>
      </c>
      <c r="W52" s="1940">
        <v>23</v>
      </c>
      <c r="X52" s="1941">
        <v>24</v>
      </c>
      <c r="Y52" s="1940">
        <v>25</v>
      </c>
      <c r="Z52" s="1941">
        <v>26</v>
      </c>
      <c r="AA52" s="1940">
        <v>27</v>
      </c>
      <c r="AB52" s="1941">
        <v>28</v>
      </c>
      <c r="AC52" s="1940">
        <v>29</v>
      </c>
      <c r="AD52" s="1830"/>
    </row>
    <row r="53" spans="1:30" ht="43.5" customHeight="1" thickBot="1" thickTop="1">
      <c r="A53" s="1711"/>
      <c r="B53" s="1712"/>
      <c r="C53" s="1840" t="s">
        <v>29</v>
      </c>
      <c r="D53" s="1841" t="s">
        <v>58</v>
      </c>
      <c r="E53" s="1740" t="s">
        <v>59</v>
      </c>
      <c r="F53" s="2154" t="s">
        <v>78</v>
      </c>
      <c r="G53" s="2155"/>
      <c r="H53" s="1844" t="s">
        <v>36</v>
      </c>
      <c r="I53" s="1942"/>
      <c r="J53" s="1740" t="s">
        <v>37</v>
      </c>
      <c r="K53" s="1740" t="s">
        <v>38</v>
      </c>
      <c r="L53" s="1743" t="s">
        <v>39</v>
      </c>
      <c r="M53" s="1743" t="s">
        <v>40</v>
      </c>
      <c r="N53" s="1742" t="s">
        <v>171</v>
      </c>
      <c r="O53" s="1742" t="s">
        <v>41</v>
      </c>
      <c r="P53" s="2166" t="s">
        <v>43</v>
      </c>
      <c r="Q53" s="2167"/>
      <c r="R53" s="1943" t="s">
        <v>35</v>
      </c>
      <c r="S53" s="1944" t="s">
        <v>71</v>
      </c>
      <c r="T53" s="1945" t="s">
        <v>79</v>
      </c>
      <c r="U53" s="1946"/>
      <c r="V53" s="1947" t="s">
        <v>80</v>
      </c>
      <c r="W53" s="1948"/>
      <c r="X53" s="1949" t="s">
        <v>48</v>
      </c>
      <c r="Y53" s="1950" t="s">
        <v>45</v>
      </c>
      <c r="Z53" s="1942"/>
      <c r="AA53" s="1942"/>
      <c r="AB53" s="1855" t="s">
        <v>50</v>
      </c>
      <c r="AC53" s="1951" t="s">
        <v>51</v>
      </c>
      <c r="AD53" s="1952"/>
    </row>
    <row r="54" spans="1:30" ht="16.5" customHeight="1" thickTop="1">
      <c r="A54" s="1711"/>
      <c r="B54" s="1712"/>
      <c r="C54" s="1953"/>
      <c r="D54" s="1954"/>
      <c r="E54" s="1954"/>
      <c r="F54" s="2156"/>
      <c r="G54" s="2157"/>
      <c r="H54" s="1955"/>
      <c r="I54" s="1942"/>
      <c r="J54" s="1956"/>
      <c r="K54" s="1956"/>
      <c r="L54" s="1957"/>
      <c r="M54" s="1957"/>
      <c r="N54" s="1954"/>
      <c r="O54" s="1958"/>
      <c r="P54" s="2156"/>
      <c r="Q54" s="2157"/>
      <c r="R54" s="1959"/>
      <c r="S54" s="1960"/>
      <c r="T54" s="1961"/>
      <c r="U54" s="1962"/>
      <c r="V54" s="1963"/>
      <c r="W54" s="1964"/>
      <c r="X54" s="1965"/>
      <c r="Y54" s="1965"/>
      <c r="Z54" s="1942"/>
      <c r="AA54" s="1942"/>
      <c r="AB54" s="1966"/>
      <c r="AC54" s="1967"/>
      <c r="AD54" s="1952"/>
    </row>
    <row r="55" spans="1:30" ht="16.5" customHeight="1">
      <c r="A55" s="1711"/>
      <c r="B55" s="1712"/>
      <c r="C55" s="1780" t="s">
        <v>103</v>
      </c>
      <c r="D55" s="1968"/>
      <c r="E55" s="1969"/>
      <c r="F55" s="2164"/>
      <c r="G55" s="2165"/>
      <c r="H55" s="1970"/>
      <c r="I55" s="1942"/>
      <c r="J55" s="1971"/>
      <c r="K55" s="1972"/>
      <c r="L55" s="1973"/>
      <c r="M55" s="1974"/>
      <c r="N55" s="1879"/>
      <c r="O55" s="1975"/>
      <c r="P55" s="2135"/>
      <c r="Q55" s="2136"/>
      <c r="R55" s="1976"/>
      <c r="S55" s="1977"/>
      <c r="T55" s="1978"/>
      <c r="U55" s="1979"/>
      <c r="V55" s="1980"/>
      <c r="W55" s="1981"/>
      <c r="X55" s="1982"/>
      <c r="Y55" s="1982"/>
      <c r="Z55" s="1942"/>
      <c r="AA55" s="1942"/>
      <c r="AB55" s="1983"/>
      <c r="AC55" s="1984"/>
      <c r="AD55" s="1952"/>
    </row>
    <row r="56" spans="2:30" s="1711" customFormat="1" ht="16.5" customHeight="1">
      <c r="B56" s="1712"/>
      <c r="C56" s="1780" t="s">
        <v>104</v>
      </c>
      <c r="D56" s="1985"/>
      <c r="E56" s="1986"/>
      <c r="F56" s="2137"/>
      <c r="G56" s="2138"/>
      <c r="H56" s="1987">
        <f>F56*$F$22</f>
        <v>0</v>
      </c>
      <c r="I56" s="1942"/>
      <c r="J56" s="1934"/>
      <c r="K56" s="1935"/>
      <c r="L56" s="1988">
        <f>IF(D56="","",(K56-J56)*24)</f>
      </c>
      <c r="M56" s="1788">
        <f>IF(D56="","",ROUND((K56-J56)*24*60,0))</f>
      </c>
      <c r="N56" s="1989"/>
      <c r="O56" s="1790">
        <f>IF(D56="","","--")</f>
      </c>
      <c r="P56" s="2135">
        <f>IF(D56="","",IF(OR(N56="P",N56="RP"),"--","NO"))</f>
      </c>
      <c r="Q56" s="2136"/>
      <c r="R56" s="1990">
        <f>IF(OR(N56="P",N56="RP"),200/10,200)</f>
        <v>200</v>
      </c>
      <c r="S56" s="1991" t="str">
        <f>IF(N56="P",H56*R56*ROUND(M56/60,2),"--")</f>
        <v>--</v>
      </c>
      <c r="T56" s="1978" t="str">
        <f>IF(AND(N56="F",P56="NO"),H56*R56,"--")</f>
        <v>--</v>
      </c>
      <c r="U56" s="1979" t="str">
        <f>IF(N56="F",H56*R56*ROUND(M56/60,2),"--")</f>
        <v>--</v>
      </c>
      <c r="V56" s="1992" t="str">
        <f>IF(AND(N56="R",P56="NO"),H56*R56*O56/100,"--")</f>
        <v>--</v>
      </c>
      <c r="W56" s="1993" t="str">
        <f>IF(N56="R",H56*R56*O56/100*ROUND(M56/60,2),"--")</f>
        <v>--</v>
      </c>
      <c r="X56" s="1982" t="str">
        <f>IF(N56="RF",H56*R56*ROUND(M56/60,2),"--")</f>
        <v>--</v>
      </c>
      <c r="Y56" s="1994" t="str">
        <f>IF(N56="RP",H56*R56*O56/100*ROUND(M56/60,2),"--")</f>
        <v>--</v>
      </c>
      <c r="Z56" s="1942"/>
      <c r="AA56" s="1942"/>
      <c r="AB56" s="1791">
        <f>IF(D56="","","SI")</f>
      </c>
      <c r="AC56" s="1939">
        <f>IF(D56="","",SUM(S56:Y56)*IF(AB56="SI",1,2)*IF(AND(O56&lt;&gt;"--",N56="RF"),O56/100,1))</f>
      </c>
      <c r="AD56" s="1952"/>
    </row>
    <row r="57" spans="1:30" ht="16.5" customHeight="1" thickBot="1">
      <c r="A57" s="1711"/>
      <c r="B57" s="1712"/>
      <c r="C57" s="1995"/>
      <c r="D57" s="1996"/>
      <c r="E57" s="1997"/>
      <c r="F57" s="2168"/>
      <c r="G57" s="2169"/>
      <c r="H57" s="1987">
        <f>F57*$F$22</f>
        <v>0</v>
      </c>
      <c r="I57" s="1942"/>
      <c r="J57" s="1998"/>
      <c r="K57" s="1999"/>
      <c r="L57" s="2000">
        <f>IF(D57="","",(K57-J57)*24)</f>
      </c>
      <c r="M57" s="2001">
        <f>IF(D57="","",ROUND((K57-J57)*24*60,0))</f>
      </c>
      <c r="N57" s="2002"/>
      <c r="O57" s="2003">
        <f>IF(D57="","","--")</f>
      </c>
      <c r="P57" s="2141"/>
      <c r="Q57" s="2142"/>
      <c r="R57" s="2004"/>
      <c r="S57" s="2005"/>
      <c r="T57" s="2006"/>
      <c r="U57" s="2007"/>
      <c r="V57" s="2008"/>
      <c r="W57" s="2009"/>
      <c r="X57" s="2010"/>
      <c r="Y57" s="2011"/>
      <c r="Z57" s="1907"/>
      <c r="AA57" s="1907"/>
      <c r="AB57" s="1816"/>
      <c r="AC57" s="2012"/>
      <c r="AD57" s="1952"/>
    </row>
    <row r="58" spans="1:30" ht="16.5" customHeight="1" thickBot="1" thickTop="1">
      <c r="A58" s="1711"/>
      <c r="B58" s="1712"/>
      <c r="C58" s="1911"/>
      <c r="D58" s="1733"/>
      <c r="E58" s="1921"/>
      <c r="F58" s="1921"/>
      <c r="G58" s="1921"/>
      <c r="H58" s="1921"/>
      <c r="I58" s="1921"/>
      <c r="J58" s="1921"/>
      <c r="K58" s="1921"/>
      <c r="L58" s="1921"/>
      <c r="M58" s="1921"/>
      <c r="N58" s="1921"/>
      <c r="O58" s="1921"/>
      <c r="P58" s="1921"/>
      <c r="Q58" s="1921"/>
      <c r="R58" s="1921"/>
      <c r="S58" s="1921"/>
      <c r="T58" s="1921"/>
      <c r="U58" s="1921"/>
      <c r="V58" s="1921"/>
      <c r="W58" s="1921"/>
      <c r="X58" s="1921"/>
      <c r="Y58" s="1921"/>
      <c r="Z58" s="1921"/>
      <c r="AA58" s="1921"/>
      <c r="AB58" s="1921"/>
      <c r="AC58" s="1922">
        <f>SUM(AC54:AC57)</f>
        <v>0</v>
      </c>
      <c r="AD58" s="1952"/>
    </row>
    <row r="59" spans="1:30" ht="16.5" customHeight="1" thickBot="1" thickTop="1">
      <c r="A59" s="1711"/>
      <c r="B59" s="1712"/>
      <c r="C59" s="1911"/>
      <c r="D59" s="1733"/>
      <c r="E59" s="1733"/>
      <c r="F59" s="1912"/>
      <c r="G59" s="1913"/>
      <c r="H59" s="1918"/>
      <c r="I59" s="1914"/>
      <c r="J59" s="1915"/>
      <c r="K59" s="1916"/>
      <c r="L59" s="1917"/>
      <c r="M59" s="1918"/>
      <c r="N59" s="2013"/>
      <c r="O59" s="1919"/>
      <c r="P59" s="2014"/>
      <c r="Q59" s="2015"/>
      <c r="R59" s="2016"/>
      <c r="S59" s="2016"/>
      <c r="T59" s="2016"/>
      <c r="U59" s="1921"/>
      <c r="V59" s="1921"/>
      <c r="W59" s="1921"/>
      <c r="X59" s="1921"/>
      <c r="Y59" s="1921"/>
      <c r="Z59" s="1921"/>
      <c r="AA59" s="1921"/>
      <c r="AB59" s="1921"/>
      <c r="AC59" s="2017"/>
      <c r="AD59" s="1952"/>
    </row>
    <row r="60" spans="1:30" ht="16.5" customHeight="1" thickBot="1" thickTop="1">
      <c r="A60" s="1711"/>
      <c r="B60" s="1712"/>
      <c r="C60" s="1911"/>
      <c r="D60" s="1733"/>
      <c r="E60" s="1733"/>
      <c r="F60" s="1912"/>
      <c r="G60" s="1913"/>
      <c r="H60" s="1918"/>
      <c r="I60" s="1914"/>
      <c r="J60" s="1731" t="s">
        <v>119</v>
      </c>
      <c r="K60" s="1732">
        <f>+AC44+AC37+AC51+AC58</f>
        <v>38501.82194876025</v>
      </c>
      <c r="L60" s="1917"/>
      <c r="M60" s="1918"/>
      <c r="N60" s="2018"/>
      <c r="O60" s="1920"/>
      <c r="P60" s="2014"/>
      <c r="Q60" s="2015"/>
      <c r="R60" s="2016"/>
      <c r="S60" s="2016"/>
      <c r="T60" s="2016"/>
      <c r="U60" s="1921"/>
      <c r="V60" s="1921"/>
      <c r="W60" s="1921"/>
      <c r="X60" s="1921"/>
      <c r="Y60" s="1921"/>
      <c r="Z60" s="1921"/>
      <c r="AA60" s="1921"/>
      <c r="AB60" s="1921"/>
      <c r="AC60" s="2019"/>
      <c r="AD60" s="1952"/>
    </row>
    <row r="61" spans="2:30" ht="16.5" customHeight="1" thickTop="1">
      <c r="B61" s="1712"/>
      <c r="C61" s="1716"/>
      <c r="D61" s="2020"/>
      <c r="E61" s="2021"/>
      <c r="F61" s="2022"/>
      <c r="G61" s="2023"/>
      <c r="H61" s="2023"/>
      <c r="I61" s="2021"/>
      <c r="J61" s="2024"/>
      <c r="K61" s="2024"/>
      <c r="L61" s="2021"/>
      <c r="M61" s="2021"/>
      <c r="N61" s="2021"/>
      <c r="O61" s="2025"/>
      <c r="P61" s="2021"/>
      <c r="Q61" s="2021"/>
      <c r="R61" s="2026"/>
      <c r="S61" s="2027"/>
      <c r="T61" s="2027"/>
      <c r="U61" s="2028"/>
      <c r="AC61" s="2028"/>
      <c r="AD61" s="1952"/>
    </row>
    <row r="62" spans="2:30" s="1711" customFormat="1" ht="16.5" customHeight="1">
      <c r="B62" s="1712"/>
      <c r="C62" s="2029" t="s">
        <v>120</v>
      </c>
      <c r="D62" s="2030" t="s">
        <v>175</v>
      </c>
      <c r="E62" s="2021"/>
      <c r="F62" s="2022"/>
      <c r="G62" s="2023"/>
      <c r="H62" s="2023"/>
      <c r="I62" s="2021"/>
      <c r="J62" s="2024"/>
      <c r="K62" s="2024"/>
      <c r="L62" s="2021"/>
      <c r="M62" s="2021"/>
      <c r="N62" s="2021"/>
      <c r="O62" s="2025"/>
      <c r="P62" s="2021"/>
      <c r="Q62" s="2021"/>
      <c r="R62" s="2026"/>
      <c r="S62" s="2027"/>
      <c r="T62" s="2027"/>
      <c r="U62" s="2028"/>
      <c r="V62" s="1672"/>
      <c r="W62" s="1672"/>
      <c r="X62" s="1672"/>
      <c r="Y62" s="1672"/>
      <c r="Z62" s="1672"/>
      <c r="AA62" s="1672"/>
      <c r="AB62" s="1672"/>
      <c r="AC62" s="2028"/>
      <c r="AD62" s="1952"/>
    </row>
    <row r="63" spans="2:30" s="1711" customFormat="1" ht="16.5" customHeight="1">
      <c r="B63" s="1712"/>
      <c r="C63" s="2029"/>
      <c r="D63" s="2020"/>
      <c r="E63" s="2021"/>
      <c r="F63" s="2022"/>
      <c r="G63" s="2023"/>
      <c r="H63" s="2023"/>
      <c r="I63" s="2021"/>
      <c r="J63" s="2024"/>
      <c r="K63" s="2024"/>
      <c r="L63" s="2021"/>
      <c r="M63" s="2021"/>
      <c r="N63" s="2021"/>
      <c r="O63" s="2025"/>
      <c r="P63" s="2021"/>
      <c r="Q63" s="2021"/>
      <c r="R63" s="2021"/>
      <c r="S63" s="2026"/>
      <c r="T63" s="2027"/>
      <c r="U63" s="1672"/>
      <c r="V63" s="1672"/>
      <c r="W63" s="1672"/>
      <c r="X63" s="1672"/>
      <c r="Y63" s="1672"/>
      <c r="Z63" s="1672"/>
      <c r="AA63" s="1672"/>
      <c r="AB63" s="1672"/>
      <c r="AC63" s="1672"/>
      <c r="AD63" s="1952"/>
    </row>
    <row r="64" spans="1:30" ht="16.5" customHeight="1">
      <c r="A64" s="1711"/>
      <c r="B64" s="1712"/>
      <c r="C64" s="1716"/>
      <c r="D64" s="2031" t="s">
        <v>5</v>
      </c>
      <c r="E64" s="1833" t="s">
        <v>121</v>
      </c>
      <c r="F64" s="1833" t="s">
        <v>122</v>
      </c>
      <c r="G64" s="2032" t="s">
        <v>176</v>
      </c>
      <c r="H64" s="1834"/>
      <c r="I64" s="1833"/>
      <c r="L64" s="2033" t="s">
        <v>177</v>
      </c>
      <c r="Q64" s="2034"/>
      <c r="R64" s="2034"/>
      <c r="S64" s="1713"/>
      <c r="X64" s="1713"/>
      <c r="Y64" s="1713"/>
      <c r="Z64" s="1713"/>
      <c r="AA64" s="1713"/>
      <c r="AB64" s="1713"/>
      <c r="AC64" s="2035" t="s">
        <v>179</v>
      </c>
      <c r="AD64" s="1952"/>
    </row>
    <row r="65" spans="1:30" ht="16.5" customHeight="1">
      <c r="A65" s="1711"/>
      <c r="B65" s="1712"/>
      <c r="C65" s="1716"/>
      <c r="D65" s="1833" t="s">
        <v>328</v>
      </c>
      <c r="E65" s="1837">
        <v>386.15</v>
      </c>
      <c r="F65" s="2036">
        <v>500</v>
      </c>
      <c r="G65" s="2148">
        <f>E65*$F$20/100</f>
        <v>1676.1304129999999</v>
      </c>
      <c r="H65" s="2149"/>
      <c r="I65" s="2149"/>
      <c r="J65" s="2149"/>
      <c r="L65" s="2037">
        <v>414696</v>
      </c>
      <c r="M65" s="1701"/>
      <c r="N65" s="2038" t="s">
        <v>256</v>
      </c>
      <c r="Q65" s="2034"/>
      <c r="R65" s="2034"/>
      <c r="S65" s="1713"/>
      <c r="X65" s="1713"/>
      <c r="Y65" s="1713"/>
      <c r="Z65" s="1713"/>
      <c r="AA65" s="1713"/>
      <c r="AB65" s="2039"/>
      <c r="AC65" s="2040">
        <f>L65+G65</f>
        <v>416372.130413</v>
      </c>
      <c r="AD65" s="1952"/>
    </row>
    <row r="66" spans="1:31" s="2043" customFormat="1" ht="18.75">
      <c r="A66" s="1711"/>
      <c r="B66" s="1712"/>
      <c r="C66" s="1716"/>
      <c r="D66" s="2041" t="s">
        <v>329</v>
      </c>
      <c r="E66" s="1837">
        <v>280.7</v>
      </c>
      <c r="F66" s="2036">
        <v>500</v>
      </c>
      <c r="G66" s="2148">
        <f>E66*$F$20/100</f>
        <v>1218.412034</v>
      </c>
      <c r="H66" s="2149"/>
      <c r="I66" s="2149"/>
      <c r="J66" s="2149"/>
      <c r="K66" s="1672"/>
      <c r="L66" s="2037">
        <v>376759</v>
      </c>
      <c r="M66" s="1701"/>
      <c r="N66" s="2038" t="s">
        <v>256</v>
      </c>
      <c r="O66" s="2042"/>
      <c r="P66" s="1672"/>
      <c r="Q66" s="2034"/>
      <c r="R66" s="2034"/>
      <c r="S66" s="1713"/>
      <c r="T66" s="1672"/>
      <c r="U66" s="1672"/>
      <c r="V66" s="1672"/>
      <c r="W66" s="1672"/>
      <c r="X66" s="1713"/>
      <c r="Y66" s="1713"/>
      <c r="Z66" s="1713"/>
      <c r="AA66" s="1713"/>
      <c r="AB66" s="1713"/>
      <c r="AC66" s="2040">
        <f>L66+G66</f>
        <v>377977.412034</v>
      </c>
      <c r="AD66" s="1952"/>
      <c r="AE66" s="1672"/>
    </row>
    <row r="67" spans="1:30" ht="16.5" customHeight="1">
      <c r="A67" s="1711"/>
      <c r="B67" s="1712"/>
      <c r="C67" s="1716"/>
      <c r="D67" s="1711"/>
      <c r="E67" s="1724"/>
      <c r="F67" s="1833"/>
      <c r="G67" s="1834"/>
      <c r="I67" s="1833"/>
      <c r="J67" s="1833"/>
      <c r="L67" s="2040"/>
      <c r="M67" s="2044"/>
      <c r="N67" s="2044"/>
      <c r="O67" s="2034"/>
      <c r="P67" s="2034"/>
      <c r="Q67" s="2034"/>
      <c r="R67" s="2034"/>
      <c r="S67" s="1713"/>
      <c r="X67" s="1713"/>
      <c r="Y67" s="1713"/>
      <c r="Z67" s="1713"/>
      <c r="AA67" s="1713"/>
      <c r="AB67" s="1713"/>
      <c r="AC67" s="2040"/>
      <c r="AD67" s="1952"/>
    </row>
    <row r="68" spans="1:30" ht="16.5" customHeight="1">
      <c r="A68" s="1711"/>
      <c r="B68" s="1712"/>
      <c r="C68" s="1716"/>
      <c r="D68" s="2031" t="s">
        <v>130</v>
      </c>
      <c r="E68" s="1833" t="s">
        <v>131</v>
      </c>
      <c r="F68" s="1833" t="s">
        <v>122</v>
      </c>
      <c r="G68" s="2032" t="s">
        <v>180</v>
      </c>
      <c r="I68" s="2045"/>
      <c r="J68" s="1833"/>
      <c r="L68" s="2033" t="s">
        <v>178</v>
      </c>
      <c r="M68" s="2045"/>
      <c r="N68" s="2044"/>
      <c r="O68" s="2034"/>
      <c r="P68" s="2034"/>
      <c r="Q68" s="2034"/>
      <c r="R68" s="2034"/>
      <c r="S68" s="2034"/>
      <c r="AC68" s="2040"/>
      <c r="AD68" s="1952"/>
    </row>
    <row r="69" spans="1:37" ht="15.75">
      <c r="A69" s="1711"/>
      <c r="B69" s="1712"/>
      <c r="C69" s="1716"/>
      <c r="D69" s="1833" t="s">
        <v>330</v>
      </c>
      <c r="E69" s="2036">
        <v>300</v>
      </c>
      <c r="F69" s="2036" t="s">
        <v>133</v>
      </c>
      <c r="G69" s="2148">
        <f>E69*F22*L21</f>
        <v>266277.60000000003</v>
      </c>
      <c r="H69" s="2149"/>
      <c r="I69" s="2149"/>
      <c r="J69" s="2161"/>
      <c r="L69" s="1721">
        <v>0</v>
      </c>
      <c r="M69" s="1701"/>
      <c r="N69" s="2038" t="s">
        <v>256</v>
      </c>
      <c r="O69" s="2046"/>
      <c r="P69" s="2046"/>
      <c r="Q69" s="2046"/>
      <c r="R69" s="2046"/>
      <c r="S69" s="2046"/>
      <c r="AC69" s="2047">
        <f>G69</f>
        <v>266277.60000000003</v>
      </c>
      <c r="AD69" s="1952"/>
      <c r="AK69" s="2048"/>
    </row>
    <row r="70" spans="1:37" ht="15.75">
      <c r="A70" s="1711"/>
      <c r="B70" s="1712"/>
      <c r="C70" s="1716"/>
      <c r="D70" s="1833"/>
      <c r="E70" s="2036"/>
      <c r="F70" s="2036"/>
      <c r="G70" s="1721"/>
      <c r="H70" s="1701"/>
      <c r="I70" s="1701"/>
      <c r="J70" s="2037"/>
      <c r="L70" s="2037"/>
      <c r="M70" s="1701"/>
      <c r="N70" s="2038"/>
      <c r="O70" s="2046"/>
      <c r="P70" s="2046"/>
      <c r="Q70" s="2046"/>
      <c r="R70" s="2046"/>
      <c r="S70" s="2046"/>
      <c r="AC70" s="2047"/>
      <c r="AD70" s="1952"/>
      <c r="AK70" s="2048"/>
    </row>
    <row r="71" spans="1:37" ht="15.75">
      <c r="A71" s="1711"/>
      <c r="B71" s="1712"/>
      <c r="C71" s="1716"/>
      <c r="D71" s="2031" t="s">
        <v>132</v>
      </c>
      <c r="E71" s="2049" t="s">
        <v>331</v>
      </c>
      <c r="F71" s="2049"/>
      <c r="G71" s="1833" t="s">
        <v>122</v>
      </c>
      <c r="I71" s="2045"/>
      <c r="J71" s="2032" t="s">
        <v>344</v>
      </c>
      <c r="L71" s="2033"/>
      <c r="M71" s="2045"/>
      <c r="N71" s="2044"/>
      <c r="O71" s="2034"/>
      <c r="P71" s="2034"/>
      <c r="Q71" s="2034"/>
      <c r="R71" s="2034"/>
      <c r="S71" s="2034"/>
      <c r="AC71" s="2040"/>
      <c r="AD71" s="1952"/>
      <c r="AK71" s="2050"/>
    </row>
    <row r="72" spans="1:30" ht="15.75">
      <c r="A72" s="1711"/>
      <c r="B72" s="1712"/>
      <c r="C72" s="1716"/>
      <c r="D72" s="1833" t="s">
        <v>330</v>
      </c>
      <c r="E72" s="2051" t="s">
        <v>332</v>
      </c>
      <c r="F72" s="2052"/>
      <c r="G72" s="2036">
        <v>132</v>
      </c>
      <c r="H72" s="1701"/>
      <c r="I72" s="1701"/>
      <c r="J72" s="1721">
        <f>+$F$23*$L$21</f>
        <v>140906.90399999998</v>
      </c>
      <c r="L72" s="2037"/>
      <c r="M72" s="1701"/>
      <c r="N72" s="2038"/>
      <c r="O72" s="2046"/>
      <c r="P72" s="2046"/>
      <c r="Q72" s="2046"/>
      <c r="R72" s="2046"/>
      <c r="S72" s="2046"/>
      <c r="AC72" s="2047">
        <f>J72</f>
        <v>140906.90399999998</v>
      </c>
      <c r="AD72" s="1952"/>
    </row>
    <row r="73" spans="1:30" ht="15.75">
      <c r="A73" s="1711"/>
      <c r="B73" s="1712"/>
      <c r="C73" s="1716"/>
      <c r="D73" s="1833" t="s">
        <v>330</v>
      </c>
      <c r="E73" s="2051" t="s">
        <v>333</v>
      </c>
      <c r="F73" s="2052"/>
      <c r="G73" s="2036">
        <v>132</v>
      </c>
      <c r="H73" s="1701"/>
      <c r="I73" s="1701"/>
      <c r="J73" s="1721">
        <f>+$F$23*$L$21</f>
        <v>140906.90399999998</v>
      </c>
      <c r="L73" s="2037"/>
      <c r="M73" s="1701"/>
      <c r="N73" s="2038"/>
      <c r="O73" s="2046"/>
      <c r="P73" s="2046"/>
      <c r="Q73" s="2046"/>
      <c r="R73" s="2046"/>
      <c r="S73" s="2046"/>
      <c r="AC73" s="2047">
        <f>J73</f>
        <v>140906.90399999998</v>
      </c>
      <c r="AD73" s="1952"/>
    </row>
    <row r="74" spans="1:30" ht="15.75">
      <c r="A74" s="1711"/>
      <c r="B74" s="1712"/>
      <c r="C74" s="1716"/>
      <c r="D74" s="1833"/>
      <c r="E74" s="2051"/>
      <c r="F74" s="2052"/>
      <c r="G74" s="2036"/>
      <c r="H74" s="1701"/>
      <c r="I74" s="1701"/>
      <c r="J74" s="1721"/>
      <c r="L74" s="2037"/>
      <c r="M74" s="1701"/>
      <c r="N74" s="2038"/>
      <c r="O74" s="2046"/>
      <c r="P74" s="2046"/>
      <c r="Q74" s="2046"/>
      <c r="R74" s="2046"/>
      <c r="S74" s="2046"/>
      <c r="AC74" s="2047"/>
      <c r="AD74" s="1952"/>
    </row>
    <row r="75" spans="1:30" s="2060" customFormat="1" ht="16.5" customHeight="1">
      <c r="A75" s="2053"/>
      <c r="B75" s="2054"/>
      <c r="C75" s="2055"/>
      <c r="D75" s="2056" t="s">
        <v>334</v>
      </c>
      <c r="E75" s="2057" t="s">
        <v>335</v>
      </c>
      <c r="F75" s="2056" t="s">
        <v>131</v>
      </c>
      <c r="G75" s="2057"/>
      <c r="H75" s="2058"/>
      <c r="I75" s="2058"/>
      <c r="J75" s="2059" t="s">
        <v>336</v>
      </c>
      <c r="L75" s="2061"/>
      <c r="M75" s="2058"/>
      <c r="N75" s="2062"/>
      <c r="O75" s="2063"/>
      <c r="P75" s="2063"/>
      <c r="Q75" s="2063"/>
      <c r="R75" s="2063"/>
      <c r="S75" s="2063"/>
      <c r="AB75" s="2064"/>
      <c r="AC75" s="2065"/>
      <c r="AD75" s="2066"/>
    </row>
    <row r="76" spans="1:30" s="2060" customFormat="1" ht="16.5" customHeight="1">
      <c r="A76" s="2053"/>
      <c r="B76" s="2054"/>
      <c r="C76" s="2055"/>
      <c r="D76" s="2056" t="s">
        <v>337</v>
      </c>
      <c r="E76" s="2057" t="s">
        <v>338</v>
      </c>
      <c r="F76" s="2067">
        <v>120</v>
      </c>
      <c r="G76" s="2057"/>
      <c r="H76" s="2058"/>
      <c r="I76" s="2058"/>
      <c r="J76" s="2068">
        <f>+F76*$F$22*$L$21</f>
        <v>106511.04</v>
      </c>
      <c r="L76" s="2061"/>
      <c r="M76" s="2058"/>
      <c r="N76" s="2062"/>
      <c r="O76" s="2063"/>
      <c r="P76" s="2063"/>
      <c r="Q76" s="2063"/>
      <c r="R76" s="2063"/>
      <c r="S76" s="2063"/>
      <c r="AB76" s="2064"/>
      <c r="AC76" s="2065">
        <f>J76</f>
        <v>106511.04</v>
      </c>
      <c r="AD76" s="2066"/>
    </row>
    <row r="77" spans="1:30" s="2060" customFormat="1" ht="16.5" customHeight="1">
      <c r="A77" s="2053"/>
      <c r="B77" s="2054"/>
      <c r="C77" s="2055"/>
      <c r="D77" s="1833" t="s">
        <v>330</v>
      </c>
      <c r="E77" s="2057" t="s">
        <v>339</v>
      </c>
      <c r="F77" s="2067">
        <v>120</v>
      </c>
      <c r="G77" s="2057"/>
      <c r="H77" s="2058"/>
      <c r="I77" s="2058"/>
      <c r="J77" s="2068">
        <f>+F77*$F$22*$L$21</f>
        <v>106511.04</v>
      </c>
      <c r="L77" s="2061"/>
      <c r="M77" s="2058"/>
      <c r="N77" s="2062"/>
      <c r="O77" s="2063"/>
      <c r="P77" s="2063"/>
      <c r="Q77" s="2063"/>
      <c r="R77" s="2063"/>
      <c r="S77" s="2063"/>
      <c r="AB77" s="2064"/>
      <c r="AC77" s="2065">
        <f>J77</f>
        <v>106511.04</v>
      </c>
      <c r="AD77" s="2066"/>
    </row>
    <row r="78" spans="1:30" s="2060" customFormat="1" ht="16.5" customHeight="1">
      <c r="A78" s="2053"/>
      <c r="B78" s="2054"/>
      <c r="C78" s="2055"/>
      <c r="D78" s="1833" t="s">
        <v>330</v>
      </c>
      <c r="E78" s="2057" t="s">
        <v>340</v>
      </c>
      <c r="F78" s="2067">
        <v>170</v>
      </c>
      <c r="G78" s="2057"/>
      <c r="H78" s="2058"/>
      <c r="I78" s="2058"/>
      <c r="J78" s="2068">
        <f>+F78*$F$22*$L$21</f>
        <v>150890.64</v>
      </c>
      <c r="L78" s="2061"/>
      <c r="M78" s="2058"/>
      <c r="N78" s="2062"/>
      <c r="O78" s="2063"/>
      <c r="P78" s="2063"/>
      <c r="Q78" s="2063"/>
      <c r="R78" s="2063"/>
      <c r="S78" s="2063"/>
      <c r="AB78" s="2064"/>
      <c r="AC78" s="2065">
        <f>J78</f>
        <v>150890.64</v>
      </c>
      <c r="AD78" s="2066"/>
    </row>
    <row r="79" spans="1:30" s="2060" customFormat="1" ht="16.5" customHeight="1">
      <c r="A79" s="2053"/>
      <c r="B79" s="2054"/>
      <c r="C79" s="2055"/>
      <c r="D79" s="1833" t="s">
        <v>330</v>
      </c>
      <c r="E79" s="2057" t="s">
        <v>341</v>
      </c>
      <c r="F79" s="2067">
        <v>170</v>
      </c>
      <c r="G79" s="2057"/>
      <c r="H79" s="2058"/>
      <c r="I79" s="2058"/>
      <c r="J79" s="2068">
        <f>+F79*$F$22*$L$21</f>
        <v>150890.64</v>
      </c>
      <c r="L79" s="2061"/>
      <c r="M79" s="2058"/>
      <c r="N79" s="2062"/>
      <c r="O79" s="2063"/>
      <c r="P79" s="2063"/>
      <c r="Q79" s="2063"/>
      <c r="R79" s="2063"/>
      <c r="S79" s="2063"/>
      <c r="AB79" s="2064"/>
      <c r="AC79" s="2065">
        <f>J79</f>
        <v>150890.64</v>
      </c>
      <c r="AD79" s="2066"/>
    </row>
    <row r="80" spans="1:30" ht="15.75">
      <c r="A80" s="1711"/>
      <c r="B80" s="1712"/>
      <c r="C80" s="1716"/>
      <c r="D80" s="2024"/>
      <c r="E80" s="1724"/>
      <c r="F80" s="1833"/>
      <c r="G80" s="1833"/>
      <c r="H80" s="1834"/>
      <c r="J80" s="1833"/>
      <c r="L80" s="2069"/>
      <c r="M80" s="2044"/>
      <c r="N80" s="2044"/>
      <c r="O80" s="2034"/>
      <c r="P80" s="2034"/>
      <c r="Q80" s="2034"/>
      <c r="R80" s="2034"/>
      <c r="S80" s="2034"/>
      <c r="AC80" s="2070">
        <f>SUM(AC65:AC79)</f>
        <v>1857244.3104470004</v>
      </c>
      <c r="AD80" s="1952"/>
    </row>
    <row r="81" spans="1:30" ht="15.75">
      <c r="A81" s="1711"/>
      <c r="B81" s="1712"/>
      <c r="C81" s="2029" t="s">
        <v>125</v>
      </c>
      <c r="D81" s="2071" t="s">
        <v>126</v>
      </c>
      <c r="E81" s="1833"/>
      <c r="F81" s="2072"/>
      <c r="G81" s="1832"/>
      <c r="H81" s="2024"/>
      <c r="I81" s="2024"/>
      <c r="J81" s="2024"/>
      <c r="K81" s="1833"/>
      <c r="L81" s="1833"/>
      <c r="M81" s="2024"/>
      <c r="N81" s="1833"/>
      <c r="O81" s="2024"/>
      <c r="P81" s="2024"/>
      <c r="Q81" s="2024"/>
      <c r="R81" s="2024"/>
      <c r="S81" s="2024"/>
      <c r="T81" s="2024"/>
      <c r="U81" s="2024"/>
      <c r="AC81" s="2024"/>
      <c r="AD81" s="1952"/>
    </row>
    <row r="82" spans="1:30" ht="15.75">
      <c r="A82" s="1711"/>
      <c r="B82" s="1712"/>
      <c r="C82" s="1716"/>
      <c r="D82" s="2031" t="s">
        <v>127</v>
      </c>
      <c r="E82" s="2073">
        <f>10*K60*K28/AC80</f>
        <v>13086.71709378561</v>
      </c>
      <c r="F82" s="1711"/>
      <c r="G82" s="1832"/>
      <c r="H82" s="1711"/>
      <c r="I82" s="1711"/>
      <c r="J82" s="1711"/>
      <c r="K82" s="1711"/>
      <c r="L82" s="1833"/>
      <c r="M82" s="1711"/>
      <c r="N82" s="1833"/>
      <c r="O82" s="1834"/>
      <c r="P82" s="1711"/>
      <c r="Q82" s="1711"/>
      <c r="R82" s="1711"/>
      <c r="S82" s="1711"/>
      <c r="T82" s="1711"/>
      <c r="U82" s="1711"/>
      <c r="X82" s="1711"/>
      <c r="Y82" s="1711"/>
      <c r="Z82" s="1711"/>
      <c r="AA82" s="1711"/>
      <c r="AB82" s="1711"/>
      <c r="AC82" s="1711"/>
      <c r="AD82" s="1952"/>
    </row>
    <row r="83" spans="1:30" ht="15.75">
      <c r="A83" s="1711"/>
      <c r="B83" s="1712"/>
      <c r="C83" s="1716"/>
      <c r="D83" s="1711"/>
      <c r="E83" s="2074"/>
      <c r="F83" s="1729"/>
      <c r="G83" s="1832"/>
      <c r="H83" s="1711"/>
      <c r="I83" s="1711"/>
      <c r="J83" s="1832"/>
      <c r="K83" s="1838"/>
      <c r="L83" s="1833"/>
      <c r="M83" s="1833"/>
      <c r="N83" s="1833"/>
      <c r="O83" s="1834"/>
      <c r="P83" s="1833"/>
      <c r="Q83" s="1833"/>
      <c r="R83" s="1837"/>
      <c r="S83" s="1837"/>
      <c r="T83" s="1837"/>
      <c r="U83" s="2075"/>
      <c r="X83" s="1711"/>
      <c r="Y83" s="1711"/>
      <c r="Z83" s="1711"/>
      <c r="AA83" s="1711"/>
      <c r="AB83" s="1711"/>
      <c r="AC83" s="2075"/>
      <c r="AD83" s="1952"/>
    </row>
    <row r="84" spans="2:30" ht="15.75">
      <c r="B84" s="1712"/>
      <c r="C84" s="1716"/>
      <c r="D84" s="2076" t="s">
        <v>342</v>
      </c>
      <c r="E84" s="2077"/>
      <c r="F84" s="1729"/>
      <c r="G84" s="1832"/>
      <c r="H84" s="2024"/>
      <c r="I84" s="2024"/>
      <c r="N84" s="1833"/>
      <c r="O84" s="1834"/>
      <c r="P84" s="1833"/>
      <c r="Q84" s="1833"/>
      <c r="R84" s="2045"/>
      <c r="S84" s="2045"/>
      <c r="T84" s="2045"/>
      <c r="U84" s="2044"/>
      <c r="AC84" s="2044"/>
      <c r="AD84" s="1952"/>
    </row>
    <row r="85" spans="2:30" ht="16.5" thickBot="1">
      <c r="B85" s="1712"/>
      <c r="C85" s="1716"/>
      <c r="D85" s="2076"/>
      <c r="E85" s="2077"/>
      <c r="F85" s="1729"/>
      <c r="G85" s="1832"/>
      <c r="H85" s="2024"/>
      <c r="I85" s="2024"/>
      <c r="N85" s="1833"/>
      <c r="O85" s="1834"/>
      <c r="P85" s="1833"/>
      <c r="Q85" s="1833"/>
      <c r="R85" s="2045"/>
      <c r="S85" s="2045"/>
      <c r="T85" s="2045"/>
      <c r="U85" s="2044"/>
      <c r="AC85" s="2044"/>
      <c r="AD85" s="1952"/>
    </row>
    <row r="86" spans="1:31" ht="24" thickBot="1" thickTop="1">
      <c r="A86" s="2043"/>
      <c r="B86" s="2078"/>
      <c r="C86" s="2079"/>
      <c r="D86" s="2080"/>
      <c r="E86" s="2081"/>
      <c r="F86" s="2082"/>
      <c r="G86" s="2083"/>
      <c r="H86" s="2043"/>
      <c r="J86" s="2084" t="s">
        <v>129</v>
      </c>
      <c r="K86" s="2085">
        <f>IF(E82&gt;3*K28,K28*3,E82)</f>
        <v>13086.71709378561</v>
      </c>
      <c r="L86" s="2086"/>
      <c r="M86" s="2087"/>
      <c r="N86" s="2087"/>
      <c r="O86" s="2087"/>
      <c r="P86" s="2088"/>
      <c r="Q86" s="2088"/>
      <c r="R86" s="2089"/>
      <c r="S86" s="2089"/>
      <c r="T86" s="2089"/>
      <c r="U86" s="2090"/>
      <c r="X86" s="2043"/>
      <c r="Y86" s="2043"/>
      <c r="Z86" s="2043"/>
      <c r="AA86" s="2043"/>
      <c r="AB86" s="2043"/>
      <c r="AC86" s="2090"/>
      <c r="AD86" s="2091"/>
      <c r="AE86" s="2043"/>
    </row>
    <row r="87" spans="2:30" ht="17.25" thickBot="1" thickTop="1">
      <c r="B87" s="2092"/>
      <c r="C87" s="2093"/>
      <c r="D87" s="2093"/>
      <c r="E87" s="2093"/>
      <c r="F87" s="2093"/>
      <c r="G87" s="2093"/>
      <c r="H87" s="2093"/>
      <c r="I87" s="2093"/>
      <c r="J87" s="2093"/>
      <c r="K87" s="2093"/>
      <c r="L87" s="2093"/>
      <c r="M87" s="2093"/>
      <c r="N87" s="2093"/>
      <c r="O87" s="2093"/>
      <c r="P87" s="2093"/>
      <c r="Q87" s="2093"/>
      <c r="R87" s="2093"/>
      <c r="S87" s="2093"/>
      <c r="T87" s="2093"/>
      <c r="U87" s="2093"/>
      <c r="V87" s="2094"/>
      <c r="W87" s="2094"/>
      <c r="X87" s="2094"/>
      <c r="Y87" s="2094"/>
      <c r="Z87" s="2094"/>
      <c r="AA87" s="2094"/>
      <c r="AB87" s="2094"/>
      <c r="AC87" s="2093"/>
      <c r="AD87" s="2095"/>
    </row>
    <row r="88" spans="2:23" ht="13.5" thickTop="1">
      <c r="B88" s="1708"/>
      <c r="C88" s="2096"/>
      <c r="W88" s="1708"/>
    </row>
  </sheetData>
  <sheetProtection password="CC12"/>
  <mergeCells count="27">
    <mergeCell ref="O48:Q48"/>
    <mergeCell ref="O49:Q49"/>
    <mergeCell ref="G69:J69"/>
    <mergeCell ref="F50:G50"/>
    <mergeCell ref="F55:G55"/>
    <mergeCell ref="P53:Q53"/>
    <mergeCell ref="F57:G57"/>
    <mergeCell ref="P57:Q57"/>
    <mergeCell ref="P54:Q54"/>
    <mergeCell ref="G65:J65"/>
    <mergeCell ref="G66:J66"/>
    <mergeCell ref="F46:G46"/>
    <mergeCell ref="F49:G49"/>
    <mergeCell ref="F47:G47"/>
    <mergeCell ref="F48:G48"/>
    <mergeCell ref="F53:G53"/>
    <mergeCell ref="F54:G54"/>
    <mergeCell ref="P55:Q55"/>
    <mergeCell ref="P56:Q56"/>
    <mergeCell ref="F56:G56"/>
    <mergeCell ref="P40:Q40"/>
    <mergeCell ref="P41:Q41"/>
    <mergeCell ref="P42:Q42"/>
    <mergeCell ref="P43:Q43"/>
    <mergeCell ref="O46:Q46"/>
    <mergeCell ref="O47:Q47"/>
    <mergeCell ref="O50:Q50"/>
  </mergeCells>
  <printOptions horizontalCentered="1"/>
  <pageMargins left="0.3937007874015748" right="0.1968503937007874" top="0.57" bottom="0.7874015748031497" header="0.5118110236220472" footer="0.5118110236220472"/>
  <pageSetup fitToHeight="1" fitToWidth="1" orientation="landscape" paperSize="9" scale="33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+'TOT-0115'!B2</f>
        <v>ANEXO II al Memorándum D.T.E.E. N° 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24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18" customFormat="1" ht="20.25">
      <c r="B10" s="96"/>
      <c r="C10" s="23"/>
      <c r="D10" s="23"/>
      <c r="E10" s="23"/>
      <c r="F10" s="98" t="s">
        <v>25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9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00"/>
    </row>
    <row r="12" spans="2:32" s="18" customFormat="1" ht="20.25">
      <c r="B12" s="96"/>
      <c r="C12" s="23"/>
      <c r="D12" s="23"/>
      <c r="E12" s="23"/>
      <c r="F12" s="98" t="s">
        <v>26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8"/>
      <c r="S12" s="9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9"/>
    </row>
    <row r="13" spans="2:32" s="8" customFormat="1" ht="12.75">
      <c r="B13" s="55"/>
      <c r="C13" s="11"/>
      <c r="D13" s="11"/>
      <c r="E13" s="11"/>
      <c r="F13" s="1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34" customFormat="1" ht="19.5">
      <c r="B14" s="35" t="str">
        <f>'TOT-0115'!B14</f>
        <v>Desde el 01 al 31 de enero de 2015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2"/>
      <c r="Q14" s="102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3"/>
    </row>
    <row r="15" spans="2:32" s="8" customFormat="1" ht="16.5" customHeight="1" thickBot="1">
      <c r="B15" s="55"/>
      <c r="C15" s="11"/>
      <c r="D15" s="11"/>
      <c r="E15" s="11"/>
      <c r="F15" s="11"/>
      <c r="G15" s="86"/>
      <c r="H15" s="86"/>
      <c r="I15" s="11"/>
      <c r="J15" s="11"/>
      <c r="K15" s="11"/>
      <c r="L15" s="104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00"/>
    </row>
    <row r="16" spans="2:32" s="8" customFormat="1" ht="16.5" customHeight="1" thickBot="1" thickTop="1">
      <c r="B16" s="55"/>
      <c r="C16" s="11"/>
      <c r="D16" s="11"/>
      <c r="E16" s="11"/>
      <c r="F16" s="105" t="s">
        <v>27</v>
      </c>
      <c r="G16" s="106">
        <v>434.062</v>
      </c>
      <c r="H16" s="10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00"/>
    </row>
    <row r="17" spans="2:32" s="8" customFormat="1" ht="16.5" customHeight="1" thickBot="1" thickTop="1">
      <c r="B17" s="55"/>
      <c r="C17" s="11"/>
      <c r="D17" s="11"/>
      <c r="E17" s="11"/>
      <c r="F17" s="105" t="s">
        <v>28</v>
      </c>
      <c r="G17" s="106">
        <v>361.726</v>
      </c>
      <c r="H17" s="107"/>
      <c r="I17" s="11"/>
      <c r="J17" s="11"/>
      <c r="K17" s="11"/>
      <c r="L17" s="108"/>
      <c r="M17" s="10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0"/>
      <c r="Y17" s="110"/>
      <c r="Z17" s="110"/>
      <c r="AA17" s="110"/>
      <c r="AB17" s="110"/>
      <c r="AC17" s="110"/>
      <c r="AD17" s="110"/>
      <c r="AF17" s="100"/>
    </row>
    <row r="18" spans="2:32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111">
        <v>27</v>
      </c>
      <c r="AB18" s="111">
        <v>28</v>
      </c>
      <c r="AC18" s="111">
        <v>29</v>
      </c>
      <c r="AD18" s="111">
        <v>30</v>
      </c>
      <c r="AE18" s="111">
        <v>31</v>
      </c>
      <c r="AF18" s="100"/>
    </row>
    <row r="19" spans="2:32" s="8" customFormat="1" ht="33.75" customHeight="1" thickBot="1" thickTop="1">
      <c r="B19" s="55"/>
      <c r="C19" s="112" t="s">
        <v>29</v>
      </c>
      <c r="D19" s="112" t="s">
        <v>30</v>
      </c>
      <c r="E19" s="112" t="s">
        <v>31</v>
      </c>
      <c r="F19" s="113" t="s">
        <v>5</v>
      </c>
      <c r="G19" s="114" t="s">
        <v>32</v>
      </c>
      <c r="H19" s="115" t="s">
        <v>33</v>
      </c>
      <c r="I19" s="116" t="s">
        <v>34</v>
      </c>
      <c r="J19" s="117" t="s">
        <v>35</v>
      </c>
      <c r="K19" s="118" t="s">
        <v>36</v>
      </c>
      <c r="L19" s="113" t="s">
        <v>37</v>
      </c>
      <c r="M19" s="119" t="s">
        <v>38</v>
      </c>
      <c r="N19" s="120" t="s">
        <v>39</v>
      </c>
      <c r="O19" s="115" t="s">
        <v>40</v>
      </c>
      <c r="P19" s="120" t="s">
        <v>171</v>
      </c>
      <c r="Q19" s="115" t="s">
        <v>41</v>
      </c>
      <c r="R19" s="119" t="s">
        <v>42</v>
      </c>
      <c r="S19" s="113" t="s">
        <v>43</v>
      </c>
      <c r="T19" s="121" t="s">
        <v>44</v>
      </c>
      <c r="U19" s="122" t="s">
        <v>45</v>
      </c>
      <c r="V19" s="123" t="s">
        <v>46</v>
      </c>
      <c r="W19" s="124"/>
      <c r="X19" s="125"/>
      <c r="Y19" s="126" t="s">
        <v>47</v>
      </c>
      <c r="Z19" s="127"/>
      <c r="AA19" s="128"/>
      <c r="AB19" s="129" t="s">
        <v>48</v>
      </c>
      <c r="AC19" s="130" t="s">
        <v>49</v>
      </c>
      <c r="AD19" s="131" t="s">
        <v>50</v>
      </c>
      <c r="AE19" s="131" t="s">
        <v>51</v>
      </c>
      <c r="AF19" s="132"/>
    </row>
    <row r="20" spans="2:32" s="8" customFormat="1" ht="16.5" customHeight="1" thickTop="1">
      <c r="B20" s="55"/>
      <c r="C20" s="133"/>
      <c r="D20" s="133"/>
      <c r="E20" s="133"/>
      <c r="F20" s="134"/>
      <c r="G20" s="134"/>
      <c r="H20" s="135"/>
      <c r="I20" s="136"/>
      <c r="J20" s="137"/>
      <c r="K20" s="138"/>
      <c r="L20" s="139"/>
      <c r="M20" s="139"/>
      <c r="N20" s="136"/>
      <c r="O20" s="136"/>
      <c r="P20" s="136"/>
      <c r="Q20" s="136"/>
      <c r="R20" s="136"/>
      <c r="S20" s="136"/>
      <c r="T20" s="140"/>
      <c r="U20" s="141"/>
      <c r="V20" s="142"/>
      <c r="W20" s="143"/>
      <c r="X20" s="144"/>
      <c r="Y20" s="145"/>
      <c r="Z20" s="146"/>
      <c r="AA20" s="147"/>
      <c r="AB20" s="148"/>
      <c r="AC20" s="149"/>
      <c r="AD20" s="136"/>
      <c r="AE20" s="150"/>
      <c r="AF20" s="100"/>
    </row>
    <row r="21" spans="2:32" s="8" customFormat="1" ht="16.5" customHeight="1">
      <c r="B21" s="55"/>
      <c r="C21" s="151"/>
      <c r="D21" s="151"/>
      <c r="E21" s="151"/>
      <c r="F21" s="152"/>
      <c r="G21" s="153"/>
      <c r="H21" s="154"/>
      <c r="I21" s="152"/>
      <c r="J21" s="155"/>
      <c r="K21" s="156"/>
      <c r="L21" s="157"/>
      <c r="M21" s="110"/>
      <c r="N21" s="152"/>
      <c r="O21" s="152"/>
      <c r="P21" s="158"/>
      <c r="Q21" s="152"/>
      <c r="R21" s="152"/>
      <c r="S21" s="152"/>
      <c r="T21" s="159"/>
      <c r="U21" s="160"/>
      <c r="V21" s="161"/>
      <c r="W21" s="162"/>
      <c r="X21" s="163"/>
      <c r="Y21" s="164"/>
      <c r="Z21" s="165"/>
      <c r="AA21" s="166"/>
      <c r="AB21" s="167"/>
      <c r="AC21" s="168"/>
      <c r="AD21" s="152"/>
      <c r="AE21" s="169"/>
      <c r="AF21" s="100"/>
    </row>
    <row r="22" spans="2:32" s="8" customFormat="1" ht="16.5" customHeight="1">
      <c r="B22" s="55"/>
      <c r="C22" s="170">
        <v>1</v>
      </c>
      <c r="D22" s="170">
        <v>283179</v>
      </c>
      <c r="E22" s="170">
        <v>1344</v>
      </c>
      <c r="F22" s="170" t="s">
        <v>183</v>
      </c>
      <c r="G22" s="171">
        <v>500</v>
      </c>
      <c r="H22" s="172">
        <v>194</v>
      </c>
      <c r="I22" s="171" t="s">
        <v>184</v>
      </c>
      <c r="J22" s="173">
        <f aca="true" t="shared" si="0" ref="J22:J41">IF(I22="A",200,IF(I22="B",60,20))</f>
        <v>20</v>
      </c>
      <c r="K22" s="174">
        <f aca="true" t="shared" si="1" ref="K22:K41">IF(G22=500,IF(H22&lt;100,100*$G$16/100,H22*$G$16/100),IF(H22&lt;100,100*$G$17/100,H22*$G$17/100))</f>
        <v>842.08028</v>
      </c>
      <c r="L22" s="175">
        <v>42005.43541666667</v>
      </c>
      <c r="M22" s="176">
        <v>42005.44652777778</v>
      </c>
      <c r="N22" s="177">
        <f aca="true" t="shared" si="2" ref="N22:N41">IF(F22="","",(M22-L22)*24)</f>
        <v>0.26666666666278616</v>
      </c>
      <c r="O22" s="178">
        <f aca="true" t="shared" si="3" ref="O22:O41">IF(F22="","",ROUND((M22-L22)*24*60,0))</f>
        <v>16</v>
      </c>
      <c r="P22" s="179" t="s">
        <v>185</v>
      </c>
      <c r="Q22" s="180" t="str">
        <f aca="true" t="shared" si="4" ref="Q22:Q41">IF(F22="","","--")</f>
        <v>--</v>
      </c>
      <c r="R22" s="181" t="str">
        <f aca="true" t="shared" si="5" ref="R22:R41">IF(F22="","","NO")</f>
        <v>NO</v>
      </c>
      <c r="S22" s="181" t="str">
        <f aca="true" t="shared" si="6" ref="S22:S41">IF(F22="","",IF(OR(P22="P",P22="RP"),"--","NO"))</f>
        <v>NO</v>
      </c>
      <c r="T22" s="182" t="str">
        <f aca="true" t="shared" si="7" ref="T22:T41">IF(P22="P",K22*J22*ROUND(O22/60,2)*0.01,"--")</f>
        <v>--</v>
      </c>
      <c r="U22" s="183" t="str">
        <f aca="true" t="shared" si="8" ref="U22:U41">IF(P22="RP",K22*J22*ROUND(O22/60,2)*0.01*Q22/100,"--")</f>
        <v>--</v>
      </c>
      <c r="V22" s="184">
        <f aca="true" t="shared" si="9" ref="V22:V41">IF(AND(P22="F",S22="NO"),K22*J22*IF(R22="SI",1.2,1),"--")</f>
        <v>16841.6056</v>
      </c>
      <c r="W22" s="185">
        <f aca="true" t="shared" si="10" ref="W22:W41">IF(AND(P22="F",O22&gt;=10),K22*J22*IF(R22="SI",1.2,1)*IF(O22&lt;=300,ROUND(O22/60,2),5),"--")</f>
        <v>4547.233512</v>
      </c>
      <c r="X22" s="186" t="str">
        <f aca="true" t="shared" si="11" ref="X22:X41">IF(AND(P22="F",O22&gt;300),(ROUND(O22/60,2)-5)*K22*J22*0.1*IF(R22="SI",1.2,1),"--")</f>
        <v>--</v>
      </c>
      <c r="Y22" s="187" t="str">
        <f aca="true" t="shared" si="12" ref="Y22:Y41">IF(AND(P22="R",S22="NO"),K22*J22*Q22/100*IF(R22="SI",1.2,1),"--")</f>
        <v>--</v>
      </c>
      <c r="Z22" s="188" t="str">
        <f aca="true" t="shared" si="13" ref="Z22:Z41">IF(AND(P22="R",O22&gt;=10),K22*J22*Q22/100*IF(R22="SI",1.2,1)*IF(O22&lt;=300,ROUND(O22/60,2),5),"--")</f>
        <v>--</v>
      </c>
      <c r="AA22" s="189" t="str">
        <f aca="true" t="shared" si="14" ref="AA22:AA41">IF(AND(P22="R",O22&gt;300),(ROUND(O22/60,2)-5)*K22*J22*0.1*Q22/100*IF(R22="SI",1.2,1),"--")</f>
        <v>--</v>
      </c>
      <c r="AB22" s="190" t="str">
        <f aca="true" t="shared" si="15" ref="AB22:AB41">IF(P22="RF",ROUND(O22/60,2)*K22*J22*0.1*IF(R22="SI",1.2,1),"--")</f>
        <v>--</v>
      </c>
      <c r="AC22" s="191" t="str">
        <f aca="true" t="shared" si="16" ref="AC22:AC41">IF(P22="RR",ROUND(O22/60,2)*K22*J22*0.1*Q22/100*IF(R22="SI",1.2,1),"--")</f>
        <v>--</v>
      </c>
      <c r="AD22" s="192" t="s">
        <v>82</v>
      </c>
      <c r="AE22" s="193">
        <f aca="true" t="shared" si="17" ref="AE22:AE41">IF(F22="","",SUM(T22:AC22)*IF(AD22="SI",1,2))</f>
        <v>21388.839111999998</v>
      </c>
      <c r="AF22" s="194"/>
    </row>
    <row r="23" spans="2:32" s="8" customFormat="1" ht="16.5" customHeight="1">
      <c r="B23" s="55"/>
      <c r="C23" s="151">
        <v>2</v>
      </c>
      <c r="D23" s="151">
        <v>283185</v>
      </c>
      <c r="E23" s="151">
        <v>4733</v>
      </c>
      <c r="F23" s="170" t="s">
        <v>186</v>
      </c>
      <c r="G23" s="171">
        <v>220</v>
      </c>
      <c r="H23" s="172">
        <v>77</v>
      </c>
      <c r="I23" s="171" t="s">
        <v>184</v>
      </c>
      <c r="J23" s="173">
        <f t="shared" si="0"/>
        <v>20</v>
      </c>
      <c r="K23" s="174">
        <f t="shared" si="1"/>
        <v>361.726</v>
      </c>
      <c r="L23" s="175">
        <v>42007.31041666667</v>
      </c>
      <c r="M23" s="176">
        <v>42007.72708333333</v>
      </c>
      <c r="N23" s="177">
        <f t="shared" si="2"/>
        <v>9.999999999941792</v>
      </c>
      <c r="O23" s="178">
        <f t="shared" si="3"/>
        <v>600</v>
      </c>
      <c r="P23" s="179" t="s">
        <v>187</v>
      </c>
      <c r="Q23" s="180" t="str">
        <f t="shared" si="4"/>
        <v>--</v>
      </c>
      <c r="R23" s="181" t="str">
        <f t="shared" si="5"/>
        <v>NO</v>
      </c>
      <c r="S23" s="181" t="str">
        <f t="shared" si="6"/>
        <v>--</v>
      </c>
      <c r="T23" s="182">
        <f t="shared" si="7"/>
        <v>723.4520000000001</v>
      </c>
      <c r="U23" s="183" t="str">
        <f t="shared" si="8"/>
        <v>--</v>
      </c>
      <c r="V23" s="184" t="str">
        <f t="shared" si="9"/>
        <v>--</v>
      </c>
      <c r="W23" s="185" t="str">
        <f t="shared" si="10"/>
        <v>--</v>
      </c>
      <c r="X23" s="186" t="str">
        <f t="shared" si="11"/>
        <v>--</v>
      </c>
      <c r="Y23" s="187" t="str">
        <f t="shared" si="12"/>
        <v>--</v>
      </c>
      <c r="Z23" s="188" t="str">
        <f t="shared" si="13"/>
        <v>--</v>
      </c>
      <c r="AA23" s="189" t="str">
        <f t="shared" si="14"/>
        <v>--</v>
      </c>
      <c r="AB23" s="190" t="str">
        <f t="shared" si="15"/>
        <v>--</v>
      </c>
      <c r="AC23" s="191" t="str">
        <f t="shared" si="16"/>
        <v>--</v>
      </c>
      <c r="AD23" s="192" t="s">
        <v>82</v>
      </c>
      <c r="AE23" s="193">
        <v>0</v>
      </c>
      <c r="AF23" s="194"/>
    </row>
    <row r="24" spans="2:32" s="8" customFormat="1" ht="16.5" customHeight="1">
      <c r="B24" s="55"/>
      <c r="C24" s="170">
        <v>3</v>
      </c>
      <c r="D24" s="170">
        <v>283186</v>
      </c>
      <c r="E24" s="170">
        <v>53</v>
      </c>
      <c r="F24" s="195" t="s">
        <v>188</v>
      </c>
      <c r="G24" s="196">
        <v>220</v>
      </c>
      <c r="H24" s="197">
        <v>26</v>
      </c>
      <c r="I24" s="196" t="s">
        <v>184</v>
      </c>
      <c r="J24" s="173">
        <f t="shared" si="0"/>
        <v>20</v>
      </c>
      <c r="K24" s="174">
        <f t="shared" si="1"/>
        <v>361.726</v>
      </c>
      <c r="L24" s="198">
        <v>42008.313888888886</v>
      </c>
      <c r="M24" s="199">
        <v>42008.84166666667</v>
      </c>
      <c r="N24" s="177">
        <f t="shared" si="2"/>
        <v>12.666666666744277</v>
      </c>
      <c r="O24" s="178">
        <f t="shared" si="3"/>
        <v>760</v>
      </c>
      <c r="P24" s="179" t="s">
        <v>187</v>
      </c>
      <c r="Q24" s="180" t="str">
        <f t="shared" si="4"/>
        <v>--</v>
      </c>
      <c r="R24" s="181" t="str">
        <f t="shared" si="5"/>
        <v>NO</v>
      </c>
      <c r="S24" s="181" t="str">
        <f t="shared" si="6"/>
        <v>--</v>
      </c>
      <c r="T24" s="182">
        <f t="shared" si="7"/>
        <v>916.613684</v>
      </c>
      <c r="U24" s="183" t="str">
        <f t="shared" si="8"/>
        <v>--</v>
      </c>
      <c r="V24" s="184" t="str">
        <f t="shared" si="9"/>
        <v>--</v>
      </c>
      <c r="W24" s="185" t="str">
        <f t="shared" si="10"/>
        <v>--</v>
      </c>
      <c r="X24" s="186" t="str">
        <f t="shared" si="11"/>
        <v>--</v>
      </c>
      <c r="Y24" s="187" t="str">
        <f t="shared" si="12"/>
        <v>--</v>
      </c>
      <c r="Z24" s="188" t="str">
        <f t="shared" si="13"/>
        <v>--</v>
      </c>
      <c r="AA24" s="189" t="str">
        <f t="shared" si="14"/>
        <v>--</v>
      </c>
      <c r="AB24" s="190" t="str">
        <f t="shared" si="15"/>
        <v>--</v>
      </c>
      <c r="AC24" s="191" t="str">
        <f t="shared" si="16"/>
        <v>--</v>
      </c>
      <c r="AD24" s="192" t="s">
        <v>82</v>
      </c>
      <c r="AE24" s="193">
        <f t="shared" si="17"/>
        <v>916.613684</v>
      </c>
      <c r="AF24" s="194"/>
    </row>
    <row r="25" spans="2:32" s="8" customFormat="1" ht="16.5" customHeight="1">
      <c r="B25" s="55"/>
      <c r="C25" s="151">
        <v>4</v>
      </c>
      <c r="D25" s="151">
        <v>283187</v>
      </c>
      <c r="E25" s="151">
        <v>5166</v>
      </c>
      <c r="F25" s="195" t="s">
        <v>237</v>
      </c>
      <c r="G25" s="196">
        <v>500</v>
      </c>
      <c r="H25" s="197">
        <v>90.203</v>
      </c>
      <c r="I25" s="196" t="s">
        <v>184</v>
      </c>
      <c r="J25" s="173">
        <f t="shared" si="0"/>
        <v>20</v>
      </c>
      <c r="K25" s="174">
        <f t="shared" si="1"/>
        <v>434.06200000000007</v>
      </c>
      <c r="L25" s="198">
        <v>42008.316666666666</v>
      </c>
      <c r="M25" s="199">
        <v>42008.80347222222</v>
      </c>
      <c r="N25" s="177">
        <f t="shared" si="2"/>
        <v>11.683333333348855</v>
      </c>
      <c r="O25" s="178">
        <f t="shared" si="3"/>
        <v>701</v>
      </c>
      <c r="P25" s="179" t="s">
        <v>185</v>
      </c>
      <c r="Q25" s="180" t="str">
        <f t="shared" si="4"/>
        <v>--</v>
      </c>
      <c r="R25" s="181" t="str">
        <f t="shared" si="5"/>
        <v>NO</v>
      </c>
      <c r="S25" s="181" t="str">
        <f t="shared" si="6"/>
        <v>NO</v>
      </c>
      <c r="T25" s="182" t="str">
        <f t="shared" si="7"/>
        <v>--</v>
      </c>
      <c r="U25" s="183" t="str">
        <f t="shared" si="8"/>
        <v>--</v>
      </c>
      <c r="V25" s="184">
        <f t="shared" si="9"/>
        <v>8681.240000000002</v>
      </c>
      <c r="W25" s="185">
        <f t="shared" si="10"/>
        <v>43406.20000000001</v>
      </c>
      <c r="X25" s="186">
        <f t="shared" si="11"/>
        <v>5799.06832</v>
      </c>
      <c r="Y25" s="187" t="str">
        <f t="shared" si="12"/>
        <v>--</v>
      </c>
      <c r="Z25" s="188" t="str">
        <f t="shared" si="13"/>
        <v>--</v>
      </c>
      <c r="AA25" s="189" t="str">
        <f t="shared" si="14"/>
        <v>--</v>
      </c>
      <c r="AB25" s="190" t="str">
        <f t="shared" si="15"/>
        <v>--</v>
      </c>
      <c r="AC25" s="191" t="str">
        <f t="shared" si="16"/>
        <v>--</v>
      </c>
      <c r="AD25" s="192" t="s">
        <v>82</v>
      </c>
      <c r="AE25" s="193">
        <f t="shared" si="17"/>
        <v>57886.508320000015</v>
      </c>
      <c r="AF25" s="194"/>
    </row>
    <row r="26" spans="2:32" s="8" customFormat="1" ht="16.5" customHeight="1">
      <c r="B26" s="55"/>
      <c r="C26" s="170">
        <v>5</v>
      </c>
      <c r="D26" s="170">
        <v>283385</v>
      </c>
      <c r="E26" s="170">
        <v>4733</v>
      </c>
      <c r="F26" s="170" t="s">
        <v>186</v>
      </c>
      <c r="G26" s="171">
        <v>220</v>
      </c>
      <c r="H26" s="172">
        <v>77</v>
      </c>
      <c r="I26" s="171" t="s">
        <v>184</v>
      </c>
      <c r="J26" s="173">
        <f t="shared" si="0"/>
        <v>20</v>
      </c>
      <c r="K26" s="174">
        <f t="shared" si="1"/>
        <v>361.726</v>
      </c>
      <c r="L26" s="175">
        <v>42014.305555555555</v>
      </c>
      <c r="M26" s="176">
        <v>42014.71041666667</v>
      </c>
      <c r="N26" s="177">
        <f t="shared" si="2"/>
        <v>9.716666666732635</v>
      </c>
      <c r="O26" s="178">
        <f t="shared" si="3"/>
        <v>583</v>
      </c>
      <c r="P26" s="179" t="s">
        <v>187</v>
      </c>
      <c r="Q26" s="180" t="str">
        <f t="shared" si="4"/>
        <v>--</v>
      </c>
      <c r="R26" s="181" t="str">
        <f t="shared" si="5"/>
        <v>NO</v>
      </c>
      <c r="S26" s="181" t="str">
        <f t="shared" si="6"/>
        <v>--</v>
      </c>
      <c r="T26" s="182">
        <f t="shared" si="7"/>
        <v>703.1953440000001</v>
      </c>
      <c r="U26" s="183" t="str">
        <f t="shared" si="8"/>
        <v>--</v>
      </c>
      <c r="V26" s="184" t="str">
        <f t="shared" si="9"/>
        <v>--</v>
      </c>
      <c r="W26" s="185" t="str">
        <f t="shared" si="10"/>
        <v>--</v>
      </c>
      <c r="X26" s="186" t="str">
        <f t="shared" si="11"/>
        <v>--</v>
      </c>
      <c r="Y26" s="187" t="str">
        <f t="shared" si="12"/>
        <v>--</v>
      </c>
      <c r="Z26" s="188" t="str">
        <f t="shared" si="13"/>
        <v>--</v>
      </c>
      <c r="AA26" s="189" t="str">
        <f t="shared" si="14"/>
        <v>--</v>
      </c>
      <c r="AB26" s="190" t="str">
        <f t="shared" si="15"/>
        <v>--</v>
      </c>
      <c r="AC26" s="191" t="str">
        <f t="shared" si="16"/>
        <v>--</v>
      </c>
      <c r="AD26" s="192" t="s">
        <v>82</v>
      </c>
      <c r="AE26" s="193">
        <v>0</v>
      </c>
      <c r="AF26" s="194"/>
    </row>
    <row r="27" spans="2:32" s="8" customFormat="1" ht="16.5" customHeight="1">
      <c r="B27" s="55"/>
      <c r="C27" s="151">
        <v>6</v>
      </c>
      <c r="D27" s="151">
        <v>283386</v>
      </c>
      <c r="E27" s="151">
        <v>4734</v>
      </c>
      <c r="F27" s="170" t="s">
        <v>189</v>
      </c>
      <c r="G27" s="171">
        <v>220</v>
      </c>
      <c r="H27" s="172">
        <v>77</v>
      </c>
      <c r="I27" s="171" t="s">
        <v>184</v>
      </c>
      <c r="J27" s="173">
        <f t="shared" si="0"/>
        <v>20</v>
      </c>
      <c r="K27" s="174">
        <f t="shared" si="1"/>
        <v>361.726</v>
      </c>
      <c r="L27" s="175">
        <v>42015.28958333333</v>
      </c>
      <c r="M27" s="176">
        <v>42015.73888888889</v>
      </c>
      <c r="N27" s="177">
        <f t="shared" si="2"/>
        <v>10.78333333338378</v>
      </c>
      <c r="O27" s="178">
        <f t="shared" si="3"/>
        <v>647</v>
      </c>
      <c r="P27" s="179" t="s">
        <v>187</v>
      </c>
      <c r="Q27" s="180" t="str">
        <f t="shared" si="4"/>
        <v>--</v>
      </c>
      <c r="R27" s="181" t="str">
        <f t="shared" si="5"/>
        <v>NO</v>
      </c>
      <c r="S27" s="181" t="str">
        <f t="shared" si="6"/>
        <v>--</v>
      </c>
      <c r="T27" s="182">
        <f t="shared" si="7"/>
        <v>779.881256</v>
      </c>
      <c r="U27" s="183" t="str">
        <f t="shared" si="8"/>
        <v>--</v>
      </c>
      <c r="V27" s="184" t="str">
        <f t="shared" si="9"/>
        <v>--</v>
      </c>
      <c r="W27" s="185" t="str">
        <f t="shared" si="10"/>
        <v>--</v>
      </c>
      <c r="X27" s="186" t="str">
        <f t="shared" si="11"/>
        <v>--</v>
      </c>
      <c r="Y27" s="187" t="str">
        <f t="shared" si="12"/>
        <v>--</v>
      </c>
      <c r="Z27" s="188" t="str">
        <f t="shared" si="13"/>
        <v>--</v>
      </c>
      <c r="AA27" s="189" t="str">
        <f t="shared" si="14"/>
        <v>--</v>
      </c>
      <c r="AB27" s="190" t="str">
        <f t="shared" si="15"/>
        <v>--</v>
      </c>
      <c r="AC27" s="191" t="str">
        <f t="shared" si="16"/>
        <v>--</v>
      </c>
      <c r="AD27" s="192" t="s">
        <v>82</v>
      </c>
      <c r="AE27" s="193">
        <v>0</v>
      </c>
      <c r="AF27" s="194"/>
    </row>
    <row r="28" spans="2:32" s="8" customFormat="1" ht="16.5" customHeight="1">
      <c r="B28" s="55"/>
      <c r="C28" s="170"/>
      <c r="D28" s="170"/>
      <c r="E28" s="170"/>
      <c r="F28" s="200"/>
      <c r="G28" s="201"/>
      <c r="H28" s="202"/>
      <c r="I28" s="201"/>
      <c r="J28" s="173"/>
      <c r="K28" s="174"/>
      <c r="L28" s="203"/>
      <c r="M28" s="204"/>
      <c r="N28" s="177"/>
      <c r="O28" s="178"/>
      <c r="P28" s="179"/>
      <c r="Q28" s="180"/>
      <c r="R28" s="181"/>
      <c r="S28" s="181"/>
      <c r="T28" s="182"/>
      <c r="U28" s="183"/>
      <c r="V28" s="184"/>
      <c r="W28" s="185"/>
      <c r="X28" s="186"/>
      <c r="Y28" s="187"/>
      <c r="Z28" s="188"/>
      <c r="AA28" s="189"/>
      <c r="AB28" s="190"/>
      <c r="AC28" s="191"/>
      <c r="AD28" s="192"/>
      <c r="AE28" s="193"/>
      <c r="AF28" s="194"/>
    </row>
    <row r="29" spans="2:32" s="8" customFormat="1" ht="16.5" customHeight="1">
      <c r="B29" s="55"/>
      <c r="C29" s="151">
        <v>8</v>
      </c>
      <c r="D29" s="151">
        <v>283652</v>
      </c>
      <c r="E29" s="151">
        <v>53</v>
      </c>
      <c r="F29" s="200" t="s">
        <v>188</v>
      </c>
      <c r="G29" s="201">
        <v>220</v>
      </c>
      <c r="H29" s="202">
        <v>26</v>
      </c>
      <c r="I29" s="201" t="s">
        <v>184</v>
      </c>
      <c r="J29" s="173">
        <f t="shared" si="0"/>
        <v>20</v>
      </c>
      <c r="K29" s="174">
        <f t="shared" si="1"/>
        <v>361.726</v>
      </c>
      <c r="L29" s="203">
        <v>42018.98055555556</v>
      </c>
      <c r="M29" s="204">
        <v>42019.566666666666</v>
      </c>
      <c r="N29" s="177">
        <f t="shared" si="2"/>
        <v>14.066666666592937</v>
      </c>
      <c r="O29" s="178">
        <f t="shared" si="3"/>
        <v>844</v>
      </c>
      <c r="P29" s="179" t="s">
        <v>185</v>
      </c>
      <c r="Q29" s="180" t="str">
        <f t="shared" si="4"/>
        <v>--</v>
      </c>
      <c r="R29" s="181" t="str">
        <f t="shared" si="5"/>
        <v>NO</v>
      </c>
      <c r="S29" s="181" t="s">
        <v>82</v>
      </c>
      <c r="T29" s="182" t="str">
        <f t="shared" si="7"/>
        <v>--</v>
      </c>
      <c r="U29" s="183" t="str">
        <f t="shared" si="8"/>
        <v>--</v>
      </c>
      <c r="V29" s="184" t="str">
        <f t="shared" si="9"/>
        <v>--</v>
      </c>
      <c r="W29" s="185">
        <f t="shared" si="10"/>
        <v>36172.600000000006</v>
      </c>
      <c r="X29" s="186">
        <f t="shared" si="11"/>
        <v>6561.70964</v>
      </c>
      <c r="Y29" s="187" t="str">
        <f t="shared" si="12"/>
        <v>--</v>
      </c>
      <c r="Z29" s="188" t="str">
        <f t="shared" si="13"/>
        <v>--</v>
      </c>
      <c r="AA29" s="189" t="str">
        <f t="shared" si="14"/>
        <v>--</v>
      </c>
      <c r="AB29" s="190" t="str">
        <f t="shared" si="15"/>
        <v>--</v>
      </c>
      <c r="AC29" s="191" t="str">
        <f t="shared" si="16"/>
        <v>--</v>
      </c>
      <c r="AD29" s="192" t="s">
        <v>82</v>
      </c>
      <c r="AE29" s="193">
        <f t="shared" si="17"/>
        <v>42734.30964000001</v>
      </c>
      <c r="AF29" s="194"/>
    </row>
    <row r="30" spans="2:32" s="8" customFormat="1" ht="16.5" customHeight="1">
      <c r="B30" s="55"/>
      <c r="C30" s="170">
        <v>9</v>
      </c>
      <c r="D30" s="170">
        <v>283820</v>
      </c>
      <c r="E30" s="170">
        <v>24</v>
      </c>
      <c r="F30" s="200" t="s">
        <v>192</v>
      </c>
      <c r="G30" s="201">
        <v>500</v>
      </c>
      <c r="H30" s="202">
        <v>255</v>
      </c>
      <c r="I30" s="201" t="s">
        <v>193</v>
      </c>
      <c r="J30" s="173">
        <f t="shared" si="0"/>
        <v>60</v>
      </c>
      <c r="K30" s="174">
        <f t="shared" si="1"/>
        <v>1106.8581</v>
      </c>
      <c r="L30" s="203">
        <v>42025.22777777778</v>
      </c>
      <c r="M30" s="204">
        <v>42025.416666666664</v>
      </c>
      <c r="N30" s="177">
        <f t="shared" si="2"/>
        <v>4.533333333267365</v>
      </c>
      <c r="O30" s="178">
        <f t="shared" si="3"/>
        <v>272</v>
      </c>
      <c r="P30" s="179" t="s">
        <v>185</v>
      </c>
      <c r="Q30" s="180" t="str">
        <f t="shared" si="4"/>
        <v>--</v>
      </c>
      <c r="R30" s="181" t="str">
        <f t="shared" si="5"/>
        <v>NO</v>
      </c>
      <c r="S30" s="181" t="str">
        <f t="shared" si="6"/>
        <v>NO</v>
      </c>
      <c r="T30" s="182" t="str">
        <f t="shared" si="7"/>
        <v>--</v>
      </c>
      <c r="U30" s="183" t="str">
        <f t="shared" si="8"/>
        <v>--</v>
      </c>
      <c r="V30" s="184">
        <f t="shared" si="9"/>
        <v>66411.48599999999</v>
      </c>
      <c r="W30" s="185">
        <f t="shared" si="10"/>
        <v>300844.03157999995</v>
      </c>
      <c r="X30" s="186" t="str">
        <f t="shared" si="11"/>
        <v>--</v>
      </c>
      <c r="Y30" s="187" t="str">
        <f t="shared" si="12"/>
        <v>--</v>
      </c>
      <c r="Z30" s="188" t="str">
        <f t="shared" si="13"/>
        <v>--</v>
      </c>
      <c r="AA30" s="189" t="str">
        <f t="shared" si="14"/>
        <v>--</v>
      </c>
      <c r="AB30" s="190" t="str">
        <f t="shared" si="15"/>
        <v>--</v>
      </c>
      <c r="AC30" s="191" t="str">
        <f t="shared" si="16"/>
        <v>--</v>
      </c>
      <c r="AD30" s="192" t="s">
        <v>82</v>
      </c>
      <c r="AE30" s="193">
        <f t="shared" si="17"/>
        <v>367255.5175799999</v>
      </c>
      <c r="AF30" s="194"/>
    </row>
    <row r="31" spans="2:32" s="8" customFormat="1" ht="16.5" customHeight="1">
      <c r="B31" s="55"/>
      <c r="C31" s="151"/>
      <c r="D31" s="151"/>
      <c r="E31" s="151"/>
      <c r="F31" s="200"/>
      <c r="G31" s="201"/>
      <c r="H31" s="202"/>
      <c r="I31" s="201"/>
      <c r="J31" s="173"/>
      <c r="K31" s="174"/>
      <c r="L31" s="203"/>
      <c r="M31" s="204"/>
      <c r="N31" s="177"/>
      <c r="O31" s="178"/>
      <c r="P31" s="179"/>
      <c r="Q31" s="180"/>
      <c r="R31" s="181"/>
      <c r="S31" s="181"/>
      <c r="T31" s="182"/>
      <c r="U31" s="183"/>
      <c r="V31" s="184"/>
      <c r="W31" s="185"/>
      <c r="X31" s="186"/>
      <c r="Y31" s="187"/>
      <c r="Z31" s="188"/>
      <c r="AA31" s="189"/>
      <c r="AB31" s="190"/>
      <c r="AC31" s="191"/>
      <c r="AD31" s="192"/>
      <c r="AE31" s="193"/>
      <c r="AF31" s="194"/>
    </row>
    <row r="32" spans="2:32" s="8" customFormat="1" ht="16.5" customHeight="1">
      <c r="B32" s="55"/>
      <c r="C32" s="170">
        <v>11</v>
      </c>
      <c r="D32" s="170">
        <v>284208</v>
      </c>
      <c r="E32" s="170">
        <v>43</v>
      </c>
      <c r="F32" s="200" t="s">
        <v>194</v>
      </c>
      <c r="G32" s="201">
        <v>500</v>
      </c>
      <c r="H32" s="202">
        <v>256</v>
      </c>
      <c r="I32" s="201" t="s">
        <v>184</v>
      </c>
      <c r="J32" s="173">
        <f t="shared" si="0"/>
        <v>20</v>
      </c>
      <c r="K32" s="174">
        <f t="shared" si="1"/>
        <v>1111.19872</v>
      </c>
      <c r="L32" s="203">
        <v>42031.646527777775</v>
      </c>
      <c r="M32" s="204">
        <v>42031.739583333336</v>
      </c>
      <c r="N32" s="177">
        <f t="shared" si="2"/>
        <v>2.233333333453629</v>
      </c>
      <c r="O32" s="178">
        <f t="shared" si="3"/>
        <v>134</v>
      </c>
      <c r="P32" s="179" t="s">
        <v>185</v>
      </c>
      <c r="Q32" s="180" t="str">
        <f t="shared" si="4"/>
        <v>--</v>
      </c>
      <c r="R32" s="181" t="str">
        <f t="shared" si="5"/>
        <v>NO</v>
      </c>
      <c r="S32" s="181" t="str">
        <f t="shared" si="6"/>
        <v>NO</v>
      </c>
      <c r="T32" s="182" t="str">
        <f t="shared" si="7"/>
        <v>--</v>
      </c>
      <c r="U32" s="183" t="str">
        <f t="shared" si="8"/>
        <v>--</v>
      </c>
      <c r="V32" s="184">
        <f t="shared" si="9"/>
        <v>22223.974400000003</v>
      </c>
      <c r="W32" s="185">
        <f t="shared" si="10"/>
        <v>49559.462912</v>
      </c>
      <c r="X32" s="186" t="str">
        <f t="shared" si="11"/>
        <v>--</v>
      </c>
      <c r="Y32" s="187" t="str">
        <f t="shared" si="12"/>
        <v>--</v>
      </c>
      <c r="Z32" s="188" t="str">
        <f t="shared" si="13"/>
        <v>--</v>
      </c>
      <c r="AA32" s="189" t="str">
        <f t="shared" si="14"/>
        <v>--</v>
      </c>
      <c r="AB32" s="190" t="str">
        <f t="shared" si="15"/>
        <v>--</v>
      </c>
      <c r="AC32" s="191" t="str">
        <f t="shared" si="16"/>
        <v>--</v>
      </c>
      <c r="AD32" s="192" t="s">
        <v>82</v>
      </c>
      <c r="AE32" s="193">
        <f t="shared" si="17"/>
        <v>71783.43731200001</v>
      </c>
      <c r="AF32" s="194"/>
    </row>
    <row r="33" spans="2:32" s="8" customFormat="1" ht="16.5" customHeight="1">
      <c r="B33" s="55"/>
      <c r="C33" s="151"/>
      <c r="D33" s="151"/>
      <c r="E33" s="151"/>
      <c r="F33" s="200"/>
      <c r="G33" s="201"/>
      <c r="H33" s="202"/>
      <c r="I33" s="201"/>
      <c r="J33" s="173">
        <f t="shared" si="0"/>
        <v>20</v>
      </c>
      <c r="K33" s="174">
        <f t="shared" si="1"/>
        <v>361.726</v>
      </c>
      <c r="L33" s="203"/>
      <c r="M33" s="205"/>
      <c r="N33" s="177">
        <f t="shared" si="2"/>
      </c>
      <c r="O33" s="178">
        <f t="shared" si="3"/>
      </c>
      <c r="P33" s="179"/>
      <c r="Q33" s="180">
        <f t="shared" si="4"/>
      </c>
      <c r="R33" s="181">
        <f t="shared" si="5"/>
      </c>
      <c r="S33" s="181">
        <f t="shared" si="6"/>
      </c>
      <c r="T33" s="182" t="str">
        <f t="shared" si="7"/>
        <v>--</v>
      </c>
      <c r="U33" s="183" t="str">
        <f t="shared" si="8"/>
        <v>--</v>
      </c>
      <c r="V33" s="184" t="str">
        <f t="shared" si="9"/>
        <v>--</v>
      </c>
      <c r="W33" s="185" t="str">
        <f t="shared" si="10"/>
        <v>--</v>
      </c>
      <c r="X33" s="186" t="str">
        <f t="shared" si="11"/>
        <v>--</v>
      </c>
      <c r="Y33" s="187" t="str">
        <f t="shared" si="12"/>
        <v>--</v>
      </c>
      <c r="Z33" s="188" t="str">
        <f t="shared" si="13"/>
        <v>--</v>
      </c>
      <c r="AA33" s="189" t="str">
        <f t="shared" si="14"/>
        <v>--</v>
      </c>
      <c r="AB33" s="190" t="str">
        <f t="shared" si="15"/>
        <v>--</v>
      </c>
      <c r="AC33" s="191" t="str">
        <f t="shared" si="16"/>
        <v>--</v>
      </c>
      <c r="AD33" s="192">
        <f aca="true" t="shared" si="18" ref="AD33:AD41">IF(F33="","","SI")</f>
      </c>
      <c r="AE33" s="193">
        <f t="shared" si="17"/>
      </c>
      <c r="AF33" s="194"/>
    </row>
    <row r="34" spans="2:32" s="8" customFormat="1" ht="16.5" customHeight="1">
      <c r="B34" s="55"/>
      <c r="C34" s="170"/>
      <c r="D34" s="170"/>
      <c r="E34" s="170"/>
      <c r="F34" s="200"/>
      <c r="G34" s="201"/>
      <c r="H34" s="202"/>
      <c r="I34" s="201"/>
      <c r="J34" s="173">
        <f t="shared" si="0"/>
        <v>20</v>
      </c>
      <c r="K34" s="174">
        <f t="shared" si="1"/>
        <v>361.726</v>
      </c>
      <c r="L34" s="203"/>
      <c r="M34" s="205"/>
      <c r="N34" s="177">
        <f t="shared" si="2"/>
      </c>
      <c r="O34" s="178">
        <f t="shared" si="3"/>
      </c>
      <c r="P34" s="179"/>
      <c r="Q34" s="180">
        <f t="shared" si="4"/>
      </c>
      <c r="R34" s="181">
        <f t="shared" si="5"/>
      </c>
      <c r="S34" s="181">
        <f t="shared" si="6"/>
      </c>
      <c r="T34" s="182" t="str">
        <f t="shared" si="7"/>
        <v>--</v>
      </c>
      <c r="U34" s="183" t="str">
        <f t="shared" si="8"/>
        <v>--</v>
      </c>
      <c r="V34" s="184" t="str">
        <f t="shared" si="9"/>
        <v>--</v>
      </c>
      <c r="W34" s="185" t="str">
        <f t="shared" si="10"/>
        <v>--</v>
      </c>
      <c r="X34" s="186" t="str">
        <f t="shared" si="11"/>
        <v>--</v>
      </c>
      <c r="Y34" s="187" t="str">
        <f t="shared" si="12"/>
        <v>--</v>
      </c>
      <c r="Z34" s="188" t="str">
        <f t="shared" si="13"/>
        <v>--</v>
      </c>
      <c r="AA34" s="189" t="str">
        <f t="shared" si="14"/>
        <v>--</v>
      </c>
      <c r="AB34" s="190" t="str">
        <f t="shared" si="15"/>
        <v>--</v>
      </c>
      <c r="AC34" s="191" t="str">
        <f t="shared" si="16"/>
        <v>--</v>
      </c>
      <c r="AD34" s="192">
        <f t="shared" si="18"/>
      </c>
      <c r="AE34" s="193">
        <f t="shared" si="17"/>
      </c>
      <c r="AF34" s="194"/>
    </row>
    <row r="35" spans="2:32" s="8" customFormat="1" ht="16.5" customHeight="1">
      <c r="B35" s="55"/>
      <c r="C35" s="151"/>
      <c r="D35" s="151"/>
      <c r="E35" s="151"/>
      <c r="F35" s="200"/>
      <c r="G35" s="201"/>
      <c r="H35" s="202"/>
      <c r="I35" s="201"/>
      <c r="J35" s="173">
        <f t="shared" si="0"/>
        <v>20</v>
      </c>
      <c r="K35" s="174">
        <f t="shared" si="1"/>
        <v>361.726</v>
      </c>
      <c r="L35" s="203"/>
      <c r="M35" s="205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6"/>
      </c>
      <c r="T35" s="182" t="str">
        <f t="shared" si="7"/>
        <v>--</v>
      </c>
      <c r="U35" s="183" t="str">
        <f t="shared" si="8"/>
        <v>--</v>
      </c>
      <c r="V35" s="184" t="str">
        <f t="shared" si="9"/>
        <v>--</v>
      </c>
      <c r="W35" s="185" t="str">
        <f t="shared" si="10"/>
        <v>--</v>
      </c>
      <c r="X35" s="186" t="str">
        <f t="shared" si="11"/>
        <v>--</v>
      </c>
      <c r="Y35" s="187" t="str">
        <f t="shared" si="12"/>
        <v>--</v>
      </c>
      <c r="Z35" s="188" t="str">
        <f t="shared" si="13"/>
        <v>--</v>
      </c>
      <c r="AA35" s="189" t="str">
        <f t="shared" si="14"/>
        <v>--</v>
      </c>
      <c r="AB35" s="190" t="str">
        <f t="shared" si="15"/>
        <v>--</v>
      </c>
      <c r="AC35" s="191" t="str">
        <f t="shared" si="16"/>
        <v>--</v>
      </c>
      <c r="AD35" s="192">
        <f t="shared" si="18"/>
      </c>
      <c r="AE35" s="193">
        <f t="shared" si="17"/>
      </c>
      <c r="AF35" s="194"/>
    </row>
    <row r="36" spans="2:32" s="8" customFormat="1" ht="16.5" customHeight="1">
      <c r="B36" s="55"/>
      <c r="C36" s="170"/>
      <c r="D36" s="170"/>
      <c r="E36" s="170"/>
      <c r="F36" s="200"/>
      <c r="G36" s="201"/>
      <c r="H36" s="202"/>
      <c r="I36" s="201"/>
      <c r="J36" s="173">
        <f t="shared" si="0"/>
        <v>20</v>
      </c>
      <c r="K36" s="174">
        <f t="shared" si="1"/>
        <v>361.726</v>
      </c>
      <c r="L36" s="203"/>
      <c r="M36" s="205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6"/>
      </c>
      <c r="T36" s="182" t="str">
        <f t="shared" si="7"/>
        <v>--</v>
      </c>
      <c r="U36" s="183" t="str">
        <f t="shared" si="8"/>
        <v>--</v>
      </c>
      <c r="V36" s="184" t="str">
        <f t="shared" si="9"/>
        <v>--</v>
      </c>
      <c r="W36" s="185" t="str">
        <f t="shared" si="10"/>
        <v>--</v>
      </c>
      <c r="X36" s="186" t="str">
        <f t="shared" si="11"/>
        <v>--</v>
      </c>
      <c r="Y36" s="187" t="str">
        <f t="shared" si="12"/>
        <v>--</v>
      </c>
      <c r="Z36" s="188" t="str">
        <f t="shared" si="13"/>
        <v>--</v>
      </c>
      <c r="AA36" s="189" t="str">
        <f t="shared" si="14"/>
        <v>--</v>
      </c>
      <c r="AB36" s="190" t="str">
        <f t="shared" si="15"/>
        <v>--</v>
      </c>
      <c r="AC36" s="191" t="str">
        <f t="shared" si="16"/>
        <v>--</v>
      </c>
      <c r="AD36" s="192">
        <f t="shared" si="18"/>
      </c>
      <c r="AE36" s="193">
        <f t="shared" si="17"/>
      </c>
      <c r="AF36" s="194"/>
    </row>
    <row r="37" spans="2:32" s="8" customFormat="1" ht="16.5" customHeight="1">
      <c r="B37" s="55"/>
      <c r="C37" s="151"/>
      <c r="D37" s="151"/>
      <c r="E37" s="151"/>
      <c r="F37" s="200"/>
      <c r="G37" s="201"/>
      <c r="H37" s="202"/>
      <c r="I37" s="201"/>
      <c r="J37" s="173">
        <f t="shared" si="0"/>
        <v>20</v>
      </c>
      <c r="K37" s="174">
        <f t="shared" si="1"/>
        <v>361.726</v>
      </c>
      <c r="L37" s="203"/>
      <c r="M37" s="205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182" t="str">
        <f t="shared" si="7"/>
        <v>--</v>
      </c>
      <c r="U37" s="183" t="str">
        <f t="shared" si="8"/>
        <v>--</v>
      </c>
      <c r="V37" s="184" t="str">
        <f t="shared" si="9"/>
        <v>--</v>
      </c>
      <c r="W37" s="185" t="str">
        <f t="shared" si="10"/>
        <v>--</v>
      </c>
      <c r="X37" s="186" t="str">
        <f t="shared" si="11"/>
        <v>--</v>
      </c>
      <c r="Y37" s="187" t="str">
        <f t="shared" si="12"/>
        <v>--</v>
      </c>
      <c r="Z37" s="188" t="str">
        <f t="shared" si="13"/>
        <v>--</v>
      </c>
      <c r="AA37" s="189" t="str">
        <f t="shared" si="14"/>
        <v>--</v>
      </c>
      <c r="AB37" s="190" t="str">
        <f t="shared" si="15"/>
        <v>--</v>
      </c>
      <c r="AC37" s="191" t="str">
        <f t="shared" si="16"/>
        <v>--</v>
      </c>
      <c r="AD37" s="192">
        <f t="shared" si="18"/>
      </c>
      <c r="AE37" s="193">
        <f t="shared" si="17"/>
      </c>
      <c r="AF37" s="194"/>
    </row>
    <row r="38" spans="2:32" s="8" customFormat="1" ht="16.5" customHeight="1">
      <c r="B38" s="55"/>
      <c r="C38" s="170"/>
      <c r="D38" s="170"/>
      <c r="E38" s="170"/>
      <c r="F38" s="200"/>
      <c r="G38" s="201"/>
      <c r="H38" s="202"/>
      <c r="I38" s="201"/>
      <c r="J38" s="173">
        <f t="shared" si="0"/>
        <v>20</v>
      </c>
      <c r="K38" s="174">
        <f t="shared" si="1"/>
        <v>361.726</v>
      </c>
      <c r="L38" s="203"/>
      <c r="M38" s="205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182" t="str">
        <f t="shared" si="7"/>
        <v>--</v>
      </c>
      <c r="U38" s="183" t="str">
        <f t="shared" si="8"/>
        <v>--</v>
      </c>
      <c r="V38" s="184" t="str">
        <f t="shared" si="9"/>
        <v>--</v>
      </c>
      <c r="W38" s="185" t="str">
        <f t="shared" si="10"/>
        <v>--</v>
      </c>
      <c r="X38" s="186" t="str">
        <f t="shared" si="11"/>
        <v>--</v>
      </c>
      <c r="Y38" s="187" t="str">
        <f t="shared" si="12"/>
        <v>--</v>
      </c>
      <c r="Z38" s="188" t="str">
        <f t="shared" si="13"/>
        <v>--</v>
      </c>
      <c r="AA38" s="189" t="str">
        <f t="shared" si="14"/>
        <v>--</v>
      </c>
      <c r="AB38" s="190" t="str">
        <f t="shared" si="15"/>
        <v>--</v>
      </c>
      <c r="AC38" s="191" t="str">
        <f t="shared" si="16"/>
        <v>--</v>
      </c>
      <c r="AD38" s="192">
        <f t="shared" si="18"/>
      </c>
      <c r="AE38" s="193">
        <f t="shared" si="17"/>
      </c>
      <c r="AF38" s="194"/>
    </row>
    <row r="39" spans="2:32" s="8" customFormat="1" ht="16.5" customHeight="1">
      <c r="B39" s="55"/>
      <c r="C39" s="151"/>
      <c r="D39" s="151"/>
      <c r="E39" s="151"/>
      <c r="F39" s="200"/>
      <c r="G39" s="201"/>
      <c r="H39" s="202"/>
      <c r="I39" s="201"/>
      <c r="J39" s="173">
        <f t="shared" si="0"/>
        <v>20</v>
      </c>
      <c r="K39" s="174">
        <f t="shared" si="1"/>
        <v>361.726</v>
      </c>
      <c r="L39" s="203"/>
      <c r="M39" s="205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182" t="str">
        <f t="shared" si="7"/>
        <v>--</v>
      </c>
      <c r="U39" s="183" t="str">
        <f t="shared" si="8"/>
        <v>--</v>
      </c>
      <c r="V39" s="184" t="str">
        <f t="shared" si="9"/>
        <v>--</v>
      </c>
      <c r="W39" s="185" t="str">
        <f t="shared" si="10"/>
        <v>--</v>
      </c>
      <c r="X39" s="186" t="str">
        <f t="shared" si="11"/>
        <v>--</v>
      </c>
      <c r="Y39" s="187" t="str">
        <f t="shared" si="12"/>
        <v>--</v>
      </c>
      <c r="Z39" s="188" t="str">
        <f t="shared" si="13"/>
        <v>--</v>
      </c>
      <c r="AA39" s="189" t="str">
        <f t="shared" si="14"/>
        <v>--</v>
      </c>
      <c r="AB39" s="190" t="str">
        <f t="shared" si="15"/>
        <v>--</v>
      </c>
      <c r="AC39" s="191" t="str">
        <f t="shared" si="16"/>
        <v>--</v>
      </c>
      <c r="AD39" s="192">
        <f t="shared" si="18"/>
      </c>
      <c r="AE39" s="193">
        <f t="shared" si="17"/>
      </c>
      <c r="AF39" s="194"/>
    </row>
    <row r="40" spans="2:32" s="8" customFormat="1" ht="16.5" customHeight="1">
      <c r="B40" s="55"/>
      <c r="C40" s="170"/>
      <c r="D40" s="170"/>
      <c r="E40" s="170"/>
      <c r="F40" s="200"/>
      <c r="G40" s="201"/>
      <c r="H40" s="202"/>
      <c r="I40" s="201"/>
      <c r="J40" s="173">
        <f t="shared" si="0"/>
        <v>20</v>
      </c>
      <c r="K40" s="174">
        <f t="shared" si="1"/>
        <v>361.726</v>
      </c>
      <c r="L40" s="203"/>
      <c r="M40" s="205"/>
      <c r="N40" s="177">
        <f t="shared" si="2"/>
      </c>
      <c r="O40" s="178">
        <f t="shared" si="3"/>
      </c>
      <c r="P40" s="179"/>
      <c r="Q40" s="180">
        <f t="shared" si="4"/>
      </c>
      <c r="R40" s="181">
        <f t="shared" si="5"/>
      </c>
      <c r="S40" s="181">
        <f t="shared" si="6"/>
      </c>
      <c r="T40" s="182" t="str">
        <f t="shared" si="7"/>
        <v>--</v>
      </c>
      <c r="U40" s="183" t="str">
        <f t="shared" si="8"/>
        <v>--</v>
      </c>
      <c r="V40" s="184" t="str">
        <f t="shared" si="9"/>
        <v>--</v>
      </c>
      <c r="W40" s="185" t="str">
        <f t="shared" si="10"/>
        <v>--</v>
      </c>
      <c r="X40" s="186" t="str">
        <f t="shared" si="11"/>
        <v>--</v>
      </c>
      <c r="Y40" s="187" t="str">
        <f t="shared" si="12"/>
        <v>--</v>
      </c>
      <c r="Z40" s="188" t="str">
        <f t="shared" si="13"/>
        <v>--</v>
      </c>
      <c r="AA40" s="189" t="str">
        <f t="shared" si="14"/>
        <v>--</v>
      </c>
      <c r="AB40" s="190" t="str">
        <f t="shared" si="15"/>
        <v>--</v>
      </c>
      <c r="AC40" s="191" t="str">
        <f t="shared" si="16"/>
        <v>--</v>
      </c>
      <c r="AD40" s="192">
        <f t="shared" si="18"/>
      </c>
      <c r="AE40" s="193">
        <f t="shared" si="17"/>
      </c>
      <c r="AF40" s="194"/>
    </row>
    <row r="41" spans="2:32" s="8" customFormat="1" ht="16.5" customHeight="1">
      <c r="B41" s="55"/>
      <c r="C41" s="151"/>
      <c r="D41" s="151"/>
      <c r="E41" s="151"/>
      <c r="F41" s="200"/>
      <c r="G41" s="201"/>
      <c r="H41" s="202"/>
      <c r="I41" s="201"/>
      <c r="J41" s="173">
        <f t="shared" si="0"/>
        <v>20</v>
      </c>
      <c r="K41" s="174">
        <f t="shared" si="1"/>
        <v>361.726</v>
      </c>
      <c r="L41" s="203"/>
      <c r="M41" s="205"/>
      <c r="N41" s="177">
        <f t="shared" si="2"/>
      </c>
      <c r="O41" s="178">
        <f t="shared" si="3"/>
      </c>
      <c r="P41" s="179"/>
      <c r="Q41" s="180">
        <f t="shared" si="4"/>
      </c>
      <c r="R41" s="181">
        <f t="shared" si="5"/>
      </c>
      <c r="S41" s="181">
        <f t="shared" si="6"/>
      </c>
      <c r="T41" s="182" t="str">
        <f t="shared" si="7"/>
        <v>--</v>
      </c>
      <c r="U41" s="183" t="str">
        <f t="shared" si="8"/>
        <v>--</v>
      </c>
      <c r="V41" s="184" t="str">
        <f t="shared" si="9"/>
        <v>--</v>
      </c>
      <c r="W41" s="185" t="str">
        <f t="shared" si="10"/>
        <v>--</v>
      </c>
      <c r="X41" s="186" t="str">
        <f t="shared" si="11"/>
        <v>--</v>
      </c>
      <c r="Y41" s="187" t="str">
        <f t="shared" si="12"/>
        <v>--</v>
      </c>
      <c r="Z41" s="188" t="str">
        <f t="shared" si="13"/>
        <v>--</v>
      </c>
      <c r="AA41" s="189" t="str">
        <f t="shared" si="14"/>
        <v>--</v>
      </c>
      <c r="AB41" s="190" t="str">
        <f t="shared" si="15"/>
        <v>--</v>
      </c>
      <c r="AC41" s="191" t="str">
        <f t="shared" si="16"/>
        <v>--</v>
      </c>
      <c r="AD41" s="192">
        <f t="shared" si="18"/>
      </c>
      <c r="AE41" s="193">
        <f t="shared" si="17"/>
      </c>
      <c r="AF41" s="194"/>
    </row>
    <row r="42" spans="2:32" s="8" customFormat="1" ht="16.5" customHeight="1" thickBot="1">
      <c r="B42" s="55"/>
      <c r="C42" s="206"/>
      <c r="D42" s="207"/>
      <c r="E42" s="170"/>
      <c r="F42" s="208"/>
      <c r="G42" s="209"/>
      <c r="H42" s="210"/>
      <c r="I42" s="211"/>
      <c r="J42" s="212"/>
      <c r="K42" s="213"/>
      <c r="L42" s="214"/>
      <c r="M42" s="214"/>
      <c r="N42" s="215"/>
      <c r="O42" s="215"/>
      <c r="P42" s="216"/>
      <c r="Q42" s="217"/>
      <c r="R42" s="216"/>
      <c r="S42" s="216"/>
      <c r="T42" s="218"/>
      <c r="U42" s="219"/>
      <c r="V42" s="220"/>
      <c r="W42" s="221"/>
      <c r="X42" s="222"/>
      <c r="Y42" s="223"/>
      <c r="Z42" s="224"/>
      <c r="AA42" s="225"/>
      <c r="AB42" s="226"/>
      <c r="AC42" s="227"/>
      <c r="AD42" s="228"/>
      <c r="AE42" s="229"/>
      <c r="AF42" s="194"/>
    </row>
    <row r="43" spans="2:32" s="8" customFormat="1" ht="16.5" customHeight="1" thickBot="1" thickTop="1">
      <c r="B43" s="55"/>
      <c r="C43" s="230" t="s">
        <v>172</v>
      </c>
      <c r="D43" s="231" t="s">
        <v>347</v>
      </c>
      <c r="E43" s="230"/>
      <c r="F43" s="232"/>
      <c r="G43" s="233"/>
      <c r="H43" s="234"/>
      <c r="I43" s="235"/>
      <c r="J43" s="234"/>
      <c r="K43" s="236"/>
      <c r="L43" s="236"/>
      <c r="M43" s="236"/>
      <c r="N43" s="236"/>
      <c r="O43" s="236"/>
      <c r="P43" s="236"/>
      <c r="Q43" s="237"/>
      <c r="R43" s="236"/>
      <c r="S43" s="236"/>
      <c r="T43" s="238">
        <f aca="true" t="shared" si="19" ref="T43:AC43">SUM(T20:T42)</f>
        <v>3123.1422840000005</v>
      </c>
      <c r="U43" s="239">
        <f t="shared" si="19"/>
        <v>0</v>
      </c>
      <c r="V43" s="240">
        <f t="shared" si="19"/>
        <v>114158.306</v>
      </c>
      <c r="W43" s="240">
        <f t="shared" si="19"/>
        <v>434529.52800399996</v>
      </c>
      <c r="X43" s="240">
        <f t="shared" si="19"/>
        <v>12360.77796</v>
      </c>
      <c r="Y43" s="241">
        <f t="shared" si="19"/>
        <v>0</v>
      </c>
      <c r="Z43" s="241">
        <f t="shared" si="19"/>
        <v>0</v>
      </c>
      <c r="AA43" s="241">
        <f t="shared" si="19"/>
        <v>0</v>
      </c>
      <c r="AB43" s="242">
        <f t="shared" si="19"/>
        <v>0</v>
      </c>
      <c r="AC43" s="243">
        <f t="shared" si="19"/>
        <v>0</v>
      </c>
      <c r="AD43" s="244"/>
      <c r="AE43" s="245">
        <f>ROUND(SUM(AE20:AE42),2)</f>
        <v>561965.23</v>
      </c>
      <c r="AF43" s="194"/>
    </row>
    <row r="44" spans="2:32" s="8" customFormat="1" ht="16.5" customHeight="1" thickBot="1" thickTop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8"/>
    </row>
    <row r="45" spans="2:32" ht="16.5" customHeight="1" thickTop="1">
      <c r="B45" s="249"/>
      <c r="C45" s="249"/>
      <c r="D45" s="249"/>
      <c r="AF45" s="249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zoomScale="55" zoomScaleNormal="55" zoomScalePageLayoutView="0" workbookViewId="0" topLeftCell="A1">
      <selection activeCell="B3" sqref="B3"/>
    </sheetView>
  </sheetViews>
  <sheetFormatPr defaultColWidth="11.421875" defaultRowHeight="12.75" outlineLevelCol="1"/>
  <cols>
    <col min="1" max="2" width="8.00390625" style="928" customWidth="1"/>
    <col min="3" max="3" width="5.57421875" style="928" customWidth="1"/>
    <col min="4" max="5" width="13.57421875" style="928" customWidth="1"/>
    <col min="6" max="6" width="31.8515625" style="928" customWidth="1"/>
    <col min="7" max="7" width="32.140625" style="928" customWidth="1"/>
    <col min="8" max="10" width="17.140625" style="928" customWidth="1"/>
    <col min="11" max="12" width="9.7109375" style="928" customWidth="1"/>
    <col min="13" max="13" width="13.7109375" style="928" hidden="1" customWidth="1" outlineLevel="1"/>
    <col min="14" max="14" width="15.8515625" style="928" hidden="1" customWidth="1" outlineLevel="1"/>
    <col min="15" max="15" width="16.8515625" style="928" hidden="1" customWidth="1" outlineLevel="1"/>
    <col min="16" max="16" width="15.7109375" style="928" hidden="1" customWidth="1" outlineLevel="1"/>
    <col min="17" max="17" width="16.140625" style="928" hidden="1" customWidth="1" outlineLevel="1"/>
    <col min="18" max="18" width="15.7109375" style="928" customWidth="1" collapsed="1"/>
    <col min="19" max="19" width="8.00390625" style="928" customWidth="1"/>
    <col min="20" max="20" width="15.7109375" style="928" customWidth="1"/>
    <col min="21" max="21" width="30.421875" style="928" customWidth="1"/>
    <col min="22" max="22" width="3.140625" style="928" customWidth="1"/>
    <col min="23" max="23" width="3.57421875" style="928" customWidth="1"/>
    <col min="24" max="24" width="24.28125" style="928" customWidth="1"/>
    <col min="25" max="25" width="4.7109375" style="928" customWidth="1"/>
    <col min="26" max="26" width="7.57421875" style="928" customWidth="1"/>
    <col min="27" max="28" width="4.140625" style="928" customWidth="1"/>
    <col min="29" max="29" width="7.140625" style="928" customWidth="1"/>
    <col min="30" max="30" width="5.28125" style="928" customWidth="1"/>
    <col min="31" max="31" width="5.421875" style="928" customWidth="1"/>
    <col min="32" max="32" width="4.7109375" style="928" customWidth="1"/>
    <col min="33" max="33" width="5.28125" style="928" customWidth="1"/>
    <col min="34" max="35" width="13.28125" style="928" customWidth="1"/>
    <col min="36" max="36" width="6.57421875" style="928" customWidth="1"/>
    <col min="37" max="37" width="6.421875" style="928" customWidth="1"/>
    <col min="38" max="41" width="11.421875" style="928" customWidth="1"/>
    <col min="42" max="42" width="12.7109375" style="928" customWidth="1"/>
    <col min="43" max="45" width="11.421875" style="928" customWidth="1"/>
    <col min="46" max="46" width="21.00390625" style="928" customWidth="1"/>
    <col min="47" max="16384" width="11.421875" style="928" customWidth="1"/>
  </cols>
  <sheetData>
    <row r="1" spans="1:20" ht="27.75" customHeight="1">
      <c r="A1" s="927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30"/>
    </row>
    <row r="2" spans="1:20" ht="27.75" customHeight="1">
      <c r="A2" s="931"/>
      <c r="B2" s="932" t="str">
        <f>'TOT-0115'!B2</f>
        <v>ANEXO II al Memorándum D.T.E.E. N°  90 /2016</v>
      </c>
      <c r="C2" s="933"/>
      <c r="D2" s="933"/>
      <c r="E2" s="933"/>
      <c r="F2" s="933"/>
      <c r="G2" s="933"/>
      <c r="H2" s="933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</row>
    <row r="3" spans="1:20" ht="12.75">
      <c r="A3" s="931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</row>
    <row r="4" spans="1:2" s="937" customFormat="1" ht="11.25">
      <c r="A4" s="935" t="s">
        <v>2</v>
      </c>
      <c r="B4" s="936"/>
    </row>
    <row r="5" spans="1:2" s="937" customFormat="1" ht="11.25">
      <c r="A5" s="938"/>
      <c r="B5" s="938" t="s">
        <v>3</v>
      </c>
    </row>
    <row r="6" spans="9:20" ht="13.5" thickBot="1"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</row>
    <row r="7" spans="2:19" ht="13.5" thickTop="1">
      <c r="B7" s="939"/>
      <c r="C7" s="940"/>
      <c r="D7" s="940"/>
      <c r="E7" s="940"/>
      <c r="F7" s="940"/>
      <c r="G7" s="940"/>
      <c r="H7" s="940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2"/>
    </row>
    <row r="8" spans="2:19" ht="20.25">
      <c r="B8" s="943"/>
      <c r="F8" s="944" t="s">
        <v>24</v>
      </c>
      <c r="G8" s="944"/>
      <c r="I8" s="945"/>
      <c r="J8" s="933"/>
      <c r="K8" s="933"/>
      <c r="L8" s="933"/>
      <c r="M8" s="946"/>
      <c r="N8" s="946"/>
      <c r="O8" s="946"/>
      <c r="P8" s="946"/>
      <c r="Q8" s="946"/>
      <c r="R8" s="946"/>
      <c r="S8" s="947"/>
    </row>
    <row r="9" spans="2:19" ht="20.25">
      <c r="B9" s="943"/>
      <c r="C9" s="948"/>
      <c r="D9" s="948"/>
      <c r="E9" s="948"/>
      <c r="F9" s="949"/>
      <c r="G9" s="949"/>
      <c r="H9" s="948"/>
      <c r="I9" s="950"/>
      <c r="M9" s="951"/>
      <c r="N9" s="951"/>
      <c r="O9" s="951"/>
      <c r="P9" s="951"/>
      <c r="Q9" s="951"/>
      <c r="R9" s="951"/>
      <c r="S9" s="952"/>
    </row>
    <row r="10" spans="2:25" s="950" customFormat="1" ht="20.25">
      <c r="B10" s="953"/>
      <c r="F10" s="954" t="s">
        <v>156</v>
      </c>
      <c r="H10" s="955"/>
      <c r="I10" s="956"/>
      <c r="J10" s="956"/>
      <c r="K10" s="956"/>
      <c r="L10" s="956"/>
      <c r="M10" s="956"/>
      <c r="N10" s="956"/>
      <c r="O10" s="956"/>
      <c r="P10" s="956"/>
      <c r="Q10" s="956"/>
      <c r="R10" s="956"/>
      <c r="S10" s="957"/>
      <c r="T10" s="948"/>
      <c r="U10" s="948"/>
      <c r="V10" s="948"/>
      <c r="W10" s="948"/>
      <c r="X10" s="948"/>
      <c r="Y10" s="928"/>
    </row>
    <row r="11" spans="2:25" s="958" customFormat="1" ht="16.5" customHeight="1">
      <c r="B11" s="959"/>
      <c r="C11" s="960"/>
      <c r="D11" s="960"/>
      <c r="E11" s="960"/>
      <c r="F11" s="961"/>
      <c r="H11" s="962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4"/>
      <c r="T11" s="960"/>
      <c r="U11" s="960"/>
      <c r="V11" s="960"/>
      <c r="W11" s="960"/>
      <c r="X11" s="960"/>
      <c r="Y11" s="928"/>
    </row>
    <row r="12" spans="2:19" ht="20.25">
      <c r="B12" s="943"/>
      <c r="F12" s="954" t="s">
        <v>157</v>
      </c>
      <c r="G12" s="954"/>
      <c r="H12" s="948"/>
      <c r="I12" s="948"/>
      <c r="J12" s="951"/>
      <c r="K12" s="951"/>
      <c r="L12" s="951"/>
      <c r="M12" s="951"/>
      <c r="N12" s="951"/>
      <c r="O12" s="951"/>
      <c r="P12" s="951"/>
      <c r="Q12" s="951"/>
      <c r="R12" s="951"/>
      <c r="S12" s="952"/>
    </row>
    <row r="13" spans="2:19" ht="20.25">
      <c r="B13" s="943"/>
      <c r="C13" s="948"/>
      <c r="D13" s="948"/>
      <c r="E13" s="948"/>
      <c r="F13" s="948"/>
      <c r="G13" s="948"/>
      <c r="H13" s="948"/>
      <c r="I13" s="956"/>
      <c r="J13" s="965"/>
      <c r="K13" s="965"/>
      <c r="L13" s="965"/>
      <c r="M13" s="965"/>
      <c r="N13" s="951"/>
      <c r="O13" s="951"/>
      <c r="P13" s="951"/>
      <c r="Q13" s="951"/>
      <c r="R13" s="951"/>
      <c r="S13" s="952"/>
    </row>
    <row r="14" spans="2:19" ht="16.5" customHeight="1">
      <c r="B14" s="35" t="str">
        <f>'TOT-0115'!B14</f>
        <v>Desde el 01 al 31 de enero de 2015</v>
      </c>
      <c r="C14" s="966"/>
      <c r="D14" s="966"/>
      <c r="E14" s="966"/>
      <c r="F14" s="966"/>
      <c r="G14" s="966"/>
      <c r="H14" s="966"/>
      <c r="I14" s="933"/>
      <c r="J14" s="946"/>
      <c r="K14" s="946"/>
      <c r="L14" s="946"/>
      <c r="M14" s="933"/>
      <c r="N14" s="946"/>
      <c r="O14" s="946"/>
      <c r="P14" s="946"/>
      <c r="Q14" s="946"/>
      <c r="R14" s="946"/>
      <c r="S14" s="947"/>
    </row>
    <row r="15" spans="2:19" ht="17.25" customHeight="1" thickBot="1">
      <c r="B15" s="943"/>
      <c r="C15" s="967"/>
      <c r="D15" s="967"/>
      <c r="E15" s="967"/>
      <c r="F15" s="967"/>
      <c r="G15" s="967"/>
      <c r="H15" s="967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2"/>
    </row>
    <row r="16" spans="2:19" ht="16.5" customHeight="1" thickBot="1" thickTop="1">
      <c r="B16" s="943"/>
      <c r="F16" s="968" t="s">
        <v>158</v>
      </c>
      <c r="G16" s="969">
        <v>54741</v>
      </c>
      <c r="N16" s="951"/>
      <c r="O16" s="951"/>
      <c r="P16" s="951"/>
      <c r="Q16" s="951"/>
      <c r="R16" s="929"/>
      <c r="S16" s="952"/>
    </row>
    <row r="17" spans="2:19" ht="14.25" thickBot="1" thickTop="1">
      <c r="B17" s="943"/>
      <c r="C17" s="967"/>
      <c r="D17" s="967"/>
      <c r="E17" s="967"/>
      <c r="F17" s="967"/>
      <c r="G17" s="967"/>
      <c r="H17" s="967"/>
      <c r="I17" s="951"/>
      <c r="J17" s="951"/>
      <c r="K17" s="951"/>
      <c r="L17" s="951"/>
      <c r="M17" s="970"/>
      <c r="N17" s="951"/>
      <c r="O17" s="951"/>
      <c r="P17" s="951"/>
      <c r="Q17" s="951"/>
      <c r="R17" s="951"/>
      <c r="S17" s="952"/>
    </row>
    <row r="18" spans="2:19" ht="33.75" customHeight="1" thickBot="1" thickTop="1">
      <c r="B18" s="943"/>
      <c r="C18" s="971" t="s">
        <v>29</v>
      </c>
      <c r="D18" s="112" t="s">
        <v>30</v>
      </c>
      <c r="E18" s="112" t="s">
        <v>31</v>
      </c>
      <c r="F18" s="972" t="s">
        <v>59</v>
      </c>
      <c r="G18" s="973" t="s">
        <v>159</v>
      </c>
      <c r="H18" s="972" t="s">
        <v>37</v>
      </c>
      <c r="I18" s="974" t="s">
        <v>38</v>
      </c>
      <c r="J18" s="973" t="s">
        <v>39</v>
      </c>
      <c r="K18" s="973" t="s">
        <v>40</v>
      </c>
      <c r="L18" s="973" t="s">
        <v>171</v>
      </c>
      <c r="M18" s="975" t="s">
        <v>160</v>
      </c>
      <c r="N18" s="976" t="s">
        <v>161</v>
      </c>
      <c r="O18" s="977"/>
      <c r="P18" s="978" t="s">
        <v>162</v>
      </c>
      <c r="Q18" s="979" t="s">
        <v>163</v>
      </c>
      <c r="R18" s="980" t="s">
        <v>51</v>
      </c>
      <c r="S18" s="981"/>
    </row>
    <row r="19" spans="2:19" ht="16.5" customHeight="1" thickTop="1">
      <c r="B19" s="943"/>
      <c r="C19" s="982"/>
      <c r="D19" s="983"/>
      <c r="E19" s="983"/>
      <c r="F19" s="984"/>
      <c r="G19" s="984"/>
      <c r="H19" s="983"/>
      <c r="I19" s="985"/>
      <c r="J19" s="982"/>
      <c r="K19" s="982"/>
      <c r="L19" s="982"/>
      <c r="M19" s="986"/>
      <c r="N19" s="987"/>
      <c r="O19" s="987"/>
      <c r="P19" s="988"/>
      <c r="Q19" s="989"/>
      <c r="R19" s="990"/>
      <c r="S19" s="991"/>
    </row>
    <row r="20" spans="2:19" ht="16.5" customHeight="1">
      <c r="B20" s="943"/>
      <c r="C20" s="992"/>
      <c r="D20" s="993"/>
      <c r="E20" s="993"/>
      <c r="F20" s="994"/>
      <c r="G20" s="994"/>
      <c r="H20" s="993"/>
      <c r="I20" s="995"/>
      <c r="J20" s="996"/>
      <c r="K20" s="996"/>
      <c r="L20" s="996"/>
      <c r="M20" s="997"/>
      <c r="N20" s="998"/>
      <c r="O20" s="998"/>
      <c r="P20" s="999"/>
      <c r="Q20" s="1000"/>
      <c r="R20" s="1001"/>
      <c r="S20" s="991"/>
    </row>
    <row r="21" spans="2:19" ht="16.5" customHeight="1">
      <c r="B21" s="943"/>
      <c r="C21" s="1002">
        <v>76</v>
      </c>
      <c r="D21" s="1003">
        <v>283373</v>
      </c>
      <c r="E21" s="1003">
        <v>4421</v>
      </c>
      <c r="F21" s="1003" t="s">
        <v>265</v>
      </c>
      <c r="G21" s="1004"/>
      <c r="H21" s="1005">
        <v>42005.43541666667</v>
      </c>
      <c r="I21" s="1006">
        <v>42005.436111111114</v>
      </c>
      <c r="J21" s="1007">
        <f aca="true" t="shared" si="0" ref="J21:J30">IF(F21="","",ROUND((I21-H21)*24,2))</f>
        <v>0.02</v>
      </c>
      <c r="K21" s="1008">
        <f aca="true" t="shared" si="1" ref="K21:K30">IF(F21="","",ROUND((I21-H21)*24*60,0))</f>
        <v>1</v>
      </c>
      <c r="L21" s="1009" t="s">
        <v>185</v>
      </c>
      <c r="M21" s="1010">
        <f aca="true" t="shared" si="2" ref="M21:M31">IF(F21="","--",IF(J21&gt;24,2,1))</f>
        <v>1</v>
      </c>
      <c r="N21" s="1011" t="str">
        <f aca="true" t="shared" si="3" ref="N21:N31">IF(L21="FC",ROUND(0.1*$G$16,2),"--")</f>
        <v>--</v>
      </c>
      <c r="O21" s="1011">
        <f aca="true" t="shared" si="4" ref="O21:O31">IF(L21="F",ROUND(0.1*$G$16,2),"--")</f>
        <v>5474.1</v>
      </c>
      <c r="P21" s="1012" t="str">
        <f aca="true" t="shared" si="5" ref="P21:P31">IF(L21="FI",ROUND(0.05*$G$16,2),"--")</f>
        <v>--</v>
      </c>
      <c r="Q21" s="1013" t="str">
        <f aca="true" t="shared" si="6" ref="Q21:Q31">IF(L21="P",ROUND(0.01*$G$16,2),"--")</f>
        <v>--</v>
      </c>
      <c r="R21" s="1014">
        <f aca="true" t="shared" si="7" ref="R21:R30">IF(F21="","",IF(L21="","??????",SUM(N21:Q21)*M21))</f>
        <v>5474.1</v>
      </c>
      <c r="S21" s="1015"/>
    </row>
    <row r="22" spans="2:19" ht="16.5" customHeight="1">
      <c r="B22" s="943"/>
      <c r="C22" s="992"/>
      <c r="D22" s="993"/>
      <c r="E22" s="993"/>
      <c r="F22" s="1003"/>
      <c r="G22" s="1003"/>
      <c r="H22" s="1005"/>
      <c r="I22" s="1006"/>
      <c r="J22" s="1007">
        <f t="shared" si="0"/>
      </c>
      <c r="K22" s="1008">
        <f t="shared" si="1"/>
      </c>
      <c r="L22" s="1009"/>
      <c r="M22" s="1010" t="str">
        <f t="shared" si="2"/>
        <v>--</v>
      </c>
      <c r="N22" s="1011" t="str">
        <f t="shared" si="3"/>
        <v>--</v>
      </c>
      <c r="O22" s="1011" t="str">
        <f t="shared" si="4"/>
        <v>--</v>
      </c>
      <c r="P22" s="1012" t="str">
        <f t="shared" si="5"/>
        <v>--</v>
      </c>
      <c r="Q22" s="1013" t="str">
        <f t="shared" si="6"/>
        <v>--</v>
      </c>
      <c r="R22" s="1014">
        <f t="shared" si="7"/>
      </c>
      <c r="S22" s="1015"/>
    </row>
    <row r="23" spans="2:19" ht="16.5" customHeight="1">
      <c r="B23" s="943"/>
      <c r="C23" s="992"/>
      <c r="D23" s="993"/>
      <c r="E23" s="993"/>
      <c r="F23" s="1003"/>
      <c r="G23" s="1004"/>
      <c r="H23" s="1005"/>
      <c r="I23" s="1006"/>
      <c r="J23" s="1007">
        <f t="shared" si="0"/>
      </c>
      <c r="K23" s="1008">
        <f t="shared" si="1"/>
      </c>
      <c r="L23" s="1009"/>
      <c r="M23" s="1010" t="str">
        <f t="shared" si="2"/>
        <v>--</v>
      </c>
      <c r="N23" s="1011" t="str">
        <f t="shared" si="3"/>
        <v>--</v>
      </c>
      <c r="O23" s="1011" t="str">
        <f t="shared" si="4"/>
        <v>--</v>
      </c>
      <c r="P23" s="1012" t="str">
        <f t="shared" si="5"/>
        <v>--</v>
      </c>
      <c r="Q23" s="1013" t="str">
        <f t="shared" si="6"/>
        <v>--</v>
      </c>
      <c r="R23" s="1014">
        <f t="shared" si="7"/>
      </c>
      <c r="S23" s="1015"/>
    </row>
    <row r="24" spans="2:19" ht="16.5" customHeight="1">
      <c r="B24" s="943"/>
      <c r="C24" s="1002"/>
      <c r="D24" s="1003"/>
      <c r="E24" s="1003"/>
      <c r="F24" s="1003"/>
      <c r="G24" s="1004"/>
      <c r="H24" s="1005"/>
      <c r="I24" s="1006"/>
      <c r="J24" s="1007">
        <f t="shared" si="0"/>
      </c>
      <c r="K24" s="1008">
        <f t="shared" si="1"/>
      </c>
      <c r="L24" s="1009"/>
      <c r="M24" s="1010" t="str">
        <f t="shared" si="2"/>
        <v>--</v>
      </c>
      <c r="N24" s="1011" t="str">
        <f t="shared" si="3"/>
        <v>--</v>
      </c>
      <c r="O24" s="1011" t="str">
        <f t="shared" si="4"/>
        <v>--</v>
      </c>
      <c r="P24" s="1012" t="str">
        <f t="shared" si="5"/>
        <v>--</v>
      </c>
      <c r="Q24" s="1013" t="str">
        <f t="shared" si="6"/>
        <v>--</v>
      </c>
      <c r="R24" s="1014">
        <f t="shared" si="7"/>
      </c>
      <c r="S24" s="1015"/>
    </row>
    <row r="25" spans="2:19" ht="16.5" customHeight="1">
      <c r="B25" s="943"/>
      <c r="C25" s="992"/>
      <c r="D25" s="993"/>
      <c r="E25" s="993"/>
      <c r="F25" s="1003"/>
      <c r="G25" s="1004"/>
      <c r="H25" s="1005"/>
      <c r="I25" s="1006"/>
      <c r="J25" s="1007">
        <f t="shared" si="0"/>
      </c>
      <c r="K25" s="1008">
        <f t="shared" si="1"/>
      </c>
      <c r="L25" s="1009"/>
      <c r="M25" s="1010" t="str">
        <f t="shared" si="2"/>
        <v>--</v>
      </c>
      <c r="N25" s="1011" t="str">
        <f t="shared" si="3"/>
        <v>--</v>
      </c>
      <c r="O25" s="1011" t="str">
        <f t="shared" si="4"/>
        <v>--</v>
      </c>
      <c r="P25" s="1012" t="str">
        <f t="shared" si="5"/>
        <v>--</v>
      </c>
      <c r="Q25" s="1013" t="str">
        <f t="shared" si="6"/>
        <v>--</v>
      </c>
      <c r="R25" s="1014">
        <f t="shared" si="7"/>
      </c>
      <c r="S25" s="1015"/>
    </row>
    <row r="26" spans="2:19" ht="16.5" customHeight="1">
      <c r="B26" s="943"/>
      <c r="C26" s="992"/>
      <c r="D26" s="993"/>
      <c r="E26" s="993"/>
      <c r="F26" s="1003"/>
      <c r="G26" s="1004"/>
      <c r="H26" s="1005"/>
      <c r="I26" s="1006"/>
      <c r="J26" s="1007">
        <f t="shared" si="0"/>
      </c>
      <c r="K26" s="1008">
        <f t="shared" si="1"/>
      </c>
      <c r="L26" s="1009"/>
      <c r="M26" s="1010" t="str">
        <f t="shared" si="2"/>
        <v>--</v>
      </c>
      <c r="N26" s="1011" t="str">
        <f t="shared" si="3"/>
        <v>--</v>
      </c>
      <c r="O26" s="1011" t="str">
        <f t="shared" si="4"/>
        <v>--</v>
      </c>
      <c r="P26" s="1012" t="str">
        <f t="shared" si="5"/>
        <v>--</v>
      </c>
      <c r="Q26" s="1013" t="str">
        <f t="shared" si="6"/>
        <v>--</v>
      </c>
      <c r="R26" s="1014">
        <f t="shared" si="7"/>
      </c>
      <c r="S26" s="1015"/>
    </row>
    <row r="27" spans="2:19" ht="16.5" customHeight="1">
      <c r="B27" s="943"/>
      <c r="C27" s="1002"/>
      <c r="D27" s="1003"/>
      <c r="E27" s="1003"/>
      <c r="F27" s="1003"/>
      <c r="G27" s="1004"/>
      <c r="H27" s="1005"/>
      <c r="I27" s="1006"/>
      <c r="J27" s="1007">
        <f t="shared" si="0"/>
      </c>
      <c r="K27" s="1008">
        <f t="shared" si="1"/>
      </c>
      <c r="L27" s="1009"/>
      <c r="M27" s="1010" t="str">
        <f t="shared" si="2"/>
        <v>--</v>
      </c>
      <c r="N27" s="1011" t="str">
        <f t="shared" si="3"/>
        <v>--</v>
      </c>
      <c r="O27" s="1011" t="str">
        <f t="shared" si="4"/>
        <v>--</v>
      </c>
      <c r="P27" s="1012" t="str">
        <f t="shared" si="5"/>
        <v>--</v>
      </c>
      <c r="Q27" s="1013" t="str">
        <f t="shared" si="6"/>
        <v>--</v>
      </c>
      <c r="R27" s="1014">
        <f t="shared" si="7"/>
      </c>
      <c r="S27" s="1015"/>
    </row>
    <row r="28" spans="2:19" ht="16.5" customHeight="1">
      <c r="B28" s="943"/>
      <c r="C28" s="992"/>
      <c r="D28" s="993"/>
      <c r="E28" s="993"/>
      <c r="F28" s="1003"/>
      <c r="G28" s="1004"/>
      <c r="H28" s="1005"/>
      <c r="I28" s="1006"/>
      <c r="J28" s="1007">
        <f t="shared" si="0"/>
      </c>
      <c r="K28" s="1008">
        <f t="shared" si="1"/>
      </c>
      <c r="L28" s="1009"/>
      <c r="M28" s="1010" t="str">
        <f t="shared" si="2"/>
        <v>--</v>
      </c>
      <c r="N28" s="1011" t="str">
        <f t="shared" si="3"/>
        <v>--</v>
      </c>
      <c r="O28" s="1011" t="str">
        <f t="shared" si="4"/>
        <v>--</v>
      </c>
      <c r="P28" s="1012" t="str">
        <f t="shared" si="5"/>
        <v>--</v>
      </c>
      <c r="Q28" s="1013" t="str">
        <f t="shared" si="6"/>
        <v>--</v>
      </c>
      <c r="R28" s="1014">
        <f t="shared" si="7"/>
      </c>
      <c r="S28" s="1015"/>
    </row>
    <row r="29" spans="2:19" ht="16.5" customHeight="1">
      <c r="B29" s="943"/>
      <c r="C29" s="992"/>
      <c r="D29" s="993"/>
      <c r="E29" s="993"/>
      <c r="F29" s="1003"/>
      <c r="G29" s="1004"/>
      <c r="H29" s="1005"/>
      <c r="I29" s="1006"/>
      <c r="J29" s="1007">
        <f t="shared" si="0"/>
      </c>
      <c r="K29" s="1008">
        <f t="shared" si="1"/>
      </c>
      <c r="L29" s="1009"/>
      <c r="M29" s="1010" t="str">
        <f t="shared" si="2"/>
        <v>--</v>
      </c>
      <c r="N29" s="1011" t="str">
        <f t="shared" si="3"/>
        <v>--</v>
      </c>
      <c r="O29" s="1011" t="str">
        <f t="shared" si="4"/>
        <v>--</v>
      </c>
      <c r="P29" s="1012" t="str">
        <f t="shared" si="5"/>
        <v>--</v>
      </c>
      <c r="Q29" s="1013" t="str">
        <f t="shared" si="6"/>
        <v>--</v>
      </c>
      <c r="R29" s="1014">
        <f t="shared" si="7"/>
      </c>
      <c r="S29" s="1015"/>
    </row>
    <row r="30" spans="2:19" ht="16.5" customHeight="1" thickBot="1">
      <c r="B30" s="943"/>
      <c r="C30" s="1016"/>
      <c r="D30" s="1017"/>
      <c r="E30" s="1017"/>
      <c r="F30" s="1017"/>
      <c r="G30" s="1018"/>
      <c r="H30" s="1019"/>
      <c r="I30" s="1020"/>
      <c r="J30" s="1021">
        <f t="shared" si="0"/>
      </c>
      <c r="K30" s="1022">
        <f t="shared" si="1"/>
      </c>
      <c r="L30" s="1023"/>
      <c r="M30" s="1024" t="str">
        <f t="shared" si="2"/>
        <v>--</v>
      </c>
      <c r="N30" s="1025" t="str">
        <f t="shared" si="3"/>
        <v>--</v>
      </c>
      <c r="O30" s="1025" t="str">
        <f t="shared" si="4"/>
        <v>--</v>
      </c>
      <c r="P30" s="1026" t="str">
        <f t="shared" si="5"/>
        <v>--</v>
      </c>
      <c r="Q30" s="1027" t="str">
        <f t="shared" si="6"/>
        <v>--</v>
      </c>
      <c r="R30" s="1028">
        <f t="shared" si="7"/>
      </c>
      <c r="S30" s="1015"/>
    </row>
    <row r="31" spans="2:19" ht="16.5" customHeight="1" thickBot="1" thickTop="1">
      <c r="B31" s="943"/>
      <c r="C31" s="1029"/>
      <c r="D31" s="1029"/>
      <c r="E31" s="1029"/>
      <c r="F31" s="1030"/>
      <c r="G31" s="1030"/>
      <c r="H31" s="1031"/>
      <c r="I31" s="1031"/>
      <c r="J31" s="1031"/>
      <c r="K31" s="1031"/>
      <c r="L31" s="1032"/>
      <c r="M31" s="1033" t="str">
        <f t="shared" si="2"/>
        <v>--</v>
      </c>
      <c r="N31" s="1034" t="str">
        <f t="shared" si="3"/>
        <v>--</v>
      </c>
      <c r="O31" s="1034" t="str">
        <f t="shared" si="4"/>
        <v>--</v>
      </c>
      <c r="P31" s="1035" t="str">
        <f t="shared" si="5"/>
        <v>--</v>
      </c>
      <c r="Q31" s="1036" t="str">
        <f t="shared" si="6"/>
        <v>--</v>
      </c>
      <c r="R31" s="1037">
        <f>SUM(R20:R30)</f>
        <v>5474.1</v>
      </c>
      <c r="S31" s="1015"/>
    </row>
    <row r="32" spans="2:19" ht="16.5" customHeight="1" thickTop="1">
      <c r="B32" s="943"/>
      <c r="C32" s="1029"/>
      <c r="D32" s="1029"/>
      <c r="E32" s="1029"/>
      <c r="F32" s="1030"/>
      <c r="G32" s="1030"/>
      <c r="H32" s="1031"/>
      <c r="I32" s="1031"/>
      <c r="J32" s="1031"/>
      <c r="K32" s="1031"/>
      <c r="L32" s="1032"/>
      <c r="M32" s="1033"/>
      <c r="N32" s="1034"/>
      <c r="O32" s="1034"/>
      <c r="P32" s="1035"/>
      <c r="Q32" s="1036"/>
      <c r="R32" s="1038"/>
      <c r="S32" s="1015"/>
    </row>
    <row r="33" spans="2:19" ht="16.5" customHeight="1">
      <c r="B33" s="943"/>
      <c r="C33" s="1029"/>
      <c r="D33" s="1029"/>
      <c r="E33" s="1029"/>
      <c r="F33" s="1030"/>
      <c r="G33" s="1030"/>
      <c r="H33" s="1031"/>
      <c r="I33" s="1031"/>
      <c r="J33" s="1031"/>
      <c r="K33" s="1031"/>
      <c r="L33" s="1032"/>
      <c r="M33" s="1033" t="str">
        <f>IF(F33="","--",IF(J33&gt;24,2,1))</f>
        <v>--</v>
      </c>
      <c r="N33" s="1034" t="str">
        <f>IF(L33="FC",ROUND(0.1*$G$16,2),"--")</f>
        <v>--</v>
      </c>
      <c r="O33" s="1034" t="str">
        <f>IF(L33="F",ROUND(0.1*$G$16,2),"--")</f>
        <v>--</v>
      </c>
      <c r="P33" s="1035" t="str">
        <f>IF(L33="FI",ROUND(0.05*$G$16,2),"--")</f>
        <v>--</v>
      </c>
      <c r="Q33" s="1036" t="str">
        <f>IF(L33="P",ROUND(0.01*$G$16,2),"--")</f>
        <v>--</v>
      </c>
      <c r="R33" s="1039">
        <f>IF(F33="","",IF(L33="","??????",SUM(N33:Q33)*M33))</f>
      </c>
      <c r="S33" s="1015"/>
    </row>
    <row r="34" spans="2:19" ht="16.5" customHeight="1">
      <c r="B34" s="943"/>
      <c r="C34" s="1029"/>
      <c r="D34" s="1029"/>
      <c r="E34" s="1029"/>
      <c r="F34" s="954" t="s">
        <v>164</v>
      </c>
      <c r="G34" s="1030"/>
      <c r="H34" s="1031"/>
      <c r="I34" s="1031"/>
      <c r="J34" s="1031"/>
      <c r="K34" s="1031"/>
      <c r="L34" s="1032"/>
      <c r="M34" s="1033"/>
      <c r="N34" s="1034"/>
      <c r="O34" s="1034"/>
      <c r="P34" s="1035"/>
      <c r="Q34" s="1036"/>
      <c r="R34" s="1039"/>
      <c r="S34" s="1015"/>
    </row>
    <row r="35" spans="2:19" ht="16.5" customHeight="1">
      <c r="B35" s="943"/>
      <c r="C35" s="1029"/>
      <c r="D35" s="1029"/>
      <c r="E35" s="1029"/>
      <c r="F35" s="954"/>
      <c r="G35" s="1030"/>
      <c r="H35" s="1031"/>
      <c r="I35" s="1031"/>
      <c r="J35" s="1031"/>
      <c r="K35" s="1031"/>
      <c r="L35" s="1032"/>
      <c r="M35" s="1033"/>
      <c r="N35" s="1034"/>
      <c r="O35" s="1034"/>
      <c r="P35" s="1035"/>
      <c r="Q35" s="1036"/>
      <c r="R35" s="1039"/>
      <c r="S35" s="1015"/>
    </row>
    <row r="36" spans="2:19" ht="16.5" customHeight="1" thickBot="1">
      <c r="B36" s="943"/>
      <c r="C36" s="1029"/>
      <c r="D36" s="1029"/>
      <c r="E36" s="1029"/>
      <c r="F36" s="1030"/>
      <c r="G36" s="1030"/>
      <c r="H36" s="1031"/>
      <c r="I36" s="1031"/>
      <c r="J36" s="1031"/>
      <c r="K36" s="1031"/>
      <c r="L36" s="1032"/>
      <c r="M36" s="1033"/>
      <c r="N36" s="1034"/>
      <c r="O36" s="1034"/>
      <c r="P36" s="1035"/>
      <c r="Q36" s="1036"/>
      <c r="R36" s="1039"/>
      <c r="S36" s="1015"/>
    </row>
    <row r="37" spans="2:19" ht="16.5" customHeight="1" thickBot="1" thickTop="1">
      <c r="B37" s="943"/>
      <c r="F37" s="1040" t="s">
        <v>165</v>
      </c>
      <c r="G37" s="969">
        <f>G16*12</f>
        <v>656892</v>
      </c>
      <c r="N37" s="951"/>
      <c r="O37" s="951"/>
      <c r="P37" s="951"/>
      <c r="Q37" s="951"/>
      <c r="R37" s="929"/>
      <c r="S37" s="952"/>
    </row>
    <row r="38" spans="2:19" ht="14.25" thickBot="1" thickTop="1">
      <c r="B38" s="943"/>
      <c r="C38" s="967"/>
      <c r="D38" s="967"/>
      <c r="E38" s="967"/>
      <c r="F38" s="967"/>
      <c r="G38" s="967"/>
      <c r="H38" s="967"/>
      <c r="I38" s="951"/>
      <c r="J38" s="951"/>
      <c r="K38" s="951"/>
      <c r="L38" s="951"/>
      <c r="M38" s="970"/>
      <c r="N38" s="951"/>
      <c r="O38" s="951"/>
      <c r="P38" s="951"/>
      <c r="Q38" s="951"/>
      <c r="R38" s="951"/>
      <c r="S38" s="952"/>
    </row>
    <row r="39" spans="2:19" ht="33.75" customHeight="1" thickBot="1" thickTop="1">
      <c r="B39" s="943"/>
      <c r="C39" s="1041" t="s">
        <v>166</v>
      </c>
      <c r="D39" s="1042"/>
      <c r="E39" s="1042"/>
      <c r="F39" s="1043"/>
      <c r="G39" s="1044"/>
      <c r="H39" s="1045"/>
      <c r="I39" s="1045"/>
      <c r="J39" s="1044"/>
      <c r="K39" s="1044"/>
      <c r="L39" s="1044"/>
      <c r="M39" s="1046"/>
      <c r="N39" s="1047"/>
      <c r="O39" s="1047"/>
      <c r="P39" s="1048"/>
      <c r="Q39" s="1049"/>
      <c r="R39" s="980">
        <v>0</v>
      </c>
      <c r="S39" s="981"/>
    </row>
    <row r="40" spans="2:19" ht="16.5" customHeight="1" thickTop="1">
      <c r="B40" s="943"/>
      <c r="C40" s="1050"/>
      <c r="D40" s="1051"/>
      <c r="E40" s="1051"/>
      <c r="F40" s="1051"/>
      <c r="G40" s="1051"/>
      <c r="H40" s="1052"/>
      <c r="I40" s="1052"/>
      <c r="J40" s="1052"/>
      <c r="K40" s="1052"/>
      <c r="L40" s="1052"/>
      <c r="M40" s="1053"/>
      <c r="N40" s="1054"/>
      <c r="O40" s="1054"/>
      <c r="P40" s="1055"/>
      <c r="Q40" s="1056"/>
      <c r="R40" s="990"/>
      <c r="S40" s="991"/>
    </row>
    <row r="41" spans="2:19" ht="16.5" customHeight="1">
      <c r="B41" s="943"/>
      <c r="C41" s="1057"/>
      <c r="D41" s="1058" t="s">
        <v>167</v>
      </c>
      <c r="E41" s="1058"/>
      <c r="F41" s="1058"/>
      <c r="G41" s="1058"/>
      <c r="H41" s="1059"/>
      <c r="I41" s="1059"/>
      <c r="J41" s="1059"/>
      <c r="K41" s="1059"/>
      <c r="L41" s="1059"/>
      <c r="M41" s="1060"/>
      <c r="N41" s="1061"/>
      <c r="O41" s="1061"/>
      <c r="P41" s="1062"/>
      <c r="Q41" s="1063"/>
      <c r="R41" s="1014">
        <f>IF(R39&gt;=4,G37*0.1,0)</f>
        <v>0</v>
      </c>
      <c r="S41" s="991"/>
    </row>
    <row r="42" spans="2:19" ht="16.5" customHeight="1" thickBot="1">
      <c r="B42" s="943"/>
      <c r="C42" s="1064"/>
      <c r="D42" s="1065"/>
      <c r="E42" s="1065"/>
      <c r="F42" s="1066"/>
      <c r="G42" s="1066"/>
      <c r="H42" s="1067"/>
      <c r="I42" s="1067"/>
      <c r="J42" s="1067"/>
      <c r="K42" s="1067"/>
      <c r="L42" s="1068"/>
      <c r="M42" s="1069"/>
      <c r="N42" s="1070"/>
      <c r="O42" s="1070"/>
      <c r="P42" s="1071"/>
      <c r="Q42" s="1072"/>
      <c r="R42" s="1028"/>
      <c r="S42" s="1015"/>
    </row>
    <row r="43" spans="2:19" ht="16.5" customHeight="1" thickBot="1" thickTop="1">
      <c r="B43" s="943"/>
      <c r="C43" s="1029"/>
      <c r="D43" s="1029"/>
      <c r="E43" s="1029"/>
      <c r="F43" s="1030"/>
      <c r="G43" s="1030"/>
      <c r="H43" s="1031"/>
      <c r="I43" s="1031"/>
      <c r="J43" s="1031"/>
      <c r="K43" s="1031"/>
      <c r="L43" s="1032"/>
      <c r="M43" s="1033"/>
      <c r="N43" s="1034"/>
      <c r="O43" s="1034"/>
      <c r="P43" s="1035"/>
      <c r="Q43" s="1036"/>
      <c r="R43" s="1037">
        <f>R41</f>
        <v>0</v>
      </c>
      <c r="S43" s="1015"/>
    </row>
    <row r="44" spans="2:19" ht="16.5" customHeight="1" thickTop="1">
      <c r="B44" s="943"/>
      <c r="C44" s="1029"/>
      <c r="D44" s="1029"/>
      <c r="E44" s="1029"/>
      <c r="F44" s="1030"/>
      <c r="G44" s="1030"/>
      <c r="H44" s="1032"/>
      <c r="I44" s="1032"/>
      <c r="J44" s="1031"/>
      <c r="K44" s="1031"/>
      <c r="L44" s="1032"/>
      <c r="M44" s="1073"/>
      <c r="N44" s="1074"/>
      <c r="O44" s="1074"/>
      <c r="P44" s="1075"/>
      <c r="Q44" s="1076"/>
      <c r="R44" s="1077"/>
      <c r="S44" s="1015"/>
    </row>
    <row r="45" spans="2:19" ht="13.5" thickBot="1">
      <c r="B45" s="943"/>
      <c r="C45" s="1078" t="s">
        <v>172</v>
      </c>
      <c r="D45" s="1079" t="s">
        <v>168</v>
      </c>
      <c r="E45" s="1078"/>
      <c r="G45" s="1079"/>
      <c r="H45" s="1080"/>
      <c r="I45" s="1081"/>
      <c r="J45" s="1031"/>
      <c r="K45" s="1031"/>
      <c r="L45" s="1081"/>
      <c r="M45" s="1081"/>
      <c r="N45" s="1082"/>
      <c r="O45" s="1082"/>
      <c r="P45" s="1083"/>
      <c r="Q45" s="1084"/>
      <c r="R45" s="1077"/>
      <c r="S45" s="1015"/>
    </row>
    <row r="46" spans="2:19" s="1087" customFormat="1" ht="10.5" customHeight="1" thickTop="1">
      <c r="B46" s="1085"/>
      <c r="C46" s="1078"/>
      <c r="D46" s="1086" t="s">
        <v>169</v>
      </c>
      <c r="E46" s="1078"/>
      <c r="G46" s="1086"/>
      <c r="H46" s="1088"/>
      <c r="I46" s="1089"/>
      <c r="J46" s="1089"/>
      <c r="K46" s="1089"/>
      <c r="L46" s="1089"/>
      <c r="M46" s="1089"/>
      <c r="N46" s="1090"/>
      <c r="O46" s="1091"/>
      <c r="P46" s="1091"/>
      <c r="Q46" s="1091"/>
      <c r="R46" s="1092"/>
      <c r="S46" s="1093"/>
    </row>
    <row r="47" spans="2:19" s="1087" customFormat="1" ht="12" customHeight="1">
      <c r="B47" s="1085"/>
      <c r="C47" s="1078"/>
      <c r="D47" s="1086" t="s">
        <v>170</v>
      </c>
      <c r="E47" s="1078"/>
      <c r="G47" s="1086"/>
      <c r="H47" s="1088"/>
      <c r="I47" s="1089"/>
      <c r="J47" s="1089"/>
      <c r="K47" s="1089"/>
      <c r="L47" s="1089"/>
      <c r="M47" s="1089"/>
      <c r="N47" s="1090"/>
      <c r="O47" s="1091"/>
      <c r="P47" s="1091"/>
      <c r="Q47" s="1091"/>
      <c r="R47" s="1092"/>
      <c r="S47" s="1093"/>
    </row>
    <row r="48" spans="2:19" ht="16.5" customHeight="1" thickBot="1">
      <c r="B48" s="1094"/>
      <c r="C48" s="1095"/>
      <c r="D48" s="1095"/>
      <c r="E48" s="1095"/>
      <c r="F48" s="1095"/>
      <c r="G48" s="1095"/>
      <c r="H48" s="1095"/>
      <c r="I48" s="1095"/>
      <c r="J48" s="1095"/>
      <c r="K48" s="1095"/>
      <c r="L48" s="1095"/>
      <c r="M48" s="1095"/>
      <c r="N48" s="1095"/>
      <c r="O48" s="1095"/>
      <c r="P48" s="1095"/>
      <c r="Q48" s="1095"/>
      <c r="R48" s="1096"/>
      <c r="S48" s="1097"/>
    </row>
    <row r="49" spans="2:20" ht="16.5" customHeight="1" thickTop="1">
      <c r="B49" s="967"/>
      <c r="R49" s="931"/>
      <c r="T49" s="967"/>
    </row>
    <row r="50" ht="16.5" customHeight="1">
      <c r="R50" s="931"/>
    </row>
    <row r="51" ht="16.5" customHeight="1">
      <c r="R51" s="931"/>
    </row>
    <row r="52" ht="12.75">
      <c r="R52" s="931"/>
    </row>
    <row r="53" ht="12.75">
      <c r="R53" s="931"/>
    </row>
    <row r="54" ht="12.75">
      <c r="R54" s="931"/>
    </row>
    <row r="55" ht="12.75">
      <c r="R55" s="931"/>
    </row>
    <row r="56" spans="15:19" ht="12.75">
      <c r="O56" s="931"/>
      <c r="P56" s="931"/>
      <c r="Q56" s="931"/>
      <c r="R56" s="931"/>
      <c r="S56" s="931"/>
    </row>
    <row r="57" spans="15:19" ht="12.75">
      <c r="O57" s="931"/>
      <c r="P57" s="931"/>
      <c r="Q57" s="931"/>
      <c r="R57" s="931"/>
      <c r="S57" s="931"/>
    </row>
    <row r="58" spans="15:19" ht="12.75">
      <c r="O58" s="931"/>
      <c r="P58" s="931"/>
      <c r="Q58" s="931"/>
      <c r="R58" s="931"/>
      <c r="S58" s="931"/>
    </row>
    <row r="59" spans="15:19" ht="12.75">
      <c r="O59" s="931"/>
      <c r="P59" s="931"/>
      <c r="Q59" s="931"/>
      <c r="R59" s="931"/>
      <c r="S59" s="931"/>
    </row>
    <row r="60" spans="15:19" ht="12.75">
      <c r="O60" s="931"/>
      <c r="P60" s="931"/>
      <c r="Q60" s="931"/>
      <c r="R60" s="931"/>
      <c r="S60" s="931"/>
    </row>
    <row r="61" spans="15:19" ht="12.75">
      <c r="O61" s="931"/>
      <c r="P61" s="931"/>
      <c r="Q61" s="931"/>
      <c r="R61" s="931"/>
      <c r="S61" s="931"/>
    </row>
    <row r="62" spans="15:19" ht="12.75">
      <c r="O62" s="931"/>
      <c r="P62" s="931"/>
      <c r="Q62" s="931"/>
      <c r="R62" s="931"/>
      <c r="S62" s="931"/>
    </row>
    <row r="63" spans="15:19" ht="12.75">
      <c r="O63" s="931"/>
      <c r="P63" s="931"/>
      <c r="Q63" s="931"/>
      <c r="R63" s="931"/>
      <c r="S63" s="931"/>
    </row>
    <row r="64" spans="15:19" ht="12.75">
      <c r="O64" s="931"/>
      <c r="P64" s="931"/>
      <c r="Q64" s="931"/>
      <c r="R64" s="931"/>
      <c r="S64" s="931"/>
    </row>
    <row r="65" spans="15:19" ht="12.75">
      <c r="O65" s="931"/>
      <c r="P65" s="931"/>
      <c r="Q65" s="931"/>
      <c r="R65" s="931"/>
      <c r="S65" s="931"/>
    </row>
    <row r="66" spans="15:19" ht="12.75">
      <c r="O66" s="931"/>
      <c r="P66" s="931"/>
      <c r="Q66" s="931"/>
      <c r="R66" s="931"/>
      <c r="S66" s="931"/>
    </row>
    <row r="67" spans="15:19" ht="12.75">
      <c r="O67" s="931"/>
      <c r="P67" s="931"/>
      <c r="Q67" s="931"/>
      <c r="R67" s="931"/>
      <c r="S67" s="931"/>
    </row>
    <row r="68" spans="15:19" ht="12.75">
      <c r="O68" s="931"/>
      <c r="P68" s="931"/>
      <c r="Q68" s="931"/>
      <c r="R68" s="931"/>
      <c r="S68" s="931"/>
    </row>
    <row r="69" spans="15:19" ht="12.75">
      <c r="O69" s="931"/>
      <c r="P69" s="931"/>
      <c r="Q69" s="931"/>
      <c r="R69" s="931"/>
      <c r="S69" s="931"/>
    </row>
    <row r="70" spans="15:19" ht="12.75">
      <c r="O70" s="931"/>
      <c r="P70" s="931"/>
      <c r="Q70" s="931"/>
      <c r="R70" s="931"/>
      <c r="S70" s="931"/>
    </row>
    <row r="71" spans="15:19" ht="12.75">
      <c r="O71" s="931"/>
      <c r="P71" s="931"/>
      <c r="Q71" s="931"/>
      <c r="R71" s="931"/>
      <c r="S71" s="931"/>
    </row>
    <row r="72" spans="15:19" ht="12.75">
      <c r="O72" s="931"/>
      <c r="P72" s="931"/>
      <c r="Q72" s="931"/>
      <c r="R72" s="931"/>
      <c r="S72" s="931"/>
    </row>
    <row r="73" spans="15:19" ht="12.75">
      <c r="O73" s="931"/>
      <c r="P73" s="931"/>
      <c r="Q73" s="931"/>
      <c r="R73" s="931"/>
      <c r="S73" s="931"/>
    </row>
    <row r="74" spans="15:19" ht="12.75">
      <c r="O74" s="931"/>
      <c r="P74" s="931"/>
      <c r="Q74" s="931"/>
      <c r="R74" s="931"/>
      <c r="S74" s="931"/>
    </row>
    <row r="75" spans="15:19" ht="12.75">
      <c r="O75" s="931"/>
      <c r="P75" s="931"/>
      <c r="Q75" s="931"/>
      <c r="R75" s="931"/>
      <c r="S75" s="931"/>
    </row>
    <row r="76" spans="15:19" ht="12.75">
      <c r="O76" s="931"/>
      <c r="P76" s="931"/>
      <c r="Q76" s="931"/>
      <c r="R76" s="931"/>
      <c r="S76" s="931"/>
    </row>
    <row r="77" spans="15:19" ht="12.75">
      <c r="O77" s="931"/>
      <c r="P77" s="931"/>
      <c r="Q77" s="931"/>
      <c r="R77" s="931"/>
      <c r="S77" s="931"/>
    </row>
    <row r="78" spans="15:19" ht="12.75">
      <c r="O78" s="931"/>
      <c r="P78" s="931"/>
      <c r="Q78" s="931"/>
      <c r="R78" s="931"/>
      <c r="S78" s="931"/>
    </row>
    <row r="79" spans="15:19" ht="12.75">
      <c r="O79" s="931"/>
      <c r="P79" s="931"/>
      <c r="Q79" s="931"/>
      <c r="R79" s="931"/>
      <c r="S79" s="931"/>
    </row>
    <row r="80" spans="15:19" ht="12.75">
      <c r="O80" s="931"/>
      <c r="P80" s="931"/>
      <c r="Q80" s="931"/>
      <c r="R80" s="931"/>
      <c r="S80" s="931"/>
    </row>
    <row r="81" spans="15:19" ht="12.75">
      <c r="O81" s="931"/>
      <c r="P81" s="931"/>
      <c r="Q81" s="931"/>
      <c r="R81" s="931"/>
      <c r="S81" s="931"/>
    </row>
    <row r="82" spans="15:19" ht="12.75">
      <c r="O82" s="931"/>
      <c r="P82" s="931"/>
      <c r="Q82" s="931"/>
      <c r="R82" s="931"/>
      <c r="S82" s="931"/>
    </row>
    <row r="83" spans="15:19" ht="12.75">
      <c r="O83" s="931"/>
      <c r="P83" s="931"/>
      <c r="Q83" s="931"/>
      <c r="R83" s="931"/>
      <c r="S83" s="931"/>
    </row>
    <row r="84" spans="15:19" ht="12.75">
      <c r="O84" s="931"/>
      <c r="P84" s="931"/>
      <c r="Q84" s="931"/>
      <c r="R84" s="931"/>
      <c r="S84" s="931"/>
    </row>
    <row r="85" spans="15:19" ht="12.75">
      <c r="O85" s="931"/>
      <c r="P85" s="931"/>
      <c r="Q85" s="931"/>
      <c r="R85" s="931"/>
      <c r="S85" s="931"/>
    </row>
    <row r="86" spans="15:19" ht="12.75">
      <c r="O86" s="931"/>
      <c r="P86" s="931"/>
      <c r="Q86" s="931"/>
      <c r="R86" s="931"/>
      <c r="S86" s="931"/>
    </row>
    <row r="87" spans="15:19" ht="12.75">
      <c r="O87" s="931"/>
      <c r="P87" s="931"/>
      <c r="Q87" s="931"/>
      <c r="R87" s="931"/>
      <c r="S87" s="931"/>
    </row>
    <row r="88" spans="15:19" ht="12.75">
      <c r="O88" s="931"/>
      <c r="P88" s="931"/>
      <c r="Q88" s="931"/>
      <c r="R88" s="931"/>
      <c r="S88" s="931"/>
    </row>
    <row r="89" spans="15:19" ht="12.75">
      <c r="O89" s="931"/>
      <c r="P89" s="931"/>
      <c r="Q89" s="931"/>
      <c r="R89" s="931"/>
      <c r="S89" s="931"/>
    </row>
    <row r="90" spans="15:19" ht="12.75">
      <c r="O90" s="931"/>
      <c r="P90" s="931"/>
      <c r="Q90" s="931"/>
      <c r="R90" s="931"/>
      <c r="S90" s="931"/>
    </row>
    <row r="91" spans="15:19" ht="12.75">
      <c r="O91" s="931"/>
      <c r="P91" s="931"/>
      <c r="Q91" s="931"/>
      <c r="R91" s="931"/>
      <c r="S91" s="931"/>
    </row>
    <row r="92" spans="15:19" ht="12.75">
      <c r="O92" s="931"/>
      <c r="P92" s="931"/>
      <c r="Q92" s="931"/>
      <c r="R92" s="931"/>
      <c r="S92" s="931"/>
    </row>
    <row r="93" spans="15:19" ht="12.75">
      <c r="O93" s="931"/>
      <c r="P93" s="931"/>
      <c r="Q93" s="931"/>
      <c r="R93" s="931"/>
      <c r="S93" s="931"/>
    </row>
    <row r="94" spans="15:19" ht="12.75">
      <c r="O94" s="931"/>
      <c r="P94" s="931"/>
      <c r="Q94" s="931"/>
      <c r="R94" s="931"/>
      <c r="S94" s="931"/>
    </row>
    <row r="95" spans="15:19" ht="12.75">
      <c r="O95" s="931"/>
      <c r="P95" s="931"/>
      <c r="Q95" s="931"/>
      <c r="R95" s="931"/>
      <c r="S95" s="931"/>
    </row>
    <row r="96" spans="15:19" ht="12.75">
      <c r="O96" s="931"/>
      <c r="P96" s="931"/>
      <c r="Q96" s="931"/>
      <c r="R96" s="931"/>
      <c r="S96" s="931"/>
    </row>
    <row r="97" spans="15:19" ht="12.75">
      <c r="O97" s="931"/>
      <c r="P97" s="931"/>
      <c r="Q97" s="931"/>
      <c r="R97" s="931"/>
      <c r="S97" s="931"/>
    </row>
    <row r="98" spans="15:19" ht="12.75">
      <c r="O98" s="931"/>
      <c r="P98" s="931"/>
      <c r="Q98" s="931"/>
      <c r="R98" s="931"/>
      <c r="S98" s="931"/>
    </row>
    <row r="99" spans="15:19" ht="12.75">
      <c r="O99" s="931"/>
      <c r="P99" s="931"/>
      <c r="Q99" s="931"/>
      <c r="R99" s="931"/>
      <c r="S99" s="931"/>
    </row>
    <row r="100" spans="15:19" ht="12.75">
      <c r="O100" s="931"/>
      <c r="P100" s="931"/>
      <c r="Q100" s="931"/>
      <c r="R100" s="931"/>
      <c r="S100" s="931"/>
    </row>
    <row r="101" spans="15:19" ht="12.75">
      <c r="O101" s="931"/>
      <c r="P101" s="931"/>
      <c r="Q101" s="931"/>
      <c r="R101" s="931"/>
      <c r="S101" s="931"/>
    </row>
    <row r="102" spans="15:19" ht="12.75">
      <c r="O102" s="931"/>
      <c r="P102" s="931"/>
      <c r="Q102" s="931"/>
      <c r="R102" s="931"/>
      <c r="S102" s="931"/>
    </row>
    <row r="103" spans="15:19" ht="12.75">
      <c r="O103" s="931"/>
      <c r="P103" s="931"/>
      <c r="Q103" s="931"/>
      <c r="R103" s="931"/>
      <c r="S103" s="931"/>
    </row>
    <row r="104" spans="15:19" ht="12.75">
      <c r="O104" s="931"/>
      <c r="P104" s="931"/>
      <c r="Q104" s="931"/>
      <c r="R104" s="931"/>
      <c r="S104" s="931"/>
    </row>
    <row r="105" spans="15:19" ht="12.75">
      <c r="O105" s="931"/>
      <c r="P105" s="931"/>
      <c r="Q105" s="931"/>
      <c r="R105" s="931"/>
      <c r="S105" s="931"/>
    </row>
    <row r="106" spans="15:19" ht="12.75">
      <c r="O106" s="931"/>
      <c r="P106" s="931"/>
      <c r="Q106" s="931"/>
      <c r="R106" s="931"/>
      <c r="S106" s="931"/>
    </row>
    <row r="107" spans="15:19" ht="12.75">
      <c r="O107" s="931"/>
      <c r="P107" s="931"/>
      <c r="Q107" s="931"/>
      <c r="R107" s="931"/>
      <c r="S107" s="931"/>
    </row>
    <row r="108" spans="15:19" ht="12.75">
      <c r="O108" s="931"/>
      <c r="P108" s="931"/>
      <c r="Q108" s="931"/>
      <c r="R108" s="931"/>
      <c r="S108" s="931"/>
    </row>
    <row r="109" spans="15:19" ht="12.75">
      <c r="O109" s="931"/>
      <c r="P109" s="931"/>
      <c r="Q109" s="931"/>
      <c r="R109" s="931"/>
      <c r="S109" s="931"/>
    </row>
    <row r="110" spans="15:19" ht="12.75">
      <c r="O110" s="931"/>
      <c r="P110" s="931"/>
      <c r="Q110" s="931"/>
      <c r="R110" s="931"/>
      <c r="S110" s="931"/>
    </row>
    <row r="111" spans="15:19" ht="12.75">
      <c r="O111" s="931"/>
      <c r="P111" s="931"/>
      <c r="Q111" s="931"/>
      <c r="R111" s="931"/>
      <c r="S111" s="931"/>
    </row>
    <row r="112" spans="15:19" ht="12.75">
      <c r="O112" s="931"/>
      <c r="P112" s="931"/>
      <c r="Q112" s="931"/>
      <c r="R112" s="931"/>
      <c r="S112" s="931"/>
    </row>
    <row r="113" spans="15:19" ht="12.75">
      <c r="O113" s="931"/>
      <c r="P113" s="931"/>
      <c r="Q113" s="931"/>
      <c r="R113" s="931"/>
      <c r="S113" s="931"/>
    </row>
    <row r="114" spans="15:19" ht="12.75">
      <c r="O114" s="931"/>
      <c r="P114" s="931"/>
      <c r="Q114" s="931"/>
      <c r="R114" s="931"/>
      <c r="S114" s="931"/>
    </row>
    <row r="115" spans="15:19" ht="12.75">
      <c r="O115" s="931"/>
      <c r="P115" s="931"/>
      <c r="Q115" s="931"/>
      <c r="R115" s="931"/>
      <c r="S115" s="931"/>
    </row>
    <row r="116" spans="15:19" ht="12.75">
      <c r="O116" s="931"/>
      <c r="P116" s="931"/>
      <c r="Q116" s="931"/>
      <c r="R116" s="931"/>
      <c r="S116" s="931"/>
    </row>
    <row r="117" spans="15:19" ht="12.75">
      <c r="O117" s="931"/>
      <c r="P117" s="931"/>
      <c r="Q117" s="931"/>
      <c r="R117" s="931"/>
      <c r="S117" s="931"/>
    </row>
    <row r="118" spans="15:19" ht="12.75">
      <c r="O118" s="931"/>
      <c r="P118" s="931"/>
      <c r="Q118" s="931"/>
      <c r="R118" s="931"/>
      <c r="S118" s="931"/>
    </row>
    <row r="119" spans="15:19" ht="12.75">
      <c r="O119" s="931"/>
      <c r="P119" s="931"/>
      <c r="Q119" s="931"/>
      <c r="R119" s="931"/>
      <c r="S119" s="931"/>
    </row>
    <row r="120" spans="15:19" ht="12.75">
      <c r="O120" s="931"/>
      <c r="P120" s="931"/>
      <c r="Q120" s="931"/>
      <c r="R120" s="931"/>
      <c r="S120" s="931"/>
    </row>
    <row r="121" spans="15:19" ht="12.75">
      <c r="O121" s="931"/>
      <c r="P121" s="931"/>
      <c r="Q121" s="931"/>
      <c r="R121" s="931"/>
      <c r="S121" s="931"/>
    </row>
    <row r="122" spans="15:19" ht="12.75">
      <c r="O122" s="931"/>
      <c r="P122" s="931"/>
      <c r="Q122" s="931"/>
      <c r="R122" s="931"/>
      <c r="S122" s="931"/>
    </row>
    <row r="123" spans="15:19" ht="12.75">
      <c r="O123" s="931"/>
      <c r="P123" s="931"/>
      <c r="Q123" s="931"/>
      <c r="R123" s="931"/>
      <c r="S123" s="931"/>
    </row>
    <row r="124" spans="15:19" ht="12.75">
      <c r="O124" s="931"/>
      <c r="P124" s="931"/>
      <c r="Q124" s="931"/>
      <c r="R124" s="931"/>
      <c r="S124" s="931"/>
    </row>
    <row r="125" spans="15:19" ht="12.75">
      <c r="O125" s="931"/>
      <c r="P125" s="931"/>
      <c r="Q125" s="931"/>
      <c r="R125" s="931"/>
      <c r="S125" s="931"/>
    </row>
    <row r="126" spans="15:19" ht="12.75">
      <c r="O126" s="931"/>
      <c r="P126" s="931"/>
      <c r="Q126" s="931"/>
      <c r="R126" s="931"/>
      <c r="S126" s="931"/>
    </row>
    <row r="127" spans="15:19" ht="12.75">
      <c r="O127" s="931"/>
      <c r="P127" s="931"/>
      <c r="Q127" s="931"/>
      <c r="R127" s="931"/>
      <c r="S127" s="931"/>
    </row>
    <row r="128" spans="15:19" ht="12.75">
      <c r="O128" s="931"/>
      <c r="P128" s="931"/>
      <c r="Q128" s="931"/>
      <c r="R128" s="931"/>
      <c r="S128" s="931"/>
    </row>
    <row r="129" spans="15:19" ht="12.75">
      <c r="O129" s="931"/>
      <c r="P129" s="931"/>
      <c r="Q129" s="931"/>
      <c r="R129" s="931"/>
      <c r="S129" s="931"/>
    </row>
    <row r="130" spans="15:19" ht="12.75">
      <c r="O130" s="931"/>
      <c r="P130" s="931"/>
      <c r="Q130" s="931"/>
      <c r="R130" s="931"/>
      <c r="S130" s="931"/>
    </row>
    <row r="131" spans="15:19" ht="12.75">
      <c r="O131" s="931"/>
      <c r="P131" s="931"/>
      <c r="Q131" s="931"/>
      <c r="R131" s="931"/>
      <c r="S131" s="931"/>
    </row>
    <row r="132" spans="15:19" ht="12.75">
      <c r="O132" s="931"/>
      <c r="P132" s="931"/>
      <c r="Q132" s="931"/>
      <c r="R132" s="931"/>
      <c r="S132" s="931"/>
    </row>
    <row r="133" spans="15:19" ht="12.75">
      <c r="O133" s="931"/>
      <c r="P133" s="931"/>
      <c r="Q133" s="931"/>
      <c r="R133" s="931"/>
      <c r="S133" s="931"/>
    </row>
    <row r="134" spans="15:19" ht="12.75">
      <c r="O134" s="931"/>
      <c r="P134" s="931"/>
      <c r="Q134" s="931"/>
      <c r="R134" s="931"/>
      <c r="S134" s="931"/>
    </row>
    <row r="135" spans="15:19" ht="12.75">
      <c r="O135" s="931"/>
      <c r="P135" s="931"/>
      <c r="Q135" s="931"/>
      <c r="R135" s="931"/>
      <c r="S135" s="931"/>
    </row>
    <row r="136" spans="15:19" ht="12.75">
      <c r="O136" s="931"/>
      <c r="P136" s="931"/>
      <c r="Q136" s="931"/>
      <c r="R136" s="931"/>
      <c r="S136" s="931"/>
    </row>
    <row r="137" spans="15:19" ht="12.75">
      <c r="O137" s="931"/>
      <c r="P137" s="931"/>
      <c r="Q137" s="931"/>
      <c r="R137" s="931"/>
      <c r="S137" s="931"/>
    </row>
    <row r="138" spans="15:19" ht="12.75">
      <c r="O138" s="931"/>
      <c r="P138" s="931"/>
      <c r="Q138" s="931"/>
      <c r="R138" s="931"/>
      <c r="S138" s="931"/>
    </row>
    <row r="139" spans="15:19" ht="12.75">
      <c r="O139" s="931"/>
      <c r="P139" s="931"/>
      <c r="Q139" s="931"/>
      <c r="R139" s="931"/>
      <c r="S139" s="931"/>
    </row>
    <row r="140" spans="15:19" ht="12.75">
      <c r="O140" s="931"/>
      <c r="P140" s="931"/>
      <c r="Q140" s="931"/>
      <c r="R140" s="931"/>
      <c r="S140" s="931"/>
    </row>
    <row r="141" spans="15:19" ht="12.75">
      <c r="O141" s="931"/>
      <c r="P141" s="931"/>
      <c r="Q141" s="931"/>
      <c r="R141" s="931"/>
      <c r="S141" s="931"/>
    </row>
    <row r="142" spans="15:19" ht="12.75">
      <c r="O142" s="931"/>
      <c r="P142" s="931"/>
      <c r="Q142" s="931"/>
      <c r="R142" s="931"/>
      <c r="S142" s="931"/>
    </row>
    <row r="143" spans="15:19" ht="12.75">
      <c r="O143" s="931"/>
      <c r="P143" s="931"/>
      <c r="Q143" s="931"/>
      <c r="R143" s="931"/>
      <c r="S143" s="931"/>
    </row>
    <row r="144" spans="15:19" ht="12.75">
      <c r="O144" s="931"/>
      <c r="P144" s="931"/>
      <c r="Q144" s="931"/>
      <c r="R144" s="931"/>
      <c r="S144" s="931"/>
    </row>
    <row r="145" spans="15:19" ht="12.75">
      <c r="O145" s="931"/>
      <c r="P145" s="931"/>
      <c r="Q145" s="931"/>
      <c r="R145" s="931"/>
      <c r="S145" s="931"/>
    </row>
    <row r="146" spans="15:19" ht="12.75">
      <c r="O146" s="931"/>
      <c r="P146" s="931"/>
      <c r="Q146" s="931"/>
      <c r="R146" s="931"/>
      <c r="S146" s="931"/>
    </row>
    <row r="147" spans="15:19" ht="12.75">
      <c r="O147" s="931"/>
      <c r="P147" s="931"/>
      <c r="Q147" s="931"/>
      <c r="R147" s="931"/>
      <c r="S147" s="931"/>
    </row>
    <row r="148" spans="15:19" ht="12.75">
      <c r="O148" s="931"/>
      <c r="P148" s="931"/>
      <c r="Q148" s="931"/>
      <c r="R148" s="931"/>
      <c r="S148" s="931"/>
    </row>
    <row r="149" spans="15:19" ht="12.75">
      <c r="O149" s="931"/>
      <c r="P149" s="931"/>
      <c r="Q149" s="931"/>
      <c r="R149" s="931"/>
      <c r="S149" s="931"/>
    </row>
    <row r="150" spans="15:19" ht="12.75">
      <c r="O150" s="931"/>
      <c r="P150" s="931"/>
      <c r="Q150" s="931"/>
      <c r="R150" s="931"/>
      <c r="S150" s="931"/>
    </row>
    <row r="151" spans="15:19" ht="12.75">
      <c r="O151" s="931"/>
      <c r="P151" s="931"/>
      <c r="Q151" s="931"/>
      <c r="R151" s="931"/>
      <c r="S151" s="931"/>
    </row>
    <row r="152" spans="15:19" ht="12.75">
      <c r="O152" s="931"/>
      <c r="P152" s="931"/>
      <c r="Q152" s="931"/>
      <c r="R152" s="931"/>
      <c r="S152" s="931"/>
    </row>
    <row r="153" spans="15:19" ht="12.75">
      <c r="O153" s="931"/>
      <c r="P153" s="931"/>
      <c r="Q153" s="931"/>
      <c r="R153" s="931"/>
      <c r="S153" s="931"/>
    </row>
    <row r="154" spans="15:19" ht="12.75">
      <c r="O154" s="931"/>
      <c r="P154" s="931"/>
      <c r="Q154" s="931"/>
      <c r="R154" s="931"/>
      <c r="S154" s="931"/>
    </row>
    <row r="155" spans="15:19" ht="12.75">
      <c r="O155" s="931"/>
      <c r="P155" s="931"/>
      <c r="Q155" s="931"/>
      <c r="R155" s="931"/>
      <c r="S155" s="931"/>
    </row>
    <row r="156" spans="15:19" ht="12.75">
      <c r="O156" s="931"/>
      <c r="P156" s="931"/>
      <c r="Q156" s="931"/>
      <c r="R156" s="931"/>
      <c r="S156" s="931"/>
    </row>
    <row r="157" spans="15:19" ht="12.75">
      <c r="O157" s="931"/>
      <c r="P157" s="931"/>
      <c r="Q157" s="931"/>
      <c r="R157" s="931"/>
      <c r="S157" s="931"/>
    </row>
    <row r="158" spans="15:19" ht="12.75">
      <c r="O158" s="931"/>
      <c r="P158" s="931"/>
      <c r="Q158" s="931"/>
      <c r="R158" s="931"/>
      <c r="S158" s="931"/>
    </row>
    <row r="159" spans="15:19" ht="12.75">
      <c r="O159" s="931"/>
      <c r="P159" s="931"/>
      <c r="Q159" s="931"/>
      <c r="R159" s="931"/>
      <c r="S159" s="931"/>
    </row>
    <row r="160" spans="15:19" ht="12.75">
      <c r="O160" s="931"/>
      <c r="P160" s="931"/>
      <c r="Q160" s="931"/>
      <c r="R160" s="931"/>
      <c r="S160" s="931"/>
    </row>
    <row r="161" spans="15:19" ht="12.75">
      <c r="O161" s="931"/>
      <c r="P161" s="931"/>
      <c r="Q161" s="931"/>
      <c r="R161" s="931"/>
      <c r="S161" s="931"/>
    </row>
    <row r="162" spans="15:19" ht="12.75">
      <c r="O162" s="931"/>
      <c r="P162" s="931"/>
      <c r="Q162" s="931"/>
      <c r="R162" s="931"/>
      <c r="S162" s="931"/>
    </row>
    <row r="163" spans="15:19" ht="12.75">
      <c r="O163" s="931"/>
      <c r="P163" s="931"/>
      <c r="Q163" s="931"/>
      <c r="R163" s="931"/>
      <c r="S163" s="931"/>
    </row>
    <row r="164" spans="15:19" ht="12.75">
      <c r="O164" s="931"/>
      <c r="P164" s="931"/>
      <c r="Q164" s="931"/>
      <c r="R164" s="931"/>
      <c r="S164" s="931"/>
    </row>
    <row r="165" spans="15:19" ht="12.75">
      <c r="O165" s="931"/>
      <c r="P165" s="931"/>
      <c r="Q165" s="931"/>
      <c r="R165" s="931"/>
      <c r="S165" s="931"/>
    </row>
    <row r="166" spans="15:19" ht="12.75">
      <c r="O166" s="931"/>
      <c r="P166" s="931"/>
      <c r="Q166" s="931"/>
      <c r="R166" s="931"/>
      <c r="S166" s="931"/>
    </row>
    <row r="167" spans="15:19" ht="12.75">
      <c r="O167" s="931"/>
      <c r="P167" s="931"/>
      <c r="Q167" s="931"/>
      <c r="R167" s="931"/>
      <c r="S167" s="931"/>
    </row>
    <row r="168" spans="15:19" ht="12.75">
      <c r="O168" s="931"/>
      <c r="P168" s="931"/>
      <c r="Q168" s="931"/>
      <c r="R168" s="931"/>
      <c r="S168" s="931"/>
    </row>
    <row r="169" spans="15:19" ht="12.75">
      <c r="O169" s="931"/>
      <c r="P169" s="931"/>
      <c r="Q169" s="931"/>
      <c r="R169" s="931"/>
      <c r="S169" s="931"/>
    </row>
    <row r="170" spans="15:19" ht="12.75">
      <c r="O170" s="931"/>
      <c r="P170" s="931"/>
      <c r="Q170" s="931"/>
      <c r="R170" s="931"/>
      <c r="S170" s="931"/>
    </row>
    <row r="171" spans="15:19" ht="12.75">
      <c r="O171" s="931"/>
      <c r="P171" s="931"/>
      <c r="Q171" s="931"/>
      <c r="R171" s="931"/>
      <c r="S171" s="931"/>
    </row>
    <row r="172" spans="15:19" ht="12.75">
      <c r="O172" s="931"/>
      <c r="P172" s="931"/>
      <c r="Q172" s="931"/>
      <c r="R172" s="931"/>
      <c r="S172" s="931"/>
    </row>
    <row r="173" spans="15:19" ht="12.75">
      <c r="O173" s="931"/>
      <c r="P173" s="931"/>
      <c r="Q173" s="931"/>
      <c r="R173" s="931"/>
      <c r="S173" s="931"/>
    </row>
    <row r="174" spans="15:19" ht="12.75">
      <c r="O174" s="931"/>
      <c r="P174" s="931"/>
      <c r="Q174" s="931"/>
      <c r="R174" s="931"/>
      <c r="S174" s="931"/>
    </row>
    <row r="175" spans="15:19" ht="12.75">
      <c r="O175" s="931"/>
      <c r="P175" s="931"/>
      <c r="Q175" s="931"/>
      <c r="R175" s="931"/>
      <c r="S175" s="931"/>
    </row>
    <row r="176" spans="15:19" ht="12.75">
      <c r="O176" s="931"/>
      <c r="P176" s="931"/>
      <c r="Q176" s="931"/>
      <c r="R176" s="931"/>
      <c r="S176" s="931"/>
    </row>
    <row r="177" spans="15:19" ht="12.75">
      <c r="O177" s="931"/>
      <c r="P177" s="931"/>
      <c r="Q177" s="931"/>
      <c r="R177" s="931"/>
      <c r="S177" s="931"/>
    </row>
    <row r="178" spans="15:19" ht="12.75">
      <c r="O178" s="931"/>
      <c r="P178" s="931"/>
      <c r="Q178" s="931"/>
      <c r="R178" s="931"/>
      <c r="S178" s="931"/>
    </row>
    <row r="179" spans="15:19" ht="12.75">
      <c r="O179" s="931"/>
      <c r="P179" s="931"/>
      <c r="Q179" s="931"/>
      <c r="R179" s="931"/>
      <c r="S179" s="931"/>
    </row>
    <row r="180" spans="15:19" ht="12.75">
      <c r="O180" s="931"/>
      <c r="P180" s="931"/>
      <c r="Q180" s="931"/>
      <c r="R180" s="931"/>
      <c r="S180" s="931"/>
    </row>
    <row r="181" spans="15:19" ht="12.75">
      <c r="O181" s="931"/>
      <c r="P181" s="931"/>
      <c r="Q181" s="931"/>
      <c r="R181" s="931"/>
      <c r="S181" s="931"/>
    </row>
    <row r="182" spans="15:19" ht="12.75">
      <c r="O182" s="931"/>
      <c r="P182" s="931"/>
      <c r="Q182" s="931"/>
      <c r="R182" s="931"/>
      <c r="S182" s="931"/>
    </row>
    <row r="183" spans="15:19" ht="12.75">
      <c r="O183" s="931"/>
      <c r="P183" s="931"/>
      <c r="Q183" s="931"/>
      <c r="R183" s="931"/>
      <c r="S183" s="931"/>
    </row>
    <row r="184" spans="15:19" ht="12.75">
      <c r="O184" s="931"/>
      <c r="P184" s="931"/>
      <c r="Q184" s="931"/>
      <c r="R184" s="931"/>
      <c r="S184" s="931"/>
    </row>
    <row r="185" spans="15:19" ht="12.75">
      <c r="O185" s="931"/>
      <c r="P185" s="931"/>
      <c r="Q185" s="931"/>
      <c r="R185" s="931"/>
      <c r="S185" s="931"/>
    </row>
    <row r="186" spans="15:19" ht="12.75">
      <c r="O186" s="931"/>
      <c r="P186" s="931"/>
      <c r="Q186" s="931"/>
      <c r="R186" s="931"/>
      <c r="S186" s="931"/>
    </row>
    <row r="187" spans="15:19" ht="12.75">
      <c r="O187" s="931"/>
      <c r="P187" s="931"/>
      <c r="Q187" s="931"/>
      <c r="R187" s="931"/>
      <c r="S187" s="931"/>
    </row>
    <row r="188" spans="15:19" ht="12.75">
      <c r="O188" s="931"/>
      <c r="P188" s="931"/>
      <c r="Q188" s="931"/>
      <c r="R188" s="931"/>
      <c r="S188" s="931"/>
    </row>
    <row r="189" spans="15:19" ht="12.75">
      <c r="O189" s="931"/>
      <c r="P189" s="931"/>
      <c r="Q189" s="931"/>
      <c r="R189" s="931"/>
      <c r="S189" s="931"/>
    </row>
    <row r="190" spans="15:19" ht="12.75">
      <c r="O190" s="931"/>
      <c r="P190" s="931"/>
      <c r="Q190" s="931"/>
      <c r="R190" s="931"/>
      <c r="S190" s="931"/>
    </row>
    <row r="191" spans="15:19" ht="12.75">
      <c r="O191" s="931"/>
      <c r="P191" s="931"/>
      <c r="Q191" s="931"/>
      <c r="R191" s="931"/>
      <c r="S191" s="931"/>
    </row>
    <row r="192" spans="15:19" ht="12.75">
      <c r="O192" s="931"/>
      <c r="P192" s="931"/>
      <c r="Q192" s="931"/>
      <c r="R192" s="931"/>
      <c r="S192" s="931"/>
    </row>
    <row r="193" spans="15:19" ht="12.75">
      <c r="O193" s="931"/>
      <c r="P193" s="931"/>
      <c r="Q193" s="931"/>
      <c r="R193" s="931"/>
      <c r="S193" s="931"/>
    </row>
    <row r="194" spans="15:19" ht="12.75">
      <c r="O194" s="931"/>
      <c r="P194" s="931"/>
      <c r="Q194" s="931"/>
      <c r="R194" s="931"/>
      <c r="S194" s="931"/>
    </row>
    <row r="195" spans="15:19" ht="12.75">
      <c r="O195" s="931"/>
      <c r="P195" s="931"/>
      <c r="Q195" s="931"/>
      <c r="R195" s="931"/>
      <c r="S195" s="931"/>
    </row>
    <row r="196" spans="15:19" ht="12.75">
      <c r="O196" s="931"/>
      <c r="P196" s="931"/>
      <c r="Q196" s="931"/>
      <c r="R196" s="931"/>
      <c r="S196" s="931"/>
    </row>
    <row r="197" spans="15:19" ht="12.75">
      <c r="O197" s="931"/>
      <c r="P197" s="931"/>
      <c r="Q197" s="931"/>
      <c r="R197" s="931"/>
      <c r="S197" s="93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9"/>
  <sheetViews>
    <sheetView zoomScale="50" zoomScaleNormal="50" zoomScalePageLayoutView="0" workbookViewId="0" topLeftCell="A1">
      <selection activeCell="B3" sqref="B3"/>
    </sheetView>
  </sheetViews>
  <sheetFormatPr defaultColWidth="11.421875" defaultRowHeight="12.75"/>
  <cols>
    <col min="1" max="1" width="18.00390625" style="1583" customWidth="1"/>
    <col min="2" max="2" width="10.7109375" style="1583" customWidth="1"/>
    <col min="3" max="3" width="10.421875" style="1583" customWidth="1"/>
    <col min="4" max="4" width="52.8515625" style="1583" customWidth="1"/>
    <col min="5" max="5" width="18.00390625" style="1583" bestFit="1" customWidth="1"/>
    <col min="6" max="6" width="15.57421875" style="1583" customWidth="1"/>
    <col min="7" max="7" width="7.7109375" style="1583" hidden="1" customWidth="1"/>
    <col min="8" max="9" width="8.7109375" style="1583" customWidth="1"/>
    <col min="10" max="10" width="9.7109375" style="1583" bestFit="1" customWidth="1"/>
    <col min="11" max="20" width="8.7109375" style="1583" customWidth="1"/>
    <col min="21" max="21" width="10.7109375" style="1583" customWidth="1"/>
    <col min="22" max="22" width="3.421875" style="1583" customWidth="1"/>
    <col min="23" max="16384" width="11.421875" style="1583" customWidth="1"/>
  </cols>
  <sheetData>
    <row r="1" spans="21:22" ht="45" customHeight="1">
      <c r="U1" s="1584"/>
      <c r="V1" s="1585"/>
    </row>
    <row r="2" spans="2:22" s="1586" customFormat="1" ht="26.25">
      <c r="B2" s="1587" t="str">
        <f>+'TOT-0115'!B2</f>
        <v>ANEXO II al Memorándum D.T.E.E. N°  90 /2016</v>
      </c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  <c r="P2" s="1587"/>
      <c r="Q2" s="1587"/>
      <c r="R2" s="1587"/>
      <c r="S2" s="1587"/>
      <c r="T2" s="1587"/>
      <c r="U2" s="1587"/>
      <c r="V2" s="1588"/>
    </row>
    <row r="3" spans="1:22" s="1591" customFormat="1" ht="11.25">
      <c r="A3" s="1589" t="s">
        <v>2</v>
      </c>
      <c r="B3" s="1590"/>
      <c r="U3" s="1592"/>
      <c r="V3" s="1592"/>
    </row>
    <row r="4" spans="1:22" s="1591" customFormat="1" ht="11.25">
      <c r="A4" s="1589" t="s">
        <v>3</v>
      </c>
      <c r="B4" s="1590"/>
      <c r="U4" s="1590"/>
      <c r="V4" s="1592"/>
    </row>
    <row r="5" spans="21:22" ht="9.75" customHeight="1">
      <c r="U5" s="1593"/>
      <c r="V5" s="1585"/>
    </row>
    <row r="6" spans="2:178" s="1594" customFormat="1" ht="23.25">
      <c r="B6" s="1595" t="s">
        <v>314</v>
      </c>
      <c r="C6" s="1595"/>
      <c r="D6" s="1596"/>
      <c r="E6" s="1595"/>
      <c r="F6" s="1595"/>
      <c r="G6" s="1595"/>
      <c r="H6" s="1595"/>
      <c r="I6" s="1595"/>
      <c r="J6" s="1595"/>
      <c r="K6" s="1595"/>
      <c r="L6" s="1595"/>
      <c r="M6" s="1595"/>
      <c r="N6" s="1595"/>
      <c r="O6" s="1595"/>
      <c r="P6" s="1595"/>
      <c r="Q6" s="1595"/>
      <c r="R6" s="1595"/>
      <c r="S6" s="1595"/>
      <c r="T6" s="1595"/>
      <c r="U6" s="1595"/>
      <c r="V6" s="1597"/>
      <c r="W6" s="1595"/>
      <c r="X6" s="1595"/>
      <c r="Y6" s="1595"/>
      <c r="Z6" s="1595"/>
      <c r="AA6" s="1595"/>
      <c r="AB6" s="1595"/>
      <c r="AC6" s="1595"/>
      <c r="AD6" s="1595"/>
      <c r="AE6" s="1595"/>
      <c r="AF6" s="1595"/>
      <c r="AG6" s="1595"/>
      <c r="AH6" s="1595"/>
      <c r="AI6" s="1595"/>
      <c r="AJ6" s="1595"/>
      <c r="AK6" s="1595"/>
      <c r="AL6" s="1595"/>
      <c r="AM6" s="1595"/>
      <c r="AN6" s="1595"/>
      <c r="AO6" s="1595"/>
      <c r="AP6" s="1595"/>
      <c r="AQ6" s="1595"/>
      <c r="AR6" s="1595"/>
      <c r="AS6" s="1595"/>
      <c r="AT6" s="1595"/>
      <c r="AU6" s="1595"/>
      <c r="AV6" s="1595"/>
      <c r="AW6" s="1595"/>
      <c r="AX6" s="1595"/>
      <c r="AY6" s="1595"/>
      <c r="AZ6" s="1595"/>
      <c r="BA6" s="1595"/>
      <c r="BB6" s="1595"/>
      <c r="BC6" s="1595"/>
      <c r="BD6" s="1595"/>
      <c r="BE6" s="1595"/>
      <c r="BF6" s="1595"/>
      <c r="BG6" s="1595"/>
      <c r="BH6" s="1595"/>
      <c r="BI6" s="1595"/>
      <c r="BJ6" s="1595"/>
      <c r="BK6" s="1595"/>
      <c r="BL6" s="1595"/>
      <c r="BM6" s="1595"/>
      <c r="BN6" s="1595"/>
      <c r="BO6" s="1595"/>
      <c r="BP6" s="1595"/>
      <c r="BQ6" s="1595"/>
      <c r="BR6" s="1595"/>
      <c r="BS6" s="1595"/>
      <c r="BT6" s="1595"/>
      <c r="BU6" s="1595"/>
      <c r="BV6" s="1595"/>
      <c r="BW6" s="1595"/>
      <c r="BX6" s="1595"/>
      <c r="BY6" s="1595"/>
      <c r="BZ6" s="1595"/>
      <c r="CA6" s="1595"/>
      <c r="CB6" s="1595"/>
      <c r="CC6" s="1595"/>
      <c r="CD6" s="1595"/>
      <c r="CE6" s="1595"/>
      <c r="CF6" s="1595"/>
      <c r="CG6" s="1595"/>
      <c r="CH6" s="1595"/>
      <c r="CI6" s="1595"/>
      <c r="CJ6" s="1595"/>
      <c r="CK6" s="1595"/>
      <c r="CL6" s="1595"/>
      <c r="CM6" s="1595"/>
      <c r="CN6" s="1595"/>
      <c r="CO6" s="1595"/>
      <c r="CP6" s="1595"/>
      <c r="CQ6" s="1595"/>
      <c r="CR6" s="1595"/>
      <c r="CS6" s="1595"/>
      <c r="CT6" s="1595"/>
      <c r="CU6" s="1595"/>
      <c r="CV6" s="1595"/>
      <c r="CW6" s="1595"/>
      <c r="CX6" s="1595"/>
      <c r="CY6" s="1595"/>
      <c r="CZ6" s="1595"/>
      <c r="DA6" s="1595"/>
      <c r="DB6" s="1595"/>
      <c r="DC6" s="1595"/>
      <c r="DD6" s="1595"/>
      <c r="DE6" s="1595"/>
      <c r="DF6" s="1595"/>
      <c r="DG6" s="1595"/>
      <c r="DH6" s="1595"/>
      <c r="DI6" s="1595"/>
      <c r="DJ6" s="1595"/>
      <c r="DK6" s="1595"/>
      <c r="DL6" s="1595"/>
      <c r="DM6" s="1595"/>
      <c r="DN6" s="1595"/>
      <c r="DO6" s="1595"/>
      <c r="DP6" s="1595"/>
      <c r="DQ6" s="1595"/>
      <c r="DR6" s="1595"/>
      <c r="DS6" s="1595"/>
      <c r="DT6" s="1595"/>
      <c r="DU6" s="1595"/>
      <c r="DV6" s="1595"/>
      <c r="DW6" s="1595"/>
      <c r="DX6" s="1595"/>
      <c r="DY6" s="1595"/>
      <c r="DZ6" s="1595"/>
      <c r="EA6" s="1595"/>
      <c r="EB6" s="1595"/>
      <c r="EC6" s="1595"/>
      <c r="ED6" s="1595"/>
      <c r="EE6" s="1595"/>
      <c r="EF6" s="1595"/>
      <c r="EG6" s="1595"/>
      <c r="EH6" s="1595"/>
      <c r="EI6" s="1595"/>
      <c r="EJ6" s="1595"/>
      <c r="EK6" s="1595"/>
      <c r="EL6" s="1595"/>
      <c r="EM6" s="1595"/>
      <c r="EN6" s="1595"/>
      <c r="EO6" s="1595"/>
      <c r="EP6" s="1595"/>
      <c r="EQ6" s="1595"/>
      <c r="ER6" s="1595"/>
      <c r="ES6" s="1595"/>
      <c r="ET6" s="1595"/>
      <c r="EU6" s="1595"/>
      <c r="EV6" s="1595"/>
      <c r="EW6" s="1595"/>
      <c r="EX6" s="1595"/>
      <c r="EY6" s="1595"/>
      <c r="EZ6" s="1595"/>
      <c r="FA6" s="1595"/>
      <c r="FB6" s="1595"/>
      <c r="FC6" s="1595"/>
      <c r="FD6" s="1595"/>
      <c r="FE6" s="1595"/>
      <c r="FF6" s="1595"/>
      <c r="FG6" s="1595"/>
      <c r="FH6" s="1595"/>
      <c r="FI6" s="1595"/>
      <c r="FJ6" s="1595"/>
      <c r="FK6" s="1595"/>
      <c r="FL6" s="1595"/>
      <c r="FM6" s="1595"/>
      <c r="FN6" s="1595"/>
      <c r="FO6" s="1595"/>
      <c r="FP6" s="1595"/>
      <c r="FQ6" s="1595"/>
      <c r="FR6" s="1595"/>
      <c r="FS6" s="1595"/>
      <c r="FT6" s="1595"/>
      <c r="FU6" s="1595"/>
      <c r="FV6" s="1595"/>
    </row>
    <row r="7" spans="2:178" s="1598" customFormat="1" ht="9.75" customHeight="1">
      <c r="B7" s="1599"/>
      <c r="C7" s="1599"/>
      <c r="D7" s="1599"/>
      <c r="E7" s="1599"/>
      <c r="F7" s="1599"/>
      <c r="G7" s="1599"/>
      <c r="H7" s="1599"/>
      <c r="I7" s="1599"/>
      <c r="J7" s="1599"/>
      <c r="K7" s="1599"/>
      <c r="L7" s="1599"/>
      <c r="M7" s="1599"/>
      <c r="N7" s="1599"/>
      <c r="O7" s="1599"/>
      <c r="P7" s="1599"/>
      <c r="Q7" s="1599"/>
      <c r="R7" s="1599"/>
      <c r="S7" s="1599"/>
      <c r="T7" s="1599"/>
      <c r="U7" s="1600"/>
      <c r="V7" s="1600"/>
      <c r="W7" s="1599"/>
      <c r="X7" s="1599"/>
      <c r="Y7" s="1599"/>
      <c r="Z7" s="1599"/>
      <c r="AA7" s="1599"/>
      <c r="AB7" s="1599"/>
      <c r="AC7" s="1599"/>
      <c r="AD7" s="1599"/>
      <c r="AE7" s="1599"/>
      <c r="AF7" s="1599"/>
      <c r="AG7" s="1599"/>
      <c r="AH7" s="1599"/>
      <c r="AI7" s="1599"/>
      <c r="AJ7" s="1599"/>
      <c r="AK7" s="1599"/>
      <c r="AL7" s="1599"/>
      <c r="AM7" s="1599"/>
      <c r="AN7" s="1599"/>
      <c r="AO7" s="1599"/>
      <c r="AP7" s="1599"/>
      <c r="AQ7" s="1599"/>
      <c r="AR7" s="1599"/>
      <c r="AS7" s="1599"/>
      <c r="AT7" s="1599"/>
      <c r="AU7" s="1599"/>
      <c r="AV7" s="1599"/>
      <c r="AW7" s="1599"/>
      <c r="AX7" s="1599"/>
      <c r="AY7" s="1599"/>
      <c r="AZ7" s="1599"/>
      <c r="BA7" s="1599"/>
      <c r="BB7" s="1599"/>
      <c r="BC7" s="1599"/>
      <c r="BD7" s="1599"/>
      <c r="BE7" s="1599"/>
      <c r="BF7" s="1599"/>
      <c r="BG7" s="1599"/>
      <c r="BH7" s="1599"/>
      <c r="BI7" s="1599"/>
      <c r="BJ7" s="1599"/>
      <c r="BK7" s="1599"/>
      <c r="BL7" s="1599"/>
      <c r="BM7" s="1599"/>
      <c r="BN7" s="1599"/>
      <c r="BO7" s="1599"/>
      <c r="BP7" s="1599"/>
      <c r="BQ7" s="1599"/>
      <c r="BR7" s="1599"/>
      <c r="BS7" s="1599"/>
      <c r="BT7" s="1599"/>
      <c r="BU7" s="1599"/>
      <c r="BV7" s="1599"/>
      <c r="BW7" s="1599"/>
      <c r="BX7" s="1599"/>
      <c r="BY7" s="1599"/>
      <c r="BZ7" s="1599"/>
      <c r="CA7" s="1599"/>
      <c r="CB7" s="1599"/>
      <c r="CC7" s="1599"/>
      <c r="CD7" s="1599"/>
      <c r="CE7" s="1599"/>
      <c r="CF7" s="1599"/>
      <c r="CG7" s="1599"/>
      <c r="CH7" s="1599"/>
      <c r="CI7" s="1599"/>
      <c r="CJ7" s="1599"/>
      <c r="CK7" s="1599"/>
      <c r="CL7" s="1599"/>
      <c r="CM7" s="1599"/>
      <c r="CN7" s="1599"/>
      <c r="CO7" s="1599"/>
      <c r="CP7" s="1599"/>
      <c r="CQ7" s="1599"/>
      <c r="CR7" s="1599"/>
      <c r="CS7" s="1599"/>
      <c r="CT7" s="1599"/>
      <c r="CU7" s="1599"/>
      <c r="CV7" s="1599"/>
      <c r="CW7" s="1599"/>
      <c r="CX7" s="1599"/>
      <c r="CY7" s="1599"/>
      <c r="CZ7" s="1599"/>
      <c r="DA7" s="1599"/>
      <c r="DB7" s="1599"/>
      <c r="DC7" s="1599"/>
      <c r="DD7" s="1599"/>
      <c r="DE7" s="1599"/>
      <c r="DF7" s="1599"/>
      <c r="DG7" s="1599"/>
      <c r="DH7" s="1599"/>
      <c r="DI7" s="1599"/>
      <c r="DJ7" s="1599"/>
      <c r="DK7" s="1599"/>
      <c r="DL7" s="1599"/>
      <c r="DM7" s="1599"/>
      <c r="DN7" s="1599"/>
      <c r="DO7" s="1599"/>
      <c r="DP7" s="1599"/>
      <c r="DQ7" s="1599"/>
      <c r="DR7" s="1599"/>
      <c r="DS7" s="1599"/>
      <c r="DT7" s="1599"/>
      <c r="DU7" s="1599"/>
      <c r="DV7" s="1599"/>
      <c r="DW7" s="1599"/>
      <c r="DX7" s="1599"/>
      <c r="DY7" s="1599"/>
      <c r="DZ7" s="1599"/>
      <c r="EA7" s="1599"/>
      <c r="EB7" s="1599"/>
      <c r="EC7" s="1599"/>
      <c r="ED7" s="1599"/>
      <c r="EE7" s="1599"/>
      <c r="EF7" s="1599"/>
      <c r="EG7" s="1599"/>
      <c r="EH7" s="1599"/>
      <c r="EI7" s="1599"/>
      <c r="EJ7" s="1599"/>
      <c r="EK7" s="1599"/>
      <c r="EL7" s="1599"/>
      <c r="EM7" s="1599"/>
      <c r="EN7" s="1599"/>
      <c r="EO7" s="1599"/>
      <c r="EP7" s="1599"/>
      <c r="EQ7" s="1599"/>
      <c r="ER7" s="1599"/>
      <c r="ES7" s="1599"/>
      <c r="ET7" s="1599"/>
      <c r="EU7" s="1599"/>
      <c r="EV7" s="1599"/>
      <c r="EW7" s="1599"/>
      <c r="EX7" s="1599"/>
      <c r="EY7" s="1599"/>
      <c r="EZ7" s="1599"/>
      <c r="FA7" s="1599"/>
      <c r="FB7" s="1599"/>
      <c r="FC7" s="1599"/>
      <c r="FD7" s="1599"/>
      <c r="FE7" s="1599"/>
      <c r="FF7" s="1599"/>
      <c r="FG7" s="1599"/>
      <c r="FH7" s="1599"/>
      <c r="FI7" s="1599"/>
      <c r="FJ7" s="1599"/>
      <c r="FK7" s="1599"/>
      <c r="FL7" s="1599"/>
      <c r="FM7" s="1599"/>
      <c r="FN7" s="1599"/>
      <c r="FO7" s="1599"/>
      <c r="FP7" s="1599"/>
      <c r="FQ7" s="1599"/>
      <c r="FR7" s="1599"/>
      <c r="FS7" s="1599"/>
      <c r="FT7" s="1599"/>
      <c r="FU7" s="1599"/>
      <c r="FV7" s="1599"/>
    </row>
    <row r="8" spans="2:178" s="1601" customFormat="1" ht="23.25">
      <c r="B8" s="1595" t="s">
        <v>1</v>
      </c>
      <c r="C8" s="1596"/>
      <c r="D8" s="1596"/>
      <c r="E8" s="1596"/>
      <c r="F8" s="1596"/>
      <c r="G8" s="1596"/>
      <c r="H8" s="1596"/>
      <c r="I8" s="1596"/>
      <c r="J8" s="1596"/>
      <c r="K8" s="1596"/>
      <c r="L8" s="1596"/>
      <c r="M8" s="1596"/>
      <c r="N8" s="1596"/>
      <c r="O8" s="1596"/>
      <c r="P8" s="1596"/>
      <c r="Q8" s="1596"/>
      <c r="R8" s="1596"/>
      <c r="S8" s="1596"/>
      <c r="T8" s="1596"/>
      <c r="U8" s="1596"/>
      <c r="V8" s="1602"/>
      <c r="W8" s="1596"/>
      <c r="X8" s="1596"/>
      <c r="Y8" s="1596"/>
      <c r="Z8" s="1596"/>
      <c r="AA8" s="1596"/>
      <c r="AB8" s="1596"/>
      <c r="AC8" s="1596"/>
      <c r="AD8" s="1596"/>
      <c r="AE8" s="1596"/>
      <c r="AF8" s="1596"/>
      <c r="AG8" s="1596"/>
      <c r="AH8" s="1596"/>
      <c r="AI8" s="1596"/>
      <c r="AJ8" s="1596"/>
      <c r="AK8" s="1596"/>
      <c r="AL8" s="1596"/>
      <c r="AM8" s="1596"/>
      <c r="AN8" s="1596"/>
      <c r="AO8" s="1596"/>
      <c r="AP8" s="1596"/>
      <c r="AQ8" s="1596"/>
      <c r="AR8" s="1596"/>
      <c r="AS8" s="1596"/>
      <c r="AT8" s="1596"/>
      <c r="AU8" s="1596"/>
      <c r="AV8" s="1596"/>
      <c r="AW8" s="1596"/>
      <c r="AX8" s="1596"/>
      <c r="AY8" s="1596"/>
      <c r="AZ8" s="1596"/>
      <c r="BA8" s="1596"/>
      <c r="BB8" s="1596"/>
      <c r="BC8" s="1596"/>
      <c r="BD8" s="1596"/>
      <c r="BE8" s="1596"/>
      <c r="BF8" s="1596"/>
      <c r="BG8" s="1596"/>
      <c r="BH8" s="1596"/>
      <c r="BI8" s="1596"/>
      <c r="BJ8" s="1596"/>
      <c r="BK8" s="1596"/>
      <c r="BL8" s="1596"/>
      <c r="BM8" s="1596"/>
      <c r="BN8" s="1596"/>
      <c r="BO8" s="1596"/>
      <c r="BP8" s="1596"/>
      <c r="BQ8" s="1596"/>
      <c r="BR8" s="1596"/>
      <c r="BS8" s="1596"/>
      <c r="BT8" s="1596"/>
      <c r="BU8" s="1596"/>
      <c r="BV8" s="1596"/>
      <c r="BW8" s="1596"/>
      <c r="BX8" s="1596"/>
      <c r="BY8" s="1596"/>
      <c r="BZ8" s="1596"/>
      <c r="CA8" s="1596"/>
      <c r="CB8" s="1596"/>
      <c r="CC8" s="1596"/>
      <c r="CD8" s="1596"/>
      <c r="CE8" s="1596"/>
      <c r="CF8" s="1596"/>
      <c r="CG8" s="1596"/>
      <c r="CH8" s="1596"/>
      <c r="CI8" s="1596"/>
      <c r="CJ8" s="1596"/>
      <c r="CK8" s="1596"/>
      <c r="CL8" s="1596"/>
      <c r="CM8" s="1596"/>
      <c r="CN8" s="1596"/>
      <c r="CO8" s="1596"/>
      <c r="CP8" s="1596"/>
      <c r="CQ8" s="1596"/>
      <c r="CR8" s="1596"/>
      <c r="CS8" s="1596"/>
      <c r="CT8" s="1596"/>
      <c r="CU8" s="1596"/>
      <c r="CV8" s="1596"/>
      <c r="CW8" s="1596"/>
      <c r="CX8" s="1596"/>
      <c r="CY8" s="1596"/>
      <c r="CZ8" s="1596"/>
      <c r="DA8" s="1596"/>
      <c r="DB8" s="1596"/>
      <c r="DC8" s="1596"/>
      <c r="DD8" s="1596"/>
      <c r="DE8" s="1596"/>
      <c r="DF8" s="1596"/>
      <c r="DG8" s="1596"/>
      <c r="DH8" s="1596"/>
      <c r="DI8" s="1596"/>
      <c r="DJ8" s="1596"/>
      <c r="DK8" s="1596"/>
      <c r="DL8" s="1596"/>
      <c r="DM8" s="1596"/>
      <c r="DN8" s="1596"/>
      <c r="DO8" s="1596"/>
      <c r="DP8" s="1596"/>
      <c r="DQ8" s="1596"/>
      <c r="DR8" s="1596"/>
      <c r="DS8" s="1596"/>
      <c r="DT8" s="1596"/>
      <c r="DU8" s="1596"/>
      <c r="DV8" s="1596"/>
      <c r="DW8" s="1596"/>
      <c r="DX8" s="1596"/>
      <c r="DY8" s="1596"/>
      <c r="DZ8" s="1596"/>
      <c r="EA8" s="1596"/>
      <c r="EB8" s="1596"/>
      <c r="EC8" s="1596"/>
      <c r="ED8" s="1596"/>
      <c r="EE8" s="1596"/>
      <c r="EF8" s="1596"/>
      <c r="EG8" s="1596"/>
      <c r="EH8" s="1596"/>
      <c r="EI8" s="1596"/>
      <c r="EJ8" s="1596"/>
      <c r="EK8" s="1596"/>
      <c r="EL8" s="1596"/>
      <c r="EM8" s="1596"/>
      <c r="EN8" s="1596"/>
      <c r="EO8" s="1596"/>
      <c r="EP8" s="1596"/>
      <c r="EQ8" s="1596"/>
      <c r="ER8" s="1596"/>
      <c r="ES8" s="1596"/>
      <c r="ET8" s="1596"/>
      <c r="EU8" s="1596"/>
      <c r="EV8" s="1596"/>
      <c r="EW8" s="1596"/>
      <c r="EX8" s="1596"/>
      <c r="EY8" s="1596"/>
      <c r="EZ8" s="1596"/>
      <c r="FA8" s="1596"/>
      <c r="FB8" s="1596"/>
      <c r="FC8" s="1596"/>
      <c r="FD8" s="1596"/>
      <c r="FE8" s="1596"/>
      <c r="FF8" s="1596"/>
      <c r="FG8" s="1596"/>
      <c r="FH8" s="1596"/>
      <c r="FI8" s="1596"/>
      <c r="FJ8" s="1596"/>
      <c r="FK8" s="1596"/>
      <c r="FL8" s="1596"/>
      <c r="FM8" s="1596"/>
      <c r="FN8" s="1596"/>
      <c r="FO8" s="1596"/>
      <c r="FP8" s="1596"/>
      <c r="FQ8" s="1596"/>
      <c r="FR8" s="1596"/>
      <c r="FS8" s="1596"/>
      <c r="FT8" s="1596"/>
      <c r="FU8" s="1596"/>
      <c r="FV8" s="1596"/>
    </row>
    <row r="9" spans="2:178" s="1598" customFormat="1" ht="9.75" customHeight="1">
      <c r="B9" s="1599"/>
      <c r="C9" s="1599"/>
      <c r="D9" s="1599"/>
      <c r="E9" s="1599"/>
      <c r="F9" s="1599"/>
      <c r="G9" s="1599"/>
      <c r="H9" s="1599"/>
      <c r="I9" s="1599"/>
      <c r="J9" s="1599"/>
      <c r="K9" s="1599"/>
      <c r="L9" s="1599"/>
      <c r="M9" s="1599"/>
      <c r="N9" s="1599"/>
      <c r="O9" s="1599"/>
      <c r="P9" s="1599"/>
      <c r="Q9" s="1599"/>
      <c r="R9" s="1599"/>
      <c r="S9" s="1599"/>
      <c r="T9" s="1599"/>
      <c r="U9" s="1600"/>
      <c r="V9" s="1600"/>
      <c r="W9" s="1599"/>
      <c r="X9" s="1599"/>
      <c r="Y9" s="1599"/>
      <c r="Z9" s="1599"/>
      <c r="AA9" s="1599"/>
      <c r="AB9" s="1599"/>
      <c r="AC9" s="1599"/>
      <c r="AD9" s="1599"/>
      <c r="AE9" s="1599"/>
      <c r="AF9" s="1599"/>
      <c r="AG9" s="1599"/>
      <c r="AH9" s="1599"/>
      <c r="AI9" s="1599"/>
      <c r="AJ9" s="1599"/>
      <c r="AK9" s="1599"/>
      <c r="AL9" s="1599"/>
      <c r="AM9" s="1599"/>
      <c r="AN9" s="1599"/>
      <c r="AO9" s="1599"/>
      <c r="AP9" s="1599"/>
      <c r="AQ9" s="1599"/>
      <c r="AR9" s="1599"/>
      <c r="AS9" s="1599"/>
      <c r="AT9" s="1599"/>
      <c r="AU9" s="1599"/>
      <c r="AV9" s="1599"/>
      <c r="AW9" s="1599"/>
      <c r="AX9" s="1599"/>
      <c r="AY9" s="1599"/>
      <c r="AZ9" s="1599"/>
      <c r="BA9" s="1599"/>
      <c r="BB9" s="1599"/>
      <c r="BC9" s="1599"/>
      <c r="BD9" s="1599"/>
      <c r="BE9" s="1599"/>
      <c r="BF9" s="1599"/>
      <c r="BG9" s="1599"/>
      <c r="BH9" s="1599"/>
      <c r="BI9" s="1599"/>
      <c r="BJ9" s="1599"/>
      <c r="BK9" s="1599"/>
      <c r="BL9" s="1599"/>
      <c r="BM9" s="1599"/>
      <c r="BN9" s="1599"/>
      <c r="BO9" s="1599"/>
      <c r="BP9" s="1599"/>
      <c r="BQ9" s="1599"/>
      <c r="BR9" s="1599"/>
      <c r="BS9" s="1599"/>
      <c r="BT9" s="1599"/>
      <c r="BU9" s="1599"/>
      <c r="BV9" s="1599"/>
      <c r="BW9" s="1599"/>
      <c r="BX9" s="1599"/>
      <c r="BY9" s="1599"/>
      <c r="BZ9" s="1599"/>
      <c r="CA9" s="1599"/>
      <c r="CB9" s="1599"/>
      <c r="CC9" s="1599"/>
      <c r="CD9" s="1599"/>
      <c r="CE9" s="1599"/>
      <c r="CF9" s="1599"/>
      <c r="CG9" s="1599"/>
      <c r="CH9" s="1599"/>
      <c r="CI9" s="1599"/>
      <c r="CJ9" s="1599"/>
      <c r="CK9" s="1599"/>
      <c r="CL9" s="1599"/>
      <c r="CM9" s="1599"/>
      <c r="CN9" s="1599"/>
      <c r="CO9" s="1599"/>
      <c r="CP9" s="1599"/>
      <c r="CQ9" s="1599"/>
      <c r="CR9" s="1599"/>
      <c r="CS9" s="1599"/>
      <c r="CT9" s="1599"/>
      <c r="CU9" s="1599"/>
      <c r="CV9" s="1599"/>
      <c r="CW9" s="1599"/>
      <c r="CX9" s="1599"/>
      <c r="CY9" s="1599"/>
      <c r="CZ9" s="1599"/>
      <c r="DA9" s="1599"/>
      <c r="DB9" s="1599"/>
      <c r="DC9" s="1599"/>
      <c r="DD9" s="1599"/>
      <c r="DE9" s="1599"/>
      <c r="DF9" s="1599"/>
      <c r="DG9" s="1599"/>
      <c r="DH9" s="1599"/>
      <c r="DI9" s="1599"/>
      <c r="DJ9" s="1599"/>
      <c r="DK9" s="1599"/>
      <c r="DL9" s="1599"/>
      <c r="DM9" s="1599"/>
      <c r="DN9" s="1599"/>
      <c r="DO9" s="1599"/>
      <c r="DP9" s="1599"/>
      <c r="DQ9" s="1599"/>
      <c r="DR9" s="1599"/>
      <c r="DS9" s="1599"/>
      <c r="DT9" s="1599"/>
      <c r="DU9" s="1599"/>
      <c r="DV9" s="1599"/>
      <c r="DW9" s="1599"/>
      <c r="DX9" s="1599"/>
      <c r="DY9" s="1599"/>
      <c r="DZ9" s="1599"/>
      <c r="EA9" s="1599"/>
      <c r="EB9" s="1599"/>
      <c r="EC9" s="1599"/>
      <c r="ED9" s="1599"/>
      <c r="EE9" s="1599"/>
      <c r="EF9" s="1599"/>
      <c r="EG9" s="1599"/>
      <c r="EH9" s="1599"/>
      <c r="EI9" s="1599"/>
      <c r="EJ9" s="1599"/>
      <c r="EK9" s="1599"/>
      <c r="EL9" s="1599"/>
      <c r="EM9" s="1599"/>
      <c r="EN9" s="1599"/>
      <c r="EO9" s="1599"/>
      <c r="EP9" s="1599"/>
      <c r="EQ9" s="1599"/>
      <c r="ER9" s="1599"/>
      <c r="ES9" s="1599"/>
      <c r="ET9" s="1599"/>
      <c r="EU9" s="1599"/>
      <c r="EV9" s="1599"/>
      <c r="EW9" s="1599"/>
      <c r="EX9" s="1599"/>
      <c r="EY9" s="1599"/>
      <c r="EZ9" s="1599"/>
      <c r="FA9" s="1599"/>
      <c r="FB9" s="1599"/>
      <c r="FC9" s="1599"/>
      <c r="FD9" s="1599"/>
      <c r="FE9" s="1599"/>
      <c r="FF9" s="1599"/>
      <c r="FG9" s="1599"/>
      <c r="FH9" s="1599"/>
      <c r="FI9" s="1599"/>
      <c r="FJ9" s="1599"/>
      <c r="FK9" s="1599"/>
      <c r="FL9" s="1599"/>
      <c r="FM9" s="1599"/>
      <c r="FN9" s="1599"/>
      <c r="FO9" s="1599"/>
      <c r="FP9" s="1599"/>
      <c r="FQ9" s="1599"/>
      <c r="FR9" s="1599"/>
      <c r="FS9" s="1599"/>
      <c r="FT9" s="1599"/>
      <c r="FU9" s="1599"/>
      <c r="FV9" s="1599"/>
    </row>
    <row r="10" spans="2:178" s="1601" customFormat="1" ht="23.25">
      <c r="B10" s="1595" t="s">
        <v>315</v>
      </c>
      <c r="C10" s="1596"/>
      <c r="D10" s="1596"/>
      <c r="E10" s="1596"/>
      <c r="F10" s="1596"/>
      <c r="G10" s="1596"/>
      <c r="H10" s="1596"/>
      <c r="I10" s="1596"/>
      <c r="J10" s="1596"/>
      <c r="K10" s="1596"/>
      <c r="L10" s="1596"/>
      <c r="M10" s="1596"/>
      <c r="N10" s="1596"/>
      <c r="O10" s="1596"/>
      <c r="P10" s="1596"/>
      <c r="Q10" s="1596"/>
      <c r="R10" s="1596"/>
      <c r="S10" s="1596"/>
      <c r="T10" s="1596"/>
      <c r="U10" s="1596"/>
      <c r="V10" s="1602"/>
      <c r="W10" s="1596"/>
      <c r="X10" s="1596"/>
      <c r="Y10" s="1596"/>
      <c r="Z10" s="1596"/>
      <c r="AA10" s="1596"/>
      <c r="AB10" s="1596"/>
      <c r="AC10" s="1596"/>
      <c r="AD10" s="1596"/>
      <c r="AE10" s="1596"/>
      <c r="AF10" s="1596"/>
      <c r="AG10" s="1596"/>
      <c r="AH10" s="1596"/>
      <c r="AI10" s="1596"/>
      <c r="AJ10" s="1596"/>
      <c r="AK10" s="1596"/>
      <c r="AL10" s="1596"/>
      <c r="AM10" s="1596"/>
      <c r="AN10" s="1596"/>
      <c r="AO10" s="1596"/>
      <c r="AP10" s="1596"/>
      <c r="AQ10" s="1596"/>
      <c r="AR10" s="1596"/>
      <c r="AS10" s="1596"/>
      <c r="AT10" s="1596"/>
      <c r="AU10" s="1596"/>
      <c r="AV10" s="1596"/>
      <c r="AW10" s="1596"/>
      <c r="AX10" s="1596"/>
      <c r="AY10" s="1596"/>
      <c r="AZ10" s="1596"/>
      <c r="BA10" s="1596"/>
      <c r="BB10" s="1596"/>
      <c r="BC10" s="1596"/>
      <c r="BD10" s="1596"/>
      <c r="BE10" s="1596"/>
      <c r="BF10" s="1596"/>
      <c r="BG10" s="1596"/>
      <c r="BH10" s="1596"/>
      <c r="BI10" s="1596"/>
      <c r="BJ10" s="1596"/>
      <c r="BK10" s="1596"/>
      <c r="BL10" s="1596"/>
      <c r="BM10" s="1596"/>
      <c r="BN10" s="1596"/>
      <c r="BO10" s="1596"/>
      <c r="BP10" s="1596"/>
      <c r="BQ10" s="1596"/>
      <c r="BR10" s="1596"/>
      <c r="BS10" s="1596"/>
      <c r="BT10" s="1596"/>
      <c r="BU10" s="1596"/>
      <c r="BV10" s="1596"/>
      <c r="BW10" s="1596"/>
      <c r="BX10" s="1596"/>
      <c r="BY10" s="1596"/>
      <c r="BZ10" s="1596"/>
      <c r="CA10" s="1596"/>
      <c r="CB10" s="1596"/>
      <c r="CC10" s="1596"/>
      <c r="CD10" s="1596"/>
      <c r="CE10" s="1596"/>
      <c r="CF10" s="1596"/>
      <c r="CG10" s="1596"/>
      <c r="CH10" s="1596"/>
      <c r="CI10" s="1596"/>
      <c r="CJ10" s="1596"/>
      <c r="CK10" s="1596"/>
      <c r="CL10" s="1596"/>
      <c r="CM10" s="1596"/>
      <c r="CN10" s="1596"/>
      <c r="CO10" s="1596"/>
      <c r="CP10" s="1596"/>
      <c r="CQ10" s="1596"/>
      <c r="CR10" s="1596"/>
      <c r="CS10" s="1596"/>
      <c r="CT10" s="1596"/>
      <c r="CU10" s="1596"/>
      <c r="CV10" s="1596"/>
      <c r="CW10" s="1596"/>
      <c r="CX10" s="1596"/>
      <c r="CY10" s="1596"/>
      <c r="CZ10" s="1596"/>
      <c r="DA10" s="1596"/>
      <c r="DB10" s="1596"/>
      <c r="DC10" s="1596"/>
      <c r="DD10" s="1596"/>
      <c r="DE10" s="1596"/>
      <c r="DF10" s="1596"/>
      <c r="DG10" s="1596"/>
      <c r="DH10" s="1596"/>
      <c r="DI10" s="1596"/>
      <c r="DJ10" s="1596"/>
      <c r="DK10" s="1596"/>
      <c r="DL10" s="1596"/>
      <c r="DM10" s="1596"/>
      <c r="DN10" s="1596"/>
      <c r="DO10" s="1596"/>
      <c r="DP10" s="1596"/>
      <c r="DQ10" s="1596"/>
      <c r="DR10" s="1596"/>
      <c r="DS10" s="1596"/>
      <c r="DT10" s="1596"/>
      <c r="DU10" s="1596"/>
      <c r="DV10" s="1596"/>
      <c r="DW10" s="1596"/>
      <c r="DX10" s="1596"/>
      <c r="DY10" s="1596"/>
      <c r="DZ10" s="1596"/>
      <c r="EA10" s="1596"/>
      <c r="EB10" s="1596"/>
      <c r="EC10" s="1596"/>
      <c r="ED10" s="1596"/>
      <c r="EE10" s="1596"/>
      <c r="EF10" s="1596"/>
      <c r="EG10" s="1596"/>
      <c r="EH10" s="1596"/>
      <c r="EI10" s="1596"/>
      <c r="EJ10" s="1596"/>
      <c r="EK10" s="1596"/>
      <c r="EL10" s="1596"/>
      <c r="EM10" s="1596"/>
      <c r="EN10" s="1596"/>
      <c r="EO10" s="1596"/>
      <c r="EP10" s="1596"/>
      <c r="EQ10" s="1596"/>
      <c r="ER10" s="1596"/>
      <c r="ES10" s="1596"/>
      <c r="ET10" s="1596"/>
      <c r="EU10" s="1596"/>
      <c r="EV10" s="1596"/>
      <c r="EW10" s="1596"/>
      <c r="EX10" s="1596"/>
      <c r="EY10" s="1596"/>
      <c r="EZ10" s="1596"/>
      <c r="FA10" s="1596"/>
      <c r="FB10" s="1596"/>
      <c r="FC10" s="1596"/>
      <c r="FD10" s="1596"/>
      <c r="FE10" s="1596"/>
      <c r="FF10" s="1596"/>
      <c r="FG10" s="1596"/>
      <c r="FH10" s="1596"/>
      <c r="FI10" s="1596"/>
      <c r="FJ10" s="1596"/>
      <c r="FK10" s="1596"/>
      <c r="FL10" s="1596"/>
      <c r="FM10" s="1596"/>
      <c r="FN10" s="1596"/>
      <c r="FO10" s="1596"/>
      <c r="FP10" s="1596"/>
      <c r="FQ10" s="1596"/>
      <c r="FR10" s="1596"/>
      <c r="FS10" s="1596"/>
      <c r="FT10" s="1596"/>
      <c r="FU10" s="1596"/>
      <c r="FV10" s="1596"/>
    </row>
    <row r="11" spans="2:178" s="1598" customFormat="1" ht="9.75" customHeight="1" thickBot="1">
      <c r="B11" s="1599"/>
      <c r="C11" s="1599"/>
      <c r="D11" s="1599"/>
      <c r="E11" s="1599"/>
      <c r="F11" s="1599"/>
      <c r="G11" s="1599"/>
      <c r="H11" s="1599"/>
      <c r="I11" s="1599"/>
      <c r="J11" s="1599"/>
      <c r="K11" s="1599"/>
      <c r="L11" s="1599"/>
      <c r="M11" s="1599"/>
      <c r="N11" s="1599"/>
      <c r="O11" s="1599"/>
      <c r="P11" s="1599"/>
      <c r="Q11" s="1599"/>
      <c r="R11" s="1599"/>
      <c r="S11" s="1599"/>
      <c r="T11" s="1599"/>
      <c r="U11" s="1600"/>
      <c r="V11" s="1600"/>
      <c r="W11" s="1599"/>
      <c r="X11" s="1599"/>
      <c r="Y11" s="1599"/>
      <c r="Z11" s="1599"/>
      <c r="AA11" s="1599"/>
      <c r="AB11" s="1599"/>
      <c r="AC11" s="1599"/>
      <c r="AD11" s="1599"/>
      <c r="AE11" s="1599"/>
      <c r="AF11" s="1599"/>
      <c r="AG11" s="1599"/>
      <c r="AH11" s="1599"/>
      <c r="AI11" s="1599"/>
      <c r="AJ11" s="1599"/>
      <c r="AK11" s="1599"/>
      <c r="AL11" s="1599"/>
      <c r="AM11" s="1599"/>
      <c r="AN11" s="1599"/>
      <c r="AO11" s="1599"/>
      <c r="AP11" s="1599"/>
      <c r="AQ11" s="1599"/>
      <c r="AR11" s="1599"/>
      <c r="AS11" s="1599"/>
      <c r="AT11" s="1599"/>
      <c r="AU11" s="1599"/>
      <c r="AV11" s="1599"/>
      <c r="AW11" s="1599"/>
      <c r="AX11" s="1599"/>
      <c r="AY11" s="1599"/>
      <c r="AZ11" s="1599"/>
      <c r="BA11" s="1599"/>
      <c r="BB11" s="1599"/>
      <c r="BC11" s="1599"/>
      <c r="BD11" s="1599"/>
      <c r="BE11" s="1599"/>
      <c r="BF11" s="1599"/>
      <c r="BG11" s="1599"/>
      <c r="BH11" s="1599"/>
      <c r="BI11" s="1599"/>
      <c r="BJ11" s="1599"/>
      <c r="BK11" s="1599"/>
      <c r="BL11" s="1599"/>
      <c r="BM11" s="1599"/>
      <c r="BN11" s="1599"/>
      <c r="BO11" s="1599"/>
      <c r="BP11" s="1599"/>
      <c r="BQ11" s="1599"/>
      <c r="BR11" s="1599"/>
      <c r="BS11" s="1599"/>
      <c r="BT11" s="1599"/>
      <c r="BU11" s="1599"/>
      <c r="BV11" s="1599"/>
      <c r="BW11" s="1599"/>
      <c r="BX11" s="1599"/>
      <c r="BY11" s="1599"/>
      <c r="BZ11" s="1599"/>
      <c r="CA11" s="1599"/>
      <c r="CB11" s="1599"/>
      <c r="CC11" s="1599"/>
      <c r="CD11" s="1599"/>
      <c r="CE11" s="1599"/>
      <c r="CF11" s="1599"/>
      <c r="CG11" s="1599"/>
      <c r="CH11" s="1599"/>
      <c r="CI11" s="1599"/>
      <c r="CJ11" s="1599"/>
      <c r="CK11" s="1599"/>
      <c r="CL11" s="1599"/>
      <c r="CM11" s="1599"/>
      <c r="CN11" s="1599"/>
      <c r="CO11" s="1599"/>
      <c r="CP11" s="1599"/>
      <c r="CQ11" s="1599"/>
      <c r="CR11" s="1599"/>
      <c r="CS11" s="1599"/>
      <c r="CT11" s="1599"/>
      <c r="CU11" s="1599"/>
      <c r="CV11" s="1599"/>
      <c r="CW11" s="1599"/>
      <c r="CX11" s="1599"/>
      <c r="CY11" s="1599"/>
      <c r="CZ11" s="1599"/>
      <c r="DA11" s="1599"/>
      <c r="DB11" s="1599"/>
      <c r="DC11" s="1599"/>
      <c r="DD11" s="1599"/>
      <c r="DE11" s="1599"/>
      <c r="DF11" s="1599"/>
      <c r="DG11" s="1599"/>
      <c r="DH11" s="1599"/>
      <c r="DI11" s="1599"/>
      <c r="DJ11" s="1599"/>
      <c r="DK11" s="1599"/>
      <c r="DL11" s="1599"/>
      <c r="DM11" s="1599"/>
      <c r="DN11" s="1599"/>
      <c r="DO11" s="1599"/>
      <c r="DP11" s="1599"/>
      <c r="DQ11" s="1599"/>
      <c r="DR11" s="1599"/>
      <c r="DS11" s="1599"/>
      <c r="DT11" s="1599"/>
      <c r="DU11" s="1599"/>
      <c r="DV11" s="1599"/>
      <c r="DW11" s="1599"/>
      <c r="DX11" s="1599"/>
      <c r="DY11" s="1599"/>
      <c r="DZ11" s="1599"/>
      <c r="EA11" s="1599"/>
      <c r="EB11" s="1599"/>
      <c r="EC11" s="1599"/>
      <c r="ED11" s="1599"/>
      <c r="EE11" s="1599"/>
      <c r="EF11" s="1599"/>
      <c r="EG11" s="1599"/>
      <c r="EH11" s="1599"/>
      <c r="EI11" s="1599"/>
      <c r="EJ11" s="1599"/>
      <c r="EK11" s="1599"/>
      <c r="EL11" s="1599"/>
      <c r="EM11" s="1599"/>
      <c r="EN11" s="1599"/>
      <c r="EO11" s="1599"/>
      <c r="EP11" s="1599"/>
      <c r="EQ11" s="1599"/>
      <c r="ER11" s="1599"/>
      <c r="ES11" s="1599"/>
      <c r="ET11" s="1599"/>
      <c r="EU11" s="1599"/>
      <c r="EV11" s="1599"/>
      <c r="EW11" s="1599"/>
      <c r="EX11" s="1599"/>
      <c r="EY11" s="1599"/>
      <c r="EZ11" s="1599"/>
      <c r="FA11" s="1599"/>
      <c r="FB11" s="1599"/>
      <c r="FC11" s="1599"/>
      <c r="FD11" s="1599"/>
      <c r="FE11" s="1599"/>
      <c r="FF11" s="1599"/>
      <c r="FG11" s="1599"/>
      <c r="FH11" s="1599"/>
      <c r="FI11" s="1599"/>
      <c r="FJ11" s="1599"/>
      <c r="FK11" s="1599"/>
      <c r="FL11" s="1599"/>
      <c r="FM11" s="1599"/>
      <c r="FN11" s="1599"/>
      <c r="FO11" s="1599"/>
      <c r="FP11" s="1599"/>
      <c r="FQ11" s="1599"/>
      <c r="FR11" s="1599"/>
      <c r="FS11" s="1599"/>
      <c r="FT11" s="1599"/>
      <c r="FU11" s="1599"/>
      <c r="FV11" s="1599"/>
    </row>
    <row r="12" spans="2:177" s="1598" customFormat="1" ht="9.75" customHeight="1" thickTop="1">
      <c r="B12" s="1603"/>
      <c r="C12" s="1604"/>
      <c r="D12" s="1604"/>
      <c r="E12" s="1604"/>
      <c r="F12" s="1604"/>
      <c r="G12" s="1604"/>
      <c r="H12" s="1604"/>
      <c r="I12" s="1604"/>
      <c r="J12" s="1604"/>
      <c r="K12" s="1604"/>
      <c r="L12" s="1604"/>
      <c r="M12" s="1604"/>
      <c r="N12" s="1604"/>
      <c r="O12" s="1604"/>
      <c r="P12" s="1604"/>
      <c r="Q12" s="1604"/>
      <c r="R12" s="1604"/>
      <c r="S12" s="1604"/>
      <c r="T12" s="1604"/>
      <c r="U12" s="1605"/>
      <c r="V12" s="1599"/>
      <c r="W12" s="1599"/>
      <c r="X12" s="1599"/>
      <c r="Y12" s="1599"/>
      <c r="Z12" s="1599"/>
      <c r="AA12" s="1599"/>
      <c r="AB12" s="1599"/>
      <c r="AC12" s="1599"/>
      <c r="AD12" s="1599"/>
      <c r="AE12" s="1599"/>
      <c r="AF12" s="1599"/>
      <c r="AG12" s="1599"/>
      <c r="AH12" s="1599"/>
      <c r="AI12" s="1599"/>
      <c r="AJ12" s="1599"/>
      <c r="AK12" s="1599"/>
      <c r="AL12" s="1599"/>
      <c r="AM12" s="1599"/>
      <c r="AN12" s="1599"/>
      <c r="AO12" s="1599"/>
      <c r="AP12" s="1599"/>
      <c r="AQ12" s="1599"/>
      <c r="AR12" s="1599"/>
      <c r="AS12" s="1599"/>
      <c r="AT12" s="1599"/>
      <c r="AU12" s="1599"/>
      <c r="AV12" s="1599"/>
      <c r="AW12" s="1599"/>
      <c r="AX12" s="1599"/>
      <c r="AY12" s="1599"/>
      <c r="AZ12" s="1599"/>
      <c r="BA12" s="1599"/>
      <c r="BB12" s="1599"/>
      <c r="BC12" s="1599"/>
      <c r="BD12" s="1599"/>
      <c r="BE12" s="1599"/>
      <c r="BF12" s="1599"/>
      <c r="BG12" s="1599"/>
      <c r="BH12" s="1599"/>
      <c r="BI12" s="1599"/>
      <c r="BJ12" s="1599"/>
      <c r="BK12" s="1599"/>
      <c r="BL12" s="1599"/>
      <c r="BM12" s="1599"/>
      <c r="BN12" s="1599"/>
      <c r="BO12" s="1599"/>
      <c r="BP12" s="1599"/>
      <c r="BQ12" s="1599"/>
      <c r="BR12" s="1599"/>
      <c r="BS12" s="1599"/>
      <c r="BT12" s="1599"/>
      <c r="BU12" s="1599"/>
      <c r="BV12" s="1599"/>
      <c r="BW12" s="1599"/>
      <c r="BX12" s="1599"/>
      <c r="BY12" s="1599"/>
      <c r="BZ12" s="1599"/>
      <c r="CA12" s="1599"/>
      <c r="CB12" s="1599"/>
      <c r="CC12" s="1599"/>
      <c r="CD12" s="1599"/>
      <c r="CE12" s="1599"/>
      <c r="CF12" s="1599"/>
      <c r="CG12" s="1599"/>
      <c r="CH12" s="1599"/>
      <c r="CI12" s="1599"/>
      <c r="CJ12" s="1599"/>
      <c r="CK12" s="1599"/>
      <c r="CL12" s="1599"/>
      <c r="CM12" s="1599"/>
      <c r="CN12" s="1599"/>
      <c r="CO12" s="1599"/>
      <c r="CP12" s="1599"/>
      <c r="CQ12" s="1599"/>
      <c r="CR12" s="1599"/>
      <c r="CS12" s="1599"/>
      <c r="CT12" s="1599"/>
      <c r="CU12" s="1599"/>
      <c r="CV12" s="1599"/>
      <c r="CW12" s="1599"/>
      <c r="CX12" s="1599"/>
      <c r="CY12" s="1599"/>
      <c r="CZ12" s="1599"/>
      <c r="DA12" s="1599"/>
      <c r="DB12" s="1599"/>
      <c r="DC12" s="1599"/>
      <c r="DD12" s="1599"/>
      <c r="DE12" s="1599"/>
      <c r="DF12" s="1599"/>
      <c r="DG12" s="1599"/>
      <c r="DH12" s="1599"/>
      <c r="DI12" s="1599"/>
      <c r="DJ12" s="1599"/>
      <c r="DK12" s="1599"/>
      <c r="DL12" s="1599"/>
      <c r="DM12" s="1599"/>
      <c r="DN12" s="1599"/>
      <c r="DO12" s="1599"/>
      <c r="DP12" s="1599"/>
      <c r="DQ12" s="1599"/>
      <c r="DR12" s="1599"/>
      <c r="DS12" s="1599"/>
      <c r="DT12" s="1599"/>
      <c r="DU12" s="1599"/>
      <c r="DV12" s="1599"/>
      <c r="DW12" s="1599"/>
      <c r="DX12" s="1599"/>
      <c r="DY12" s="1599"/>
      <c r="DZ12" s="1599"/>
      <c r="EA12" s="1599"/>
      <c r="EB12" s="1599"/>
      <c r="EC12" s="1599"/>
      <c r="ED12" s="1599"/>
      <c r="EE12" s="1599"/>
      <c r="EF12" s="1599"/>
      <c r="EG12" s="1599"/>
      <c r="EH12" s="1599"/>
      <c r="EI12" s="1599"/>
      <c r="EJ12" s="1599"/>
      <c r="EK12" s="1599"/>
      <c r="EL12" s="1599"/>
      <c r="EM12" s="1599"/>
      <c r="EN12" s="1599"/>
      <c r="EO12" s="1599"/>
      <c r="EP12" s="1599"/>
      <c r="EQ12" s="1599"/>
      <c r="ER12" s="1599"/>
      <c r="ES12" s="1599"/>
      <c r="ET12" s="1599"/>
      <c r="EU12" s="1599"/>
      <c r="EV12" s="1599"/>
      <c r="EW12" s="1599"/>
      <c r="EX12" s="1599"/>
      <c r="EY12" s="1599"/>
      <c r="EZ12" s="1599"/>
      <c r="FA12" s="1599"/>
      <c r="FB12" s="1599"/>
      <c r="FC12" s="1599"/>
      <c r="FD12" s="1599"/>
      <c r="FE12" s="1599"/>
      <c r="FF12" s="1599"/>
      <c r="FG12" s="1599"/>
      <c r="FH12" s="1599"/>
      <c r="FI12" s="1599"/>
      <c r="FJ12" s="1599"/>
      <c r="FK12" s="1599"/>
      <c r="FL12" s="1599"/>
      <c r="FM12" s="1599"/>
      <c r="FN12" s="1599"/>
      <c r="FO12" s="1599"/>
      <c r="FP12" s="1599"/>
      <c r="FQ12" s="1599"/>
      <c r="FR12" s="1599"/>
      <c r="FS12" s="1599"/>
      <c r="FT12" s="1599"/>
      <c r="FU12" s="1599"/>
    </row>
    <row r="13" spans="2:177" s="1598" customFormat="1" ht="19.5">
      <c r="B13" s="1606" t="s">
        <v>322</v>
      </c>
      <c r="C13" s="1607"/>
      <c r="D13" s="1607"/>
      <c r="E13" s="1607"/>
      <c r="F13" s="1607"/>
      <c r="G13" s="1607"/>
      <c r="H13" s="1607"/>
      <c r="I13" s="1607"/>
      <c r="J13" s="1607"/>
      <c r="K13" s="1607"/>
      <c r="L13" s="1607"/>
      <c r="M13" s="1607"/>
      <c r="N13" s="1607"/>
      <c r="O13" s="1607"/>
      <c r="P13" s="1607"/>
      <c r="Q13" s="1607"/>
      <c r="R13" s="1607"/>
      <c r="S13" s="1607"/>
      <c r="T13" s="1607"/>
      <c r="U13" s="1608"/>
      <c r="V13" s="1599"/>
      <c r="W13" s="1599"/>
      <c r="X13" s="1599"/>
      <c r="Y13" s="1599"/>
      <c r="Z13" s="1599"/>
      <c r="AA13" s="1599"/>
      <c r="AB13" s="1599"/>
      <c r="AC13" s="1599"/>
      <c r="AD13" s="1599"/>
      <c r="AE13" s="1599"/>
      <c r="AF13" s="1599"/>
      <c r="AG13" s="1599"/>
      <c r="AH13" s="1599"/>
      <c r="AI13" s="1599"/>
      <c r="AJ13" s="1599"/>
      <c r="AK13" s="1599"/>
      <c r="AL13" s="1599"/>
      <c r="AM13" s="1599"/>
      <c r="AN13" s="1599"/>
      <c r="AO13" s="1599"/>
      <c r="AP13" s="1599"/>
      <c r="AQ13" s="1599"/>
      <c r="AR13" s="1599"/>
      <c r="AS13" s="1599"/>
      <c r="AT13" s="1599"/>
      <c r="AU13" s="1599"/>
      <c r="AV13" s="1599"/>
      <c r="AW13" s="1599"/>
      <c r="AX13" s="1599"/>
      <c r="AY13" s="1599"/>
      <c r="AZ13" s="1599"/>
      <c r="BA13" s="1599"/>
      <c r="BB13" s="1599"/>
      <c r="BC13" s="1599"/>
      <c r="BD13" s="1599"/>
      <c r="BE13" s="1599"/>
      <c r="BF13" s="1599"/>
      <c r="BG13" s="1599"/>
      <c r="BH13" s="1599"/>
      <c r="BI13" s="1599"/>
      <c r="BJ13" s="1599"/>
      <c r="BK13" s="1599"/>
      <c r="BL13" s="1599"/>
      <c r="BM13" s="1599"/>
      <c r="BN13" s="1599"/>
      <c r="BO13" s="1599"/>
      <c r="BP13" s="1599"/>
      <c r="BQ13" s="1599"/>
      <c r="BR13" s="1599"/>
      <c r="BS13" s="1599"/>
      <c r="BT13" s="1599"/>
      <c r="BU13" s="1599"/>
      <c r="BV13" s="1599"/>
      <c r="BW13" s="1599"/>
      <c r="BX13" s="1599"/>
      <c r="BY13" s="1599"/>
      <c r="BZ13" s="1599"/>
      <c r="CA13" s="1599"/>
      <c r="CB13" s="1599"/>
      <c r="CC13" s="1599"/>
      <c r="CD13" s="1599"/>
      <c r="CE13" s="1599"/>
      <c r="CF13" s="1599"/>
      <c r="CG13" s="1599"/>
      <c r="CH13" s="1599"/>
      <c r="CI13" s="1599"/>
      <c r="CJ13" s="1599"/>
      <c r="CK13" s="1599"/>
      <c r="CL13" s="1599"/>
      <c r="CM13" s="1599"/>
      <c r="CN13" s="1599"/>
      <c r="CO13" s="1599"/>
      <c r="CP13" s="1599"/>
      <c r="CQ13" s="1599"/>
      <c r="CR13" s="1599"/>
      <c r="CS13" s="1599"/>
      <c r="CT13" s="1599"/>
      <c r="CU13" s="1599"/>
      <c r="CV13" s="1599"/>
      <c r="CW13" s="1599"/>
      <c r="CX13" s="1599"/>
      <c r="CY13" s="1599"/>
      <c r="CZ13" s="1599"/>
      <c r="DA13" s="1599"/>
      <c r="DB13" s="1599"/>
      <c r="DC13" s="1599"/>
      <c r="DD13" s="1599"/>
      <c r="DE13" s="1599"/>
      <c r="DF13" s="1599"/>
      <c r="DG13" s="1599"/>
      <c r="DH13" s="1599"/>
      <c r="DI13" s="1599"/>
      <c r="DJ13" s="1599"/>
      <c r="DK13" s="1599"/>
      <c r="DL13" s="1599"/>
      <c r="DM13" s="1599"/>
      <c r="DN13" s="1599"/>
      <c r="DO13" s="1599"/>
      <c r="DP13" s="1599"/>
      <c r="DQ13" s="1599"/>
      <c r="DR13" s="1599"/>
      <c r="DS13" s="1599"/>
      <c r="DT13" s="1599"/>
      <c r="DU13" s="1599"/>
      <c r="DV13" s="1599"/>
      <c r="DW13" s="1599"/>
      <c r="DX13" s="1599"/>
      <c r="DY13" s="1599"/>
      <c r="DZ13" s="1599"/>
      <c r="EA13" s="1599"/>
      <c r="EB13" s="1599"/>
      <c r="EC13" s="1599"/>
      <c r="ED13" s="1599"/>
      <c r="EE13" s="1599"/>
      <c r="EF13" s="1599"/>
      <c r="EG13" s="1599"/>
      <c r="EH13" s="1599"/>
      <c r="EI13" s="1599"/>
      <c r="EJ13" s="1599"/>
      <c r="EK13" s="1599"/>
      <c r="EL13" s="1599"/>
      <c r="EM13" s="1599"/>
      <c r="EN13" s="1599"/>
      <c r="EO13" s="1599"/>
      <c r="EP13" s="1599"/>
      <c r="EQ13" s="1599"/>
      <c r="ER13" s="1599"/>
      <c r="ES13" s="1599"/>
      <c r="ET13" s="1599"/>
      <c r="EU13" s="1599"/>
      <c r="EV13" s="1599"/>
      <c r="EW13" s="1599"/>
      <c r="EX13" s="1599"/>
      <c r="EY13" s="1599"/>
      <c r="EZ13" s="1599"/>
      <c r="FA13" s="1599"/>
      <c r="FB13" s="1599"/>
      <c r="FC13" s="1599"/>
      <c r="FD13" s="1599"/>
      <c r="FE13" s="1599"/>
      <c r="FF13" s="1599"/>
      <c r="FG13" s="1599"/>
      <c r="FH13" s="1599"/>
      <c r="FI13" s="1599"/>
      <c r="FJ13" s="1599"/>
      <c r="FK13" s="1599"/>
      <c r="FL13" s="1599"/>
      <c r="FM13" s="1599"/>
      <c r="FN13" s="1599"/>
      <c r="FO13" s="1599"/>
      <c r="FP13" s="1599"/>
      <c r="FQ13" s="1599"/>
      <c r="FR13" s="1599"/>
      <c r="FS13" s="1599"/>
      <c r="FT13" s="1599"/>
      <c r="FU13" s="1599"/>
    </row>
    <row r="14" spans="2:21" s="1598" customFormat="1" ht="9.75" customHeight="1" thickBot="1">
      <c r="B14" s="1609"/>
      <c r="C14" s="1610"/>
      <c r="D14" s="1610"/>
      <c r="E14" s="1610"/>
      <c r="F14" s="1610"/>
      <c r="G14" s="1610"/>
      <c r="H14" s="1610"/>
      <c r="I14" s="1610"/>
      <c r="J14" s="1610"/>
      <c r="K14" s="1610"/>
      <c r="L14" s="1610"/>
      <c r="M14" s="1610"/>
      <c r="N14" s="1610"/>
      <c r="O14" s="1610"/>
      <c r="P14" s="1610"/>
      <c r="Q14" s="1610"/>
      <c r="R14" s="1610"/>
      <c r="S14" s="1610"/>
      <c r="T14" s="1610"/>
      <c r="U14" s="1611"/>
    </row>
    <row r="15" spans="2:21" s="1612" customFormat="1" ht="33.75" customHeight="1" thickBot="1" thickTop="1">
      <c r="B15" s="1613"/>
      <c r="C15" s="1614"/>
      <c r="D15" s="1614" t="s">
        <v>5</v>
      </c>
      <c r="E15" s="1615" t="s">
        <v>32</v>
      </c>
      <c r="F15" s="1615" t="s">
        <v>33</v>
      </c>
      <c r="G15" s="1616" t="s">
        <v>316</v>
      </c>
      <c r="H15" s="1616">
        <v>41640</v>
      </c>
      <c r="I15" s="1616">
        <v>41671</v>
      </c>
      <c r="J15" s="1616">
        <v>41699</v>
      </c>
      <c r="K15" s="1616">
        <v>41730</v>
      </c>
      <c r="L15" s="1616">
        <v>41760</v>
      </c>
      <c r="M15" s="1616">
        <v>41791</v>
      </c>
      <c r="N15" s="1616">
        <v>41821</v>
      </c>
      <c r="O15" s="1616">
        <v>41852</v>
      </c>
      <c r="P15" s="1616">
        <v>41883</v>
      </c>
      <c r="Q15" s="1616">
        <v>41913</v>
      </c>
      <c r="R15" s="1616">
        <v>41944</v>
      </c>
      <c r="S15" s="1616">
        <v>41974</v>
      </c>
      <c r="T15" s="1616">
        <v>42005</v>
      </c>
      <c r="U15" s="1617"/>
    </row>
    <row r="16" spans="2:21" s="1618" customFormat="1" ht="9.75" customHeight="1" thickTop="1">
      <c r="B16" s="1619"/>
      <c r="C16" s="1620"/>
      <c r="D16" s="1621"/>
      <c r="E16" s="1621"/>
      <c r="F16" s="1621"/>
      <c r="G16" s="1621"/>
      <c r="H16" s="1622"/>
      <c r="I16" s="1622"/>
      <c r="J16" s="1622"/>
      <c r="K16" s="1622"/>
      <c r="L16" s="1622"/>
      <c r="M16" s="1622"/>
      <c r="N16" s="1622"/>
      <c r="O16" s="1622"/>
      <c r="P16" s="1622"/>
      <c r="Q16" s="1622"/>
      <c r="R16" s="1622"/>
      <c r="S16" s="1622"/>
      <c r="T16" s="1623"/>
      <c r="U16" s="1624"/>
    </row>
    <row r="17" spans="2:21" s="1618" customFormat="1" ht="19.5" customHeight="1">
      <c r="B17" s="1619"/>
      <c r="C17" s="1625">
        <f>IF('[1]BASE'!C17=0,"",'[1]BASE'!C17)</f>
        <v>1</v>
      </c>
      <c r="D17" s="1625" t="str">
        <f>IF('[1]BASE'!D17=0,"",'[1]BASE'!D17)</f>
        <v>ABASTO - OLAVARRIA 1</v>
      </c>
      <c r="E17" s="1625">
        <f>IF('[1]BASE'!E17=0,"",'[1]BASE'!E17)</f>
        <v>500</v>
      </c>
      <c r="F17" s="1625">
        <f>IF('[1]BASE'!F17=0,"",'[1]BASE'!F17)</f>
        <v>291</v>
      </c>
      <c r="G17" s="1625" t="str">
        <f>IF('[2]BASE'!G17=0,"",'[2]BASE'!G17)</f>
        <v>B</v>
      </c>
      <c r="H17" s="1626">
        <f>IF('[1]BASE'!DY17=0,"",'[1]BASE'!DY17)</f>
      </c>
      <c r="I17" s="1626">
        <f>IF('[1]BASE'!DZ17=0,"",'[1]BASE'!DZ17)</f>
      </c>
      <c r="J17" s="1626">
        <f>IF('[1]BASE'!EA17=0,"",'[1]BASE'!EA17)</f>
      </c>
      <c r="K17" s="1626">
        <f>IF('[1]BASE'!EB17=0,"",'[1]BASE'!EB17)</f>
      </c>
      <c r="L17" s="1626">
        <f>IF('[1]BASE'!EC17=0,"",'[1]BASE'!EC17)</f>
      </c>
      <c r="M17" s="1626">
        <f>IF('[1]BASE'!ED17=0,"",'[1]BASE'!ED17)</f>
      </c>
      <c r="N17" s="1626">
        <f>IF('[1]BASE'!EE17=0,"",'[1]BASE'!EE17)</f>
      </c>
      <c r="O17" s="1626">
        <f>IF('[1]BASE'!EF17=0,"",'[1]BASE'!EF17)</f>
      </c>
      <c r="P17" s="1626">
        <f>IF('[1]BASE'!EG17=0,"",'[1]BASE'!EG17)</f>
      </c>
      <c r="Q17" s="1626">
        <f>IF('[1]BASE'!EH17=0,"",'[1]BASE'!EH17)</f>
      </c>
      <c r="R17" s="1626">
        <f>IF('[1]BASE'!EI17=0,"",'[1]BASE'!EI17)</f>
      </c>
      <c r="S17" s="1626">
        <f>IF('[1]BASE'!EJ17=0,"",'[1]BASE'!EJ17)</f>
      </c>
      <c r="T17" s="1627"/>
      <c r="U17" s="1624"/>
    </row>
    <row r="18" spans="2:21" s="1618" customFormat="1" ht="19.5" customHeight="1">
      <c r="B18" s="1619"/>
      <c r="C18" s="1625">
        <f>IF('[1]BASE'!C18=0,"",'[1]BASE'!C18)</f>
        <v>2</v>
      </c>
      <c r="D18" s="1625" t="str">
        <f>IF('[1]BASE'!D18=0,"",'[1]BASE'!D18)</f>
        <v>ABASTO - OLAVARRIA 2</v>
      </c>
      <c r="E18" s="1625">
        <f>IF('[1]BASE'!E18=0,"",'[1]BASE'!E18)</f>
        <v>500</v>
      </c>
      <c r="F18" s="1625">
        <f>IF('[1]BASE'!F18=0,"",'[1]BASE'!F18)</f>
        <v>301.9</v>
      </c>
      <c r="G18" s="1625" t="e">
        <f>IF('[2]BASE'!G18=0,"",'[2]BASE'!G18)</f>
        <v>#REF!</v>
      </c>
      <c r="H18" s="1626">
        <f>IF('[1]BASE'!DY18=0,"",'[1]BASE'!DY18)</f>
      </c>
      <c r="I18" s="1626">
        <f>IF('[1]BASE'!DZ18=0,"",'[1]BASE'!DZ18)</f>
      </c>
      <c r="J18" s="1626">
        <f>IF('[1]BASE'!EA18=0,"",'[1]BASE'!EA18)</f>
      </c>
      <c r="K18" s="1626">
        <f>IF('[1]BASE'!EB18=0,"",'[1]BASE'!EB18)</f>
      </c>
      <c r="L18" s="1626">
        <f>IF('[1]BASE'!EC18=0,"",'[1]BASE'!EC18)</f>
      </c>
      <c r="M18" s="1626">
        <f>IF('[1]BASE'!ED18=0,"",'[1]BASE'!ED18)</f>
      </c>
      <c r="N18" s="1626">
        <f>IF('[1]BASE'!EE18=0,"",'[1]BASE'!EE18)</f>
      </c>
      <c r="O18" s="1626">
        <f>IF('[1]BASE'!EF18=0,"",'[1]BASE'!EF18)</f>
      </c>
      <c r="P18" s="1626">
        <f>IF('[1]BASE'!EG18=0,"",'[1]BASE'!EG18)</f>
      </c>
      <c r="Q18" s="1626">
        <f>IF('[1]BASE'!EH18=0,"",'[1]BASE'!EH18)</f>
      </c>
      <c r="R18" s="1626">
        <f>IF('[1]BASE'!EI18=0,"",'[1]BASE'!EI18)</f>
      </c>
      <c r="S18" s="1626">
        <f>IF('[1]BASE'!EJ18=0,"",'[1]BASE'!EJ18)</f>
      </c>
      <c r="T18" s="1627"/>
      <c r="U18" s="1624"/>
    </row>
    <row r="19" spans="2:21" s="1618" customFormat="1" ht="19.5" customHeight="1">
      <c r="B19" s="1619"/>
      <c r="C19" s="1625">
        <f>IF('[1]BASE'!C19=0,"",'[1]BASE'!C19)</f>
        <v>3</v>
      </c>
      <c r="D19" s="1625" t="str">
        <f>IF('[1]BASE'!D19=0,"",'[1]BASE'!D19)</f>
        <v>AGUA DEL CAJON - CHOCON OESTE</v>
      </c>
      <c r="E19" s="1625">
        <f>IF('[1]BASE'!E19=0,"",'[1]BASE'!E19)</f>
        <v>500</v>
      </c>
      <c r="F19" s="1625">
        <f>IF('[1]BASE'!F19=0,"",'[1]BASE'!F19)</f>
        <v>52</v>
      </c>
      <c r="G19" s="1625" t="e">
        <f>IF('[2]BASE'!G19=0,"",'[2]BASE'!G19)</f>
        <v>#REF!</v>
      </c>
      <c r="H19" s="1626">
        <f>IF('[1]BASE'!DY19=0,"",'[1]BASE'!DY19)</f>
      </c>
      <c r="I19" s="1626">
        <f>IF('[1]BASE'!DZ19=0,"",'[1]BASE'!DZ19)</f>
      </c>
      <c r="J19" s="1626">
        <f>IF('[1]BASE'!EA19=0,"",'[1]BASE'!EA19)</f>
      </c>
      <c r="K19" s="1626">
        <f>IF('[1]BASE'!EB19=0,"",'[1]BASE'!EB19)</f>
      </c>
      <c r="L19" s="1626">
        <f>IF('[1]BASE'!EC19=0,"",'[1]BASE'!EC19)</f>
      </c>
      <c r="M19" s="1626">
        <f>IF('[1]BASE'!ED19=0,"",'[1]BASE'!ED19)</f>
      </c>
      <c r="N19" s="1626">
        <f>IF('[1]BASE'!EE19=0,"",'[1]BASE'!EE19)</f>
      </c>
      <c r="O19" s="1626">
        <f>IF('[1]BASE'!EF19=0,"",'[1]BASE'!EF19)</f>
      </c>
      <c r="P19" s="1626">
        <f>IF('[1]BASE'!EG19=0,"",'[1]BASE'!EG19)</f>
      </c>
      <c r="Q19" s="1626">
        <f>IF('[1]BASE'!EH19=0,"",'[1]BASE'!EH19)</f>
      </c>
      <c r="R19" s="1626">
        <f>IF('[1]BASE'!EI19=0,"",'[1]BASE'!EI19)</f>
      </c>
      <c r="S19" s="1626">
        <f>IF('[1]BASE'!EJ19=0,"",'[1]BASE'!EJ19)</f>
      </c>
      <c r="T19" s="1627"/>
      <c r="U19" s="1624"/>
    </row>
    <row r="20" spans="2:21" s="1618" customFormat="1" ht="19.5" customHeight="1">
      <c r="B20" s="1619"/>
      <c r="C20" s="1625">
        <f>IF('[1]BASE'!C20=0,"",'[1]BASE'!C20)</f>
        <v>4</v>
      </c>
      <c r="D20" s="1625" t="str">
        <f>IF('[1]BASE'!D20=0,"",'[1]BASE'!D20)</f>
        <v>ALICURA - E.T. P.del A. 1 (5LG1)</v>
      </c>
      <c r="E20" s="1625">
        <f>IF('[1]BASE'!E20=0,"",'[1]BASE'!E20)</f>
        <v>500</v>
      </c>
      <c r="F20" s="1625">
        <f>IF('[1]BASE'!F20=0,"",'[1]BASE'!F20)</f>
        <v>76</v>
      </c>
      <c r="G20" s="1625" t="str">
        <f>IF('[2]BASE'!G20=0,"",'[2]BASE'!G20)</f>
        <v>C</v>
      </c>
      <c r="H20" s="1626">
        <f>IF('[1]BASE'!DY20=0,"",'[1]BASE'!DY20)</f>
      </c>
      <c r="I20" s="1626">
        <f>IF('[1]BASE'!DZ20=0,"",'[1]BASE'!DZ20)</f>
      </c>
      <c r="J20" s="1626">
        <f>IF('[1]BASE'!EA20=0,"",'[1]BASE'!EA20)</f>
      </c>
      <c r="K20" s="1626">
        <f>IF('[1]BASE'!EB20=0,"",'[1]BASE'!EB20)</f>
      </c>
      <c r="L20" s="1626">
        <f>IF('[1]BASE'!EC20=0,"",'[1]BASE'!EC20)</f>
      </c>
      <c r="M20" s="1626">
        <f>IF('[1]BASE'!ED20=0,"",'[1]BASE'!ED20)</f>
      </c>
      <c r="N20" s="1626">
        <f>IF('[1]BASE'!EE20=0,"",'[1]BASE'!EE20)</f>
        <v>1</v>
      </c>
      <c r="O20" s="1626">
        <f>IF('[1]BASE'!EF20=0,"",'[1]BASE'!EF20)</f>
      </c>
      <c r="P20" s="1626">
        <f>IF('[1]BASE'!EG20=0,"",'[1]BASE'!EG20)</f>
      </c>
      <c r="Q20" s="1626">
        <f>IF('[1]BASE'!EH20=0,"",'[1]BASE'!EH20)</f>
      </c>
      <c r="R20" s="1626">
        <f>IF('[1]BASE'!EI20=0,"",'[1]BASE'!EI20)</f>
      </c>
      <c r="S20" s="1626">
        <f>IF('[1]BASE'!EJ20=0,"",'[1]BASE'!EJ20)</f>
      </c>
      <c r="T20" s="1627"/>
      <c r="U20" s="1624"/>
    </row>
    <row r="21" spans="2:21" s="1618" customFormat="1" ht="19.5" customHeight="1">
      <c r="B21" s="1619"/>
      <c r="C21" s="1625">
        <f>IF('[1]BASE'!C21=0,"",'[1]BASE'!C21)</f>
        <v>5</v>
      </c>
      <c r="D21" s="1625" t="str">
        <f>IF('[1]BASE'!D21=0,"",'[1]BASE'!D21)</f>
        <v>ALICURA - E.T. P.del A. 2 (5LG2)</v>
      </c>
      <c r="E21" s="1625">
        <f>IF('[1]BASE'!E21=0,"",'[1]BASE'!E21)</f>
        <v>500</v>
      </c>
      <c r="F21" s="1625">
        <f>IF('[1]BASE'!F21=0,"",'[1]BASE'!F21)</f>
        <v>76</v>
      </c>
      <c r="G21" s="1625" t="str">
        <f>IF('[2]BASE'!G21=0,"",'[2]BASE'!G21)</f>
        <v>C</v>
      </c>
      <c r="H21" s="1626">
        <f>IF('[1]BASE'!DY21=0,"",'[1]BASE'!DY21)</f>
      </c>
      <c r="I21" s="1626">
        <f>IF('[1]BASE'!DZ21=0,"",'[1]BASE'!DZ21)</f>
      </c>
      <c r="J21" s="1626">
        <f>IF('[1]BASE'!EA21=0,"",'[1]BASE'!EA21)</f>
      </c>
      <c r="K21" s="1626">
        <f>IF('[1]BASE'!EB21=0,"",'[1]BASE'!EB21)</f>
      </c>
      <c r="L21" s="1626">
        <f>IF('[1]BASE'!EC21=0,"",'[1]BASE'!EC21)</f>
      </c>
      <c r="M21" s="1626">
        <f>IF('[1]BASE'!ED21=0,"",'[1]BASE'!ED21)</f>
      </c>
      <c r="N21" s="1626">
        <f>IF('[1]BASE'!EE21=0,"",'[1]BASE'!EE21)</f>
      </c>
      <c r="O21" s="1626">
        <f>IF('[1]BASE'!EF21=0,"",'[1]BASE'!EF21)</f>
      </c>
      <c r="P21" s="1626">
        <f>IF('[1]BASE'!EG21=0,"",'[1]BASE'!EG21)</f>
      </c>
      <c r="Q21" s="1626">
        <f>IF('[1]BASE'!EH21=0,"",'[1]BASE'!EH21)</f>
      </c>
      <c r="R21" s="1626">
        <f>IF('[1]BASE'!EI21=0,"",'[1]BASE'!EI21)</f>
      </c>
      <c r="S21" s="1626">
        <f>IF('[1]BASE'!EJ21=0,"",'[1]BASE'!EJ21)</f>
      </c>
      <c r="T21" s="1627"/>
      <c r="U21" s="1624"/>
    </row>
    <row r="22" spans="2:21" s="1618" customFormat="1" ht="19.5" customHeight="1">
      <c r="B22" s="1619"/>
      <c r="C22" s="1625">
        <f>IF('[1]BASE'!C22=0,"",'[1]BASE'!C22)</f>
        <v>6</v>
      </c>
      <c r="D22" s="1625" t="str">
        <f>IF('[1]BASE'!D22=0,"",'[1]BASE'!D22)</f>
        <v>ALMAFUERTE - EMBALSE </v>
      </c>
      <c r="E22" s="1625">
        <f>IF('[1]BASE'!E22=0,"",'[1]BASE'!E22)</f>
        <v>500</v>
      </c>
      <c r="F22" s="1625">
        <f>IF('[1]BASE'!F22=0,"",'[1]BASE'!F22)</f>
        <v>12</v>
      </c>
      <c r="G22" s="1625" t="str">
        <f>IF('[2]BASE'!G22=0,"",'[2]BASE'!G22)</f>
        <v>A</v>
      </c>
      <c r="H22" s="1626">
        <f>IF('[1]BASE'!DY22=0,"",'[1]BASE'!DY22)</f>
      </c>
      <c r="I22" s="1626">
        <f>IF('[1]BASE'!DZ22=0,"",'[1]BASE'!DZ22)</f>
      </c>
      <c r="J22" s="1626">
        <f>IF('[1]BASE'!EA22=0,"",'[1]BASE'!EA22)</f>
      </c>
      <c r="K22" s="1626">
        <f>IF('[1]BASE'!EB22=0,"",'[1]BASE'!EB22)</f>
      </c>
      <c r="L22" s="1626">
        <f>IF('[1]BASE'!EC22=0,"",'[1]BASE'!EC22)</f>
      </c>
      <c r="M22" s="1626">
        <f>IF('[1]BASE'!ED22=0,"",'[1]BASE'!ED22)</f>
      </c>
      <c r="N22" s="1626">
        <f>IF('[1]BASE'!EE22=0,"",'[1]BASE'!EE22)</f>
      </c>
      <c r="O22" s="1626">
        <f>IF('[1]BASE'!EF22=0,"",'[1]BASE'!EF22)</f>
      </c>
      <c r="P22" s="1626">
        <f>IF('[1]BASE'!EG22=0,"",'[1]BASE'!EG22)</f>
      </c>
      <c r="Q22" s="1626">
        <f>IF('[1]BASE'!EH22=0,"",'[1]BASE'!EH22)</f>
      </c>
      <c r="R22" s="1626">
        <f>IF('[1]BASE'!EI22=0,"",'[1]BASE'!EI22)</f>
      </c>
      <c r="S22" s="1626">
        <f>IF('[1]BASE'!EJ22=0,"",'[1]BASE'!EJ22)</f>
      </c>
      <c r="T22" s="1627"/>
      <c r="U22" s="1624"/>
    </row>
    <row r="23" spans="2:21" s="1618" customFormat="1" ht="19.5" customHeight="1">
      <c r="B23" s="1619"/>
      <c r="C23" s="1625">
        <f>IF('[1]BASE'!C23=0,"",'[1]BASE'!C23)</f>
        <v>7</v>
      </c>
      <c r="D23" s="1625" t="str">
        <f>IF('[1]BASE'!D23=0,"",'[1]BASE'!D23)</f>
        <v> ALMAFUERTE - ROSARIO OESTE</v>
      </c>
      <c r="E23" s="1625">
        <f>IF('[1]BASE'!E23=0,"",'[1]BASE'!E23)</f>
        <v>500</v>
      </c>
      <c r="F23" s="1625">
        <f>IF('[1]BASE'!F23=0,"",'[1]BASE'!F23)</f>
        <v>345</v>
      </c>
      <c r="G23" s="1625" t="str">
        <f>IF('[2]BASE'!G23=0,"",'[2]BASE'!G23)</f>
        <v>B</v>
      </c>
      <c r="H23" s="1626">
        <f>IF('[1]BASE'!DY23=0,"",'[1]BASE'!DY23)</f>
        <v>1</v>
      </c>
      <c r="I23" s="1626">
        <f>IF('[1]BASE'!DZ23=0,"",'[1]BASE'!DZ23)</f>
      </c>
      <c r="J23" s="1626">
        <f>IF('[1]BASE'!EA23=0,"",'[1]BASE'!EA23)</f>
        <v>1</v>
      </c>
      <c r="K23" s="1626">
        <f>IF('[1]BASE'!EB23=0,"",'[1]BASE'!EB23)</f>
      </c>
      <c r="L23" s="1626">
        <f>IF('[1]BASE'!EC23=0,"",'[1]BASE'!EC23)</f>
      </c>
      <c r="M23" s="1626">
        <f>IF('[1]BASE'!ED23=0,"",'[1]BASE'!ED23)</f>
      </c>
      <c r="N23" s="1626">
        <f>IF('[1]BASE'!EE23=0,"",'[1]BASE'!EE23)</f>
      </c>
      <c r="O23" s="1626">
        <f>IF('[1]BASE'!EF23=0,"",'[1]BASE'!EF23)</f>
      </c>
      <c r="P23" s="1626">
        <f>IF('[1]BASE'!EG23=0,"",'[1]BASE'!EG23)</f>
        <v>1</v>
      </c>
      <c r="Q23" s="1626">
        <f>IF('[1]BASE'!EH23=0,"",'[1]BASE'!EH23)</f>
      </c>
      <c r="R23" s="1626">
        <f>IF('[1]BASE'!EI23=0,"",'[1]BASE'!EI23)</f>
        <v>1</v>
      </c>
      <c r="S23" s="1626">
        <f>IF('[1]BASE'!EJ23=0,"",'[1]BASE'!EJ23)</f>
      </c>
      <c r="T23" s="1627"/>
      <c r="U23" s="1624"/>
    </row>
    <row r="24" spans="2:21" s="1618" customFormat="1" ht="19.5" customHeight="1">
      <c r="B24" s="1619"/>
      <c r="C24" s="1625">
        <f>IF('[1]BASE'!C24=0,"",'[1]BASE'!C24)</f>
        <v>8</v>
      </c>
      <c r="D24" s="1625" t="str">
        <f>IF('[1]BASE'!D24=0,"",'[1]BASE'!D24)</f>
        <v>BAHIA BLANCA - CHOELE CHOEL 1</v>
      </c>
      <c r="E24" s="1625">
        <f>IF('[1]BASE'!E24=0,"",'[1]BASE'!E24)</f>
        <v>500</v>
      </c>
      <c r="F24" s="1625">
        <f>IF('[1]BASE'!F24=0,"",'[1]BASE'!F24)</f>
        <v>346</v>
      </c>
      <c r="G24" s="1625" t="str">
        <f>IF('[2]BASE'!G24=0,"",'[2]BASE'!G24)</f>
        <v>B</v>
      </c>
      <c r="H24" s="1626">
        <f>IF('[1]BASE'!DY24=0,"",'[1]BASE'!DY24)</f>
      </c>
      <c r="I24" s="1626">
        <f>IF('[1]BASE'!DZ24=0,"",'[1]BASE'!DZ24)</f>
      </c>
      <c r="J24" s="1626">
        <f>IF('[1]BASE'!EA24=0,"",'[1]BASE'!EA24)</f>
      </c>
      <c r="K24" s="1626">
        <f>IF('[1]BASE'!EB24=0,"",'[1]BASE'!EB24)</f>
      </c>
      <c r="L24" s="1626">
        <f>IF('[1]BASE'!EC24=0,"",'[1]BASE'!EC24)</f>
      </c>
      <c r="M24" s="1626">
        <f>IF('[1]BASE'!ED24=0,"",'[1]BASE'!ED24)</f>
      </c>
      <c r="N24" s="1626">
        <f>IF('[1]BASE'!EE24=0,"",'[1]BASE'!EE24)</f>
      </c>
      <c r="O24" s="1626">
        <f>IF('[1]BASE'!EF24=0,"",'[1]BASE'!EF24)</f>
      </c>
      <c r="P24" s="1626">
        <f>IF('[1]BASE'!EG24=0,"",'[1]BASE'!EG24)</f>
      </c>
      <c r="Q24" s="1626">
        <f>IF('[1]BASE'!EH24=0,"",'[1]BASE'!EH24)</f>
      </c>
      <c r="R24" s="1626">
        <f>IF('[1]BASE'!EI24=0,"",'[1]BASE'!EI24)</f>
      </c>
      <c r="S24" s="1626">
        <f>IF('[1]BASE'!EJ24=0,"",'[1]BASE'!EJ24)</f>
      </c>
      <c r="T24" s="1627"/>
      <c r="U24" s="1624"/>
    </row>
    <row r="25" spans="2:21" s="1618" customFormat="1" ht="19.5" customHeight="1">
      <c r="B25" s="1619"/>
      <c r="C25" s="1625">
        <f>IF('[1]BASE'!C25=0,"",'[1]BASE'!C25)</f>
        <v>9</v>
      </c>
      <c r="D25" s="1625" t="str">
        <f>IF('[1]BASE'!D25=0,"",'[1]BASE'!D25)</f>
        <v>BAHIA BLANCA - CHOELE CHOEL 2</v>
      </c>
      <c r="E25" s="1625">
        <f>IF('[1]BASE'!E25=0,"",'[1]BASE'!E25)</f>
        <v>500</v>
      </c>
      <c r="F25" s="1625">
        <f>IF('[1]BASE'!F25=0,"",'[1]BASE'!F25)</f>
        <v>348.4</v>
      </c>
      <c r="G25" s="1625" t="e">
        <f>IF('[2]BASE'!G25=0,"",'[2]BASE'!G25)</f>
        <v>#REF!</v>
      </c>
      <c r="H25" s="1626">
        <f>IF('[1]BASE'!DY25=0,"",'[1]BASE'!DY25)</f>
      </c>
      <c r="I25" s="1626">
        <f>IF('[1]BASE'!DZ25=0,"",'[1]BASE'!DZ25)</f>
      </c>
      <c r="J25" s="1626">
        <f>IF('[1]BASE'!EA25=0,"",'[1]BASE'!EA25)</f>
      </c>
      <c r="K25" s="1626">
        <f>IF('[1]BASE'!EB25=0,"",'[1]BASE'!EB25)</f>
      </c>
      <c r="L25" s="1626">
        <f>IF('[1]BASE'!EC25=0,"",'[1]BASE'!EC25)</f>
        <v>1</v>
      </c>
      <c r="M25" s="1626">
        <f>IF('[1]BASE'!ED25=0,"",'[1]BASE'!ED25)</f>
      </c>
      <c r="N25" s="1626">
        <f>IF('[1]BASE'!EE25=0,"",'[1]BASE'!EE25)</f>
      </c>
      <c r="O25" s="1626">
        <f>IF('[1]BASE'!EF25=0,"",'[1]BASE'!EF25)</f>
      </c>
      <c r="P25" s="1626">
        <f>IF('[1]BASE'!EG25=0,"",'[1]BASE'!EG25)</f>
      </c>
      <c r="Q25" s="1626">
        <f>IF('[1]BASE'!EH25=0,"",'[1]BASE'!EH25)</f>
      </c>
      <c r="R25" s="1626">
        <f>IF('[1]BASE'!EI25=0,"",'[1]BASE'!EI25)</f>
      </c>
      <c r="S25" s="1626">
        <f>IF('[1]BASE'!EJ25=0,"",'[1]BASE'!EJ25)</f>
      </c>
      <c r="T25" s="1627"/>
      <c r="U25" s="1624"/>
    </row>
    <row r="26" spans="2:21" s="1618" customFormat="1" ht="19.5" customHeight="1">
      <c r="B26" s="1619"/>
      <c r="C26" s="1625">
        <f>IF('[1]BASE'!C26=0,"",'[1]BASE'!C26)</f>
        <v>10</v>
      </c>
      <c r="D26" s="1625" t="str">
        <f>IF('[1]BASE'!D26=0,"",'[1]BASE'!D26)</f>
        <v>CERR. de la CTA - P.BAND. (A3)</v>
      </c>
      <c r="E26" s="1625">
        <f>IF('[1]BASE'!E26=0,"",'[1]BASE'!E26)</f>
        <v>500</v>
      </c>
      <c r="F26" s="1625">
        <f>IF('[1]BASE'!F26=0,"",'[1]BASE'!F26)</f>
        <v>27</v>
      </c>
      <c r="G26" s="1625" t="str">
        <f>IF('[2]BASE'!G26=0,"",'[2]BASE'!G26)</f>
        <v>C</v>
      </c>
      <c r="H26" s="1626">
        <f>IF('[1]BASE'!DY26=0,"",'[1]BASE'!DY26)</f>
      </c>
      <c r="I26" s="1626">
        <f>IF('[1]BASE'!DZ26=0,"",'[1]BASE'!DZ26)</f>
      </c>
      <c r="J26" s="1626">
        <f>IF('[1]BASE'!EA26=0,"",'[1]BASE'!EA26)</f>
      </c>
      <c r="K26" s="1626">
        <f>IF('[1]BASE'!EB26=0,"",'[1]BASE'!EB26)</f>
      </c>
      <c r="L26" s="1626">
        <f>IF('[1]BASE'!EC26=0,"",'[1]BASE'!EC26)</f>
      </c>
      <c r="M26" s="1626">
        <f>IF('[1]BASE'!ED26=0,"",'[1]BASE'!ED26)</f>
      </c>
      <c r="N26" s="1626">
        <f>IF('[1]BASE'!EE26=0,"",'[1]BASE'!EE26)</f>
      </c>
      <c r="O26" s="1626">
        <f>IF('[1]BASE'!EF26=0,"",'[1]BASE'!EF26)</f>
      </c>
      <c r="P26" s="1626">
        <f>IF('[1]BASE'!EG26=0,"",'[1]BASE'!EG26)</f>
      </c>
      <c r="Q26" s="1626">
        <f>IF('[1]BASE'!EH26=0,"",'[1]BASE'!EH26)</f>
      </c>
      <c r="R26" s="1626">
        <f>IF('[1]BASE'!EI26=0,"",'[1]BASE'!EI26)</f>
      </c>
      <c r="S26" s="1626">
        <f>IF('[1]BASE'!EJ26=0,"",'[1]BASE'!EJ26)</f>
      </c>
      <c r="T26" s="1627"/>
      <c r="U26" s="1624"/>
    </row>
    <row r="27" spans="2:21" s="1618" customFormat="1" ht="19.5" customHeight="1">
      <c r="B27" s="1619"/>
      <c r="C27" s="1625">
        <f>IF('[1]BASE'!C27=0,"",'[1]BASE'!C27)</f>
        <v>11</v>
      </c>
      <c r="D27" s="1625" t="str">
        <f>IF('[1]BASE'!D27=0,"",'[1]BASE'!D27)</f>
        <v>COLONIA ELIA - CAMPANA</v>
      </c>
      <c r="E27" s="1625">
        <f>IF('[1]BASE'!E27=0,"",'[1]BASE'!E27)</f>
        <v>500</v>
      </c>
      <c r="F27" s="1625">
        <f>IF('[1]BASE'!F27=0,"",'[1]BASE'!F27)</f>
        <v>194</v>
      </c>
      <c r="G27" s="1625" t="str">
        <f>IF('[2]BASE'!G27=0,"",'[2]BASE'!G27)</f>
        <v>C</v>
      </c>
      <c r="H27" s="1626">
        <f>IF('[1]BASE'!DY27=0,"",'[1]BASE'!DY27)</f>
      </c>
      <c r="I27" s="1626">
        <f>IF('[1]BASE'!DZ27=0,"",'[1]BASE'!DZ27)</f>
      </c>
      <c r="J27" s="1626">
        <f>IF('[1]BASE'!EA27=0,"",'[1]BASE'!EA27)</f>
      </c>
      <c r="K27" s="1626">
        <f>IF('[1]BASE'!EB27=0,"",'[1]BASE'!EB27)</f>
      </c>
      <c r="L27" s="1626">
        <f>IF('[1]BASE'!EC27=0,"",'[1]BASE'!EC27)</f>
      </c>
      <c r="M27" s="1626">
        <f>IF('[1]BASE'!ED27=0,"",'[1]BASE'!ED27)</f>
      </c>
      <c r="N27" s="1626">
        <f>IF('[1]BASE'!EE27=0,"",'[1]BASE'!EE27)</f>
      </c>
      <c r="O27" s="1626">
        <f>IF('[1]BASE'!EF27=0,"",'[1]BASE'!EF27)</f>
      </c>
      <c r="P27" s="1626">
        <f>IF('[1]BASE'!EG27=0,"",'[1]BASE'!EG27)</f>
      </c>
      <c r="Q27" s="1626">
        <f>IF('[1]BASE'!EH27=0,"",'[1]BASE'!EH27)</f>
      </c>
      <c r="R27" s="1626">
        <f>IF('[1]BASE'!EI27=0,"",'[1]BASE'!EI27)</f>
      </c>
      <c r="S27" s="1626">
        <f>IF('[1]BASE'!EJ27=0,"",'[1]BASE'!EJ27)</f>
        <v>1</v>
      </c>
      <c r="T27" s="1627"/>
      <c r="U27" s="1624"/>
    </row>
    <row r="28" spans="2:21" s="1618" customFormat="1" ht="19.5" customHeight="1">
      <c r="B28" s="1619"/>
      <c r="C28" s="1625">
        <f>IF('[1]BASE'!C28=0,"",'[1]BASE'!C28)</f>
        <v>12</v>
      </c>
      <c r="D28" s="1625" t="str">
        <f>IF('[1]BASE'!D28=0,"",'[1]BASE'!D28)</f>
        <v>CHO. W. - CHOELE CHOEL (5WH1)</v>
      </c>
      <c r="E28" s="1625">
        <f>IF('[1]BASE'!E28=0,"",'[1]BASE'!E28)</f>
        <v>500</v>
      </c>
      <c r="F28" s="1625">
        <f>IF('[1]BASE'!F28=0,"",'[1]BASE'!F28)</f>
        <v>269</v>
      </c>
      <c r="G28" s="1625" t="str">
        <f>IF('[2]BASE'!G28=0,"",'[2]BASE'!G28)</f>
        <v>B</v>
      </c>
      <c r="H28" s="1626">
        <f>IF('[1]BASE'!DY28=0,"",'[1]BASE'!DY28)</f>
      </c>
      <c r="I28" s="1626">
        <f>IF('[1]BASE'!DZ28=0,"",'[1]BASE'!DZ28)</f>
      </c>
      <c r="J28" s="1626">
        <f>IF('[1]BASE'!EA28=0,"",'[1]BASE'!EA28)</f>
      </c>
      <c r="K28" s="1626">
        <f>IF('[1]BASE'!EB28=0,"",'[1]BASE'!EB28)</f>
      </c>
      <c r="L28" s="1626">
        <f>IF('[1]BASE'!EC28=0,"",'[1]BASE'!EC28)</f>
      </c>
      <c r="M28" s="1626">
        <f>IF('[1]BASE'!ED28=0,"",'[1]BASE'!ED28)</f>
      </c>
      <c r="N28" s="1626">
        <f>IF('[1]BASE'!EE28=0,"",'[1]BASE'!EE28)</f>
      </c>
      <c r="O28" s="1626">
        <f>IF('[1]BASE'!EF28=0,"",'[1]BASE'!EF28)</f>
      </c>
      <c r="P28" s="1626">
        <f>IF('[1]BASE'!EG28=0,"",'[1]BASE'!EG28)</f>
      </c>
      <c r="Q28" s="1626">
        <f>IF('[1]BASE'!EH28=0,"",'[1]BASE'!EH28)</f>
      </c>
      <c r="R28" s="1626">
        <f>IF('[1]BASE'!EI28=0,"",'[1]BASE'!EI28)</f>
      </c>
      <c r="S28" s="1626">
        <f>IF('[1]BASE'!EJ28=0,"",'[1]BASE'!EJ28)</f>
      </c>
      <c r="T28" s="1627"/>
      <c r="U28" s="1624"/>
    </row>
    <row r="29" spans="2:21" s="1618" customFormat="1" ht="19.5" customHeight="1">
      <c r="B29" s="1619"/>
      <c r="C29" s="1625">
        <f>IF('[1]BASE'!C29=0,"",'[1]BASE'!C29)</f>
        <v>13</v>
      </c>
      <c r="D29" s="1625" t="str">
        <f>IF('[1]BASE'!D29=0,"",'[1]BASE'!D29)</f>
        <v>CHO.W. - CHO. 1 (5WC1)</v>
      </c>
      <c r="E29" s="1625">
        <f>IF('[1]BASE'!E29=0,"",'[1]BASE'!E29)</f>
        <v>500</v>
      </c>
      <c r="F29" s="1625">
        <f>IF('[1]BASE'!F29=0,"",'[1]BASE'!F29)</f>
        <v>4.5</v>
      </c>
      <c r="G29" s="1625" t="str">
        <f>IF('[2]BASE'!G29=0,"",'[2]BASE'!G29)</f>
        <v>C</v>
      </c>
      <c r="H29" s="1626">
        <f>IF('[1]BASE'!DY29=0,"",'[1]BASE'!DY29)</f>
      </c>
      <c r="I29" s="1626">
        <f>IF('[1]BASE'!DZ29=0,"",'[1]BASE'!DZ29)</f>
      </c>
      <c r="J29" s="1626">
        <f>IF('[1]BASE'!EA29=0,"",'[1]BASE'!EA29)</f>
      </c>
      <c r="K29" s="1626">
        <f>IF('[1]BASE'!EB29=0,"",'[1]BASE'!EB29)</f>
      </c>
      <c r="L29" s="1626">
        <f>IF('[1]BASE'!EC29=0,"",'[1]BASE'!EC29)</f>
      </c>
      <c r="M29" s="1626">
        <f>IF('[1]BASE'!ED29=0,"",'[1]BASE'!ED29)</f>
      </c>
      <c r="N29" s="1626">
        <f>IF('[1]BASE'!EE29=0,"",'[1]BASE'!EE29)</f>
      </c>
      <c r="O29" s="1626">
        <f>IF('[1]BASE'!EF29=0,"",'[1]BASE'!EF29)</f>
      </c>
      <c r="P29" s="1626">
        <f>IF('[1]BASE'!EG29=0,"",'[1]BASE'!EG29)</f>
      </c>
      <c r="Q29" s="1626">
        <f>IF('[1]BASE'!EH29=0,"",'[1]BASE'!EH29)</f>
      </c>
      <c r="R29" s="1626">
        <f>IF('[1]BASE'!EI29=0,"",'[1]BASE'!EI29)</f>
      </c>
      <c r="S29" s="1626">
        <f>IF('[1]BASE'!EJ29=0,"",'[1]BASE'!EJ29)</f>
      </c>
      <c r="T29" s="1627"/>
      <c r="U29" s="1624"/>
    </row>
    <row r="30" spans="2:21" s="1618" customFormat="1" ht="19.5" customHeight="1">
      <c r="B30" s="1619"/>
      <c r="C30" s="1625">
        <f>IF('[1]BASE'!C30=0,"",'[1]BASE'!C30)</f>
        <v>14</v>
      </c>
      <c r="D30" s="1625" t="str">
        <f>IF('[1]BASE'!D30=0,"",'[1]BASE'!D30)</f>
        <v>CHO.W. - CHO. 2 (5WC2)</v>
      </c>
      <c r="E30" s="1625">
        <f>IF('[1]BASE'!E30=0,"",'[1]BASE'!E30)</f>
        <v>500</v>
      </c>
      <c r="F30" s="1625">
        <f>IF('[1]BASE'!F30=0,"",'[1]BASE'!F30)</f>
        <v>4.5</v>
      </c>
      <c r="G30" s="1625" t="str">
        <f>IF('[2]BASE'!G30=0,"",'[2]BASE'!G30)</f>
        <v>C</v>
      </c>
      <c r="H30" s="1626">
        <f>IF('[1]BASE'!DY30=0,"",'[1]BASE'!DY30)</f>
      </c>
      <c r="I30" s="1626">
        <f>IF('[1]BASE'!DZ30=0,"",'[1]BASE'!DZ30)</f>
      </c>
      <c r="J30" s="1626">
        <f>IF('[1]BASE'!EA30=0,"",'[1]BASE'!EA30)</f>
      </c>
      <c r="K30" s="1626">
        <f>IF('[1]BASE'!EB30=0,"",'[1]BASE'!EB30)</f>
      </c>
      <c r="L30" s="1626">
        <f>IF('[1]BASE'!EC30=0,"",'[1]BASE'!EC30)</f>
      </c>
      <c r="M30" s="1626">
        <f>IF('[1]BASE'!ED30=0,"",'[1]BASE'!ED30)</f>
      </c>
      <c r="N30" s="1626">
        <f>IF('[1]BASE'!EE30=0,"",'[1]BASE'!EE30)</f>
      </c>
      <c r="O30" s="1626">
        <f>IF('[1]BASE'!EF30=0,"",'[1]BASE'!EF30)</f>
      </c>
      <c r="P30" s="1626">
        <f>IF('[1]BASE'!EG30=0,"",'[1]BASE'!EG30)</f>
      </c>
      <c r="Q30" s="1626">
        <f>IF('[1]BASE'!EH30=0,"",'[1]BASE'!EH30)</f>
      </c>
      <c r="R30" s="1626">
        <f>IF('[1]BASE'!EI30=0,"",'[1]BASE'!EI30)</f>
      </c>
      <c r="S30" s="1626">
        <f>IF('[1]BASE'!EJ30=0,"",'[1]BASE'!EJ30)</f>
      </c>
      <c r="T30" s="1627"/>
      <c r="U30" s="1624"/>
    </row>
    <row r="31" spans="2:21" s="1618" customFormat="1" ht="19.5" customHeight="1">
      <c r="B31" s="1619"/>
      <c r="C31" s="1625">
        <f>IF('[1]BASE'!C31=0,"",'[1]BASE'!C31)</f>
        <v>15</v>
      </c>
      <c r="D31" s="1625" t="str">
        <f>IF('[1]BASE'!D31=0,"",'[1]BASE'!D31)</f>
        <v>CHOCON - C.H. CHOCON 1</v>
      </c>
      <c r="E31" s="1625">
        <f>IF('[1]BASE'!E31=0,"",'[1]BASE'!E31)</f>
        <v>500</v>
      </c>
      <c r="F31" s="1625">
        <f>IF('[1]BASE'!F31=0,"",'[1]BASE'!F31)</f>
        <v>3</v>
      </c>
      <c r="G31" s="1625" t="str">
        <f>IF('[2]BASE'!G31=0,"",'[2]BASE'!G31)</f>
        <v>C</v>
      </c>
      <c r="H31" s="1626">
        <f>IF('[1]BASE'!DY31=0,"",'[1]BASE'!DY31)</f>
      </c>
      <c r="I31" s="1626">
        <f>IF('[1]BASE'!DZ31=0,"",'[1]BASE'!DZ31)</f>
      </c>
      <c r="J31" s="1626">
        <f>IF('[1]BASE'!EA31=0,"",'[1]BASE'!EA31)</f>
      </c>
      <c r="K31" s="1626">
        <f>IF('[1]BASE'!EB31=0,"",'[1]BASE'!EB31)</f>
      </c>
      <c r="L31" s="1626">
        <f>IF('[1]BASE'!EC31=0,"",'[1]BASE'!EC31)</f>
      </c>
      <c r="M31" s="1626">
        <f>IF('[1]BASE'!ED31=0,"",'[1]BASE'!ED31)</f>
      </c>
      <c r="N31" s="1626">
        <f>IF('[1]BASE'!EE31=0,"",'[1]BASE'!EE31)</f>
      </c>
      <c r="O31" s="1626">
        <f>IF('[1]BASE'!EF31=0,"",'[1]BASE'!EF31)</f>
      </c>
      <c r="P31" s="1626">
        <f>IF('[1]BASE'!EG31=0,"",'[1]BASE'!EG31)</f>
      </c>
      <c r="Q31" s="1626">
        <f>IF('[1]BASE'!EH31=0,"",'[1]BASE'!EH31)</f>
      </c>
      <c r="R31" s="1626">
        <f>IF('[1]BASE'!EI31=0,"",'[1]BASE'!EI31)</f>
      </c>
      <c r="S31" s="1626">
        <f>IF('[1]BASE'!EJ31=0,"",'[1]BASE'!EJ31)</f>
      </c>
      <c r="T31" s="1627"/>
      <c r="U31" s="1624"/>
    </row>
    <row r="32" spans="2:21" s="1618" customFormat="1" ht="19.5" customHeight="1">
      <c r="B32" s="1619"/>
      <c r="C32" s="1625">
        <f>IF('[1]BASE'!C32=0,"",'[1]BASE'!C32)</f>
        <v>16</v>
      </c>
      <c r="D32" s="1625" t="str">
        <f>IF('[1]BASE'!D32=0,"",'[1]BASE'!D32)</f>
        <v>CHOCON - C.H. CHOCON 2</v>
      </c>
      <c r="E32" s="1625">
        <f>IF('[1]BASE'!E32=0,"",'[1]BASE'!E32)</f>
        <v>500</v>
      </c>
      <c r="F32" s="1625">
        <f>IF('[1]BASE'!F32=0,"",'[1]BASE'!F32)</f>
        <v>3</v>
      </c>
      <c r="G32" s="1625" t="str">
        <f>IF('[2]BASE'!G32=0,"",'[2]BASE'!G32)</f>
        <v>C</v>
      </c>
      <c r="H32" s="1626">
        <f>IF('[1]BASE'!DY32=0,"",'[1]BASE'!DY32)</f>
      </c>
      <c r="I32" s="1626">
        <f>IF('[1]BASE'!DZ32=0,"",'[1]BASE'!DZ32)</f>
      </c>
      <c r="J32" s="1626">
        <f>IF('[1]BASE'!EA32=0,"",'[1]BASE'!EA32)</f>
      </c>
      <c r="K32" s="1626">
        <f>IF('[1]BASE'!EB32=0,"",'[1]BASE'!EB32)</f>
      </c>
      <c r="L32" s="1626">
        <f>IF('[1]BASE'!EC32=0,"",'[1]BASE'!EC32)</f>
      </c>
      <c r="M32" s="1626">
        <f>IF('[1]BASE'!ED32=0,"",'[1]BASE'!ED32)</f>
      </c>
      <c r="N32" s="1626">
        <f>IF('[1]BASE'!EE32=0,"",'[1]BASE'!EE32)</f>
      </c>
      <c r="O32" s="1626">
        <f>IF('[1]BASE'!EF32=0,"",'[1]BASE'!EF32)</f>
      </c>
      <c r="P32" s="1626">
        <f>IF('[1]BASE'!EG32=0,"",'[1]BASE'!EG32)</f>
      </c>
      <c r="Q32" s="1626">
        <f>IF('[1]BASE'!EH32=0,"",'[1]BASE'!EH32)</f>
      </c>
      <c r="R32" s="1626">
        <f>IF('[1]BASE'!EI32=0,"",'[1]BASE'!EI32)</f>
      </c>
      <c r="S32" s="1626">
        <f>IF('[1]BASE'!EJ32=0,"",'[1]BASE'!EJ32)</f>
      </c>
      <c r="T32" s="1627"/>
      <c r="U32" s="1624"/>
    </row>
    <row r="33" spans="2:21" s="1618" customFormat="1" ht="19.5" customHeight="1">
      <c r="B33" s="1619"/>
      <c r="C33" s="1625">
        <f>IF('[1]BASE'!C33=0,"",'[1]BASE'!C33)</f>
        <v>17</v>
      </c>
      <c r="D33" s="1625" t="str">
        <f>IF('[1]BASE'!D33=0,"",'[1]BASE'!D33)</f>
        <v>CHOCON - C.H. CHOCON 3</v>
      </c>
      <c r="E33" s="1625">
        <f>IF('[1]BASE'!E33=0,"",'[1]BASE'!E33)</f>
        <v>500</v>
      </c>
      <c r="F33" s="1625">
        <f>IF('[1]BASE'!F33=0,"",'[1]BASE'!F33)</f>
        <v>3</v>
      </c>
      <c r="G33" s="1625" t="str">
        <f>IF('[2]BASE'!G33=0,"",'[2]BASE'!G33)</f>
        <v>C</v>
      </c>
      <c r="H33" s="1626">
        <f>IF('[1]BASE'!DY33=0,"",'[1]BASE'!DY33)</f>
      </c>
      <c r="I33" s="1626">
        <f>IF('[1]BASE'!DZ33=0,"",'[1]BASE'!DZ33)</f>
      </c>
      <c r="J33" s="1626">
        <f>IF('[1]BASE'!EA33=0,"",'[1]BASE'!EA33)</f>
      </c>
      <c r="K33" s="1626">
        <f>IF('[1]BASE'!EB33=0,"",'[1]BASE'!EB33)</f>
      </c>
      <c r="L33" s="1626">
        <f>IF('[1]BASE'!EC33=0,"",'[1]BASE'!EC33)</f>
      </c>
      <c r="M33" s="1626">
        <f>IF('[1]BASE'!ED33=0,"",'[1]BASE'!ED33)</f>
      </c>
      <c r="N33" s="1626">
        <f>IF('[1]BASE'!EE33=0,"",'[1]BASE'!EE33)</f>
      </c>
      <c r="O33" s="1626">
        <f>IF('[1]BASE'!EF33=0,"",'[1]BASE'!EF33)</f>
      </c>
      <c r="P33" s="1626">
        <f>IF('[1]BASE'!EG33=0,"",'[1]BASE'!EG33)</f>
      </c>
      <c r="Q33" s="1626">
        <f>IF('[1]BASE'!EH33=0,"",'[1]BASE'!EH33)</f>
      </c>
      <c r="R33" s="1626">
        <f>IF('[1]BASE'!EI33=0,"",'[1]BASE'!EI33)</f>
      </c>
      <c r="S33" s="1626">
        <f>IF('[1]BASE'!EJ33=0,"",'[1]BASE'!EJ33)</f>
      </c>
      <c r="T33" s="1627"/>
      <c r="U33" s="1624"/>
    </row>
    <row r="34" spans="2:21" s="1618" customFormat="1" ht="19.5" customHeight="1">
      <c r="B34" s="1619"/>
      <c r="C34" s="1625">
        <f>IF('[1]BASE'!C34=0,"",'[1]BASE'!C34)</f>
        <v>18</v>
      </c>
      <c r="D34" s="1625" t="str">
        <f>IF('[1]BASE'!D34=0,"",'[1]BASE'!D34)</f>
        <v>CHOCON - PUELCHES 1</v>
      </c>
      <c r="E34" s="1625">
        <f>IF('[1]BASE'!E34=0,"",'[1]BASE'!E34)</f>
        <v>500</v>
      </c>
      <c r="F34" s="1625">
        <f>IF('[1]BASE'!F34=0,"",'[1]BASE'!F34)</f>
        <v>304</v>
      </c>
      <c r="G34" s="1625" t="str">
        <f>IF('[2]BASE'!G34=0,"",'[2]BASE'!G34)</f>
        <v>A</v>
      </c>
      <c r="H34" s="1626">
        <f>IF('[1]BASE'!DY34=0,"",'[1]BASE'!DY34)</f>
      </c>
      <c r="I34" s="1626">
        <f>IF('[1]BASE'!DZ34=0,"",'[1]BASE'!DZ34)</f>
      </c>
      <c r="J34" s="1626">
        <f>IF('[1]BASE'!EA34=0,"",'[1]BASE'!EA34)</f>
      </c>
      <c r="K34" s="1626">
        <f>IF('[1]BASE'!EB34=0,"",'[1]BASE'!EB34)</f>
      </c>
      <c r="L34" s="1626">
        <f>IF('[1]BASE'!EC34=0,"",'[1]BASE'!EC34)</f>
      </c>
      <c r="M34" s="1626">
        <f>IF('[1]BASE'!ED34=0,"",'[1]BASE'!ED34)</f>
      </c>
      <c r="N34" s="1626">
        <f>IF('[1]BASE'!EE34=0,"",'[1]BASE'!EE34)</f>
      </c>
      <c r="O34" s="1626">
        <f>IF('[1]BASE'!EF34=0,"",'[1]BASE'!EF34)</f>
      </c>
      <c r="P34" s="1626">
        <f>IF('[1]BASE'!EG34=0,"",'[1]BASE'!EG34)</f>
      </c>
      <c r="Q34" s="1626">
        <f>IF('[1]BASE'!EH34=0,"",'[1]BASE'!EH34)</f>
      </c>
      <c r="R34" s="1626">
        <f>IF('[1]BASE'!EI34=0,"",'[1]BASE'!EI34)</f>
      </c>
      <c r="S34" s="1626">
        <f>IF('[1]BASE'!EJ34=0,"",'[1]BASE'!EJ34)</f>
      </c>
      <c r="T34" s="1627"/>
      <c r="U34" s="1624"/>
    </row>
    <row r="35" spans="2:21" s="1618" customFormat="1" ht="19.5" customHeight="1">
      <c r="B35" s="1619"/>
      <c r="C35" s="1625">
        <f>IF('[1]BASE'!C35=0,"",'[1]BASE'!C35)</f>
        <v>19</v>
      </c>
      <c r="D35" s="1625" t="str">
        <f>IF('[1]BASE'!D35=0,"",'[1]BASE'!D35)</f>
        <v>CHOCON - PUELCHES 2</v>
      </c>
      <c r="E35" s="1625">
        <f>IF('[1]BASE'!E35=0,"",'[1]BASE'!E35)</f>
        <v>500</v>
      </c>
      <c r="F35" s="1625">
        <f>IF('[1]BASE'!F35=0,"",'[1]BASE'!F35)</f>
        <v>304</v>
      </c>
      <c r="G35" s="1625" t="str">
        <f>IF('[2]BASE'!G35=0,"",'[2]BASE'!G35)</f>
        <v>A</v>
      </c>
      <c r="H35" s="1626">
        <f>IF('[1]BASE'!DY35=0,"",'[1]BASE'!DY35)</f>
      </c>
      <c r="I35" s="1626">
        <f>IF('[1]BASE'!DZ35=0,"",'[1]BASE'!DZ35)</f>
      </c>
      <c r="J35" s="1626">
        <f>IF('[1]BASE'!EA35=0,"",'[1]BASE'!EA35)</f>
      </c>
      <c r="K35" s="1626">
        <f>IF('[1]BASE'!EB35=0,"",'[1]BASE'!EB35)</f>
      </c>
      <c r="L35" s="1626">
        <f>IF('[1]BASE'!EC35=0,"",'[1]BASE'!EC35)</f>
      </c>
      <c r="M35" s="1626">
        <f>IF('[1]BASE'!ED35=0,"",'[1]BASE'!ED35)</f>
      </c>
      <c r="N35" s="1626">
        <f>IF('[1]BASE'!EE35=0,"",'[1]BASE'!EE35)</f>
      </c>
      <c r="O35" s="1626">
        <f>IF('[1]BASE'!EF35=0,"",'[1]BASE'!EF35)</f>
      </c>
      <c r="P35" s="1626">
        <f>IF('[1]BASE'!EG35=0,"",'[1]BASE'!EG35)</f>
      </c>
      <c r="Q35" s="1626">
        <f>IF('[1]BASE'!EH35=0,"",'[1]BASE'!EH35)</f>
      </c>
      <c r="R35" s="1626">
        <f>IF('[1]BASE'!EI35=0,"",'[1]BASE'!EI35)</f>
      </c>
      <c r="S35" s="1626">
        <f>IF('[1]BASE'!EJ35=0,"",'[1]BASE'!EJ35)</f>
      </c>
      <c r="T35" s="1627"/>
      <c r="U35" s="1624"/>
    </row>
    <row r="36" spans="2:21" s="1618" customFormat="1" ht="19.5" customHeight="1">
      <c r="B36" s="1619"/>
      <c r="C36" s="1625">
        <f>IF('[1]BASE'!C36=0,"",'[1]BASE'!C36)</f>
        <v>20</v>
      </c>
      <c r="D36" s="1625" t="str">
        <f>IF('[1]BASE'!D36=0,"",'[1]BASE'!D36)</f>
        <v>E.T.P.del AGUILA - CENTRAL P.del A. 1</v>
      </c>
      <c r="E36" s="1625">
        <f>IF('[1]BASE'!E36=0,"",'[1]BASE'!E36)</f>
        <v>500</v>
      </c>
      <c r="F36" s="1625">
        <f>IF('[1]BASE'!F36=0,"",'[1]BASE'!F36)</f>
        <v>5.6</v>
      </c>
      <c r="G36" s="1625" t="str">
        <f>IF('[2]BASE'!G36=0,"",'[2]BASE'!G36)</f>
        <v>C</v>
      </c>
      <c r="H36" s="1626">
        <f>IF('[1]BASE'!DY36=0,"",'[1]BASE'!DY36)</f>
      </c>
      <c r="I36" s="1626">
        <f>IF('[1]BASE'!DZ36=0,"",'[1]BASE'!DZ36)</f>
      </c>
      <c r="J36" s="1626">
        <f>IF('[1]BASE'!EA36=0,"",'[1]BASE'!EA36)</f>
      </c>
      <c r="K36" s="1626">
        <f>IF('[1]BASE'!EB36=0,"",'[1]BASE'!EB36)</f>
      </c>
      <c r="L36" s="1626">
        <f>IF('[1]BASE'!EC36=0,"",'[1]BASE'!EC36)</f>
      </c>
      <c r="M36" s="1626">
        <f>IF('[1]BASE'!ED36=0,"",'[1]BASE'!ED36)</f>
      </c>
      <c r="N36" s="1626">
        <f>IF('[1]BASE'!EE36=0,"",'[1]BASE'!EE36)</f>
      </c>
      <c r="O36" s="1626">
        <f>IF('[1]BASE'!EF36=0,"",'[1]BASE'!EF36)</f>
      </c>
      <c r="P36" s="1626">
        <f>IF('[1]BASE'!EG36=0,"",'[1]BASE'!EG36)</f>
      </c>
      <c r="Q36" s="1626">
        <f>IF('[1]BASE'!EH36=0,"",'[1]BASE'!EH36)</f>
      </c>
      <c r="R36" s="1626">
        <f>IF('[1]BASE'!EI36=0,"",'[1]BASE'!EI36)</f>
      </c>
      <c r="S36" s="1626">
        <f>IF('[1]BASE'!EJ36=0,"",'[1]BASE'!EJ36)</f>
      </c>
      <c r="T36" s="1627"/>
      <c r="U36" s="1624"/>
    </row>
    <row r="37" spans="2:21" s="1618" customFormat="1" ht="19.5" customHeight="1">
      <c r="B37" s="1619"/>
      <c r="C37" s="1625">
        <f>IF('[1]BASE'!C37=0,"",'[1]BASE'!C37)</f>
        <v>21</v>
      </c>
      <c r="D37" s="1625" t="str">
        <f>IF('[1]BASE'!D37=0,"",'[1]BASE'!D37)</f>
        <v>E.T.P.del AGUILA - CENTRAL P.del A. 2</v>
      </c>
      <c r="E37" s="1625">
        <f>IF('[1]BASE'!E37=0,"",'[1]BASE'!E37)</f>
        <v>500</v>
      </c>
      <c r="F37" s="1625">
        <f>IF('[1]BASE'!F37=0,"",'[1]BASE'!F37)</f>
        <v>5.6</v>
      </c>
      <c r="G37" s="1625" t="str">
        <f>IF('[2]BASE'!G37=0,"",'[2]BASE'!G37)</f>
        <v>C</v>
      </c>
      <c r="H37" s="1626">
        <f>IF('[1]BASE'!DY37=0,"",'[1]BASE'!DY37)</f>
      </c>
      <c r="I37" s="1626">
        <f>IF('[1]BASE'!DZ37=0,"",'[1]BASE'!DZ37)</f>
      </c>
      <c r="J37" s="1626">
        <f>IF('[1]BASE'!EA37=0,"",'[1]BASE'!EA37)</f>
      </c>
      <c r="K37" s="1626">
        <f>IF('[1]BASE'!EB37=0,"",'[1]BASE'!EB37)</f>
      </c>
      <c r="L37" s="1626">
        <f>IF('[1]BASE'!EC37=0,"",'[1]BASE'!EC37)</f>
      </c>
      <c r="M37" s="1626">
        <f>IF('[1]BASE'!ED37=0,"",'[1]BASE'!ED37)</f>
      </c>
      <c r="N37" s="1626">
        <f>IF('[1]BASE'!EE37=0,"",'[1]BASE'!EE37)</f>
      </c>
      <c r="O37" s="1626">
        <f>IF('[1]BASE'!EF37=0,"",'[1]BASE'!EF37)</f>
      </c>
      <c r="P37" s="1626">
        <f>IF('[1]BASE'!EG37=0,"",'[1]BASE'!EG37)</f>
      </c>
      <c r="Q37" s="1626">
        <f>IF('[1]BASE'!EH37=0,"",'[1]BASE'!EH37)</f>
      </c>
      <c r="R37" s="1626">
        <f>IF('[1]BASE'!EI37=0,"",'[1]BASE'!EI37)</f>
      </c>
      <c r="S37" s="1626">
        <f>IF('[1]BASE'!EJ37=0,"",'[1]BASE'!EJ37)</f>
      </c>
      <c r="T37" s="1627"/>
      <c r="U37" s="1624"/>
    </row>
    <row r="38" spans="2:21" s="1618" customFormat="1" ht="19.5" customHeight="1">
      <c r="B38" s="1619"/>
      <c r="C38" s="1625">
        <f>IF('[1]BASE'!C38=0,"",'[1]BASE'!C38)</f>
        <v>22</v>
      </c>
      <c r="D38" s="1625" t="str">
        <f>IF('[1]BASE'!D38=0,"",'[1]BASE'!D38)</f>
        <v>EL BRACHO - RECREO(5)</v>
      </c>
      <c r="E38" s="1625">
        <f>IF('[1]BASE'!E38=0,"",'[1]BASE'!E38)</f>
        <v>500</v>
      </c>
      <c r="F38" s="1625">
        <f>IF('[1]BASE'!F38=0,"",'[1]BASE'!F38)</f>
        <v>255</v>
      </c>
      <c r="G38" s="1625" t="str">
        <f>IF('[2]BASE'!G38=0,"",'[2]BASE'!G38)</f>
        <v>C</v>
      </c>
      <c r="H38" s="1626">
        <f>IF('[1]BASE'!DY38=0,"",'[1]BASE'!DY38)</f>
      </c>
      <c r="I38" s="1626">
        <f>IF('[1]BASE'!DZ38=0,"",'[1]BASE'!DZ38)</f>
      </c>
      <c r="J38" s="1626">
        <f>IF('[1]BASE'!EA38=0,"",'[1]BASE'!EA38)</f>
      </c>
      <c r="K38" s="1626">
        <f>IF('[1]BASE'!EB38=0,"",'[1]BASE'!EB38)</f>
      </c>
      <c r="L38" s="1626">
        <f>IF('[1]BASE'!EC38=0,"",'[1]BASE'!EC38)</f>
      </c>
      <c r="M38" s="1626">
        <f>IF('[1]BASE'!ED38=0,"",'[1]BASE'!ED38)</f>
      </c>
      <c r="N38" s="1626">
        <f>IF('[1]BASE'!EE38=0,"",'[1]BASE'!EE38)</f>
      </c>
      <c r="O38" s="1626">
        <f>IF('[1]BASE'!EF38=0,"",'[1]BASE'!EF38)</f>
      </c>
      <c r="P38" s="1626">
        <f>IF('[1]BASE'!EG38=0,"",'[1]BASE'!EG38)</f>
      </c>
      <c r="Q38" s="1626">
        <f>IF('[1]BASE'!EH38=0,"",'[1]BASE'!EH38)</f>
      </c>
      <c r="R38" s="1626">
        <f>IF('[1]BASE'!EI38=0,"",'[1]BASE'!EI38)</f>
      </c>
      <c r="S38" s="1626">
        <f>IF('[1]BASE'!EJ38=0,"",'[1]BASE'!EJ38)</f>
      </c>
      <c r="T38" s="1627"/>
      <c r="U38" s="1624"/>
    </row>
    <row r="39" spans="2:21" s="1618" customFormat="1" ht="19.5" customHeight="1">
      <c r="B39" s="1619"/>
      <c r="C39" s="1625">
        <f>IF('[1]BASE'!C39=0,"",'[1]BASE'!C39)</f>
        <v>23</v>
      </c>
      <c r="D39" s="1625" t="str">
        <f>IF('[1]BASE'!D39=0,"",'[1]BASE'!D39)</f>
        <v>EZEIZA - ABASTO 1</v>
      </c>
      <c r="E39" s="1625">
        <f>IF('[1]BASE'!E39=0,"",'[1]BASE'!E39)</f>
        <v>500</v>
      </c>
      <c r="F39" s="1625">
        <f>IF('[1]BASE'!F39=0,"",'[1]BASE'!F39)</f>
        <v>58</v>
      </c>
      <c r="G39" s="1625" t="str">
        <f>IF('[2]BASE'!G39=0,"",'[2]BASE'!G39)</f>
        <v>C</v>
      </c>
      <c r="H39" s="1626">
        <f>IF('[1]BASE'!DY39=0,"",'[1]BASE'!DY39)</f>
      </c>
      <c r="I39" s="1626">
        <f>IF('[1]BASE'!DZ39=0,"",'[1]BASE'!DZ39)</f>
      </c>
      <c r="J39" s="1626">
        <f>IF('[1]BASE'!EA39=0,"",'[1]BASE'!EA39)</f>
      </c>
      <c r="K39" s="1626">
        <f>IF('[1]BASE'!EB39=0,"",'[1]BASE'!EB39)</f>
      </c>
      <c r="L39" s="1626">
        <f>IF('[1]BASE'!EC39=0,"",'[1]BASE'!EC39)</f>
      </c>
      <c r="M39" s="1626">
        <f>IF('[1]BASE'!ED39=0,"",'[1]BASE'!ED39)</f>
      </c>
      <c r="N39" s="1626">
        <f>IF('[1]BASE'!EE39=0,"",'[1]BASE'!EE39)</f>
      </c>
      <c r="O39" s="1626">
        <f>IF('[1]BASE'!EF39=0,"",'[1]BASE'!EF39)</f>
      </c>
      <c r="P39" s="1626">
        <f>IF('[1]BASE'!EG39=0,"",'[1]BASE'!EG39)</f>
      </c>
      <c r="Q39" s="1626">
        <f>IF('[1]BASE'!EH39=0,"",'[1]BASE'!EH39)</f>
      </c>
      <c r="R39" s="1626">
        <f>IF('[1]BASE'!EI39=0,"",'[1]BASE'!EI39)</f>
      </c>
      <c r="S39" s="1626">
        <f>IF('[1]BASE'!EJ39=0,"",'[1]BASE'!EJ39)</f>
      </c>
      <c r="T39" s="1627"/>
      <c r="U39" s="1624"/>
    </row>
    <row r="40" spans="2:21" s="1618" customFormat="1" ht="19.5" customHeight="1">
      <c r="B40" s="1619"/>
      <c r="C40" s="1625">
        <f>IF('[1]BASE'!C40=0,"",'[1]BASE'!C40)</f>
        <v>24</v>
      </c>
      <c r="D40" s="1625" t="str">
        <f>IF('[1]BASE'!D40=0,"",'[1]BASE'!D40)</f>
        <v>EZEIZA - ABASTO 2</v>
      </c>
      <c r="E40" s="1625">
        <f>IF('[1]BASE'!E40=0,"",'[1]BASE'!E40)</f>
        <v>500</v>
      </c>
      <c r="F40" s="1625">
        <f>IF('[1]BASE'!F40=0,"",'[1]BASE'!F40)</f>
        <v>58</v>
      </c>
      <c r="G40" s="1625" t="str">
        <f>IF('[2]BASE'!G40=0,"",'[2]BASE'!G40)</f>
        <v>C</v>
      </c>
      <c r="H40" s="1626">
        <f>IF('[1]BASE'!DY40=0,"",'[1]BASE'!DY40)</f>
      </c>
      <c r="I40" s="1626">
        <f>IF('[1]BASE'!DZ40=0,"",'[1]BASE'!DZ40)</f>
        <v>1</v>
      </c>
      <c r="J40" s="1626">
        <f>IF('[1]BASE'!EA40=0,"",'[1]BASE'!EA40)</f>
      </c>
      <c r="K40" s="1626">
        <f>IF('[1]BASE'!EB40=0,"",'[1]BASE'!EB40)</f>
      </c>
      <c r="L40" s="1626">
        <f>IF('[1]BASE'!EC40=0,"",'[1]BASE'!EC40)</f>
      </c>
      <c r="M40" s="1626">
        <f>IF('[1]BASE'!ED40=0,"",'[1]BASE'!ED40)</f>
      </c>
      <c r="N40" s="1626">
        <f>IF('[1]BASE'!EE40=0,"",'[1]BASE'!EE40)</f>
      </c>
      <c r="O40" s="1626">
        <f>IF('[1]BASE'!EF40=0,"",'[1]BASE'!EF40)</f>
      </c>
      <c r="P40" s="1626">
        <f>IF('[1]BASE'!EG40=0,"",'[1]BASE'!EG40)</f>
      </c>
      <c r="Q40" s="1626">
        <f>IF('[1]BASE'!EH40=0,"",'[1]BASE'!EH40)</f>
      </c>
      <c r="R40" s="1626">
        <f>IF('[1]BASE'!EI40=0,"",'[1]BASE'!EI40)</f>
      </c>
      <c r="S40" s="1626">
        <f>IF('[1]BASE'!EJ40=0,"",'[1]BASE'!EJ40)</f>
      </c>
      <c r="T40" s="1627"/>
      <c r="U40" s="1624"/>
    </row>
    <row r="41" spans="2:21" s="1618" customFormat="1" ht="19.5" customHeight="1">
      <c r="B41" s="1619"/>
      <c r="C41" s="1625">
        <f>IF('[1]BASE'!C41=0,"",'[1]BASE'!C41)</f>
        <v>25</v>
      </c>
      <c r="D41" s="1625" t="str">
        <f>IF('[1]BASE'!D41=0,"",'[1]BASE'!D41)</f>
        <v>EZEIZA - RODRIGUEZ 1</v>
      </c>
      <c r="E41" s="1625">
        <f>IF('[1]BASE'!E41=0,"",'[1]BASE'!E41)</f>
        <v>500</v>
      </c>
      <c r="F41" s="1625">
        <f>IF('[1]BASE'!F41=0,"",'[1]BASE'!F41)</f>
        <v>53</v>
      </c>
      <c r="G41" s="1625" t="str">
        <f>IF('[2]BASE'!G41=0,"",'[2]BASE'!G41)</f>
        <v>C</v>
      </c>
      <c r="H41" s="1626">
        <f>IF('[1]BASE'!DY41=0,"",'[1]BASE'!DY41)</f>
      </c>
      <c r="I41" s="1626">
        <f>IF('[1]BASE'!DZ41=0,"",'[1]BASE'!DZ41)</f>
      </c>
      <c r="J41" s="1626">
        <f>IF('[1]BASE'!EA41=0,"",'[1]BASE'!EA41)</f>
      </c>
      <c r="K41" s="1626">
        <f>IF('[1]BASE'!EB41=0,"",'[1]BASE'!EB41)</f>
      </c>
      <c r="L41" s="1626">
        <f>IF('[1]BASE'!EC41=0,"",'[1]BASE'!EC41)</f>
      </c>
      <c r="M41" s="1626">
        <f>IF('[1]BASE'!ED41=0,"",'[1]BASE'!ED41)</f>
      </c>
      <c r="N41" s="1626">
        <f>IF('[1]BASE'!EE41=0,"",'[1]BASE'!EE41)</f>
      </c>
      <c r="O41" s="1626">
        <f>IF('[1]BASE'!EF41=0,"",'[1]BASE'!EF41)</f>
      </c>
      <c r="P41" s="1626">
        <f>IF('[1]BASE'!EG41=0,"",'[1]BASE'!EG41)</f>
      </c>
      <c r="Q41" s="1626">
        <f>IF('[1]BASE'!EH41=0,"",'[1]BASE'!EH41)</f>
      </c>
      <c r="R41" s="1626">
        <f>IF('[1]BASE'!EI41=0,"",'[1]BASE'!EI41)</f>
      </c>
      <c r="S41" s="1626">
        <f>IF('[1]BASE'!EJ41=0,"",'[1]BASE'!EJ41)</f>
      </c>
      <c r="T41" s="1627"/>
      <c r="U41" s="1624"/>
    </row>
    <row r="42" spans="2:21" s="1618" customFormat="1" ht="19.5" customHeight="1">
      <c r="B42" s="1619"/>
      <c r="C42" s="1625">
        <f>IF('[1]BASE'!C42=0,"",'[1]BASE'!C42)</f>
        <v>26</v>
      </c>
      <c r="D42" s="1625" t="str">
        <f>IF('[1]BASE'!D42=0,"",'[1]BASE'!D42)</f>
        <v>EZEIZA - RODRIGUEZ 2</v>
      </c>
      <c r="E42" s="1625">
        <f>IF('[1]BASE'!E42=0,"",'[1]BASE'!E42)</f>
        <v>500</v>
      </c>
      <c r="F42" s="1625">
        <f>IF('[1]BASE'!F42=0,"",'[1]BASE'!F42)</f>
        <v>53</v>
      </c>
      <c r="G42" s="1625" t="str">
        <f>IF('[2]BASE'!G42=0,"",'[2]BASE'!G42)</f>
        <v>C</v>
      </c>
      <c r="H42" s="1626">
        <f>IF('[1]BASE'!DY42=0,"",'[1]BASE'!DY42)</f>
      </c>
      <c r="I42" s="1626">
        <f>IF('[1]BASE'!DZ42=0,"",'[1]BASE'!DZ42)</f>
      </c>
      <c r="J42" s="1626">
        <f>IF('[1]BASE'!EA42=0,"",'[1]BASE'!EA42)</f>
      </c>
      <c r="K42" s="1626">
        <f>IF('[1]BASE'!EB42=0,"",'[1]BASE'!EB42)</f>
      </c>
      <c r="L42" s="1626">
        <f>IF('[1]BASE'!EC42=0,"",'[1]BASE'!EC42)</f>
      </c>
      <c r="M42" s="1626">
        <f>IF('[1]BASE'!ED42=0,"",'[1]BASE'!ED42)</f>
      </c>
      <c r="N42" s="1626">
        <f>IF('[1]BASE'!EE42=0,"",'[1]BASE'!EE42)</f>
      </c>
      <c r="O42" s="1626">
        <f>IF('[1]BASE'!EF42=0,"",'[1]BASE'!EF42)</f>
      </c>
      <c r="P42" s="1626">
        <f>IF('[1]BASE'!EG42=0,"",'[1]BASE'!EG42)</f>
      </c>
      <c r="Q42" s="1626">
        <f>IF('[1]BASE'!EH42=0,"",'[1]BASE'!EH42)</f>
      </c>
      <c r="R42" s="1626">
        <f>IF('[1]BASE'!EI42=0,"",'[1]BASE'!EI42)</f>
      </c>
      <c r="S42" s="1626">
        <f>IF('[1]BASE'!EJ42=0,"",'[1]BASE'!EJ42)</f>
      </c>
      <c r="T42" s="1627"/>
      <c r="U42" s="1624"/>
    </row>
    <row r="43" spans="2:21" s="1618" customFormat="1" ht="19.5" customHeight="1">
      <c r="B43" s="1619"/>
      <c r="C43" s="1625">
        <f>IF('[1]BASE'!C43=0,"",'[1]BASE'!C43)</f>
        <v>27</v>
      </c>
      <c r="D43" s="1625" t="str">
        <f>IF('[1]BASE'!D43=0,"",'[1]BASE'!D43)</f>
        <v>EZEIZA- HENDERSON 1</v>
      </c>
      <c r="E43" s="1625">
        <f>IF('[1]BASE'!E43=0,"",'[1]BASE'!E43)</f>
        <v>500</v>
      </c>
      <c r="F43" s="1625">
        <f>IF('[1]BASE'!F43=0,"",'[1]BASE'!F43)</f>
        <v>313</v>
      </c>
      <c r="G43" s="1625" t="str">
        <f>IF('[2]BASE'!G43=0,"",'[2]BASE'!G43)</f>
        <v>A</v>
      </c>
      <c r="H43" s="1626">
        <f>IF('[1]BASE'!DY43=0,"",'[1]BASE'!DY43)</f>
      </c>
      <c r="I43" s="1626">
        <f>IF('[1]BASE'!DZ43=0,"",'[1]BASE'!DZ43)</f>
      </c>
      <c r="J43" s="1626">
        <f>IF('[1]BASE'!EA43=0,"",'[1]BASE'!EA43)</f>
      </c>
      <c r="K43" s="1626">
        <f>IF('[1]BASE'!EB43=0,"",'[1]BASE'!EB43)</f>
      </c>
      <c r="L43" s="1626">
        <f>IF('[1]BASE'!EC43=0,"",'[1]BASE'!EC43)</f>
      </c>
      <c r="M43" s="1626">
        <f>IF('[1]BASE'!ED43=0,"",'[1]BASE'!ED43)</f>
      </c>
      <c r="N43" s="1626">
        <f>IF('[1]BASE'!EE43=0,"",'[1]BASE'!EE43)</f>
      </c>
      <c r="O43" s="1626">
        <f>IF('[1]BASE'!EF43=0,"",'[1]BASE'!EF43)</f>
      </c>
      <c r="P43" s="1626">
        <f>IF('[1]BASE'!EG43=0,"",'[1]BASE'!EG43)</f>
      </c>
      <c r="Q43" s="1626">
        <f>IF('[1]BASE'!EH43=0,"",'[1]BASE'!EH43)</f>
      </c>
      <c r="R43" s="1626">
        <f>IF('[1]BASE'!EI43=0,"",'[1]BASE'!EI43)</f>
      </c>
      <c r="S43" s="1626">
        <f>IF('[1]BASE'!EJ43=0,"",'[1]BASE'!EJ43)</f>
        <v>1</v>
      </c>
      <c r="T43" s="1627"/>
      <c r="U43" s="1624"/>
    </row>
    <row r="44" spans="2:21" s="1618" customFormat="1" ht="19.5" customHeight="1">
      <c r="B44" s="1619"/>
      <c r="C44" s="1625">
        <f>IF('[1]BASE'!C44=0,"",'[1]BASE'!C44)</f>
        <v>28</v>
      </c>
      <c r="D44" s="1625" t="str">
        <f>IF('[1]BASE'!D44=0,"",'[1]BASE'!D44)</f>
        <v>EZEIZA - HENDERSON 2</v>
      </c>
      <c r="E44" s="1625">
        <f>IF('[1]BASE'!E44=0,"",'[1]BASE'!E44)</f>
        <v>500</v>
      </c>
      <c r="F44" s="1625">
        <f>IF('[1]BASE'!F44=0,"",'[1]BASE'!F44)</f>
        <v>313</v>
      </c>
      <c r="G44" s="1625" t="str">
        <f>IF('[2]BASE'!G44=0,"",'[2]BASE'!G44)</f>
        <v>A</v>
      </c>
      <c r="H44" s="1626">
        <f>IF('[1]BASE'!DY44=0,"",'[1]BASE'!DY44)</f>
      </c>
      <c r="I44" s="1626">
        <f>IF('[1]BASE'!DZ44=0,"",'[1]BASE'!DZ44)</f>
      </c>
      <c r="J44" s="1626">
        <f>IF('[1]BASE'!EA44=0,"",'[1]BASE'!EA44)</f>
      </c>
      <c r="K44" s="1626">
        <f>IF('[1]BASE'!EB44=0,"",'[1]BASE'!EB44)</f>
      </c>
      <c r="L44" s="1626">
        <f>IF('[1]BASE'!EC44=0,"",'[1]BASE'!EC44)</f>
      </c>
      <c r="M44" s="1626">
        <f>IF('[1]BASE'!ED44=0,"",'[1]BASE'!ED44)</f>
      </c>
      <c r="N44" s="1626">
        <f>IF('[1]BASE'!EE44=0,"",'[1]BASE'!EE44)</f>
      </c>
      <c r="O44" s="1626">
        <f>IF('[1]BASE'!EF44=0,"",'[1]BASE'!EF44)</f>
      </c>
      <c r="P44" s="1626">
        <f>IF('[1]BASE'!EG44=0,"",'[1]BASE'!EG44)</f>
      </c>
      <c r="Q44" s="1626">
        <f>IF('[1]BASE'!EH44=0,"",'[1]BASE'!EH44)</f>
      </c>
      <c r="R44" s="1626">
        <f>IF('[1]BASE'!EI44=0,"",'[1]BASE'!EI44)</f>
      </c>
      <c r="S44" s="1626">
        <f>IF('[1]BASE'!EJ44=0,"",'[1]BASE'!EJ44)</f>
      </c>
      <c r="T44" s="1627"/>
      <c r="U44" s="1624"/>
    </row>
    <row r="45" spans="2:21" s="1618" customFormat="1" ht="19.5" customHeight="1">
      <c r="B45" s="1619"/>
      <c r="C45" s="1625">
        <f>IF('[1]BASE'!C45=0,"",'[1]BASE'!C45)</f>
        <v>29</v>
      </c>
      <c r="D45" s="1625" t="str">
        <f>IF('[1]BASE'!D45=0,"",'[1]BASE'!D45)</f>
        <v>GRAL. RODRIGUEZ - CAMPANA </v>
      </c>
      <c r="E45" s="1625">
        <f>IF('[1]BASE'!E45=0,"",'[1]BASE'!E45)</f>
        <v>500</v>
      </c>
      <c r="F45" s="1625">
        <f>IF('[1]BASE'!F45=0,"",'[1]BASE'!F45)</f>
        <v>42</v>
      </c>
      <c r="G45" s="1625" t="str">
        <f>IF('[2]BASE'!G45=0,"",'[2]BASE'!G45)</f>
        <v>B</v>
      </c>
      <c r="H45" s="1626">
        <f>IF('[1]BASE'!DY45=0,"",'[1]BASE'!DY45)</f>
      </c>
      <c r="I45" s="1626">
        <f>IF('[1]BASE'!DZ45=0,"",'[1]BASE'!DZ45)</f>
      </c>
      <c r="J45" s="1626">
        <f>IF('[1]BASE'!EA45=0,"",'[1]BASE'!EA45)</f>
      </c>
      <c r="K45" s="1626">
        <f>IF('[1]BASE'!EB45=0,"",'[1]BASE'!EB45)</f>
      </c>
      <c r="L45" s="1626">
        <f>IF('[1]BASE'!EC45=0,"",'[1]BASE'!EC45)</f>
      </c>
      <c r="M45" s="1626">
        <f>IF('[1]BASE'!ED45=0,"",'[1]BASE'!ED45)</f>
      </c>
      <c r="N45" s="1626">
        <f>IF('[1]BASE'!EE45=0,"",'[1]BASE'!EE45)</f>
      </c>
      <c r="O45" s="1626">
        <f>IF('[1]BASE'!EF45=0,"",'[1]BASE'!EF45)</f>
      </c>
      <c r="P45" s="1626">
        <f>IF('[1]BASE'!EG45=0,"",'[1]BASE'!EG45)</f>
      </c>
      <c r="Q45" s="1626">
        <f>IF('[1]BASE'!EH45=0,"",'[1]BASE'!EH45)</f>
      </c>
      <c r="R45" s="1626">
        <f>IF('[1]BASE'!EI45=0,"",'[1]BASE'!EI45)</f>
      </c>
      <c r="S45" s="1626">
        <f>IF('[1]BASE'!EJ45=0,"",'[1]BASE'!EJ45)</f>
      </c>
      <c r="T45" s="1627"/>
      <c r="U45" s="1624"/>
    </row>
    <row r="46" spans="2:21" s="1618" customFormat="1" ht="19.5" customHeight="1">
      <c r="B46" s="1619"/>
      <c r="C46" s="1625">
        <f>IF('[1]BASE'!C46=0,"",'[1]BASE'!C46)</f>
        <v>30</v>
      </c>
      <c r="D46" s="1625" t="str">
        <f>IF('[1]BASE'!D46=0,"",'[1]BASE'!D46)</f>
        <v>GRAL. RODRIGUEZ- ROSARIO OESTE </v>
      </c>
      <c r="E46" s="1625">
        <f>IF('[1]BASE'!E46=0,"",'[1]BASE'!E46)</f>
        <v>500</v>
      </c>
      <c r="F46" s="1625">
        <f>IF('[1]BASE'!F46=0,"",'[1]BASE'!F46)</f>
        <v>258</v>
      </c>
      <c r="G46" s="1625" t="str">
        <f>IF('[2]BASE'!G46=0,"",'[2]BASE'!G46)</f>
        <v>C</v>
      </c>
      <c r="H46" s="1626" t="str">
        <f>IF('[1]BASE'!DY46=0,"",'[1]BASE'!DY46)</f>
        <v>XXXX</v>
      </c>
      <c r="I46" s="1626" t="str">
        <f>IF('[1]BASE'!DZ46=0,"",'[1]BASE'!DZ46)</f>
        <v>XXXX</v>
      </c>
      <c r="J46" s="1626" t="str">
        <f>IF('[1]BASE'!EA46=0,"",'[1]BASE'!EA46)</f>
        <v>XXXX</v>
      </c>
      <c r="K46" s="1626" t="str">
        <f>IF('[1]BASE'!EB46=0,"",'[1]BASE'!EB46)</f>
        <v>XXXX</v>
      </c>
      <c r="L46" s="1626" t="str">
        <f>IF('[1]BASE'!EC46=0,"",'[1]BASE'!EC46)</f>
        <v>XXXX</v>
      </c>
      <c r="M46" s="1626" t="str">
        <f>IF('[1]BASE'!ED46=0,"",'[1]BASE'!ED46)</f>
        <v>XXXX</v>
      </c>
      <c r="N46" s="1626" t="str">
        <f>IF('[1]BASE'!EE46=0,"",'[1]BASE'!EE46)</f>
        <v>XXXX</v>
      </c>
      <c r="O46" s="1626" t="str">
        <f>IF('[1]BASE'!EF46=0,"",'[1]BASE'!EF46)</f>
        <v>XXXX</v>
      </c>
      <c r="P46" s="1626" t="str">
        <f>IF('[1]BASE'!EG46=0,"",'[1]BASE'!EG46)</f>
        <v>XXXX</v>
      </c>
      <c r="Q46" s="1626" t="str">
        <f>IF('[1]BASE'!EH46=0,"",'[1]BASE'!EH46)</f>
        <v>XXXX</v>
      </c>
      <c r="R46" s="1626" t="str">
        <f>IF('[1]BASE'!EI46=0,"",'[1]BASE'!EI46)</f>
        <v>XXXX</v>
      </c>
      <c r="S46" s="1626" t="str">
        <f>IF('[1]BASE'!EJ46=0,"",'[1]BASE'!EJ46)</f>
        <v>XXXX</v>
      </c>
      <c r="T46" s="1627"/>
      <c r="U46" s="1624"/>
    </row>
    <row r="47" spans="2:21" s="1618" customFormat="1" ht="19.5" customHeight="1">
      <c r="B47" s="1619"/>
      <c r="C47" s="1625">
        <f>IF('[1]BASE'!C47=0,"",'[1]BASE'!C47)</f>
        <v>31</v>
      </c>
      <c r="D47" s="1625" t="str">
        <f>IF('[1]BASE'!D47=0,"",'[1]BASE'!D47)</f>
        <v>MALVINAS ARG. - ALMAFUERTE </v>
      </c>
      <c r="E47" s="1625">
        <f>IF('[1]BASE'!E47=0,"",'[1]BASE'!E47)</f>
        <v>500</v>
      </c>
      <c r="F47" s="1625">
        <f>IF('[1]BASE'!F47=0,"",'[1]BASE'!F47)</f>
        <v>105</v>
      </c>
      <c r="G47" s="1625" t="str">
        <f>IF('[2]BASE'!G47=0,"",'[2]BASE'!G47)</f>
        <v>B</v>
      </c>
      <c r="H47" s="1626">
        <f>IF('[1]BASE'!DY47=0,"",'[1]BASE'!DY47)</f>
      </c>
      <c r="I47" s="1626">
        <f>IF('[1]BASE'!DZ47=0,"",'[1]BASE'!DZ47)</f>
      </c>
      <c r="J47" s="1626">
        <f>IF('[1]BASE'!EA47=0,"",'[1]BASE'!EA47)</f>
      </c>
      <c r="K47" s="1626">
        <f>IF('[1]BASE'!EB47=0,"",'[1]BASE'!EB47)</f>
      </c>
      <c r="L47" s="1626">
        <f>IF('[1]BASE'!EC47=0,"",'[1]BASE'!EC47)</f>
      </c>
      <c r="M47" s="1626">
        <f>IF('[1]BASE'!ED47=0,"",'[1]BASE'!ED47)</f>
      </c>
      <c r="N47" s="1626">
        <f>IF('[1]BASE'!EE47=0,"",'[1]BASE'!EE47)</f>
      </c>
      <c r="O47" s="1626">
        <f>IF('[1]BASE'!EF47=0,"",'[1]BASE'!EF47)</f>
      </c>
      <c r="P47" s="1626">
        <f>IF('[1]BASE'!EG47=0,"",'[1]BASE'!EG47)</f>
      </c>
      <c r="Q47" s="1626">
        <f>IF('[1]BASE'!EH47=0,"",'[1]BASE'!EH47)</f>
      </c>
      <c r="R47" s="1626">
        <f>IF('[1]BASE'!EI47=0,"",'[1]BASE'!EI47)</f>
      </c>
      <c r="S47" s="1626">
        <f>IF('[1]BASE'!EJ47=0,"",'[1]BASE'!EJ47)</f>
      </c>
      <c r="T47" s="1627"/>
      <c r="U47" s="1624"/>
    </row>
    <row r="48" spans="2:21" s="1618" customFormat="1" ht="19.5" customHeight="1">
      <c r="B48" s="1619"/>
      <c r="C48" s="1625">
        <f>IF('[1]BASE'!C48=0,"",'[1]BASE'!C48)</f>
        <v>32</v>
      </c>
      <c r="D48" s="1625" t="str">
        <f>IF('[1]BASE'!D48=0,"",'[1]BASE'!D48)</f>
        <v>OLAVARRIA - BAHIA BLANCA 1</v>
      </c>
      <c r="E48" s="1625">
        <f>IF('[1]BASE'!E48=0,"",'[1]BASE'!E48)</f>
        <v>500</v>
      </c>
      <c r="F48" s="1625">
        <f>IF('[1]BASE'!F48=0,"",'[1]BASE'!F48)</f>
        <v>255</v>
      </c>
      <c r="G48" s="1625" t="str">
        <f>IF('[2]BASE'!G48=0,"",'[2]BASE'!G48)</f>
        <v>B</v>
      </c>
      <c r="H48" s="1626">
        <f>IF('[1]BASE'!DY48=0,"",'[1]BASE'!DY48)</f>
      </c>
      <c r="I48" s="1626">
        <f>IF('[1]BASE'!DZ48=0,"",'[1]BASE'!DZ48)</f>
      </c>
      <c r="J48" s="1626">
        <f>IF('[1]BASE'!EA48=0,"",'[1]BASE'!EA48)</f>
      </c>
      <c r="K48" s="1626">
        <f>IF('[1]BASE'!EB48=0,"",'[1]BASE'!EB48)</f>
      </c>
      <c r="L48" s="1626">
        <f>IF('[1]BASE'!EC48=0,"",'[1]BASE'!EC48)</f>
      </c>
      <c r="M48" s="1626">
        <f>IF('[1]BASE'!ED48=0,"",'[1]BASE'!ED48)</f>
      </c>
      <c r="N48" s="1626">
        <f>IF('[1]BASE'!EE48=0,"",'[1]BASE'!EE48)</f>
      </c>
      <c r="O48" s="1626">
        <f>IF('[1]BASE'!EF48=0,"",'[1]BASE'!EF48)</f>
      </c>
      <c r="P48" s="1626">
        <f>IF('[1]BASE'!EG48=0,"",'[1]BASE'!EG48)</f>
      </c>
      <c r="Q48" s="1626">
        <f>IF('[1]BASE'!EH48=0,"",'[1]BASE'!EH48)</f>
      </c>
      <c r="R48" s="1626">
        <f>IF('[1]BASE'!EI48=0,"",'[1]BASE'!EI48)</f>
      </c>
      <c r="S48" s="1626">
        <f>IF('[1]BASE'!EJ48=0,"",'[1]BASE'!EJ48)</f>
        <v>2</v>
      </c>
      <c r="T48" s="1627"/>
      <c r="U48" s="1624"/>
    </row>
    <row r="49" spans="2:21" s="1618" customFormat="1" ht="19.5" customHeight="1">
      <c r="B49" s="1619"/>
      <c r="C49" s="1625">
        <f>IF('[1]BASE'!C49=0,"",'[1]BASE'!C49)</f>
        <v>33</v>
      </c>
      <c r="D49" s="1625" t="str">
        <f>IF('[1]BASE'!D49=0,"",'[1]BASE'!D49)</f>
        <v>OLAVARRIA - BAHIA BLANCA 2</v>
      </c>
      <c r="E49" s="1625">
        <f>IF('[1]BASE'!E49=0,"",'[1]BASE'!E49)</f>
        <v>500</v>
      </c>
      <c r="F49" s="1625">
        <f>IF('[1]BASE'!F49=0,"",'[1]BASE'!F49)</f>
        <v>254.8</v>
      </c>
      <c r="G49" s="1625" t="e">
        <f>IF('[2]BASE'!G49=0,"",'[2]BASE'!G49)</f>
        <v>#REF!</v>
      </c>
      <c r="H49" s="1626">
        <f>IF('[1]BASE'!DY49=0,"",'[1]BASE'!DY49)</f>
      </c>
      <c r="I49" s="1626">
        <f>IF('[1]BASE'!DZ49=0,"",'[1]BASE'!DZ49)</f>
        <v>1</v>
      </c>
      <c r="J49" s="1626">
        <f>IF('[1]BASE'!EA49=0,"",'[1]BASE'!EA49)</f>
      </c>
      <c r="K49" s="1626">
        <f>IF('[1]BASE'!EB49=0,"",'[1]BASE'!EB49)</f>
      </c>
      <c r="L49" s="1626">
        <f>IF('[1]BASE'!EC49=0,"",'[1]BASE'!EC49)</f>
      </c>
      <c r="M49" s="1626">
        <f>IF('[1]BASE'!ED49=0,"",'[1]BASE'!ED49)</f>
      </c>
      <c r="N49" s="1626">
        <f>IF('[1]BASE'!EE49=0,"",'[1]BASE'!EE49)</f>
      </c>
      <c r="O49" s="1626">
        <f>IF('[1]BASE'!EF49=0,"",'[1]BASE'!EF49)</f>
        <v>2</v>
      </c>
      <c r="P49" s="1626">
        <f>IF('[1]BASE'!EG49=0,"",'[1]BASE'!EG49)</f>
      </c>
      <c r="Q49" s="1626">
        <f>IF('[1]BASE'!EH49=0,"",'[1]BASE'!EH49)</f>
      </c>
      <c r="R49" s="1626">
        <f>IF('[1]BASE'!EI49=0,"",'[1]BASE'!EI49)</f>
      </c>
      <c r="S49" s="1626">
        <f>IF('[1]BASE'!EJ49=0,"",'[1]BASE'!EJ49)</f>
        <v>1</v>
      </c>
      <c r="T49" s="1627"/>
      <c r="U49" s="1624"/>
    </row>
    <row r="50" spans="2:21" s="1618" customFormat="1" ht="19.5" customHeight="1">
      <c r="B50" s="1619"/>
      <c r="C50" s="1625">
        <f>IF('[1]BASE'!C50=0,"",'[1]BASE'!C50)</f>
        <v>34</v>
      </c>
      <c r="D50" s="1625" t="str">
        <f>IF('[1]BASE'!D50=0,"",'[1]BASE'!D50)</f>
        <v>P.del AGUILA  - CHOELE CHOEL</v>
      </c>
      <c r="E50" s="1625">
        <f>IF('[1]BASE'!E50=0,"",'[1]BASE'!E50)</f>
        <v>500</v>
      </c>
      <c r="F50" s="1625">
        <f>IF('[1]BASE'!F50=0,"",'[1]BASE'!F50)</f>
        <v>386.7</v>
      </c>
      <c r="G50" s="1625" t="e">
        <f>IF('[2]BASE'!G50=0,"",'[2]BASE'!G50)</f>
        <v>#REF!</v>
      </c>
      <c r="H50" s="1626">
        <f>IF('[1]BASE'!DY50=0,"",'[1]BASE'!DY50)</f>
      </c>
      <c r="I50" s="1626">
        <f>IF('[1]BASE'!DZ50=0,"",'[1]BASE'!DZ50)</f>
      </c>
      <c r="J50" s="1626">
        <f>IF('[1]BASE'!EA50=0,"",'[1]BASE'!EA50)</f>
      </c>
      <c r="K50" s="1626">
        <f>IF('[1]BASE'!EB50=0,"",'[1]BASE'!EB50)</f>
      </c>
      <c r="L50" s="1626">
        <f>IF('[1]BASE'!EC50=0,"",'[1]BASE'!EC50)</f>
      </c>
      <c r="M50" s="1626">
        <f>IF('[1]BASE'!ED50=0,"",'[1]BASE'!ED50)</f>
      </c>
      <c r="N50" s="1626">
        <f>IF('[1]BASE'!EE50=0,"",'[1]BASE'!EE50)</f>
      </c>
      <c r="O50" s="1626">
        <f>IF('[1]BASE'!EF50=0,"",'[1]BASE'!EF50)</f>
      </c>
      <c r="P50" s="1626">
        <f>IF('[1]BASE'!EG50=0,"",'[1]BASE'!EG50)</f>
      </c>
      <c r="Q50" s="1626">
        <f>IF('[1]BASE'!EH50=0,"",'[1]BASE'!EH50)</f>
      </c>
      <c r="R50" s="1626">
        <f>IF('[1]BASE'!EI50=0,"",'[1]BASE'!EI50)</f>
      </c>
      <c r="S50" s="1626">
        <f>IF('[1]BASE'!EJ50=0,"",'[1]BASE'!EJ50)</f>
      </c>
      <c r="T50" s="1627"/>
      <c r="U50" s="1624"/>
    </row>
    <row r="51" spans="2:21" s="1618" customFormat="1" ht="19.5" customHeight="1">
      <c r="B51" s="1619"/>
      <c r="C51" s="1625">
        <f>IF('[1]BASE'!C51=0,"",'[1]BASE'!C51)</f>
        <v>35</v>
      </c>
      <c r="D51" s="1625" t="str">
        <f>IF('[1]BASE'!D51=0,"",'[1]BASE'!D51)</f>
        <v>P.del AGUILA  - CHO. W. 1 (5GW1)</v>
      </c>
      <c r="E51" s="1625">
        <f>IF('[1]BASE'!E51=0,"",'[1]BASE'!E51)</f>
        <v>500</v>
      </c>
      <c r="F51" s="1625">
        <f>IF('[1]BASE'!F51=0,"",'[1]BASE'!F51)</f>
        <v>165</v>
      </c>
      <c r="G51" s="1625" t="str">
        <f>IF('[2]BASE'!G51=0,"",'[2]BASE'!G51)</f>
        <v>A</v>
      </c>
      <c r="H51" s="1626">
        <f>IF('[1]BASE'!DY51=0,"",'[1]BASE'!DY51)</f>
      </c>
      <c r="I51" s="1626">
        <f>IF('[1]BASE'!DZ51=0,"",'[1]BASE'!DZ51)</f>
      </c>
      <c r="J51" s="1626">
        <f>IF('[1]BASE'!EA51=0,"",'[1]BASE'!EA51)</f>
      </c>
      <c r="K51" s="1626">
        <f>IF('[1]BASE'!EB51=0,"",'[1]BASE'!EB51)</f>
      </c>
      <c r="L51" s="1626">
        <f>IF('[1]BASE'!EC51=0,"",'[1]BASE'!EC51)</f>
      </c>
      <c r="M51" s="1626">
        <f>IF('[1]BASE'!ED51=0,"",'[1]BASE'!ED51)</f>
      </c>
      <c r="N51" s="1626">
        <f>IF('[1]BASE'!EE51=0,"",'[1]BASE'!EE51)</f>
      </c>
      <c r="O51" s="1626">
        <f>IF('[1]BASE'!EF51=0,"",'[1]BASE'!EF51)</f>
      </c>
      <c r="P51" s="1626">
        <f>IF('[1]BASE'!EG51=0,"",'[1]BASE'!EG51)</f>
      </c>
      <c r="Q51" s="1626">
        <f>IF('[1]BASE'!EH51=0,"",'[1]BASE'!EH51)</f>
        <v>1</v>
      </c>
      <c r="R51" s="1626">
        <f>IF('[1]BASE'!EI51=0,"",'[1]BASE'!EI51)</f>
      </c>
      <c r="S51" s="1626">
        <f>IF('[1]BASE'!EJ51=0,"",'[1]BASE'!EJ51)</f>
      </c>
      <c r="T51" s="1627"/>
      <c r="U51" s="1624"/>
    </row>
    <row r="52" spans="2:21" s="1618" customFormat="1" ht="19.5" customHeight="1">
      <c r="B52" s="1619"/>
      <c r="C52" s="1625">
        <f>IF('[1]BASE'!C52=0,"",'[1]BASE'!C52)</f>
        <v>36</v>
      </c>
      <c r="D52" s="1625" t="str">
        <f>IF('[1]BASE'!D52=0,"",'[1]BASE'!D52)</f>
        <v>P.del AGUILA  - CHO. W. 2 (5GW2)</v>
      </c>
      <c r="E52" s="1625">
        <f>IF('[1]BASE'!E52=0,"",'[1]BASE'!E52)</f>
        <v>500</v>
      </c>
      <c r="F52" s="1625">
        <f>IF('[1]BASE'!F52=0,"",'[1]BASE'!F52)</f>
        <v>170</v>
      </c>
      <c r="G52" s="1625" t="str">
        <f>IF('[2]BASE'!G52=0,"",'[2]BASE'!G52)</f>
        <v>A</v>
      </c>
      <c r="H52" s="1626">
        <f>IF('[1]BASE'!DY52=0,"",'[1]BASE'!DY52)</f>
      </c>
      <c r="I52" s="1626">
        <f>IF('[1]BASE'!DZ52=0,"",'[1]BASE'!DZ52)</f>
      </c>
      <c r="J52" s="1626">
        <f>IF('[1]BASE'!EA52=0,"",'[1]BASE'!EA52)</f>
      </c>
      <c r="K52" s="1626">
        <f>IF('[1]BASE'!EB52=0,"",'[1]BASE'!EB52)</f>
      </c>
      <c r="L52" s="1626">
        <f>IF('[1]BASE'!EC52=0,"",'[1]BASE'!EC52)</f>
      </c>
      <c r="M52" s="1626">
        <f>IF('[1]BASE'!ED52=0,"",'[1]BASE'!ED52)</f>
      </c>
      <c r="N52" s="1626">
        <f>IF('[1]BASE'!EE52=0,"",'[1]BASE'!EE52)</f>
      </c>
      <c r="O52" s="1626">
        <f>IF('[1]BASE'!EF52=0,"",'[1]BASE'!EF52)</f>
      </c>
      <c r="P52" s="1626">
        <f>IF('[1]BASE'!EG52=0,"",'[1]BASE'!EG52)</f>
      </c>
      <c r="Q52" s="1626">
        <f>IF('[1]BASE'!EH52=0,"",'[1]BASE'!EH52)</f>
      </c>
      <c r="R52" s="1626">
        <f>IF('[1]BASE'!EI52=0,"",'[1]BASE'!EI52)</f>
      </c>
      <c r="S52" s="1626">
        <f>IF('[1]BASE'!EJ52=0,"",'[1]BASE'!EJ52)</f>
      </c>
      <c r="T52" s="1627"/>
      <c r="U52" s="1624"/>
    </row>
    <row r="53" spans="2:21" s="1618" customFormat="1" ht="19.5" customHeight="1">
      <c r="B53" s="1619"/>
      <c r="C53" s="1625">
        <f>IF('[1]BASE'!C53=0,"",'[1]BASE'!C53)</f>
        <v>37</v>
      </c>
      <c r="D53" s="1625" t="str">
        <f>IF('[1]BASE'!D53=0,"",'[1]BASE'!D53)</f>
        <v>PUELCHES - HENDERSON 1 (B1)</v>
      </c>
      <c r="E53" s="1625">
        <f>IF('[1]BASE'!E53=0,"",'[1]BASE'!E53)</f>
        <v>500</v>
      </c>
      <c r="F53" s="1625">
        <f>IF('[1]BASE'!F53=0,"",'[1]BASE'!F53)</f>
        <v>421</v>
      </c>
      <c r="G53" s="1625" t="str">
        <f>IF('[2]BASE'!G53=0,"",'[2]BASE'!G53)</f>
        <v>A</v>
      </c>
      <c r="H53" s="1626">
        <f>IF('[1]BASE'!DY53=0,"",'[1]BASE'!DY53)</f>
      </c>
      <c r="I53" s="1626">
        <f>IF('[1]BASE'!DZ53=0,"",'[1]BASE'!DZ53)</f>
      </c>
      <c r="J53" s="1626">
        <f>IF('[1]BASE'!EA53=0,"",'[1]BASE'!EA53)</f>
      </c>
      <c r="K53" s="1626">
        <f>IF('[1]BASE'!EB53=0,"",'[1]BASE'!EB53)</f>
      </c>
      <c r="L53" s="1626">
        <f>IF('[1]BASE'!EC53=0,"",'[1]BASE'!EC53)</f>
      </c>
      <c r="M53" s="1626">
        <f>IF('[1]BASE'!ED53=0,"",'[1]BASE'!ED53)</f>
      </c>
      <c r="N53" s="1626">
        <f>IF('[1]BASE'!EE53=0,"",'[1]BASE'!EE53)</f>
      </c>
      <c r="O53" s="1626">
        <f>IF('[1]BASE'!EF53=0,"",'[1]BASE'!EF53)</f>
      </c>
      <c r="P53" s="1626">
        <f>IF('[1]BASE'!EG53=0,"",'[1]BASE'!EG53)</f>
      </c>
      <c r="Q53" s="1626">
        <f>IF('[1]BASE'!EH53=0,"",'[1]BASE'!EH53)</f>
      </c>
      <c r="R53" s="1626">
        <f>IF('[1]BASE'!EI53=0,"",'[1]BASE'!EI53)</f>
      </c>
      <c r="S53" s="1626">
        <f>IF('[1]BASE'!EJ53=0,"",'[1]BASE'!EJ53)</f>
      </c>
      <c r="T53" s="1627"/>
      <c r="U53" s="1624"/>
    </row>
    <row r="54" spans="2:21" s="1618" customFormat="1" ht="19.5" customHeight="1">
      <c r="B54" s="1619"/>
      <c r="C54" s="1625">
        <f>IF('[1]BASE'!C54=0,"",'[1]BASE'!C54)</f>
        <v>38</v>
      </c>
      <c r="D54" s="1625" t="str">
        <f>IF('[1]BASE'!D54=0,"",'[1]BASE'!D54)</f>
        <v>PUELCHES - HENDERSON 2 (B2)</v>
      </c>
      <c r="E54" s="1625">
        <f>IF('[1]BASE'!E54=0,"",'[1]BASE'!E54)</f>
        <v>500</v>
      </c>
      <c r="F54" s="1625">
        <f>IF('[1]BASE'!F54=0,"",'[1]BASE'!F54)</f>
        <v>421</v>
      </c>
      <c r="G54" s="1625" t="str">
        <f>IF('[2]BASE'!G54=0,"",'[2]BASE'!G54)</f>
        <v>A</v>
      </c>
      <c r="H54" s="1626" t="str">
        <f>IF('[1]BASE'!DY54=0,"",'[1]BASE'!DY54)</f>
        <v>XXXX</v>
      </c>
      <c r="I54" s="1626" t="str">
        <f>IF('[1]BASE'!DZ54=0,"",'[1]BASE'!DZ54)</f>
        <v>XXXX</v>
      </c>
      <c r="J54" s="1626" t="str">
        <f>IF('[1]BASE'!EA54=0,"",'[1]BASE'!EA54)</f>
        <v>XXXX</v>
      </c>
      <c r="K54" s="1626" t="str">
        <f>IF('[1]BASE'!EB54=0,"",'[1]BASE'!EB54)</f>
        <v>XXXX</v>
      </c>
      <c r="L54" s="1626" t="str">
        <f>IF('[1]BASE'!EC54=0,"",'[1]BASE'!EC54)</f>
        <v>XXXX</v>
      </c>
      <c r="M54" s="1626" t="str">
        <f>IF('[1]BASE'!ED54=0,"",'[1]BASE'!ED54)</f>
        <v>XXXX</v>
      </c>
      <c r="N54" s="1626" t="str">
        <f>IF('[1]BASE'!EE54=0,"",'[1]BASE'!EE54)</f>
        <v>XXXX</v>
      </c>
      <c r="O54" s="1626" t="str">
        <f>IF('[1]BASE'!EF54=0,"",'[1]BASE'!EF54)</f>
        <v>XXXX</v>
      </c>
      <c r="P54" s="1626" t="str">
        <f>IF('[1]BASE'!EG54=0,"",'[1]BASE'!EG54)</f>
        <v>XXXX</v>
      </c>
      <c r="Q54" s="1626" t="str">
        <f>IF('[1]BASE'!EH54=0,"",'[1]BASE'!EH54)</f>
        <v>XXXX</v>
      </c>
      <c r="R54" s="1626" t="str">
        <f>IF('[1]BASE'!EI54=0,"",'[1]BASE'!EI54)</f>
        <v>XXXX</v>
      </c>
      <c r="S54" s="1626" t="str">
        <f>IF('[1]BASE'!EJ54=0,"",'[1]BASE'!EJ54)</f>
        <v>XXXX</v>
      </c>
      <c r="T54" s="1627"/>
      <c r="U54" s="1624"/>
    </row>
    <row r="55" spans="2:21" s="1618" customFormat="1" ht="19.5" customHeight="1">
      <c r="B55" s="1619"/>
      <c r="C55" s="1625">
        <f>IF('[1]BASE'!C55=0,"",'[1]BASE'!C55)</f>
        <v>39</v>
      </c>
      <c r="D55" s="1625" t="str">
        <f>IF('[1]BASE'!D55=0,"",'[1]BASE'!D55)</f>
        <v>RECREO - MALVINAS ARG. </v>
      </c>
      <c r="E55" s="1625">
        <f>IF('[1]BASE'!E55=0,"",'[1]BASE'!E55)</f>
        <v>500</v>
      </c>
      <c r="F55" s="1625">
        <f>IF('[1]BASE'!F55=0,"",'[1]BASE'!F55)</f>
        <v>259</v>
      </c>
      <c r="G55" s="1625" t="str">
        <f>IF('[2]BASE'!G55=0,"",'[2]BASE'!G55)</f>
        <v>C</v>
      </c>
      <c r="H55" s="1626">
        <f>IF('[1]BASE'!DY55=0,"",'[1]BASE'!DY55)</f>
      </c>
      <c r="I55" s="1626">
        <f>IF('[1]BASE'!DZ55=0,"",'[1]BASE'!DZ55)</f>
      </c>
      <c r="J55" s="1626">
        <f>IF('[1]BASE'!EA55=0,"",'[1]BASE'!EA55)</f>
      </c>
      <c r="K55" s="1626">
        <f>IF('[1]BASE'!EB55=0,"",'[1]BASE'!EB55)</f>
      </c>
      <c r="L55" s="1626">
        <f>IF('[1]BASE'!EC55=0,"",'[1]BASE'!EC55)</f>
      </c>
      <c r="M55" s="1626">
        <f>IF('[1]BASE'!ED55=0,"",'[1]BASE'!ED55)</f>
      </c>
      <c r="N55" s="1626">
        <f>IF('[1]BASE'!EE55=0,"",'[1]BASE'!EE55)</f>
      </c>
      <c r="O55" s="1626">
        <f>IF('[1]BASE'!EF55=0,"",'[1]BASE'!EF55)</f>
      </c>
      <c r="P55" s="1626">
        <f>IF('[1]BASE'!EG55=0,"",'[1]BASE'!EG55)</f>
      </c>
      <c r="Q55" s="1626">
        <f>IF('[1]BASE'!EH55=0,"",'[1]BASE'!EH55)</f>
      </c>
      <c r="R55" s="1626">
        <f>IF('[1]BASE'!EI55=0,"",'[1]BASE'!EI55)</f>
      </c>
      <c r="S55" s="1626">
        <f>IF('[1]BASE'!EJ55=0,"",'[1]BASE'!EJ55)</f>
      </c>
      <c r="T55" s="1627"/>
      <c r="U55" s="1624"/>
    </row>
    <row r="56" spans="2:21" s="1618" customFormat="1" ht="19.5" customHeight="1">
      <c r="B56" s="1619"/>
      <c r="C56" s="1625">
        <f>IF('[1]BASE'!C56=0,"",'[1]BASE'!C56)</f>
        <v>40</v>
      </c>
      <c r="D56" s="1625" t="str">
        <f>IF('[1]BASE'!D56=0,"",'[1]BASE'!D56)</f>
        <v>RIO GRANDE - EMBALSE</v>
      </c>
      <c r="E56" s="1625">
        <f>IF('[1]BASE'!E56=0,"",'[1]BASE'!E56)</f>
        <v>500</v>
      </c>
      <c r="F56" s="1625">
        <f>IF('[1]BASE'!F56=0,"",'[1]BASE'!F56)</f>
        <v>30</v>
      </c>
      <c r="G56" s="1625" t="str">
        <f>IF('[2]BASE'!G56=0,"",'[2]BASE'!G56)</f>
        <v>B</v>
      </c>
      <c r="H56" s="1626">
        <f>IF('[1]BASE'!DY56=0,"",'[1]BASE'!DY56)</f>
      </c>
      <c r="I56" s="1626">
        <f>IF('[1]BASE'!DZ56=0,"",'[1]BASE'!DZ56)</f>
      </c>
      <c r="J56" s="1626">
        <f>IF('[1]BASE'!EA56=0,"",'[1]BASE'!EA56)</f>
      </c>
      <c r="K56" s="1626">
        <f>IF('[1]BASE'!EB56=0,"",'[1]BASE'!EB56)</f>
      </c>
      <c r="L56" s="1626">
        <f>IF('[1]BASE'!EC56=0,"",'[1]BASE'!EC56)</f>
      </c>
      <c r="M56" s="1626">
        <f>IF('[1]BASE'!ED56=0,"",'[1]BASE'!ED56)</f>
      </c>
      <c r="N56" s="1626">
        <f>IF('[1]BASE'!EE56=0,"",'[1]BASE'!EE56)</f>
      </c>
      <c r="O56" s="1626">
        <f>IF('[1]BASE'!EF56=0,"",'[1]BASE'!EF56)</f>
      </c>
      <c r="P56" s="1626">
        <f>IF('[1]BASE'!EG56=0,"",'[1]BASE'!EG56)</f>
      </c>
      <c r="Q56" s="1626">
        <f>IF('[1]BASE'!EH56=0,"",'[1]BASE'!EH56)</f>
      </c>
      <c r="R56" s="1626">
        <f>IF('[1]BASE'!EI56=0,"",'[1]BASE'!EI56)</f>
      </c>
      <c r="S56" s="1626">
        <f>IF('[1]BASE'!EJ56=0,"",'[1]BASE'!EJ56)</f>
      </c>
      <c r="T56" s="1627"/>
      <c r="U56" s="1624"/>
    </row>
    <row r="57" spans="2:21" s="1618" customFormat="1" ht="19.5" customHeight="1">
      <c r="B57" s="1619"/>
      <c r="C57" s="1625">
        <f>IF('[1]BASE'!C57=0,"",'[1]BASE'!C57)</f>
        <v>41</v>
      </c>
      <c r="D57" s="1625" t="str">
        <f>IF('[1]BASE'!D57=0,"",'[1]BASE'!D57)</f>
        <v>RIO GRANDE - GRAN MENDOZA</v>
      </c>
      <c r="E57" s="1625">
        <f>IF('[1]BASE'!E57=0,"",'[1]BASE'!E57)</f>
        <v>500</v>
      </c>
      <c r="F57" s="1625">
        <f>IF('[1]BASE'!F57=0,"",'[1]BASE'!F57)</f>
        <v>407</v>
      </c>
      <c r="G57" s="1625" t="str">
        <f>IF('[2]BASE'!G57=0,"",'[2]BASE'!G57)</f>
        <v>B</v>
      </c>
      <c r="H57" s="1626" t="str">
        <f>IF('[1]BASE'!DY57=0,"",'[1]BASE'!DY57)</f>
        <v>XXXX</v>
      </c>
      <c r="I57" s="1626" t="str">
        <f>IF('[1]BASE'!DZ57=0,"",'[1]BASE'!DZ57)</f>
        <v>XXXX</v>
      </c>
      <c r="J57" s="1626" t="str">
        <f>IF('[1]BASE'!EA57=0,"",'[1]BASE'!EA57)</f>
        <v>XXXX</v>
      </c>
      <c r="K57" s="1626" t="str">
        <f>IF('[1]BASE'!EB57=0,"",'[1]BASE'!EB57)</f>
        <v>XXXX</v>
      </c>
      <c r="L57" s="1626" t="str">
        <f>IF('[1]BASE'!EC57=0,"",'[1]BASE'!EC57)</f>
        <v>XXXX</v>
      </c>
      <c r="M57" s="1626" t="str">
        <f>IF('[1]BASE'!ED57=0,"",'[1]BASE'!ED57)</f>
        <v>XXXX</v>
      </c>
      <c r="N57" s="1626" t="str">
        <f>IF('[1]BASE'!EE57=0,"",'[1]BASE'!EE57)</f>
        <v>XXXX</v>
      </c>
      <c r="O57" s="1626" t="str">
        <f>IF('[1]BASE'!EF57=0,"",'[1]BASE'!EF57)</f>
        <v>XXXX</v>
      </c>
      <c r="P57" s="1626" t="str">
        <f>IF('[1]BASE'!EG57=0,"",'[1]BASE'!EG57)</f>
        <v>XXXX</v>
      </c>
      <c r="Q57" s="1626" t="str">
        <f>IF('[1]BASE'!EH57=0,"",'[1]BASE'!EH57)</f>
        <v>XXXX</v>
      </c>
      <c r="R57" s="1626" t="str">
        <f>IF('[1]BASE'!EI57=0,"",'[1]BASE'!EI57)</f>
        <v>XXXX</v>
      </c>
      <c r="S57" s="1626" t="str">
        <f>IF('[1]BASE'!EJ57=0,"",'[1]BASE'!EJ57)</f>
        <v>XXXX</v>
      </c>
      <c r="T57" s="1627"/>
      <c r="U57" s="1624"/>
    </row>
    <row r="58" spans="2:21" s="1618" customFormat="1" ht="19.5" customHeight="1">
      <c r="B58" s="1619"/>
      <c r="C58" s="1625">
        <f>IF('[1]BASE'!C58=0,"",'[1]BASE'!C58)</f>
        <v>42</v>
      </c>
      <c r="D58" s="1625" t="str">
        <f>IF('[1]BASE'!D58=0,"",'[1]BASE'!D58)</f>
        <v>RIO GRANDE - LUJAN</v>
      </c>
      <c r="E58" s="1625">
        <f>IF('[1]BASE'!E58=0,"",'[1]BASE'!E58)</f>
        <v>500</v>
      </c>
      <c r="F58" s="1625">
        <f>IF('[1]BASE'!F58=0,"",'[1]BASE'!F58)</f>
        <v>150</v>
      </c>
      <c r="G58" s="1625" t="str">
        <f>IF('[2]BASE'!G58=0,"",'[2]BASE'!G58)</f>
        <v>A</v>
      </c>
      <c r="H58" s="1626">
        <f>IF('[1]BASE'!DY58=0,"",'[1]BASE'!DY58)</f>
      </c>
      <c r="I58" s="1626">
        <f>IF('[1]BASE'!DZ58=0,"",'[1]BASE'!DZ58)</f>
      </c>
      <c r="J58" s="1626">
        <f>IF('[1]BASE'!EA58=0,"",'[1]BASE'!EA58)</f>
      </c>
      <c r="K58" s="1626">
        <f>IF('[1]BASE'!EB58=0,"",'[1]BASE'!EB58)</f>
      </c>
      <c r="L58" s="1626">
        <f>IF('[1]BASE'!EC58=0,"",'[1]BASE'!EC58)</f>
      </c>
      <c r="M58" s="1626">
        <f>IF('[1]BASE'!ED58=0,"",'[1]BASE'!ED58)</f>
        <v>1</v>
      </c>
      <c r="N58" s="1626">
        <f>IF('[1]BASE'!EE58=0,"",'[1]BASE'!EE58)</f>
      </c>
      <c r="O58" s="1626">
        <f>IF('[1]BASE'!EF58=0,"",'[1]BASE'!EF58)</f>
      </c>
      <c r="P58" s="1626">
        <f>IF('[1]BASE'!EG58=0,"",'[1]BASE'!EG58)</f>
      </c>
      <c r="Q58" s="1626">
        <f>IF('[1]BASE'!EH58=0,"",'[1]BASE'!EH58)</f>
      </c>
      <c r="R58" s="1626">
        <f>IF('[1]BASE'!EI58=0,"",'[1]BASE'!EI58)</f>
      </c>
      <c r="S58" s="1626">
        <f>IF('[1]BASE'!EJ58=0,"",'[1]BASE'!EJ58)</f>
      </c>
      <c r="T58" s="1627"/>
      <c r="U58" s="1624"/>
    </row>
    <row r="59" spans="2:21" s="1618" customFormat="1" ht="19.5" customHeight="1">
      <c r="B59" s="1619"/>
      <c r="C59" s="1625">
        <f>IF('[1]BASE'!C59=0,"",'[1]BASE'!C59)</f>
        <v>43</v>
      </c>
      <c r="D59" s="1625" t="str">
        <f>IF('[1]BASE'!D59=0,"",'[1]BASE'!D59)</f>
        <v>LUJAN - GRAN MENDOZA</v>
      </c>
      <c r="E59" s="1625">
        <f>IF('[1]BASE'!E59=0,"",'[1]BASE'!E59)</f>
        <v>500</v>
      </c>
      <c r="F59" s="1625">
        <f>IF('[1]BASE'!F59=0,"",'[1]BASE'!F59)</f>
        <v>257</v>
      </c>
      <c r="G59" s="1625" t="str">
        <f>IF('[2]BASE'!G59=0,"",'[2]BASE'!G59)</f>
        <v>B</v>
      </c>
      <c r="H59" s="1626">
        <f>IF('[1]BASE'!DY59=0,"",'[1]BASE'!DY59)</f>
      </c>
      <c r="I59" s="1626">
        <f>IF('[1]BASE'!DZ59=0,"",'[1]BASE'!DZ59)</f>
      </c>
      <c r="J59" s="1626">
        <f>IF('[1]BASE'!EA59=0,"",'[1]BASE'!EA59)</f>
      </c>
      <c r="K59" s="1626">
        <f>IF('[1]BASE'!EB59=0,"",'[1]BASE'!EB59)</f>
      </c>
      <c r="L59" s="1626">
        <f>IF('[1]BASE'!EC59=0,"",'[1]BASE'!EC59)</f>
      </c>
      <c r="M59" s="1626">
        <f>IF('[1]BASE'!ED59=0,"",'[1]BASE'!ED59)</f>
        <v>1</v>
      </c>
      <c r="N59" s="1626">
        <f>IF('[1]BASE'!EE59=0,"",'[1]BASE'!EE59)</f>
      </c>
      <c r="O59" s="1626">
        <f>IF('[1]BASE'!EF59=0,"",'[1]BASE'!EF59)</f>
      </c>
      <c r="P59" s="1626">
        <f>IF('[1]BASE'!EG59=0,"",'[1]BASE'!EG59)</f>
      </c>
      <c r="Q59" s="1626">
        <f>IF('[1]BASE'!EH59=0,"",'[1]BASE'!EH59)</f>
      </c>
      <c r="R59" s="1626">
        <f>IF('[1]BASE'!EI59=0,"",'[1]BASE'!EI59)</f>
      </c>
      <c r="S59" s="1626">
        <f>IF('[1]BASE'!EJ59=0,"",'[1]BASE'!EJ59)</f>
      </c>
      <c r="T59" s="1627"/>
      <c r="U59" s="1624"/>
    </row>
    <row r="60" spans="2:21" s="1618" customFormat="1" ht="19.5" customHeight="1">
      <c r="B60" s="1619"/>
      <c r="C60" s="1625">
        <f>IF('[1]BASE'!C60=0,"",'[1]BASE'!C60)</f>
        <v>44</v>
      </c>
      <c r="D60" s="1625" t="str">
        <f>IF('[1]BASE'!D60=0,"",'[1]BASE'!D60)</f>
        <v>ROMANG - RESISTENCIA</v>
      </c>
      <c r="E60" s="1625">
        <f>IF('[1]BASE'!E60=0,"",'[1]BASE'!E60)</f>
        <v>500</v>
      </c>
      <c r="F60" s="1625">
        <f>IF('[1]BASE'!F60=0,"",'[1]BASE'!F60)</f>
        <v>256</v>
      </c>
      <c r="G60" s="1625" t="str">
        <f>IF('[2]BASE'!G60=0,"",'[2]BASE'!G60)</f>
        <v>A</v>
      </c>
      <c r="H60" s="1626">
        <f>IF('[1]BASE'!DY60=0,"",'[1]BASE'!DY60)</f>
      </c>
      <c r="I60" s="1626">
        <f>IF('[1]BASE'!DZ60=0,"",'[1]BASE'!DZ60)</f>
      </c>
      <c r="J60" s="1626">
        <f>IF('[1]BASE'!EA60=0,"",'[1]BASE'!EA60)</f>
      </c>
      <c r="K60" s="1626">
        <f>IF('[1]BASE'!EB60=0,"",'[1]BASE'!EB60)</f>
      </c>
      <c r="L60" s="1626">
        <f>IF('[1]BASE'!EC60=0,"",'[1]BASE'!EC60)</f>
      </c>
      <c r="M60" s="1626">
        <f>IF('[1]BASE'!ED60=0,"",'[1]BASE'!ED60)</f>
      </c>
      <c r="N60" s="1626">
        <f>IF('[1]BASE'!EE60=0,"",'[1]BASE'!EE60)</f>
        <v>1</v>
      </c>
      <c r="O60" s="1626">
        <f>IF('[1]BASE'!EF60=0,"",'[1]BASE'!EF60)</f>
      </c>
      <c r="P60" s="1626">
        <f>IF('[1]BASE'!EG60=0,"",'[1]BASE'!EG60)</f>
      </c>
      <c r="Q60" s="1626">
        <f>IF('[1]BASE'!EH60=0,"",'[1]BASE'!EH60)</f>
      </c>
      <c r="R60" s="1626">
        <f>IF('[1]BASE'!EI60=0,"",'[1]BASE'!EI60)</f>
      </c>
      <c r="S60" s="1626">
        <f>IF('[1]BASE'!EJ60=0,"",'[1]BASE'!EJ60)</f>
      </c>
      <c r="T60" s="1627"/>
      <c r="U60" s="1624"/>
    </row>
    <row r="61" spans="2:21" s="1618" customFormat="1" ht="19.5" customHeight="1">
      <c r="B61" s="1619"/>
      <c r="C61" s="1625">
        <f>IF('[1]BASE'!C61=0,"",'[1]BASE'!C61)</f>
        <v>45</v>
      </c>
      <c r="D61" s="1625" t="str">
        <f>IF('[1]BASE'!D61=0,"",'[1]BASE'!D61)</f>
        <v>ROSARIO OESTE -SANTO TOME</v>
      </c>
      <c r="E61" s="1625">
        <f>IF('[1]BASE'!E61=0,"",'[1]BASE'!E61)</f>
        <v>500</v>
      </c>
      <c r="F61" s="1625">
        <f>IF('[1]BASE'!F61=0,"",'[1]BASE'!F61)</f>
        <v>159</v>
      </c>
      <c r="G61" s="1625" t="str">
        <f>IF('[2]BASE'!G61=0,"",'[2]BASE'!G61)</f>
        <v>C</v>
      </c>
      <c r="H61" s="1626" t="str">
        <f>IF('[1]BASE'!DY61=0,"",'[1]BASE'!DY61)</f>
        <v>XXXX</v>
      </c>
      <c r="I61" s="1626" t="str">
        <f>IF('[1]BASE'!DZ61=0,"",'[1]BASE'!DZ61)</f>
        <v>XXXX</v>
      </c>
      <c r="J61" s="1626" t="str">
        <f>IF('[1]BASE'!EA61=0,"",'[1]BASE'!EA61)</f>
        <v>XXXX</v>
      </c>
      <c r="K61" s="1626" t="str">
        <f>IF('[1]BASE'!EB61=0,"",'[1]BASE'!EB61)</f>
        <v>XXXX</v>
      </c>
      <c r="L61" s="1626" t="str">
        <f>IF('[1]BASE'!EC61=0,"",'[1]BASE'!EC61)</f>
        <v>XXXX</v>
      </c>
      <c r="M61" s="1626" t="str">
        <f>IF('[1]BASE'!ED61=0,"",'[1]BASE'!ED61)</f>
        <v>XXXX</v>
      </c>
      <c r="N61" s="1626" t="str">
        <f>IF('[1]BASE'!EE61=0,"",'[1]BASE'!EE61)</f>
        <v>XXXX</v>
      </c>
      <c r="O61" s="1626" t="str">
        <f>IF('[1]BASE'!EF61=0,"",'[1]BASE'!EF61)</f>
        <v>XXXX</v>
      </c>
      <c r="P61" s="1626" t="str">
        <f>IF('[1]BASE'!EG61=0,"",'[1]BASE'!EG61)</f>
        <v>XXXX</v>
      </c>
      <c r="Q61" s="1626" t="str">
        <f>IF('[1]BASE'!EH61=0,"",'[1]BASE'!EH61)</f>
        <v>XXXX</v>
      </c>
      <c r="R61" s="1626" t="str">
        <f>IF('[1]BASE'!EI61=0,"",'[1]BASE'!EI61)</f>
        <v>XXXX</v>
      </c>
      <c r="S61" s="1626" t="str">
        <f>IF('[1]BASE'!EJ61=0,"",'[1]BASE'!EJ61)</f>
        <v>XXXX</v>
      </c>
      <c r="T61" s="1627"/>
      <c r="U61" s="1624"/>
    </row>
    <row r="62" spans="2:21" s="1618" customFormat="1" ht="19.5" customHeight="1">
      <c r="B62" s="1619"/>
      <c r="C62" s="1625">
        <f>IF('[1]BASE'!C62=0,"",'[1]BASE'!C62)</f>
      </c>
      <c r="D62" s="1625" t="str">
        <f>IF('[1]BASE'!D62=0,"",'[1]BASE'!D62)</f>
        <v>ROSARIO OESTE - RIO CORONDA</v>
      </c>
      <c r="E62" s="1625">
        <f>IF('[1]BASE'!E62=0,"",'[1]BASE'!E62)</f>
        <v>500</v>
      </c>
      <c r="F62" s="1625">
        <f>IF('[1]BASE'!F62=0,"",'[1]BASE'!F62)</f>
        <v>64.99</v>
      </c>
      <c r="G62" s="1625" t="str">
        <f>IF('[2]BASE'!G62=0,"",'[2]BASE'!G62)</f>
        <v>C</v>
      </c>
      <c r="H62" s="1626">
        <f>IF('[1]BASE'!DY62=0,"",'[1]BASE'!DY62)</f>
        <v>1</v>
      </c>
      <c r="I62" s="1626">
        <f>IF('[1]BASE'!DZ62=0,"",'[1]BASE'!DZ62)</f>
      </c>
      <c r="J62" s="1626">
        <f>IF('[1]BASE'!EA62=0,"",'[1]BASE'!EA62)</f>
      </c>
      <c r="K62" s="1626">
        <f>IF('[1]BASE'!EB62=0,"",'[1]BASE'!EB62)</f>
      </c>
      <c r="L62" s="1626">
        <f>IF('[1]BASE'!EC62=0,"",'[1]BASE'!EC62)</f>
      </c>
      <c r="M62" s="1626">
        <f>IF('[1]BASE'!ED62=0,"",'[1]BASE'!ED62)</f>
      </c>
      <c r="N62" s="1626">
        <f>IF('[1]BASE'!EE62=0,"",'[1]BASE'!EE62)</f>
      </c>
      <c r="O62" s="1626">
        <f>IF('[1]BASE'!EF62=0,"",'[1]BASE'!EF62)</f>
      </c>
      <c r="P62" s="1626">
        <f>IF('[1]BASE'!EG62=0,"",'[1]BASE'!EG62)</f>
      </c>
      <c r="Q62" s="1626">
        <f>IF('[1]BASE'!EH62=0,"",'[1]BASE'!EH62)</f>
      </c>
      <c r="R62" s="1626">
        <f>IF('[1]BASE'!EI62=0,"",'[1]BASE'!EI62)</f>
      </c>
      <c r="S62" s="1626">
        <f>IF('[1]BASE'!EJ62=0,"",'[1]BASE'!EJ62)</f>
      </c>
      <c r="T62" s="1627"/>
      <c r="U62" s="1624"/>
    </row>
    <row r="63" spans="2:21" s="1618" customFormat="1" ht="19.5" customHeight="1">
      <c r="B63" s="1619"/>
      <c r="C63" s="1625">
        <f>IF('[1]BASE'!C63=0,"",'[1]BASE'!C63)</f>
      </c>
      <c r="D63" s="1625" t="str">
        <f>IF('[1]BASE'!D63=0,"",'[1]BASE'!D63)</f>
        <v>RIO CORONDA - SANTO TOME</v>
      </c>
      <c r="E63" s="1625">
        <f>IF('[1]BASE'!E63=0,"",'[1]BASE'!E63)</f>
        <v>500</v>
      </c>
      <c r="F63" s="1625">
        <f>IF('[1]BASE'!F63=0,"",'[1]BASE'!F63)</f>
        <v>137.94</v>
      </c>
      <c r="G63" s="1625" t="str">
        <f>IF('[2]BASE'!G63=0,"",'[2]BASE'!G63)</f>
        <v>A</v>
      </c>
      <c r="H63" s="1626">
        <f>IF('[1]BASE'!DY63=0,"",'[1]BASE'!DY63)</f>
      </c>
      <c r="I63" s="1626">
        <f>IF('[1]BASE'!DZ63=0,"",'[1]BASE'!DZ63)</f>
      </c>
      <c r="J63" s="1626">
        <f>IF('[1]BASE'!EA63=0,"",'[1]BASE'!EA63)</f>
      </c>
      <c r="K63" s="1626">
        <f>IF('[1]BASE'!EB63=0,"",'[1]BASE'!EB63)</f>
      </c>
      <c r="L63" s="1626">
        <f>IF('[1]BASE'!EC63=0,"",'[1]BASE'!EC63)</f>
      </c>
      <c r="M63" s="1626">
        <f>IF('[1]BASE'!ED63=0,"",'[1]BASE'!ED63)</f>
      </c>
      <c r="N63" s="1626">
        <f>IF('[1]BASE'!EE63=0,"",'[1]BASE'!EE63)</f>
      </c>
      <c r="O63" s="1626">
        <f>IF('[1]BASE'!EF63=0,"",'[1]BASE'!EF63)</f>
      </c>
      <c r="P63" s="1626">
        <f>IF('[1]BASE'!EG63=0,"",'[1]BASE'!EG63)</f>
      </c>
      <c r="Q63" s="1626">
        <f>IF('[1]BASE'!EH63=0,"",'[1]BASE'!EH63)</f>
      </c>
      <c r="R63" s="1626">
        <f>IF('[1]BASE'!EI63=0,"",'[1]BASE'!EI63)</f>
      </c>
      <c r="S63" s="1626">
        <f>IF('[1]BASE'!EJ63=0,"",'[1]BASE'!EJ63)</f>
      </c>
      <c r="T63" s="1627"/>
      <c r="U63" s="1624"/>
    </row>
    <row r="64" spans="2:21" s="1618" customFormat="1" ht="19.5" customHeight="1">
      <c r="B64" s="1619"/>
      <c r="C64" s="1625">
        <f>IF('[1]BASE'!C64=0,"",'[1]BASE'!C64)</f>
        <v>46</v>
      </c>
      <c r="D64" s="1625" t="str">
        <f>IF('[1]BASE'!D64=0,"",'[1]BASE'!D64)</f>
        <v>SALTO GRANDE - SANTO TOME </v>
      </c>
      <c r="E64" s="1625">
        <f>IF('[1]BASE'!E64=0,"",'[1]BASE'!E64)</f>
        <v>500</v>
      </c>
      <c r="F64" s="1625">
        <f>IF('[1]BASE'!F64=0,"",'[1]BASE'!F64)</f>
        <v>289</v>
      </c>
      <c r="G64" s="1625" t="str">
        <f>IF('[2]BASE'!G64=0,"",'[2]BASE'!G64)</f>
        <v>C</v>
      </c>
      <c r="H64" s="1626">
        <f>IF('[1]BASE'!DY64=0,"",'[1]BASE'!DY64)</f>
      </c>
      <c r="I64" s="1626">
        <f>IF('[1]BASE'!DZ64=0,"",'[1]BASE'!DZ64)</f>
      </c>
      <c r="J64" s="1626">
        <f>IF('[1]BASE'!EA64=0,"",'[1]BASE'!EA64)</f>
      </c>
      <c r="K64" s="1626">
        <f>IF('[1]BASE'!EB64=0,"",'[1]BASE'!EB64)</f>
      </c>
      <c r="L64" s="1626">
        <f>IF('[1]BASE'!EC64=0,"",'[1]BASE'!EC64)</f>
      </c>
      <c r="M64" s="1626">
        <f>IF('[1]BASE'!ED64=0,"",'[1]BASE'!ED64)</f>
      </c>
      <c r="N64" s="1626">
        <f>IF('[1]BASE'!EE64=0,"",'[1]BASE'!EE64)</f>
      </c>
      <c r="O64" s="1626">
        <f>IF('[1]BASE'!EF64=0,"",'[1]BASE'!EF64)</f>
      </c>
      <c r="P64" s="1626">
        <f>IF('[1]BASE'!EG64=0,"",'[1]BASE'!EG64)</f>
      </c>
      <c r="Q64" s="1626">
        <f>IF('[1]BASE'!EH64=0,"",'[1]BASE'!EH64)</f>
      </c>
      <c r="R64" s="1626">
        <f>IF('[1]BASE'!EI64=0,"",'[1]BASE'!EI64)</f>
      </c>
      <c r="S64" s="1626">
        <f>IF('[1]BASE'!EJ64=0,"",'[1]BASE'!EJ64)</f>
      </c>
      <c r="T64" s="1627"/>
      <c r="U64" s="1624"/>
    </row>
    <row r="65" spans="2:21" s="1618" customFormat="1" ht="19.5" customHeight="1">
      <c r="B65" s="1619"/>
      <c r="C65" s="1625">
        <f>IF('[1]BASE'!C65=0,"",'[1]BASE'!C65)</f>
        <v>47</v>
      </c>
      <c r="D65" s="1625" t="str">
        <f>IF('[1]BASE'!D65=0,"",'[1]BASE'!D65)</f>
        <v>SANTO TOME - ROMANG </v>
      </c>
      <c r="E65" s="1625">
        <f>IF('[1]BASE'!E65=0,"",'[1]BASE'!E65)</f>
        <v>500</v>
      </c>
      <c r="F65" s="1625">
        <f>IF('[1]BASE'!F65=0,"",'[1]BASE'!F65)</f>
        <v>270</v>
      </c>
      <c r="G65" s="1625" t="str">
        <f>IF('[2]BASE'!G65=0,"",'[2]BASE'!G65)</f>
        <v>C</v>
      </c>
      <c r="H65" s="1626">
        <f>IF('[1]BASE'!DY65=0,"",'[1]BASE'!DY65)</f>
      </c>
      <c r="I65" s="1626">
        <f>IF('[1]BASE'!DZ65=0,"",'[1]BASE'!DZ65)</f>
      </c>
      <c r="J65" s="1626">
        <f>IF('[1]BASE'!EA65=0,"",'[1]BASE'!EA65)</f>
      </c>
      <c r="K65" s="1626">
        <f>IF('[1]BASE'!EB65=0,"",'[1]BASE'!EB65)</f>
      </c>
      <c r="L65" s="1626">
        <f>IF('[1]BASE'!EC65=0,"",'[1]BASE'!EC65)</f>
      </c>
      <c r="M65" s="1626">
        <f>IF('[1]BASE'!ED65=0,"",'[1]BASE'!ED65)</f>
      </c>
      <c r="N65" s="1626">
        <f>IF('[1]BASE'!EE65=0,"",'[1]BASE'!EE65)</f>
      </c>
      <c r="O65" s="1626">
        <f>IF('[1]BASE'!EF65=0,"",'[1]BASE'!EF65)</f>
      </c>
      <c r="P65" s="1626">
        <f>IF('[1]BASE'!EG65=0,"",'[1]BASE'!EG65)</f>
      </c>
      <c r="Q65" s="1626">
        <f>IF('[1]BASE'!EH65=0,"",'[1]BASE'!EH65)</f>
      </c>
      <c r="R65" s="1626">
        <f>IF('[1]BASE'!EI65=0,"",'[1]BASE'!EI65)</f>
      </c>
      <c r="S65" s="1626">
        <f>IF('[1]BASE'!EJ65=0,"",'[1]BASE'!EJ65)</f>
      </c>
      <c r="T65" s="1627"/>
      <c r="U65" s="1624"/>
    </row>
    <row r="66" spans="2:21" s="1618" customFormat="1" ht="19.5" customHeight="1">
      <c r="B66" s="1619"/>
      <c r="C66" s="1625">
        <f>IF('[1]BASE'!C66=0,"",'[1]BASE'!C66)</f>
      </c>
      <c r="D66" s="1625">
        <f>IF('[1]BASE'!D66=0,"",'[1]BASE'!D66)</f>
      </c>
      <c r="E66" s="1625">
        <f>IF('[1]BASE'!E66=0,"",'[1]BASE'!E66)</f>
      </c>
      <c r="F66" s="1625">
        <f>IF('[1]BASE'!F66=0,"",'[1]BASE'!F66)</f>
      </c>
      <c r="G66" s="1625" t="str">
        <f>IF('[2]BASE'!G66=0,"",'[2]BASE'!G66)</f>
        <v>C</v>
      </c>
      <c r="H66" s="1626">
        <f>IF('[1]BASE'!DY66=0,"",'[1]BASE'!DY66)</f>
      </c>
      <c r="I66" s="1626">
        <f>IF('[1]BASE'!DZ66=0,"",'[1]BASE'!DZ66)</f>
      </c>
      <c r="J66" s="1626">
        <f>IF('[1]BASE'!EA66=0,"",'[1]BASE'!EA66)</f>
      </c>
      <c r="K66" s="1626">
        <f>IF('[1]BASE'!EB66=0,"",'[1]BASE'!EB66)</f>
      </c>
      <c r="L66" s="1626">
        <f>IF('[1]BASE'!EC66=0,"",'[1]BASE'!EC66)</f>
      </c>
      <c r="M66" s="1626">
        <f>IF('[1]BASE'!ED66=0,"",'[1]BASE'!ED66)</f>
      </c>
      <c r="N66" s="1626">
        <f>IF('[1]BASE'!EE66=0,"",'[1]BASE'!EE66)</f>
      </c>
      <c r="O66" s="1626">
        <f>IF('[1]BASE'!EF66=0,"",'[1]BASE'!EF66)</f>
      </c>
      <c r="P66" s="1626">
        <f>IF('[1]BASE'!EG66=0,"",'[1]BASE'!EG66)</f>
      </c>
      <c r="Q66" s="1626">
        <f>IF('[1]BASE'!EH66=0,"",'[1]BASE'!EH66)</f>
      </c>
      <c r="R66" s="1626">
        <f>IF('[1]BASE'!EI66=0,"",'[1]BASE'!EI66)</f>
      </c>
      <c r="S66" s="1626">
        <f>IF('[1]BASE'!EJ66=0,"",'[1]BASE'!EJ66)</f>
      </c>
      <c r="T66" s="1627"/>
      <c r="U66" s="1624"/>
    </row>
    <row r="67" spans="2:21" s="1618" customFormat="1" ht="19.5" customHeight="1">
      <c r="B67" s="1619"/>
      <c r="C67" s="1625">
        <f>IF('[1]BASE'!C67=0,"",'[1]BASE'!C67)</f>
        <v>48</v>
      </c>
      <c r="D67" s="1625" t="str">
        <f>IF('[1]BASE'!D67=0,"",'[1]BASE'!D67)</f>
        <v>GRAL. RODRIGUEZ - VILLA  LIA 1</v>
      </c>
      <c r="E67" s="1625">
        <f>IF('[1]BASE'!E67=0,"",'[1]BASE'!E67)</f>
        <v>220</v>
      </c>
      <c r="F67" s="1625">
        <f>IF('[1]BASE'!F67=0,"",'[1]BASE'!F67)</f>
        <v>61</v>
      </c>
      <c r="G67" s="1625" t="str">
        <f>IF('[2]BASE'!G67=0,"",'[2]BASE'!G67)</f>
        <v>C</v>
      </c>
      <c r="H67" s="1626">
        <f>IF('[1]BASE'!DY67=0,"",'[1]BASE'!DY67)</f>
      </c>
      <c r="I67" s="1626">
        <f>IF('[1]BASE'!DZ67=0,"",'[1]BASE'!DZ67)</f>
      </c>
      <c r="J67" s="1626">
        <f>IF('[1]BASE'!EA67=0,"",'[1]BASE'!EA67)</f>
      </c>
      <c r="K67" s="1626">
        <f>IF('[1]BASE'!EB67=0,"",'[1]BASE'!EB67)</f>
      </c>
      <c r="L67" s="1626">
        <f>IF('[1]BASE'!EC67=0,"",'[1]BASE'!EC67)</f>
      </c>
      <c r="M67" s="1626">
        <f>IF('[1]BASE'!ED67=0,"",'[1]BASE'!ED67)</f>
      </c>
      <c r="N67" s="1626">
        <f>IF('[1]BASE'!EE67=0,"",'[1]BASE'!EE67)</f>
      </c>
      <c r="O67" s="1626">
        <f>IF('[1]BASE'!EF67=0,"",'[1]BASE'!EF67)</f>
      </c>
      <c r="P67" s="1626">
        <f>IF('[1]BASE'!EG67=0,"",'[1]BASE'!EG67)</f>
      </c>
      <c r="Q67" s="1626">
        <f>IF('[1]BASE'!EH67=0,"",'[1]BASE'!EH67)</f>
        <v>1</v>
      </c>
      <c r="R67" s="1626">
        <f>IF('[1]BASE'!EI67=0,"",'[1]BASE'!EI67)</f>
        <v>1</v>
      </c>
      <c r="S67" s="1626">
        <f>IF('[1]BASE'!EJ67=0,"",'[1]BASE'!EJ67)</f>
      </c>
      <c r="T67" s="1627"/>
      <c r="U67" s="1624"/>
    </row>
    <row r="68" spans="2:21" s="1618" customFormat="1" ht="19.5" customHeight="1">
      <c r="B68" s="1619"/>
      <c r="C68" s="1625">
        <f>IF('[1]BASE'!C68=0,"",'[1]BASE'!C68)</f>
        <v>49</v>
      </c>
      <c r="D68" s="1625" t="str">
        <f>IF('[1]BASE'!D68=0,"",'[1]BASE'!D68)</f>
        <v>GRAL. RODRIGUEZ - VILLA  LIA 2</v>
      </c>
      <c r="E68" s="1625">
        <f>IF('[1]BASE'!E68=0,"",'[1]BASE'!E68)</f>
        <v>220</v>
      </c>
      <c r="F68" s="1625">
        <f>IF('[1]BASE'!F68=0,"",'[1]BASE'!F68)</f>
        <v>61</v>
      </c>
      <c r="G68" s="1625" t="str">
        <f>IF('[2]BASE'!G68=0,"",'[2]BASE'!G68)</f>
        <v>C</v>
      </c>
      <c r="H68" s="1626">
        <f>IF('[1]BASE'!DY68=0,"",'[1]BASE'!DY68)</f>
      </c>
      <c r="I68" s="1626">
        <f>IF('[1]BASE'!DZ68=0,"",'[1]BASE'!DZ68)</f>
      </c>
      <c r="J68" s="1626">
        <f>IF('[1]BASE'!EA68=0,"",'[1]BASE'!EA68)</f>
      </c>
      <c r="K68" s="1626">
        <f>IF('[1]BASE'!EB68=0,"",'[1]BASE'!EB68)</f>
      </c>
      <c r="L68" s="1626">
        <f>IF('[1]BASE'!EC68=0,"",'[1]BASE'!EC68)</f>
      </c>
      <c r="M68" s="1626">
        <f>IF('[1]BASE'!ED68=0,"",'[1]BASE'!ED68)</f>
      </c>
      <c r="N68" s="1626">
        <f>IF('[1]BASE'!EE68=0,"",'[1]BASE'!EE68)</f>
      </c>
      <c r="O68" s="1626">
        <f>IF('[1]BASE'!EF68=0,"",'[1]BASE'!EF68)</f>
      </c>
      <c r="P68" s="1626">
        <f>IF('[1]BASE'!EG68=0,"",'[1]BASE'!EG68)</f>
      </c>
      <c r="Q68" s="1626">
        <f>IF('[1]BASE'!EH68=0,"",'[1]BASE'!EH68)</f>
        <v>1</v>
      </c>
      <c r="R68" s="1626">
        <f>IF('[1]BASE'!EI68=0,"",'[1]BASE'!EI68)</f>
      </c>
      <c r="S68" s="1626">
        <f>IF('[1]BASE'!EJ68=0,"",'[1]BASE'!EJ68)</f>
      </c>
      <c r="T68" s="1627"/>
      <c r="U68" s="1624"/>
    </row>
    <row r="69" spans="2:21" s="1618" customFormat="1" ht="19.5" customHeight="1">
      <c r="B69" s="1619"/>
      <c r="C69" s="1625">
        <f>IF('[1]BASE'!C69=0,"",'[1]BASE'!C69)</f>
        <v>50</v>
      </c>
      <c r="D69" s="1625" t="str">
        <f>IF('[1]BASE'!D69=0,"",'[1]BASE'!D69)</f>
        <v>RAMALLO - SAN NICOLAS (2)</v>
      </c>
      <c r="E69" s="1625">
        <f>IF('[1]BASE'!E69=0,"",'[1]BASE'!E69)</f>
        <v>220</v>
      </c>
      <c r="F69" s="1625">
        <f>IF('[1]BASE'!F69=0,"",'[1]BASE'!F69)</f>
        <v>6</v>
      </c>
      <c r="G69" s="1625" t="str">
        <f>IF('[2]BASE'!G69=0,"",'[2]BASE'!G69)</f>
        <v>C</v>
      </c>
      <c r="H69" s="1626">
        <f>IF('[1]BASE'!DY69=0,"",'[1]BASE'!DY69)</f>
      </c>
      <c r="I69" s="1626">
        <f>IF('[1]BASE'!DZ69=0,"",'[1]BASE'!DZ69)</f>
      </c>
      <c r="J69" s="1626">
        <f>IF('[1]BASE'!EA69=0,"",'[1]BASE'!EA69)</f>
      </c>
      <c r="K69" s="1626">
        <f>IF('[1]BASE'!EB69=0,"",'[1]BASE'!EB69)</f>
      </c>
      <c r="L69" s="1626">
        <f>IF('[1]BASE'!EC69=0,"",'[1]BASE'!EC69)</f>
      </c>
      <c r="M69" s="1626">
        <f>IF('[1]BASE'!ED69=0,"",'[1]BASE'!ED69)</f>
      </c>
      <c r="N69" s="1626">
        <f>IF('[1]BASE'!EE69=0,"",'[1]BASE'!EE69)</f>
      </c>
      <c r="O69" s="1626">
        <f>IF('[1]BASE'!EF69=0,"",'[1]BASE'!EF69)</f>
      </c>
      <c r="P69" s="1626">
        <f>IF('[1]BASE'!EG69=0,"",'[1]BASE'!EG69)</f>
      </c>
      <c r="Q69" s="1626">
        <f>IF('[1]BASE'!EH69=0,"",'[1]BASE'!EH69)</f>
      </c>
      <c r="R69" s="1626">
        <f>IF('[1]BASE'!EI69=0,"",'[1]BASE'!EI69)</f>
      </c>
      <c r="S69" s="1626">
        <f>IF('[1]BASE'!EJ69=0,"",'[1]BASE'!EJ69)</f>
      </c>
      <c r="T69" s="1627"/>
      <c r="U69" s="1624"/>
    </row>
    <row r="70" spans="2:21" s="1618" customFormat="1" ht="19.5" customHeight="1">
      <c r="B70" s="1619"/>
      <c r="C70" s="1625">
        <f>IF('[1]BASE'!C70=0,"",'[1]BASE'!C70)</f>
        <v>51</v>
      </c>
      <c r="D70" s="1625" t="str">
        <f>IF('[1]BASE'!D70=0,"",'[1]BASE'!D70)</f>
        <v>RAMALLO - SAN NICOLAS (1)</v>
      </c>
      <c r="E70" s="1625">
        <f>IF('[1]BASE'!E70=0,"",'[1]BASE'!E70)</f>
        <v>220</v>
      </c>
      <c r="F70" s="1625">
        <f>IF('[1]BASE'!F70=0,"",'[1]BASE'!F70)</f>
        <v>6</v>
      </c>
      <c r="G70" s="1625" t="str">
        <f>IF('[2]BASE'!G70=0,"",'[2]BASE'!G70)</f>
        <v>C</v>
      </c>
      <c r="H70" s="1626">
        <f>IF('[1]BASE'!DY70=0,"",'[1]BASE'!DY70)</f>
      </c>
      <c r="I70" s="1626">
        <f>IF('[1]BASE'!DZ70=0,"",'[1]BASE'!DZ70)</f>
      </c>
      <c r="J70" s="1626">
        <f>IF('[1]BASE'!EA70=0,"",'[1]BASE'!EA70)</f>
      </c>
      <c r="K70" s="1626">
        <f>IF('[1]BASE'!EB70=0,"",'[1]BASE'!EB70)</f>
      </c>
      <c r="L70" s="1626">
        <f>IF('[1]BASE'!EC70=0,"",'[1]BASE'!EC70)</f>
      </c>
      <c r="M70" s="1626">
        <f>IF('[1]BASE'!ED70=0,"",'[1]BASE'!ED70)</f>
      </c>
      <c r="N70" s="1626">
        <f>IF('[1]BASE'!EE70=0,"",'[1]BASE'!EE70)</f>
      </c>
      <c r="O70" s="1626">
        <f>IF('[1]BASE'!EF70=0,"",'[1]BASE'!EF70)</f>
      </c>
      <c r="P70" s="1626">
        <f>IF('[1]BASE'!EG70=0,"",'[1]BASE'!EG70)</f>
      </c>
      <c r="Q70" s="1626">
        <f>IF('[1]BASE'!EH70=0,"",'[1]BASE'!EH70)</f>
      </c>
      <c r="R70" s="1626">
        <f>IF('[1]BASE'!EI70=0,"",'[1]BASE'!EI70)</f>
      </c>
      <c r="S70" s="1626">
        <f>IF('[1]BASE'!EJ70=0,"",'[1]BASE'!EJ70)</f>
      </c>
      <c r="T70" s="1627"/>
      <c r="U70" s="1624"/>
    </row>
    <row r="71" spans="2:21" s="1618" customFormat="1" ht="19.5" customHeight="1">
      <c r="B71" s="1619"/>
      <c r="C71" s="1625">
        <f>IF('[1]BASE'!C71=0,"",'[1]BASE'!C71)</f>
        <v>52</v>
      </c>
      <c r="D71" s="1625" t="str">
        <f>IF('[1]BASE'!D71=0,"",'[1]BASE'!D71)</f>
        <v>RAMALLO - VILLA LIA  1</v>
      </c>
      <c r="E71" s="1625">
        <f>IF('[1]BASE'!E71=0,"",'[1]BASE'!E71)</f>
        <v>220</v>
      </c>
      <c r="F71" s="1625">
        <f>IF('[1]BASE'!F71=0,"",'[1]BASE'!F71)</f>
        <v>114</v>
      </c>
      <c r="G71" s="1625" t="str">
        <f>IF('[2]BASE'!G71=0,"",'[2]BASE'!G71)</f>
        <v>C</v>
      </c>
      <c r="H71" s="1626">
        <f>IF('[1]BASE'!DY71=0,"",'[1]BASE'!DY71)</f>
        <v>1</v>
      </c>
      <c r="I71" s="1626">
        <f>IF('[1]BASE'!DZ71=0,"",'[1]BASE'!DZ71)</f>
      </c>
      <c r="J71" s="1626">
        <f>IF('[1]BASE'!EA71=0,"",'[1]BASE'!EA71)</f>
      </c>
      <c r="K71" s="1626">
        <f>IF('[1]BASE'!EB71=0,"",'[1]BASE'!EB71)</f>
      </c>
      <c r="L71" s="1626">
        <f>IF('[1]BASE'!EC71=0,"",'[1]BASE'!EC71)</f>
      </c>
      <c r="M71" s="1626">
        <f>IF('[1]BASE'!ED71=0,"",'[1]BASE'!ED71)</f>
        <v>1</v>
      </c>
      <c r="N71" s="1626">
        <f>IF('[1]BASE'!EE71=0,"",'[1]BASE'!EE71)</f>
      </c>
      <c r="O71" s="1626">
        <f>IF('[1]BASE'!EF71=0,"",'[1]BASE'!EF71)</f>
      </c>
      <c r="P71" s="1626">
        <f>IF('[1]BASE'!EG71=0,"",'[1]BASE'!EG71)</f>
      </c>
      <c r="Q71" s="1626">
        <f>IF('[1]BASE'!EH71=0,"",'[1]BASE'!EH71)</f>
      </c>
      <c r="R71" s="1626">
        <f>IF('[1]BASE'!EI71=0,"",'[1]BASE'!EI71)</f>
        <v>2</v>
      </c>
      <c r="S71" s="1626">
        <f>IF('[1]BASE'!EJ71=0,"",'[1]BASE'!EJ71)</f>
      </c>
      <c r="T71" s="1627"/>
      <c r="U71" s="1624"/>
    </row>
    <row r="72" spans="2:21" s="1618" customFormat="1" ht="19.5" customHeight="1">
      <c r="B72" s="1619"/>
      <c r="C72" s="1625">
        <f>IF('[1]BASE'!C72=0,"",'[1]BASE'!C72)</f>
        <v>53</v>
      </c>
      <c r="D72" s="1625" t="str">
        <f>IF('[1]BASE'!D72=0,"",'[1]BASE'!D72)</f>
        <v>RAMALLO - VILLA LIA  2</v>
      </c>
      <c r="E72" s="1625">
        <f>IF('[1]BASE'!E72=0,"",'[1]BASE'!E72)</f>
        <v>220</v>
      </c>
      <c r="F72" s="1625">
        <f>IF('[1]BASE'!F72=0,"",'[1]BASE'!F72)</f>
        <v>114</v>
      </c>
      <c r="G72" s="1625" t="str">
        <f>IF('[2]BASE'!G72=0,"",'[2]BASE'!G72)</f>
        <v>C</v>
      </c>
      <c r="H72" s="1626">
        <f>IF('[1]BASE'!DY72=0,"",'[1]BASE'!DY72)</f>
      </c>
      <c r="I72" s="1626">
        <f>IF('[1]BASE'!DZ72=0,"",'[1]BASE'!DZ72)</f>
      </c>
      <c r="J72" s="1626">
        <f>IF('[1]BASE'!EA72=0,"",'[1]BASE'!EA72)</f>
      </c>
      <c r="K72" s="1626">
        <f>IF('[1]BASE'!EB72=0,"",'[1]BASE'!EB72)</f>
      </c>
      <c r="L72" s="1626">
        <f>IF('[1]BASE'!EC72=0,"",'[1]BASE'!EC72)</f>
      </c>
      <c r="M72" s="1626">
        <f>IF('[1]BASE'!ED72=0,"",'[1]BASE'!ED72)</f>
      </c>
      <c r="N72" s="1626">
        <f>IF('[1]BASE'!EE72=0,"",'[1]BASE'!EE72)</f>
      </c>
      <c r="O72" s="1626">
        <f>IF('[1]BASE'!EF72=0,"",'[1]BASE'!EF72)</f>
      </c>
      <c r="P72" s="1626">
        <f>IF('[1]BASE'!EG72=0,"",'[1]BASE'!EG72)</f>
      </c>
      <c r="Q72" s="1626">
        <f>IF('[1]BASE'!EH72=0,"",'[1]BASE'!EH72)</f>
      </c>
      <c r="R72" s="1626">
        <f>IF('[1]BASE'!EI72=0,"",'[1]BASE'!EI72)</f>
      </c>
      <c r="S72" s="1626">
        <f>IF('[1]BASE'!EJ72=0,"",'[1]BASE'!EJ72)</f>
      </c>
      <c r="T72" s="1627"/>
      <c r="U72" s="1624"/>
    </row>
    <row r="73" spans="2:21" s="1618" customFormat="1" ht="19.5" customHeight="1">
      <c r="B73" s="1619"/>
      <c r="C73" s="1625">
        <f>IF('[1]BASE'!C73=0,"",'[1]BASE'!C73)</f>
        <v>54</v>
      </c>
      <c r="D73" s="1625" t="str">
        <f>IF('[1]BASE'!D73=0,"",'[1]BASE'!D73)</f>
        <v>ROSARIO OESTE - RAMALLO  1</v>
      </c>
      <c r="E73" s="1625">
        <f>IF('[1]BASE'!E73=0,"",'[1]BASE'!E73)</f>
        <v>220</v>
      </c>
      <c r="F73" s="1625">
        <f>IF('[1]BASE'!F73=0,"",'[1]BASE'!F73)</f>
        <v>77</v>
      </c>
      <c r="G73" s="1625" t="str">
        <f>IF('[2]BASE'!G73=0,"",'[2]BASE'!G73)</f>
        <v>C</v>
      </c>
      <c r="H73" s="1626">
        <f>IF('[1]BASE'!DY73=0,"",'[1]BASE'!DY73)</f>
      </c>
      <c r="I73" s="1626">
        <f>IF('[1]BASE'!DZ73=0,"",'[1]BASE'!DZ73)</f>
      </c>
      <c r="J73" s="1626">
        <f>IF('[1]BASE'!EA73=0,"",'[1]BASE'!EA73)</f>
      </c>
      <c r="K73" s="1626">
        <f>IF('[1]BASE'!EB73=0,"",'[1]BASE'!EB73)</f>
      </c>
      <c r="L73" s="1626">
        <f>IF('[1]BASE'!EC73=0,"",'[1]BASE'!EC73)</f>
      </c>
      <c r="M73" s="1626">
        <f>IF('[1]BASE'!ED73=0,"",'[1]BASE'!ED73)</f>
        <v>1</v>
      </c>
      <c r="N73" s="1626">
        <f>IF('[1]BASE'!EE73=0,"",'[1]BASE'!EE73)</f>
      </c>
      <c r="O73" s="1626">
        <f>IF('[1]BASE'!EF73=0,"",'[1]BASE'!EF73)</f>
        <v>1</v>
      </c>
      <c r="P73" s="1626">
        <f>IF('[1]BASE'!EG73=0,"",'[1]BASE'!EG73)</f>
      </c>
      <c r="Q73" s="1626">
        <f>IF('[1]BASE'!EH73=0,"",'[1]BASE'!EH73)</f>
      </c>
      <c r="R73" s="1626">
        <f>IF('[1]BASE'!EI73=0,"",'[1]BASE'!EI73)</f>
      </c>
      <c r="S73" s="1626">
        <f>IF('[1]BASE'!EJ73=0,"",'[1]BASE'!EJ73)</f>
      </c>
      <c r="T73" s="1627"/>
      <c r="U73" s="1624"/>
    </row>
    <row r="74" spans="2:21" s="1618" customFormat="1" ht="19.5" customHeight="1">
      <c r="B74" s="1619"/>
      <c r="C74" s="1625">
        <f>IF('[1]BASE'!C74=0,"",'[1]BASE'!C74)</f>
        <v>55</v>
      </c>
      <c r="D74" s="1625" t="str">
        <f>IF('[1]BASE'!D74=0,"",'[1]BASE'!D74)</f>
        <v>ROSARIO OESTE - RAMALLO  2</v>
      </c>
      <c r="E74" s="1625">
        <f>IF('[1]BASE'!E74=0,"",'[1]BASE'!E74)</f>
        <v>220</v>
      </c>
      <c r="F74" s="1625">
        <f>IF('[1]BASE'!F74=0,"",'[1]BASE'!F74)</f>
        <v>77</v>
      </c>
      <c r="G74" s="1625" t="str">
        <f>IF('[2]BASE'!G74=0,"",'[2]BASE'!G74)</f>
        <v>C</v>
      </c>
      <c r="H74" s="1626">
        <f>IF('[1]BASE'!DY74=0,"",'[1]BASE'!DY74)</f>
      </c>
      <c r="I74" s="1626">
        <f>IF('[1]BASE'!DZ74=0,"",'[1]BASE'!DZ74)</f>
      </c>
      <c r="J74" s="1626">
        <f>IF('[1]BASE'!EA74=0,"",'[1]BASE'!EA74)</f>
      </c>
      <c r="K74" s="1626">
        <f>IF('[1]BASE'!EB74=0,"",'[1]BASE'!EB74)</f>
      </c>
      <c r="L74" s="1626">
        <f>IF('[1]BASE'!EC74=0,"",'[1]BASE'!EC74)</f>
      </c>
      <c r="M74" s="1626">
        <f>IF('[1]BASE'!ED74=0,"",'[1]BASE'!ED74)</f>
      </c>
      <c r="N74" s="1626">
        <f>IF('[1]BASE'!EE74=0,"",'[1]BASE'!EE74)</f>
      </c>
      <c r="O74" s="1626">
        <f>IF('[1]BASE'!EF74=0,"",'[1]BASE'!EF74)</f>
      </c>
      <c r="P74" s="1626">
        <f>IF('[1]BASE'!EG74=0,"",'[1]BASE'!EG74)</f>
      </c>
      <c r="Q74" s="1626">
        <f>IF('[1]BASE'!EH74=0,"",'[1]BASE'!EH74)</f>
      </c>
      <c r="R74" s="1626">
        <f>IF('[1]BASE'!EI74=0,"",'[1]BASE'!EI74)</f>
      </c>
      <c r="S74" s="1626">
        <f>IF('[1]BASE'!EJ74=0,"",'[1]BASE'!EJ74)</f>
      </c>
      <c r="T74" s="1627"/>
      <c r="U74" s="1624"/>
    </row>
    <row r="75" spans="2:21" s="1618" customFormat="1" ht="19.5" customHeight="1">
      <c r="B75" s="1619"/>
      <c r="C75" s="1625">
        <f>IF('[1]BASE'!C75=0,"",'[1]BASE'!C75)</f>
        <v>56</v>
      </c>
      <c r="D75" s="1625" t="str">
        <f>IF('[1]BASE'!D75=0,"",'[1]BASE'!D75)</f>
        <v>VILLA LIA - ATUCHA 1</v>
      </c>
      <c r="E75" s="1625">
        <f>IF('[1]BASE'!E75=0,"",'[1]BASE'!E75)</f>
        <v>220</v>
      </c>
      <c r="F75" s="1625">
        <f>IF('[1]BASE'!F75=0,"",'[1]BASE'!F75)</f>
        <v>26</v>
      </c>
      <c r="G75" s="1625" t="str">
        <f>IF('[2]BASE'!G75=0,"",'[2]BASE'!G75)</f>
        <v>C</v>
      </c>
      <c r="H75" s="1626">
        <f>IF('[1]BASE'!DY75=0,"",'[1]BASE'!DY75)</f>
      </c>
      <c r="I75" s="1626">
        <f>IF('[1]BASE'!DZ75=0,"",'[1]BASE'!DZ75)</f>
      </c>
      <c r="J75" s="1626">
        <f>IF('[1]BASE'!EA75=0,"",'[1]BASE'!EA75)</f>
      </c>
      <c r="K75" s="1626">
        <f>IF('[1]BASE'!EB75=0,"",'[1]BASE'!EB75)</f>
      </c>
      <c r="L75" s="1626">
        <f>IF('[1]BASE'!EC75=0,"",'[1]BASE'!EC75)</f>
      </c>
      <c r="M75" s="1626">
        <f>IF('[1]BASE'!ED75=0,"",'[1]BASE'!ED75)</f>
      </c>
      <c r="N75" s="1626">
        <f>IF('[1]BASE'!EE75=0,"",'[1]BASE'!EE75)</f>
      </c>
      <c r="O75" s="1626">
        <f>IF('[1]BASE'!EF75=0,"",'[1]BASE'!EF75)</f>
      </c>
      <c r="P75" s="1626">
        <f>IF('[1]BASE'!EG75=0,"",'[1]BASE'!EG75)</f>
      </c>
      <c r="Q75" s="1626">
        <f>IF('[1]BASE'!EH75=0,"",'[1]BASE'!EH75)</f>
      </c>
      <c r="R75" s="1626">
        <f>IF('[1]BASE'!EI75=0,"",'[1]BASE'!EI75)</f>
        <v>1</v>
      </c>
      <c r="S75" s="1626">
        <f>IF('[1]BASE'!EJ75=0,"",'[1]BASE'!EJ75)</f>
      </c>
      <c r="T75" s="1627"/>
      <c r="U75" s="1624"/>
    </row>
    <row r="76" spans="2:21" s="1618" customFormat="1" ht="19.5" customHeight="1">
      <c r="B76" s="1619"/>
      <c r="C76" s="1625">
        <f>IF('[1]BASE'!C76=0,"",'[1]BASE'!C76)</f>
        <v>57</v>
      </c>
      <c r="D76" s="1625" t="str">
        <f>IF('[1]BASE'!D76=0,"",'[1]BASE'!D76)</f>
        <v>VILLA LIA - ATUCHA 2</v>
      </c>
      <c r="E76" s="1625">
        <f>IF('[1]BASE'!E76=0,"",'[1]BASE'!E76)</f>
        <v>220</v>
      </c>
      <c r="F76" s="1625">
        <f>IF('[1]BASE'!F76=0,"",'[1]BASE'!F76)</f>
        <v>26</v>
      </c>
      <c r="G76" s="1625" t="str">
        <f>IF('[2]BASE'!G76=0,"",'[2]BASE'!G76)</f>
        <v>C</v>
      </c>
      <c r="H76" s="1626">
        <f>IF('[1]BASE'!DY76=0,"",'[1]BASE'!DY76)</f>
      </c>
      <c r="I76" s="1626">
        <f>IF('[1]BASE'!DZ76=0,"",'[1]BASE'!DZ76)</f>
      </c>
      <c r="J76" s="1626">
        <f>IF('[1]BASE'!EA76=0,"",'[1]BASE'!EA76)</f>
      </c>
      <c r="K76" s="1626">
        <f>IF('[1]BASE'!EB76=0,"",'[1]BASE'!EB76)</f>
      </c>
      <c r="L76" s="1626">
        <f>IF('[1]BASE'!EC76=0,"",'[1]BASE'!EC76)</f>
      </c>
      <c r="M76" s="1626">
        <f>IF('[1]BASE'!ED76=0,"",'[1]BASE'!ED76)</f>
      </c>
      <c r="N76" s="1626">
        <f>IF('[1]BASE'!EE76=0,"",'[1]BASE'!EE76)</f>
      </c>
      <c r="O76" s="1626">
        <f>IF('[1]BASE'!EF76=0,"",'[1]BASE'!EF76)</f>
      </c>
      <c r="P76" s="1626">
        <f>IF('[1]BASE'!EG76=0,"",'[1]BASE'!EG76)</f>
      </c>
      <c r="Q76" s="1626">
        <f>IF('[1]BASE'!EH76=0,"",'[1]BASE'!EH76)</f>
      </c>
      <c r="R76" s="1626">
        <f>IF('[1]BASE'!EI76=0,"",'[1]BASE'!EI76)</f>
      </c>
      <c r="S76" s="1626">
        <f>IF('[1]BASE'!EJ76=0,"",'[1]BASE'!EJ76)</f>
      </c>
      <c r="T76" s="1627"/>
      <c r="U76" s="1624"/>
    </row>
    <row r="77" spans="2:21" s="1618" customFormat="1" ht="19.5" customHeight="1">
      <c r="B77" s="1619"/>
      <c r="C77" s="1625">
        <f>IF('[1]BASE'!C77=0,"",'[1]BASE'!C77)</f>
      </c>
      <c r="D77" s="1625">
        <f>IF('[1]BASE'!D77=0,"",'[1]BASE'!D77)</f>
      </c>
      <c r="E77" s="1625">
        <f>IF('[1]BASE'!E77=0,"",'[1]BASE'!E77)</f>
      </c>
      <c r="F77" s="1625">
        <f>IF('[1]BASE'!F77=0,"",'[1]BASE'!F77)</f>
      </c>
      <c r="G77" s="1625" t="str">
        <f>IF('[2]BASE'!G77=0,"",'[2]BASE'!G77)</f>
        <v>C</v>
      </c>
      <c r="H77" s="1626">
        <f>IF('[1]BASE'!DY77=0,"",'[1]BASE'!DY77)</f>
      </c>
      <c r="I77" s="1626">
        <f>IF('[1]BASE'!DZ77=0,"",'[1]BASE'!DZ77)</f>
      </c>
      <c r="J77" s="1626">
        <f>IF('[1]BASE'!EA77=0,"",'[1]BASE'!EA77)</f>
      </c>
      <c r="K77" s="1626">
        <f>IF('[1]BASE'!EB77=0,"",'[1]BASE'!EB77)</f>
      </c>
      <c r="L77" s="1626">
        <f>IF('[1]BASE'!EC77=0,"",'[1]BASE'!EC77)</f>
      </c>
      <c r="M77" s="1626">
        <f>IF('[1]BASE'!ED77=0,"",'[1]BASE'!ED77)</f>
      </c>
      <c r="N77" s="1626">
        <f>IF('[1]BASE'!EE77=0,"",'[1]BASE'!EE77)</f>
      </c>
      <c r="O77" s="1626">
        <f>IF('[1]BASE'!EF77=0,"",'[1]BASE'!EF77)</f>
      </c>
      <c r="P77" s="1626">
        <f>IF('[1]BASE'!EG77=0,"",'[1]BASE'!EG77)</f>
      </c>
      <c r="Q77" s="1626">
        <f>IF('[1]BASE'!EH77=0,"",'[1]BASE'!EH77)</f>
      </c>
      <c r="R77" s="1626">
        <f>IF('[1]BASE'!EI77=0,"",'[1]BASE'!EI77)</f>
      </c>
      <c r="S77" s="1626">
        <f>IF('[1]BASE'!EJ77=0,"",'[1]BASE'!EJ77)</f>
      </c>
      <c r="T77" s="1627"/>
      <c r="U77" s="1624"/>
    </row>
    <row r="78" spans="2:21" s="1618" customFormat="1" ht="19.5" customHeight="1">
      <c r="B78" s="1619"/>
      <c r="C78" s="1625">
        <f>IF('[1]BASE'!C78=0,"",'[1]BASE'!C78)</f>
        <v>58</v>
      </c>
      <c r="D78" s="1625" t="str">
        <f>IF('[1]BASE'!D78=0,"",'[1]BASE'!D78)</f>
        <v>GRAL RODRIGUEZ - RAMALLO</v>
      </c>
      <c r="E78" s="1625">
        <f>IF('[1]BASE'!E78=0,"",'[1]BASE'!E78)</f>
        <v>500</v>
      </c>
      <c r="F78" s="1625">
        <f>IF('[1]BASE'!F78=0,"",'[1]BASE'!F78)</f>
        <v>183.9</v>
      </c>
      <c r="G78" s="1625" t="str">
        <f>IF('[2]BASE'!G78=0,"",'[2]BASE'!G78)</f>
        <v>A</v>
      </c>
      <c r="H78" s="1626">
        <f>IF('[1]BASE'!DY78=0,"",'[1]BASE'!DY78)</f>
      </c>
      <c r="I78" s="1626">
        <f>IF('[1]BASE'!DZ78=0,"",'[1]BASE'!DZ78)</f>
      </c>
      <c r="J78" s="1626">
        <f>IF('[1]BASE'!EA78=0,"",'[1]BASE'!EA78)</f>
      </c>
      <c r="K78" s="1626">
        <f>IF('[1]BASE'!EB78=0,"",'[1]BASE'!EB78)</f>
      </c>
      <c r="L78" s="1626">
        <f>IF('[1]BASE'!EC78=0,"",'[1]BASE'!EC78)</f>
      </c>
      <c r="M78" s="1626">
        <f>IF('[1]BASE'!ED78=0,"",'[1]BASE'!ED78)</f>
      </c>
      <c r="N78" s="1626">
        <f>IF('[1]BASE'!EE78=0,"",'[1]BASE'!EE78)</f>
      </c>
      <c r="O78" s="1626">
        <f>IF('[1]BASE'!EF78=0,"",'[1]BASE'!EF78)</f>
      </c>
      <c r="P78" s="1626">
        <f>IF('[1]BASE'!EG78=0,"",'[1]BASE'!EG78)</f>
      </c>
      <c r="Q78" s="1626">
        <f>IF('[1]BASE'!EH78=0,"",'[1]BASE'!EH78)</f>
      </c>
      <c r="R78" s="1626">
        <f>IF('[1]BASE'!EI78=0,"",'[1]BASE'!EI78)</f>
      </c>
      <c r="S78" s="1626">
        <f>IF('[1]BASE'!EJ78=0,"",'[1]BASE'!EJ78)</f>
      </c>
      <c r="T78" s="1627"/>
      <c r="U78" s="1624"/>
    </row>
    <row r="79" spans="2:21" s="1618" customFormat="1" ht="19.5" customHeight="1">
      <c r="B79" s="1619"/>
      <c r="C79" s="1625">
        <f>IF('[1]BASE'!C79=0,"",'[1]BASE'!C79)</f>
        <v>59</v>
      </c>
      <c r="D79" s="1625" t="str">
        <f>IF('[1]BASE'!D79=0,"",'[1]BASE'!D79)</f>
        <v>RAMALLO - ROSARIO OESTE</v>
      </c>
      <c r="E79" s="1625">
        <f>IF('[1]BASE'!E79=0,"",'[1]BASE'!E79)</f>
        <v>500</v>
      </c>
      <c r="F79" s="1625">
        <f>IF('[1]BASE'!F79=0,"",'[1]BASE'!F79)</f>
        <v>77</v>
      </c>
      <c r="G79" s="1625" t="str">
        <f>IF('[2]BASE'!G79=0,"",'[2]BASE'!G79)</f>
        <v>A</v>
      </c>
      <c r="H79" s="1626">
        <f>IF('[1]BASE'!DY79=0,"",'[1]BASE'!DY79)</f>
        <v>1</v>
      </c>
      <c r="I79" s="1626">
        <f>IF('[1]BASE'!DZ79=0,"",'[1]BASE'!DZ79)</f>
      </c>
      <c r="J79" s="1626">
        <f>IF('[1]BASE'!EA79=0,"",'[1]BASE'!EA79)</f>
        <v>1</v>
      </c>
      <c r="K79" s="1626">
        <f>IF('[1]BASE'!EB79=0,"",'[1]BASE'!EB79)</f>
      </c>
      <c r="L79" s="1626">
        <f>IF('[1]BASE'!EC79=0,"",'[1]BASE'!EC79)</f>
      </c>
      <c r="M79" s="1626">
        <f>IF('[1]BASE'!ED79=0,"",'[1]BASE'!ED79)</f>
      </c>
      <c r="N79" s="1626">
        <f>IF('[1]BASE'!EE79=0,"",'[1]BASE'!EE79)</f>
      </c>
      <c r="O79" s="1626">
        <f>IF('[1]BASE'!EF79=0,"",'[1]BASE'!EF79)</f>
      </c>
      <c r="P79" s="1626">
        <f>IF('[1]BASE'!EG79=0,"",'[1]BASE'!EG79)</f>
      </c>
      <c r="Q79" s="1626">
        <f>IF('[1]BASE'!EH79=0,"",'[1]BASE'!EH79)</f>
      </c>
      <c r="R79" s="1626">
        <f>IF('[1]BASE'!EI79=0,"",'[1]BASE'!EI79)</f>
      </c>
      <c r="S79" s="1626">
        <f>IF('[1]BASE'!EJ79=0,"",'[1]BASE'!EJ79)</f>
      </c>
      <c r="T79" s="1627"/>
      <c r="U79" s="1624"/>
    </row>
    <row r="80" spans="2:21" s="1618" customFormat="1" ht="19.5" customHeight="1">
      <c r="B80" s="1619"/>
      <c r="C80" s="1625">
        <f>IF('[1]BASE'!C80=0,"",'[1]BASE'!C80)</f>
        <v>60</v>
      </c>
      <c r="D80" s="1625" t="str">
        <f>IF('[1]BASE'!D80=0,"",'[1]BASE'!D80)</f>
        <v>MACACHIN - HENDERSON</v>
      </c>
      <c r="E80" s="1625">
        <f>IF('[1]BASE'!E80=0,"",'[1]BASE'!E80)</f>
        <v>500</v>
      </c>
      <c r="F80" s="1625">
        <f>IF('[1]BASE'!F80=0,"",'[1]BASE'!F80)</f>
        <v>194</v>
      </c>
      <c r="G80" s="1625" t="str">
        <f>IF('[2]BASE'!G80=0,"",'[2]BASE'!G80)</f>
        <v>A</v>
      </c>
      <c r="H80" s="1626">
        <f>IF('[1]BASE'!DY80=0,"",'[1]BASE'!DY80)</f>
      </c>
      <c r="I80" s="1626">
        <f>IF('[1]BASE'!DZ80=0,"",'[1]BASE'!DZ80)</f>
      </c>
      <c r="J80" s="1626">
        <f>IF('[1]BASE'!EA80=0,"",'[1]BASE'!EA80)</f>
      </c>
      <c r="K80" s="1626">
        <f>IF('[1]BASE'!EB80=0,"",'[1]BASE'!EB80)</f>
      </c>
      <c r="L80" s="1626">
        <f>IF('[1]BASE'!EC80=0,"",'[1]BASE'!EC80)</f>
      </c>
      <c r="M80" s="1626">
        <f>IF('[1]BASE'!ED80=0,"",'[1]BASE'!ED80)</f>
      </c>
      <c r="N80" s="1626">
        <f>IF('[1]BASE'!EE80=0,"",'[1]BASE'!EE80)</f>
      </c>
      <c r="O80" s="1626">
        <f>IF('[1]BASE'!EF80=0,"",'[1]BASE'!EF80)</f>
      </c>
      <c r="P80" s="1626">
        <f>IF('[1]BASE'!EG80=0,"",'[1]BASE'!EG80)</f>
      </c>
      <c r="Q80" s="1626">
        <f>IF('[1]BASE'!EH80=0,"",'[1]BASE'!EH80)</f>
      </c>
      <c r="R80" s="1626">
        <f>IF('[1]BASE'!EI80=0,"",'[1]BASE'!EI80)</f>
      </c>
      <c r="S80" s="1626">
        <f>IF('[1]BASE'!EJ80=0,"",'[1]BASE'!EJ80)</f>
      </c>
      <c r="T80" s="1627"/>
      <c r="U80" s="1624"/>
    </row>
    <row r="81" spans="2:21" s="1618" customFormat="1" ht="19.5" customHeight="1">
      <c r="B81" s="1619"/>
      <c r="C81" s="1625">
        <f>IF('[1]BASE'!C81=0,"",'[1]BASE'!C81)</f>
        <v>61</v>
      </c>
      <c r="D81" s="1625" t="str">
        <f>IF('[1]BASE'!D81=0,"",'[1]BASE'!D81)</f>
        <v>PUELCHES - MACACHIN</v>
      </c>
      <c r="E81" s="1625">
        <f>IF('[1]BASE'!E81=0,"",'[1]BASE'!E81)</f>
        <v>500</v>
      </c>
      <c r="F81" s="1625">
        <f>IF('[1]BASE'!F81=0,"",'[1]BASE'!F81)</f>
        <v>227</v>
      </c>
      <c r="G81" s="1625" t="str">
        <f>IF('[2]BASE'!G81=0,"",'[2]BASE'!G81)</f>
        <v>A</v>
      </c>
      <c r="H81" s="1626">
        <f>IF('[1]BASE'!DY81=0,"",'[1]BASE'!DY81)</f>
      </c>
      <c r="I81" s="1626">
        <f>IF('[1]BASE'!DZ81=0,"",'[1]BASE'!DZ81)</f>
      </c>
      <c r="J81" s="1626">
        <f>IF('[1]BASE'!EA81=0,"",'[1]BASE'!EA81)</f>
      </c>
      <c r="K81" s="1626">
        <f>IF('[1]BASE'!EB81=0,"",'[1]BASE'!EB81)</f>
      </c>
      <c r="L81" s="1626">
        <f>IF('[1]BASE'!EC81=0,"",'[1]BASE'!EC81)</f>
      </c>
      <c r="M81" s="1626">
        <f>IF('[1]BASE'!ED81=0,"",'[1]BASE'!ED81)</f>
      </c>
      <c r="N81" s="1626">
        <f>IF('[1]BASE'!EE81=0,"",'[1]BASE'!EE81)</f>
      </c>
      <c r="O81" s="1626">
        <f>IF('[1]BASE'!EF81=0,"",'[1]BASE'!EF81)</f>
      </c>
      <c r="P81" s="1626">
        <f>IF('[1]BASE'!EG81=0,"",'[1]BASE'!EG81)</f>
      </c>
      <c r="Q81" s="1626">
        <f>IF('[1]BASE'!EH81=0,"",'[1]BASE'!EH81)</f>
      </c>
      <c r="R81" s="1626">
        <f>IF('[1]BASE'!EI81=0,"",'[1]BASE'!EI81)</f>
      </c>
      <c r="S81" s="1626">
        <f>IF('[1]BASE'!EJ81=0,"",'[1]BASE'!EJ81)</f>
      </c>
      <c r="T81" s="1627"/>
      <c r="U81" s="1624"/>
    </row>
    <row r="82" spans="2:21" s="1618" customFormat="1" ht="19.5" customHeight="1">
      <c r="B82" s="1619"/>
      <c r="C82" s="1625">
        <f>IF('[1]BASE'!C82=0,"",'[1]BASE'!C82)</f>
      </c>
      <c r="D82" s="1625">
        <f>IF('[1]BASE'!D82=0,"",'[1]BASE'!D82)</f>
      </c>
      <c r="E82" s="1625">
        <f>IF('[1]BASE'!E82=0,"",'[1]BASE'!E82)</f>
      </c>
      <c r="F82" s="1625">
        <f>IF('[1]BASE'!F82=0,"",'[1]BASE'!F82)</f>
      </c>
      <c r="G82" s="1625" t="str">
        <f>IF('[2]BASE'!G82=0,"",'[2]BASE'!G82)</f>
        <v>B</v>
      </c>
      <c r="H82" s="1626">
        <f>IF('[1]BASE'!DY82=0,"",'[1]BASE'!DY82)</f>
      </c>
      <c r="I82" s="1626">
        <f>IF('[1]BASE'!DZ82=0,"",'[1]BASE'!DZ82)</f>
      </c>
      <c r="J82" s="1626">
        <f>IF('[1]BASE'!EA82=0,"",'[1]BASE'!EA82)</f>
      </c>
      <c r="K82" s="1626">
        <f>IF('[1]BASE'!EB82=0,"",'[1]BASE'!EB82)</f>
      </c>
      <c r="L82" s="1626">
        <f>IF('[1]BASE'!EC82=0,"",'[1]BASE'!EC82)</f>
      </c>
      <c r="M82" s="1626">
        <f>IF('[1]BASE'!ED82=0,"",'[1]BASE'!ED82)</f>
      </c>
      <c r="N82" s="1626">
        <f>IF('[1]BASE'!EE82=0,"",'[1]BASE'!EE82)</f>
      </c>
      <c r="O82" s="1626">
        <f>IF('[1]BASE'!EF82=0,"",'[1]BASE'!EF82)</f>
      </c>
      <c r="P82" s="1626">
        <f>IF('[1]BASE'!EG82=0,"",'[1]BASE'!EG82)</f>
      </c>
      <c r="Q82" s="1626">
        <f>IF('[1]BASE'!EH82=0,"",'[1]BASE'!EH82)</f>
      </c>
      <c r="R82" s="1626">
        <f>IF('[1]BASE'!EI82=0,"",'[1]BASE'!EI82)</f>
      </c>
      <c r="S82" s="1626">
        <f>IF('[1]BASE'!EJ82=0,"",'[1]BASE'!EJ82)</f>
      </c>
      <c r="T82" s="1627"/>
      <c r="U82" s="1624"/>
    </row>
    <row r="83" spans="2:21" s="1618" customFormat="1" ht="19.5" customHeight="1">
      <c r="B83" s="1619"/>
      <c r="C83" s="1625">
        <f>IF('[1]BASE'!C83=0,"",'[1]BASE'!C83)</f>
      </c>
      <c r="D83" s="1625">
        <f>IF('[1]BASE'!D83=0,"",'[1]BASE'!D83)</f>
      </c>
      <c r="E83" s="1625">
        <f>IF('[1]BASE'!E83=0,"",'[1]BASE'!E83)</f>
      </c>
      <c r="F83" s="1625">
        <f>IF('[1]BASE'!F83=0,"",'[1]BASE'!F83)</f>
      </c>
      <c r="G83" s="1625" t="str">
        <f>IF('[2]BASE'!G83=0,"",'[2]BASE'!G83)</f>
        <v>B</v>
      </c>
      <c r="H83" s="1626">
        <f>IF('[1]BASE'!DY83=0,"",'[1]BASE'!DY83)</f>
      </c>
      <c r="I83" s="1626">
        <f>IF('[1]BASE'!DZ83=0,"",'[1]BASE'!DZ83)</f>
      </c>
      <c r="J83" s="1626">
        <f>IF('[1]BASE'!EA83=0,"",'[1]BASE'!EA83)</f>
      </c>
      <c r="K83" s="1626">
        <f>IF('[1]BASE'!EB83=0,"",'[1]BASE'!EB83)</f>
      </c>
      <c r="L83" s="1626">
        <f>IF('[1]BASE'!EC83=0,"",'[1]BASE'!EC83)</f>
      </c>
      <c r="M83" s="1626">
        <f>IF('[1]BASE'!ED83=0,"",'[1]BASE'!ED83)</f>
      </c>
      <c r="N83" s="1626">
        <f>IF('[1]BASE'!EE83=0,"",'[1]BASE'!EE83)</f>
      </c>
      <c r="O83" s="1626">
        <f>IF('[1]BASE'!EF83=0,"",'[1]BASE'!EF83)</f>
      </c>
      <c r="P83" s="1626">
        <f>IF('[1]BASE'!EG83=0,"",'[1]BASE'!EG83)</f>
      </c>
      <c r="Q83" s="1626">
        <f>IF('[1]BASE'!EH83=0,"",'[1]BASE'!EH83)</f>
      </c>
      <c r="R83" s="1626">
        <f>IF('[1]BASE'!EI83=0,"",'[1]BASE'!EI83)</f>
      </c>
      <c r="S83" s="1626">
        <f>IF('[1]BASE'!EJ83=0,"",'[1]BASE'!EJ83)</f>
      </c>
      <c r="T83" s="1627"/>
      <c r="U83" s="1624"/>
    </row>
    <row r="84" spans="2:21" s="1618" customFormat="1" ht="19.5" customHeight="1">
      <c r="B84" s="1619"/>
      <c r="C84" s="1625">
        <f>IF('[1]BASE'!C84=0,"",'[1]BASE'!C84)</f>
        <v>62</v>
      </c>
      <c r="D84" s="1625" t="str">
        <f>IF('[1]BASE'!D84=0,"",'[1]BASE'!D84)</f>
        <v>YACYRETÁ - RINCON I</v>
      </c>
      <c r="E84" s="1625">
        <f>IF('[1]BASE'!E84=0,"",'[1]BASE'!E84)</f>
        <v>500</v>
      </c>
      <c r="F84" s="1625">
        <f>IF('[1]BASE'!F84=0,"",'[1]BASE'!F84)</f>
        <v>3.6</v>
      </c>
      <c r="G84" s="1625" t="str">
        <f>IF('[2]BASE'!G84=0,"",'[2]BASE'!G84)</f>
        <v>B</v>
      </c>
      <c r="H84" s="1626">
        <f>IF('[1]BASE'!DY84=0,"",'[1]BASE'!DY84)</f>
      </c>
      <c r="I84" s="1626">
        <f>IF('[1]BASE'!DZ84=0,"",'[1]BASE'!DZ84)</f>
      </c>
      <c r="J84" s="1626">
        <f>IF('[1]BASE'!EA84=0,"",'[1]BASE'!EA84)</f>
      </c>
      <c r="K84" s="1626">
        <f>IF('[1]BASE'!EB84=0,"",'[1]BASE'!EB84)</f>
      </c>
      <c r="L84" s="1626">
        <f>IF('[1]BASE'!EC84=0,"",'[1]BASE'!EC84)</f>
      </c>
      <c r="M84" s="1626">
        <f>IF('[1]BASE'!ED84=0,"",'[1]BASE'!ED84)</f>
      </c>
      <c r="N84" s="1626">
        <f>IF('[1]BASE'!EE84=0,"",'[1]BASE'!EE84)</f>
      </c>
      <c r="O84" s="1626">
        <f>IF('[1]BASE'!EF84=0,"",'[1]BASE'!EF84)</f>
      </c>
      <c r="P84" s="1626">
        <f>IF('[1]BASE'!EG84=0,"",'[1]BASE'!EG84)</f>
      </c>
      <c r="Q84" s="1626">
        <f>IF('[1]BASE'!EH84=0,"",'[1]BASE'!EH84)</f>
      </c>
      <c r="R84" s="1626">
        <f>IF('[1]BASE'!EI84=0,"",'[1]BASE'!EI84)</f>
      </c>
      <c r="S84" s="1626">
        <f>IF('[1]BASE'!EJ84=0,"",'[1]BASE'!EJ84)</f>
      </c>
      <c r="T84" s="1627"/>
      <c r="U84" s="1624"/>
    </row>
    <row r="85" spans="2:21" s="1618" customFormat="1" ht="19.5" customHeight="1">
      <c r="B85" s="1619"/>
      <c r="C85" s="1625">
        <f>IF('[1]BASE'!C85=0,"",'[1]BASE'!C85)</f>
        <v>63</v>
      </c>
      <c r="D85" s="1625" t="str">
        <f>IF('[1]BASE'!D85=0,"",'[1]BASE'!D85)</f>
        <v>YACYRETÁ - RINCON II</v>
      </c>
      <c r="E85" s="1625">
        <f>IF('[1]BASE'!E85=0,"",'[1]BASE'!E85)</f>
        <v>500</v>
      </c>
      <c r="F85" s="1625">
        <f>IF('[1]BASE'!F85=0,"",'[1]BASE'!F85)</f>
        <v>3.6</v>
      </c>
      <c r="G85" s="1625" t="str">
        <f>IF('[2]BASE'!G85=0,"",'[2]BASE'!G85)</f>
        <v>A</v>
      </c>
      <c r="H85" s="1626">
        <f>IF('[1]BASE'!DY85=0,"",'[1]BASE'!DY85)</f>
      </c>
      <c r="I85" s="1626">
        <f>IF('[1]BASE'!DZ85=0,"",'[1]BASE'!DZ85)</f>
      </c>
      <c r="J85" s="1626">
        <f>IF('[1]BASE'!EA85=0,"",'[1]BASE'!EA85)</f>
      </c>
      <c r="K85" s="1626">
        <f>IF('[1]BASE'!EB85=0,"",'[1]BASE'!EB85)</f>
      </c>
      <c r="L85" s="1626">
        <f>IF('[1]BASE'!EC85=0,"",'[1]BASE'!EC85)</f>
      </c>
      <c r="M85" s="1626">
        <f>IF('[1]BASE'!ED85=0,"",'[1]BASE'!ED85)</f>
      </c>
      <c r="N85" s="1626">
        <f>IF('[1]BASE'!EE85=0,"",'[1]BASE'!EE85)</f>
      </c>
      <c r="O85" s="1626">
        <f>IF('[1]BASE'!EF85=0,"",'[1]BASE'!EF85)</f>
      </c>
      <c r="P85" s="1626">
        <f>IF('[1]BASE'!EG85=0,"",'[1]BASE'!EG85)</f>
      </c>
      <c r="Q85" s="1626">
        <f>IF('[1]BASE'!EH85=0,"",'[1]BASE'!EH85)</f>
      </c>
      <c r="R85" s="1626">
        <f>IF('[1]BASE'!EI85=0,"",'[1]BASE'!EI85)</f>
      </c>
      <c r="S85" s="1626">
        <f>IF('[1]BASE'!EJ85=0,"",'[1]BASE'!EJ85)</f>
      </c>
      <c r="T85" s="1627"/>
      <c r="U85" s="1624"/>
    </row>
    <row r="86" spans="2:21" s="1618" customFormat="1" ht="19.5" customHeight="1">
      <c r="B86" s="1619"/>
      <c r="C86" s="1625">
        <f>IF('[1]BASE'!C86=0,"",'[1]BASE'!C86)</f>
        <v>64</v>
      </c>
      <c r="D86" s="1625" t="str">
        <f>IF('[1]BASE'!D86=0,"",'[1]BASE'!D86)</f>
        <v>YACYRETÁ - RINCON III</v>
      </c>
      <c r="E86" s="1625">
        <f>IF('[1]BASE'!E86=0,"",'[1]BASE'!E86)</f>
        <v>500</v>
      </c>
      <c r="F86" s="1625">
        <f>IF('[1]BASE'!F86=0,"",'[1]BASE'!F86)</f>
        <v>3.6</v>
      </c>
      <c r="G86" s="1625" t="str">
        <f>IF('[2]BASE'!G86=0,"",'[2]BASE'!G86)</f>
        <v>C</v>
      </c>
      <c r="H86" s="1626">
        <f>IF('[1]BASE'!DY86=0,"",'[1]BASE'!DY86)</f>
      </c>
      <c r="I86" s="1626">
        <f>IF('[1]BASE'!DZ86=0,"",'[1]BASE'!DZ86)</f>
      </c>
      <c r="J86" s="1626">
        <f>IF('[1]BASE'!EA86=0,"",'[1]BASE'!EA86)</f>
      </c>
      <c r="K86" s="1626">
        <f>IF('[1]BASE'!EB86=0,"",'[1]BASE'!EB86)</f>
      </c>
      <c r="L86" s="1626">
        <f>IF('[1]BASE'!EC86=0,"",'[1]BASE'!EC86)</f>
      </c>
      <c r="M86" s="1626">
        <f>IF('[1]BASE'!ED86=0,"",'[1]BASE'!ED86)</f>
      </c>
      <c r="N86" s="1626">
        <f>IF('[1]BASE'!EE86=0,"",'[1]BASE'!EE86)</f>
      </c>
      <c r="O86" s="1626">
        <f>IF('[1]BASE'!EF86=0,"",'[1]BASE'!EF86)</f>
      </c>
      <c r="P86" s="1626">
        <f>IF('[1]BASE'!EG86=0,"",'[1]BASE'!EG86)</f>
      </c>
      <c r="Q86" s="1626">
        <f>IF('[1]BASE'!EH86=0,"",'[1]BASE'!EH86)</f>
      </c>
      <c r="R86" s="1626">
        <f>IF('[1]BASE'!EI86=0,"",'[1]BASE'!EI86)</f>
      </c>
      <c r="S86" s="1626">
        <f>IF('[1]BASE'!EJ86=0,"",'[1]BASE'!EJ86)</f>
      </c>
      <c r="T86" s="1627"/>
      <c r="U86" s="1624"/>
    </row>
    <row r="87" spans="2:21" s="1618" customFormat="1" ht="19.5" customHeight="1">
      <c r="B87" s="1619"/>
      <c r="C87" s="1625">
        <f>IF('[1]BASE'!C87=0,"",'[1]BASE'!C87)</f>
        <v>65</v>
      </c>
      <c r="D87" s="1625" t="str">
        <f>IF('[1]BASE'!D87=0,"",'[1]BASE'!D87)</f>
        <v>RINCON - PASO DE LA PATRIA</v>
      </c>
      <c r="E87" s="1625">
        <f>IF('[1]BASE'!E87=0,"",'[1]BASE'!E87)</f>
        <v>500</v>
      </c>
      <c r="F87" s="1625">
        <f>IF('[1]BASE'!F87=0,"",'[1]BASE'!F87)</f>
        <v>227</v>
      </c>
      <c r="G87" s="1625" t="str">
        <f>IF('[2]BASE'!G87=0,"",'[2]BASE'!G87)</f>
        <v>B</v>
      </c>
      <c r="H87" s="1626">
        <f>IF('[1]BASE'!DY87=0,"",'[1]BASE'!DY87)</f>
      </c>
      <c r="I87" s="1626">
        <f>IF('[1]BASE'!DZ87=0,"",'[1]BASE'!DZ87)</f>
      </c>
      <c r="J87" s="1626">
        <f>IF('[1]BASE'!EA87=0,"",'[1]BASE'!EA87)</f>
      </c>
      <c r="K87" s="1626">
        <f>IF('[1]BASE'!EB87=0,"",'[1]BASE'!EB87)</f>
        <v>1</v>
      </c>
      <c r="L87" s="1626">
        <f>IF('[1]BASE'!EC87=0,"",'[1]BASE'!EC87)</f>
      </c>
      <c r="M87" s="1626">
        <f>IF('[1]BASE'!ED87=0,"",'[1]BASE'!ED87)</f>
      </c>
      <c r="N87" s="1626">
        <f>IF('[1]BASE'!EE87=0,"",'[1]BASE'!EE87)</f>
      </c>
      <c r="O87" s="1626">
        <f>IF('[1]BASE'!EF87=0,"",'[1]BASE'!EF87)</f>
      </c>
      <c r="P87" s="1626">
        <f>IF('[1]BASE'!EG87=0,"",'[1]BASE'!EG87)</f>
      </c>
      <c r="Q87" s="1626">
        <f>IF('[1]BASE'!EH87=0,"",'[1]BASE'!EH87)</f>
      </c>
      <c r="R87" s="1626">
        <f>IF('[1]BASE'!EI87=0,"",'[1]BASE'!EI87)</f>
      </c>
      <c r="S87" s="1626">
        <f>IF('[1]BASE'!EJ87=0,"",'[1]BASE'!EJ87)</f>
        <v>1</v>
      </c>
      <c r="T87" s="1627"/>
      <c r="U87" s="1624"/>
    </row>
    <row r="88" spans="2:21" s="1618" customFormat="1" ht="19.5" customHeight="1">
      <c r="B88" s="1619"/>
      <c r="C88" s="1625">
        <f>IF('[1]BASE'!C88=0,"",'[1]BASE'!C88)</f>
        <v>66</v>
      </c>
      <c r="D88" s="1625" t="str">
        <f>IF('[1]BASE'!D88=0,"",'[1]BASE'!D88)</f>
        <v>PASO DE LA PATRIA - RESISTENCIA</v>
      </c>
      <c r="E88" s="1625">
        <f>IF('[1]BASE'!E88=0,"",'[1]BASE'!E88)</f>
        <v>500</v>
      </c>
      <c r="F88" s="1625">
        <f>IF('[1]BASE'!F88=0,"",'[1]BASE'!F88)</f>
        <v>40</v>
      </c>
      <c r="G88" s="1625" t="str">
        <f>IF('[2]BASE'!G88=0,"",'[2]BASE'!G88)</f>
        <v>C</v>
      </c>
      <c r="H88" s="1626">
        <f>IF('[1]BASE'!DY88=0,"",'[1]BASE'!DY88)</f>
      </c>
      <c r="I88" s="1626">
        <f>IF('[1]BASE'!DZ88=0,"",'[1]BASE'!DZ88)</f>
      </c>
      <c r="J88" s="1626">
        <f>IF('[1]BASE'!EA88=0,"",'[1]BASE'!EA88)</f>
      </c>
      <c r="K88" s="1626">
        <f>IF('[1]BASE'!EB88=0,"",'[1]BASE'!EB88)</f>
      </c>
      <c r="L88" s="1626">
        <f>IF('[1]BASE'!EC88=0,"",'[1]BASE'!EC88)</f>
      </c>
      <c r="M88" s="1626">
        <f>IF('[1]BASE'!ED88=0,"",'[1]BASE'!ED88)</f>
      </c>
      <c r="N88" s="1626">
        <f>IF('[1]BASE'!EE88=0,"",'[1]BASE'!EE88)</f>
      </c>
      <c r="O88" s="1626">
        <f>IF('[1]BASE'!EF88=0,"",'[1]BASE'!EF88)</f>
      </c>
      <c r="P88" s="1626">
        <f>IF('[1]BASE'!EG88=0,"",'[1]BASE'!EG88)</f>
      </c>
      <c r="Q88" s="1626">
        <f>IF('[1]BASE'!EH88=0,"",'[1]BASE'!EH88)</f>
      </c>
      <c r="R88" s="1626">
        <f>IF('[1]BASE'!EI88=0,"",'[1]BASE'!EI88)</f>
      </c>
      <c r="S88" s="1626">
        <f>IF('[1]BASE'!EJ88=0,"",'[1]BASE'!EJ88)</f>
      </c>
      <c r="T88" s="1627"/>
      <c r="U88" s="1624"/>
    </row>
    <row r="89" spans="2:21" s="1618" customFormat="1" ht="19.5" customHeight="1">
      <c r="B89" s="1619"/>
      <c r="C89" s="1625">
        <f>IF('[1]BASE'!C89=0,"",'[1]BASE'!C89)</f>
        <v>67</v>
      </c>
      <c r="D89" s="1625" t="str">
        <f>IF('[1]BASE'!D89=0,"",'[1]BASE'!D89)</f>
        <v>RINCON - RESISTENCIA</v>
      </c>
      <c r="E89" s="1625">
        <f>IF('[1]BASE'!E89=0,"",'[1]BASE'!E89)</f>
        <v>500</v>
      </c>
      <c r="F89" s="1625">
        <f>IF('[1]BASE'!F89=0,"",'[1]BASE'!F89)</f>
        <v>267</v>
      </c>
      <c r="G89" s="1625" t="str">
        <f>IF('[2]BASE'!G89=0,"",'[2]BASE'!G89)</f>
        <v>A</v>
      </c>
      <c r="H89" s="1626" t="str">
        <f>IF('[1]BASE'!DY89=0,"",'[1]BASE'!DY89)</f>
        <v>XXXX</v>
      </c>
      <c r="I89" s="1626" t="str">
        <f>IF('[1]BASE'!DZ89=0,"",'[1]BASE'!DZ89)</f>
        <v>XXXX</v>
      </c>
      <c r="J89" s="1626" t="str">
        <f>IF('[1]BASE'!EA89=0,"",'[1]BASE'!EA89)</f>
        <v>XXXX</v>
      </c>
      <c r="K89" s="1626" t="str">
        <f>IF('[1]BASE'!EB89=0,"",'[1]BASE'!EB89)</f>
        <v>XXXX</v>
      </c>
      <c r="L89" s="1626" t="str">
        <f>IF('[1]BASE'!EC89=0,"",'[1]BASE'!EC89)</f>
        <v>XXXX</v>
      </c>
      <c r="M89" s="1626" t="str">
        <f>IF('[1]BASE'!ED89=0,"",'[1]BASE'!ED89)</f>
        <v>XXXX</v>
      </c>
      <c r="N89" s="1626" t="str">
        <f>IF('[1]BASE'!EE89=0,"",'[1]BASE'!EE89)</f>
        <v>XXXX</v>
      </c>
      <c r="O89" s="1626" t="str">
        <f>IF('[1]BASE'!EF89=0,"",'[1]BASE'!EF89)</f>
        <v>XXXX</v>
      </c>
      <c r="P89" s="1626" t="str">
        <f>IF('[1]BASE'!EG89=0,"",'[1]BASE'!EG89)</f>
        <v>XXXX</v>
      </c>
      <c r="Q89" s="1626" t="str">
        <f>IF('[1]BASE'!EH89=0,"",'[1]BASE'!EH89)</f>
        <v>XXXX</v>
      </c>
      <c r="R89" s="1626" t="str">
        <f>IF('[1]BASE'!EI89=0,"",'[1]BASE'!EI89)</f>
        <v>XXXX</v>
      </c>
      <c r="S89" s="1626" t="str">
        <f>IF('[1]BASE'!EJ89=0,"",'[1]BASE'!EJ89)</f>
        <v>XXXX</v>
      </c>
      <c r="T89" s="1627"/>
      <c r="U89" s="1624"/>
    </row>
    <row r="90" spans="2:21" s="1618" customFormat="1" ht="19.5" customHeight="1">
      <c r="B90" s="1619"/>
      <c r="C90" s="1625">
        <f>IF('[1]BASE'!C90=0,"",'[1]BASE'!C90)</f>
      </c>
      <c r="D90" s="1625">
        <f>IF('[1]BASE'!D90=0,"",'[1]BASE'!D90)</f>
      </c>
      <c r="E90" s="1625">
        <f>IF('[1]BASE'!E90=0,"",'[1]BASE'!E90)</f>
      </c>
      <c r="F90" s="1625">
        <f>IF('[1]BASE'!F90=0,"",'[1]BASE'!F90)</f>
      </c>
      <c r="G90" s="1625" t="str">
        <f>IF('[2]BASE'!G90=0,"",'[2]BASE'!G90)</f>
        <v>C</v>
      </c>
      <c r="H90" s="1626">
        <f>IF('[1]BASE'!DY90=0,"",'[1]BASE'!DY90)</f>
      </c>
      <c r="I90" s="1626">
        <f>IF('[1]BASE'!DZ90=0,"",'[1]BASE'!DZ90)</f>
      </c>
      <c r="J90" s="1626">
        <f>IF('[1]BASE'!EA90=0,"",'[1]BASE'!EA90)</f>
      </c>
      <c r="K90" s="1626">
        <f>IF('[1]BASE'!EB90=0,"",'[1]BASE'!EB90)</f>
      </c>
      <c r="L90" s="1626">
        <f>IF('[1]BASE'!EC90=0,"",'[1]BASE'!EC90)</f>
      </c>
      <c r="M90" s="1626">
        <f>IF('[1]BASE'!ED90=0,"",'[1]BASE'!ED90)</f>
      </c>
      <c r="N90" s="1626">
        <f>IF('[1]BASE'!EE90=0,"",'[1]BASE'!EE90)</f>
      </c>
      <c r="O90" s="1626">
        <f>IF('[1]BASE'!EF90=0,"",'[1]BASE'!EF90)</f>
      </c>
      <c r="P90" s="1626">
        <f>IF('[1]BASE'!EG90=0,"",'[1]BASE'!EG90)</f>
      </c>
      <c r="Q90" s="1626">
        <f>IF('[1]BASE'!EH90=0,"",'[1]BASE'!EH90)</f>
      </c>
      <c r="R90" s="1626">
        <f>IF('[1]BASE'!EI90=0,"",'[1]BASE'!EI90)</f>
      </c>
      <c r="S90" s="1626">
        <f>IF('[1]BASE'!EJ90=0,"",'[1]BASE'!EJ90)</f>
      </c>
      <c r="T90" s="1627"/>
      <c r="U90" s="1624"/>
    </row>
    <row r="91" spans="2:21" s="1618" customFormat="1" ht="19.5" customHeight="1">
      <c r="B91" s="1619"/>
      <c r="C91" s="1625">
        <f>IF('[1]BASE'!C91=0,"",'[1]BASE'!C91)</f>
        <v>68</v>
      </c>
      <c r="D91" s="1625" t="str">
        <f>IF('[1]BASE'!D91=0,"",'[1]BASE'!D91)</f>
        <v>RINCON - SALTO GRANDE</v>
      </c>
      <c r="E91" s="1625">
        <f>IF('[1]BASE'!E91=0,"",'[1]BASE'!E91)</f>
        <v>500</v>
      </c>
      <c r="F91" s="1625">
        <f>IF('[1]BASE'!F91=0,"",'[1]BASE'!F91)</f>
        <v>506</v>
      </c>
      <c r="G91" s="1625" t="str">
        <f>IF('[2]BASE'!G91=0,"",'[2]BASE'!G91)</f>
        <v>A</v>
      </c>
      <c r="H91" s="1626">
        <f>IF('[1]BASE'!DY91=0,"",'[1]BASE'!DY91)</f>
      </c>
      <c r="I91" s="1626">
        <f>IF('[1]BASE'!DZ91=0,"",'[1]BASE'!DZ91)</f>
      </c>
      <c r="J91" s="1626">
        <f>IF('[1]BASE'!EA91=0,"",'[1]BASE'!EA91)</f>
      </c>
      <c r="K91" s="1626">
        <f>IF('[1]BASE'!EB91=0,"",'[1]BASE'!EB91)</f>
      </c>
      <c r="L91" s="1626">
        <f>IF('[1]BASE'!EC91=0,"",'[1]BASE'!EC91)</f>
      </c>
      <c r="M91" s="1626">
        <f>IF('[1]BASE'!ED91=0,"",'[1]BASE'!ED91)</f>
      </c>
      <c r="N91" s="1626">
        <f>IF('[1]BASE'!EE91=0,"",'[1]BASE'!EE91)</f>
      </c>
      <c r="O91" s="1626">
        <f>IF('[1]BASE'!EF91=0,"",'[1]BASE'!EF91)</f>
      </c>
      <c r="P91" s="1626">
        <f>IF('[1]BASE'!EG91=0,"",'[1]BASE'!EG91)</f>
      </c>
      <c r="Q91" s="1626">
        <f>IF('[1]BASE'!EH91=0,"",'[1]BASE'!EH91)</f>
      </c>
      <c r="R91" s="1626">
        <f>IF('[1]BASE'!EI91=0,"",'[1]BASE'!EI91)</f>
      </c>
      <c r="S91" s="1626">
        <f>IF('[1]BASE'!EJ91=0,"",'[1]BASE'!EJ91)</f>
      </c>
      <c r="T91" s="1627"/>
      <c r="U91" s="1624"/>
    </row>
    <row r="92" spans="2:21" s="1618" customFormat="1" ht="19.5" customHeight="1">
      <c r="B92" s="1619"/>
      <c r="C92" s="1625">
        <f>IF('[1]BASE'!C92=0,"",'[1]BASE'!C92)</f>
        <v>69</v>
      </c>
      <c r="D92" s="1625" t="str">
        <f>IF('[1]BASE'!D92=0,"",'[1]BASE'!D92)</f>
        <v>RINCON - SAN ISIDRO</v>
      </c>
      <c r="E92" s="1625">
        <f>IF('[1]BASE'!E92=0,"",'[1]BASE'!E92)</f>
        <v>500</v>
      </c>
      <c r="F92" s="1625">
        <f>IF('[1]BASE'!F92=0,"",'[1]BASE'!F92)</f>
        <v>85</v>
      </c>
      <c r="G92" s="1625" t="str">
        <f>IF('[2]BASE'!G92=0,"",'[2]BASE'!G92)</f>
        <v>C</v>
      </c>
      <c r="H92" s="1626">
        <f>IF('[1]BASE'!DY92=0,"",'[1]BASE'!DY92)</f>
      </c>
      <c r="I92" s="1626">
        <f>IF('[1]BASE'!DZ92=0,"",'[1]BASE'!DZ92)</f>
      </c>
      <c r="J92" s="1626">
        <f>IF('[1]BASE'!EA92=0,"",'[1]BASE'!EA92)</f>
      </c>
      <c r="K92" s="1626">
        <f>IF('[1]BASE'!EB92=0,"",'[1]BASE'!EB92)</f>
      </c>
      <c r="L92" s="1626">
        <f>IF('[1]BASE'!EC92=0,"",'[1]BASE'!EC92)</f>
      </c>
      <c r="M92" s="1626">
        <f>IF('[1]BASE'!ED92=0,"",'[1]BASE'!ED92)</f>
      </c>
      <c r="N92" s="1626">
        <f>IF('[1]BASE'!EE92=0,"",'[1]BASE'!EE92)</f>
      </c>
      <c r="O92" s="1626">
        <f>IF('[1]BASE'!EF92=0,"",'[1]BASE'!EF92)</f>
      </c>
      <c r="P92" s="1626">
        <f>IF('[1]BASE'!EG92=0,"",'[1]BASE'!EG92)</f>
      </c>
      <c r="Q92" s="1626">
        <f>IF('[1]BASE'!EH92=0,"",'[1]BASE'!EH92)</f>
      </c>
      <c r="R92" s="1626">
        <f>IF('[1]BASE'!EI92=0,"",'[1]BASE'!EI92)</f>
      </c>
      <c r="S92" s="1626">
        <f>IF('[1]BASE'!EJ92=0,"",'[1]BASE'!EJ92)</f>
      </c>
      <c r="T92" s="1627"/>
      <c r="U92" s="1624"/>
    </row>
    <row r="93" spans="2:21" s="1618" customFormat="1" ht="19.5" customHeight="1">
      <c r="B93" s="1619"/>
      <c r="C93" s="1625">
        <f>IF('[1]BASE'!C93=0,"",'[1]BASE'!C93)</f>
      </c>
      <c r="D93" s="1625">
        <f>IF('[1]BASE'!D93=0,"",'[1]BASE'!D93)</f>
      </c>
      <c r="E93" s="1625">
        <f>IF('[1]BASE'!E93=0,"",'[1]BASE'!E93)</f>
      </c>
      <c r="F93" s="1625">
        <f>IF('[1]BASE'!F93=0,"",'[1]BASE'!F93)</f>
      </c>
      <c r="G93" s="1625" t="e">
        <f>IF('[2]BASE'!G93=0,"",'[2]BASE'!G93)</f>
        <v>#REF!</v>
      </c>
      <c r="H93" s="1626">
        <f>IF('[1]BASE'!DY93=0,"",'[1]BASE'!DY93)</f>
      </c>
      <c r="I93" s="1626">
        <f>IF('[1]BASE'!DZ93=0,"",'[1]BASE'!DZ93)</f>
      </c>
      <c r="J93" s="1626">
        <f>IF('[1]BASE'!EA93=0,"",'[1]BASE'!EA93)</f>
      </c>
      <c r="K93" s="1626">
        <f>IF('[1]BASE'!EB93=0,"",'[1]BASE'!EB93)</f>
      </c>
      <c r="L93" s="1626">
        <f>IF('[1]BASE'!EC93=0,"",'[1]BASE'!EC93)</f>
      </c>
      <c r="M93" s="1626">
        <f>IF('[1]BASE'!ED93=0,"",'[1]BASE'!ED93)</f>
      </c>
      <c r="N93" s="1626">
        <f>IF('[1]BASE'!EE93=0,"",'[1]BASE'!EE93)</f>
      </c>
      <c r="O93" s="1626">
        <f>IF('[1]BASE'!EF93=0,"",'[1]BASE'!EF93)</f>
      </c>
      <c r="P93" s="1626">
        <f>IF('[1]BASE'!EG93=0,"",'[1]BASE'!EG93)</f>
      </c>
      <c r="Q93" s="1626">
        <f>IF('[1]BASE'!EH93=0,"",'[1]BASE'!EH93)</f>
      </c>
      <c r="R93" s="1626">
        <f>IF('[1]BASE'!EI93=0,"",'[1]BASE'!EI93)</f>
      </c>
      <c r="S93" s="1626">
        <f>IF('[1]BASE'!EJ93=0,"",'[1]BASE'!EJ93)</f>
      </c>
      <c r="T93" s="1627"/>
      <c r="U93" s="1624"/>
    </row>
    <row r="94" spans="2:21" s="1618" customFormat="1" ht="19.5" customHeight="1">
      <c r="B94" s="1619"/>
      <c r="C94" s="1625">
        <f>IF('[1]BASE'!C94=0,"",'[1]BASE'!C94)</f>
        <v>70</v>
      </c>
      <c r="D94" s="1625" t="str">
        <f>IF('[1]BASE'!D94=0,"",'[1]BASE'!D94)</f>
        <v>RECREO - LA RIOJA SUR</v>
      </c>
      <c r="E94" s="1625">
        <f>IF('[1]BASE'!E94=0,"",'[1]BASE'!E94)</f>
        <v>500</v>
      </c>
      <c r="F94" s="1625">
        <f>IF('[1]BASE'!F94=0,"",'[1]BASE'!F94)</f>
        <v>150.3</v>
      </c>
      <c r="G94" s="1625" t="str">
        <f>IF('[2]BASE'!G94=0,"",'[2]BASE'!G94)</f>
        <v>C</v>
      </c>
      <c r="H94" s="1626">
        <f>IF('[1]BASE'!DY94=0,"",'[1]BASE'!DY94)</f>
      </c>
      <c r="I94" s="1626">
        <f>IF('[1]BASE'!DZ94=0,"",'[1]BASE'!DZ94)</f>
      </c>
      <c r="J94" s="1626">
        <f>IF('[1]BASE'!EA94=0,"",'[1]BASE'!EA94)</f>
      </c>
      <c r="K94" s="1626">
        <f>IF('[1]BASE'!EB94=0,"",'[1]BASE'!EB94)</f>
      </c>
      <c r="L94" s="1626">
        <f>IF('[1]BASE'!EC94=0,"",'[1]BASE'!EC94)</f>
      </c>
      <c r="M94" s="1626">
        <f>IF('[1]BASE'!ED94=0,"",'[1]BASE'!ED94)</f>
      </c>
      <c r="N94" s="1626">
        <f>IF('[1]BASE'!EE94=0,"",'[1]BASE'!EE94)</f>
      </c>
      <c r="O94" s="1626">
        <f>IF('[1]BASE'!EF94=0,"",'[1]BASE'!EF94)</f>
      </c>
      <c r="P94" s="1626">
        <f>IF('[1]BASE'!EG94=0,"",'[1]BASE'!EG94)</f>
      </c>
      <c r="Q94" s="1626">
        <f>IF('[1]BASE'!EH94=0,"",'[1]BASE'!EH94)</f>
      </c>
      <c r="R94" s="1626">
        <f>IF('[1]BASE'!EI94=0,"",'[1]BASE'!EI94)</f>
      </c>
      <c r="S94" s="1626">
        <f>IF('[1]BASE'!EJ94=0,"",'[1]BASE'!EJ94)</f>
      </c>
      <c r="T94" s="1627"/>
      <c r="U94" s="1624"/>
    </row>
    <row r="95" spans="2:21" s="1618" customFormat="1" ht="19.5" customHeight="1">
      <c r="B95" s="1619"/>
      <c r="C95" s="1625">
        <f>IF('[1]BASE'!C95=0,"",'[1]BASE'!C95)</f>
        <v>71</v>
      </c>
      <c r="D95" s="1625" t="str">
        <f>IF('[1]BASE'!D95=0,"",'[1]BASE'!D95)</f>
        <v>M.BELGRANO - G.RODRIGUEZ</v>
      </c>
      <c r="E95" s="1625">
        <f>IF('[1]BASE'!E95=0,"",'[1]BASE'!E95)</f>
        <v>500</v>
      </c>
      <c r="F95" s="1625">
        <f>IF('[1]BASE'!F95=0,"",'[1]BASE'!F95)</f>
        <v>41.4</v>
      </c>
      <c r="G95" s="1625" t="str">
        <f>IF('[2]BASE'!G95=0,"",'[2]BASE'!G95)</f>
        <v>C</v>
      </c>
      <c r="H95" s="1626">
        <f>IF('[1]BASE'!DY95=0,"",'[1]BASE'!DY95)</f>
      </c>
      <c r="I95" s="1626">
        <f>IF('[1]BASE'!DZ95=0,"",'[1]BASE'!DZ95)</f>
      </c>
      <c r="J95" s="1626">
        <f>IF('[1]BASE'!EA95=0,"",'[1]BASE'!EA95)</f>
      </c>
      <c r="K95" s="1626">
        <f>IF('[1]BASE'!EB95=0,"",'[1]BASE'!EB95)</f>
      </c>
      <c r="L95" s="1626">
        <f>IF('[1]BASE'!EC95=0,"",'[1]BASE'!EC95)</f>
      </c>
      <c r="M95" s="1626">
        <f>IF('[1]BASE'!ED95=0,"",'[1]BASE'!ED95)</f>
      </c>
      <c r="N95" s="1626">
        <f>IF('[1]BASE'!EE95=0,"",'[1]BASE'!EE95)</f>
      </c>
      <c r="O95" s="1626">
        <f>IF('[1]BASE'!EF95=0,"",'[1]BASE'!EF95)</f>
      </c>
      <c r="P95" s="1626">
        <f>IF('[1]BASE'!EG95=0,"",'[1]BASE'!EG95)</f>
      </c>
      <c r="Q95" s="1626">
        <f>IF('[1]BASE'!EH95=0,"",'[1]BASE'!EH95)</f>
      </c>
      <c r="R95" s="1626">
        <f>IF('[1]BASE'!EI95=0,"",'[1]BASE'!EI95)</f>
      </c>
      <c r="S95" s="1626">
        <f>IF('[1]BASE'!EJ95=0,"",'[1]BASE'!EJ95)</f>
      </c>
      <c r="T95" s="1627"/>
      <c r="U95" s="1624"/>
    </row>
    <row r="96" spans="2:21" s="1618" customFormat="1" ht="25.5" customHeight="1" thickBot="1">
      <c r="B96" s="1619"/>
      <c r="C96" s="1628"/>
      <c r="D96" s="1628"/>
      <c r="E96" s="1628"/>
      <c r="F96" s="1629"/>
      <c r="G96" s="1630" t="e">
        <f>IF('[2]BASE'!G96=0,"",'[2]BASE'!G96)</f>
        <v>#REF!</v>
      </c>
      <c r="H96" s="1631"/>
      <c r="I96" s="1631"/>
      <c r="J96" s="1631"/>
      <c r="K96" s="1631"/>
      <c r="L96" s="1631"/>
      <c r="M96" s="1631"/>
      <c r="N96" s="1631"/>
      <c r="O96" s="1631"/>
      <c r="P96" s="1631"/>
      <c r="Q96" s="1631"/>
      <c r="R96" s="1631"/>
      <c r="S96" s="1631"/>
      <c r="T96" s="1627"/>
      <c r="U96" s="1624"/>
    </row>
    <row r="97" spans="2:21" s="1618" customFormat="1" ht="19.5" customHeight="1" thickBot="1" thickTop="1">
      <c r="B97" s="1619"/>
      <c r="C97" s="1632"/>
      <c r="D97" s="1633"/>
      <c r="E97" s="1634" t="s">
        <v>317</v>
      </c>
      <c r="F97" s="1635">
        <f>SUM(F17:F95)-F46-F54-F57-F61-F89</f>
        <v>9902.33</v>
      </c>
      <c r="G97" s="1636"/>
      <c r="H97" s="1637"/>
      <c r="I97" s="1637"/>
      <c r="J97" s="1637"/>
      <c r="K97" s="1637"/>
      <c r="L97" s="1637"/>
      <c r="M97" s="1637"/>
      <c r="N97" s="1637"/>
      <c r="O97" s="1637"/>
      <c r="P97" s="1637"/>
      <c r="Q97" s="1637"/>
      <c r="R97" s="1637"/>
      <c r="S97" s="1637"/>
      <c r="T97" s="1627"/>
      <c r="U97" s="1624"/>
    </row>
    <row r="98" spans="2:21" s="1618" customFormat="1" ht="19.5" customHeight="1" thickBot="1" thickTop="1">
      <c r="B98" s="1619"/>
      <c r="C98" s="1638"/>
      <c r="D98" s="1639"/>
      <c r="E98" s="1640"/>
      <c r="F98" s="1641" t="s">
        <v>318</v>
      </c>
      <c r="H98" s="1642">
        <f aca="true" t="shared" si="0" ref="H98:S98">SUM(H17:H95)</f>
        <v>4</v>
      </c>
      <c r="I98" s="1642">
        <f t="shared" si="0"/>
        <v>2</v>
      </c>
      <c r="J98" s="1642">
        <f t="shared" si="0"/>
        <v>2</v>
      </c>
      <c r="K98" s="1642">
        <f t="shared" si="0"/>
        <v>1</v>
      </c>
      <c r="L98" s="1642">
        <f t="shared" si="0"/>
        <v>1</v>
      </c>
      <c r="M98" s="1642">
        <f t="shared" si="0"/>
        <v>4</v>
      </c>
      <c r="N98" s="1642">
        <f t="shared" si="0"/>
        <v>2</v>
      </c>
      <c r="O98" s="1642">
        <f t="shared" si="0"/>
        <v>3</v>
      </c>
      <c r="P98" s="1642">
        <f t="shared" si="0"/>
        <v>1</v>
      </c>
      <c r="Q98" s="1642">
        <f t="shared" si="0"/>
        <v>3</v>
      </c>
      <c r="R98" s="1642">
        <f t="shared" si="0"/>
        <v>5</v>
      </c>
      <c r="S98" s="1642">
        <f t="shared" si="0"/>
        <v>6</v>
      </c>
      <c r="T98" s="1643"/>
      <c r="U98" s="1624"/>
    </row>
    <row r="99" spans="2:21" s="1618" customFormat="1" ht="19.5" customHeight="1" thickBot="1" thickTop="1">
      <c r="B99" s="1619"/>
      <c r="E99" s="1640"/>
      <c r="F99" s="1641" t="s">
        <v>319</v>
      </c>
      <c r="H99" s="1644">
        <f>'[1]BASE'!DY104</f>
        <v>0.54</v>
      </c>
      <c r="I99" s="1644">
        <f>'[1]BASE'!DZ104</f>
        <v>0.54</v>
      </c>
      <c r="J99" s="1644">
        <f>'[1]BASE'!EA104</f>
        <v>0.52</v>
      </c>
      <c r="K99" s="1644">
        <f>'[1]BASE'!EB104</f>
        <v>0.47</v>
      </c>
      <c r="L99" s="1644">
        <f>'[1]BASE'!EC104</f>
        <v>0.43</v>
      </c>
      <c r="M99" s="1644">
        <f>'[1]BASE'!ED104</f>
        <v>0.36</v>
      </c>
      <c r="N99" s="1644">
        <f>'[1]BASE'!EE104</f>
        <v>0.37</v>
      </c>
      <c r="O99" s="1644">
        <f>'[1]BASE'!EF104</f>
        <v>0.36</v>
      </c>
      <c r="P99" s="1644">
        <f>'[1]BASE'!EG104</f>
        <v>0.34</v>
      </c>
      <c r="Q99" s="1644">
        <f>'[1]BASE'!EH104</f>
        <v>0.34</v>
      </c>
      <c r="R99" s="1644">
        <f>'[1]BASE'!EI104</f>
        <v>0.34</v>
      </c>
      <c r="S99" s="1644">
        <f>'[1]BASE'!EJ104</f>
        <v>0.33</v>
      </c>
      <c r="T99" s="1644">
        <f>'[1]BASE'!EK104</f>
        <v>0.34</v>
      </c>
      <c r="U99" s="1624"/>
    </row>
    <row r="100" spans="2:21" s="1618" customFormat="1" ht="19.5" customHeight="1" thickTop="1">
      <c r="B100" s="1619"/>
      <c r="C100" s="1645"/>
      <c r="D100" s="1646"/>
      <c r="E100" s="1647"/>
      <c r="F100" s="1648"/>
      <c r="G100" s="1645"/>
      <c r="H100" s="1649"/>
      <c r="I100" s="1649"/>
      <c r="J100" s="1649"/>
      <c r="K100" s="1649"/>
      <c r="L100" s="1649"/>
      <c r="M100" s="1649"/>
      <c r="N100" s="1649"/>
      <c r="O100" s="1649"/>
      <c r="P100" s="1649"/>
      <c r="Q100" s="1649"/>
      <c r="R100" s="1649"/>
      <c r="S100" s="1649"/>
      <c r="T100" s="1649"/>
      <c r="U100" s="1624"/>
    </row>
    <row r="101" spans="2:21" s="1618" customFormat="1" ht="19.5" customHeight="1" thickBot="1">
      <c r="B101" s="1619"/>
      <c r="C101" s="1650"/>
      <c r="D101" s="1650"/>
      <c r="E101" s="1651"/>
      <c r="F101" s="1651"/>
      <c r="G101" s="1652"/>
      <c r="H101" s="1651"/>
      <c r="I101" s="1651"/>
      <c r="J101" s="1651"/>
      <c r="K101" s="1651"/>
      <c r="L101" s="1651"/>
      <c r="M101" s="1651"/>
      <c r="N101" s="1651"/>
      <c r="O101" s="1651"/>
      <c r="P101" s="1651"/>
      <c r="Q101" s="1651"/>
      <c r="R101" s="1651"/>
      <c r="S101" s="1651"/>
      <c r="T101" s="1651"/>
      <c r="U101" s="1624"/>
    </row>
    <row r="102" spans="2:21" s="1618" customFormat="1" ht="19.5" customHeight="1" thickBot="1" thickTop="1">
      <c r="B102" s="1619"/>
      <c r="C102" s="1652"/>
      <c r="D102" s="1651"/>
      <c r="E102" s="1583"/>
      <c r="F102" s="1583"/>
      <c r="G102" s="1583"/>
      <c r="H102" s="1653" t="s">
        <v>320</v>
      </c>
      <c r="I102" s="1654"/>
      <c r="J102" s="1655">
        <f>T99</f>
        <v>0.34</v>
      </c>
      <c r="K102" s="1656" t="s">
        <v>321</v>
      </c>
      <c r="L102" s="1657"/>
      <c r="M102" s="1658"/>
      <c r="N102" s="1651"/>
      <c r="O102" s="1651"/>
      <c r="P102" s="1651"/>
      <c r="Q102" s="1651"/>
      <c r="R102" s="1651"/>
      <c r="S102" s="1651"/>
      <c r="T102" s="1651"/>
      <c r="U102" s="1624"/>
    </row>
    <row r="103" spans="2:21" s="1659" customFormat="1" ht="9.75" customHeight="1" thickTop="1">
      <c r="B103" s="1660"/>
      <c r="C103" s="1645"/>
      <c r="D103" s="1646"/>
      <c r="E103" s="1647"/>
      <c r="F103" s="1648"/>
      <c r="G103" s="1645"/>
      <c r="H103" s="1649"/>
      <c r="I103" s="1649"/>
      <c r="J103" s="1649"/>
      <c r="K103" s="1649"/>
      <c r="L103" s="1649"/>
      <c r="M103" s="1649"/>
      <c r="N103" s="1649"/>
      <c r="O103" s="1649"/>
      <c r="P103" s="1649"/>
      <c r="Q103" s="1649"/>
      <c r="R103" s="1649"/>
      <c r="S103" s="1649"/>
      <c r="T103" s="1649"/>
      <c r="U103" s="1661"/>
    </row>
    <row r="104" spans="2:21" s="1598" customFormat="1" ht="9.75" customHeight="1" thickBot="1">
      <c r="B104" s="1662"/>
      <c r="C104" s="1663"/>
      <c r="D104" s="1664"/>
      <c r="E104" s="1664"/>
      <c r="F104" s="1663"/>
      <c r="G104" s="1663"/>
      <c r="H104" s="1664"/>
      <c r="I104" s="1664"/>
      <c r="J104" s="1664"/>
      <c r="K104" s="1664"/>
      <c r="L104" s="1664"/>
      <c r="M104" s="1664"/>
      <c r="N104" s="1664"/>
      <c r="O104" s="1664"/>
      <c r="P104" s="1664"/>
      <c r="Q104" s="1664"/>
      <c r="R104" s="1664"/>
      <c r="S104" s="1664"/>
      <c r="T104" s="1664"/>
      <c r="U104" s="1665"/>
    </row>
    <row r="105" spans="3:7" ht="13.5" thickTop="1">
      <c r="C105" s="1666"/>
      <c r="F105" s="1666"/>
      <c r="G105" s="1666"/>
    </row>
    <row r="106" spans="3:194" ht="12.75">
      <c r="C106" s="1666"/>
      <c r="D106" s="1652"/>
      <c r="E106" s="1652"/>
      <c r="F106" s="1652"/>
      <c r="G106" s="1652"/>
      <c r="H106" s="1667"/>
      <c r="I106" s="1667"/>
      <c r="J106" s="1667"/>
      <c r="K106" s="1667"/>
      <c r="L106" s="1667"/>
      <c r="M106" s="1667"/>
      <c r="N106" s="1667"/>
      <c r="O106" s="1667"/>
      <c r="P106" s="1667"/>
      <c r="Q106" s="1667"/>
      <c r="R106" s="1667"/>
      <c r="S106" s="1667"/>
      <c r="T106" s="1667"/>
      <c r="U106" s="1651"/>
      <c r="V106" s="1651"/>
      <c r="W106" s="1651"/>
      <c r="X106" s="1651"/>
      <c r="Y106" s="1651"/>
      <c r="Z106" s="1651"/>
      <c r="AA106" s="1651"/>
      <c r="AB106" s="1651"/>
      <c r="AC106" s="1651"/>
      <c r="AD106" s="1651"/>
      <c r="AE106" s="1651"/>
      <c r="AF106" s="1651"/>
      <c r="AG106" s="1651"/>
      <c r="AH106" s="1651"/>
      <c r="AI106" s="1651"/>
      <c r="AJ106" s="1651"/>
      <c r="AK106" s="1651"/>
      <c r="AL106" s="1651"/>
      <c r="AM106" s="1651"/>
      <c r="AN106" s="1651"/>
      <c r="AO106" s="1651"/>
      <c r="AP106" s="1651"/>
      <c r="AQ106" s="1651"/>
      <c r="AR106" s="1651"/>
      <c r="AS106" s="1651"/>
      <c r="AT106" s="1651"/>
      <c r="AU106" s="1651"/>
      <c r="AV106" s="1651"/>
      <c r="AW106" s="1651"/>
      <c r="AX106" s="1651"/>
      <c r="AY106" s="1651"/>
      <c r="AZ106" s="1651"/>
      <c r="BA106" s="1651"/>
      <c r="BB106" s="1651"/>
      <c r="BC106" s="1651"/>
      <c r="BD106" s="1651"/>
      <c r="BE106" s="1651"/>
      <c r="BF106" s="1651"/>
      <c r="BG106" s="1651"/>
      <c r="BH106" s="1651"/>
      <c r="BI106" s="1651"/>
      <c r="BJ106" s="1651"/>
      <c r="BK106" s="1651"/>
      <c r="BL106" s="1651"/>
      <c r="BM106" s="1651"/>
      <c r="BN106" s="1651"/>
      <c r="BO106" s="1651"/>
      <c r="BP106" s="1651"/>
      <c r="BQ106" s="1651"/>
      <c r="BR106" s="1651"/>
      <c r="BS106" s="1651"/>
      <c r="BT106" s="1651"/>
      <c r="BU106" s="1651"/>
      <c r="BV106" s="1651"/>
      <c r="BW106" s="1651"/>
      <c r="BX106" s="1651"/>
      <c r="BY106" s="1651"/>
      <c r="BZ106" s="1651"/>
      <c r="CA106" s="1651"/>
      <c r="CB106" s="1651"/>
      <c r="CC106" s="1651"/>
      <c r="CD106" s="1651"/>
      <c r="CE106" s="1651"/>
      <c r="CF106" s="1651"/>
      <c r="CG106" s="1651"/>
      <c r="CH106" s="1651"/>
      <c r="CI106" s="1651"/>
      <c r="CJ106" s="1651"/>
      <c r="CK106" s="1651"/>
      <c r="CL106" s="1651"/>
      <c r="CM106" s="1651"/>
      <c r="CN106" s="1651"/>
      <c r="CO106" s="1651"/>
      <c r="CP106" s="1651"/>
      <c r="CQ106" s="1651"/>
      <c r="CR106" s="1651"/>
      <c r="CS106" s="1651"/>
      <c r="CT106" s="1651"/>
      <c r="CU106" s="1651"/>
      <c r="CV106" s="1651"/>
      <c r="CW106" s="1651"/>
      <c r="CX106" s="1651"/>
      <c r="CY106" s="1651"/>
      <c r="CZ106" s="1651"/>
      <c r="DA106" s="1651"/>
      <c r="DB106" s="1651"/>
      <c r="DC106" s="1651"/>
      <c r="DD106" s="1651"/>
      <c r="DE106" s="1651"/>
      <c r="DF106" s="1651"/>
      <c r="DG106" s="1651"/>
      <c r="DH106" s="1651"/>
      <c r="DI106" s="1651"/>
      <c r="DJ106" s="1651"/>
      <c r="DK106" s="1651"/>
      <c r="DL106" s="1651"/>
      <c r="DM106" s="1651"/>
      <c r="DN106" s="1651"/>
      <c r="DO106" s="1651"/>
      <c r="DP106" s="1651"/>
      <c r="DQ106" s="1651"/>
      <c r="DR106" s="1651"/>
      <c r="DS106" s="1651"/>
      <c r="DT106" s="1651"/>
      <c r="DU106" s="1651"/>
      <c r="DV106" s="1651"/>
      <c r="DW106" s="1651"/>
      <c r="DX106" s="1651"/>
      <c r="DY106" s="1651"/>
      <c r="DZ106" s="1651"/>
      <c r="EA106" s="1651"/>
      <c r="EB106" s="1651"/>
      <c r="EC106" s="1651"/>
      <c r="ED106" s="1651"/>
      <c r="EE106" s="1651"/>
      <c r="EF106" s="1651"/>
      <c r="EG106" s="1651"/>
      <c r="EH106" s="1651"/>
      <c r="EI106" s="1651"/>
      <c r="EJ106" s="1651"/>
      <c r="EK106" s="1651"/>
      <c r="EL106" s="1651"/>
      <c r="EM106" s="1651"/>
      <c r="EN106" s="1651"/>
      <c r="EO106" s="1651"/>
      <c r="EP106" s="1651"/>
      <c r="EQ106" s="1651"/>
      <c r="ER106" s="1651"/>
      <c r="ES106" s="1651"/>
      <c r="ET106" s="1651"/>
      <c r="EU106" s="1651"/>
      <c r="EV106" s="1651"/>
      <c r="EW106" s="1651"/>
      <c r="EX106" s="1651"/>
      <c r="EY106" s="1651"/>
      <c r="EZ106" s="1651"/>
      <c r="FA106" s="1651"/>
      <c r="FB106" s="1651"/>
      <c r="FC106" s="1651"/>
      <c r="FD106" s="1651"/>
      <c r="FE106" s="1651"/>
      <c r="FF106" s="1651"/>
      <c r="FG106" s="1651"/>
      <c r="FH106" s="1651"/>
      <c r="FI106" s="1651"/>
      <c r="FJ106" s="1651"/>
      <c r="FK106" s="1651"/>
      <c r="FL106" s="1651"/>
      <c r="FM106" s="1651"/>
      <c r="FN106" s="1651"/>
      <c r="FO106" s="1651"/>
      <c r="FP106" s="1651"/>
      <c r="FQ106" s="1651"/>
      <c r="FR106" s="1651"/>
      <c r="FS106" s="1651"/>
      <c r="FT106" s="1651"/>
      <c r="FU106" s="1651"/>
      <c r="FV106" s="1651"/>
      <c r="FW106" s="1651"/>
      <c r="FX106" s="1651"/>
      <c r="FY106" s="1651"/>
      <c r="FZ106" s="1651"/>
      <c r="GA106" s="1651"/>
      <c r="GB106" s="1651"/>
      <c r="GC106" s="1651"/>
      <c r="GD106" s="1651"/>
      <c r="GE106" s="1651"/>
      <c r="GF106" s="1651"/>
      <c r="GG106" s="1651"/>
      <c r="GH106" s="1651"/>
      <c r="GI106" s="1651"/>
      <c r="GJ106" s="1651"/>
      <c r="GK106" s="1651"/>
      <c r="GL106" s="1651"/>
    </row>
    <row r="107" spans="3:194" ht="12.75">
      <c r="C107" s="1666"/>
      <c r="D107" s="1652"/>
      <c r="E107" s="1652"/>
      <c r="F107" s="1652"/>
      <c r="G107" s="1652"/>
      <c r="H107" s="1667"/>
      <c r="I107" s="1667"/>
      <c r="J107" s="1667"/>
      <c r="K107" s="1667"/>
      <c r="L107" s="1667"/>
      <c r="M107" s="1667"/>
      <c r="N107" s="1667"/>
      <c r="O107" s="1667"/>
      <c r="P107" s="1667"/>
      <c r="Q107" s="1667"/>
      <c r="R107" s="1667"/>
      <c r="S107" s="1667"/>
      <c r="T107" s="1667"/>
      <c r="U107" s="1651"/>
      <c r="V107" s="1651"/>
      <c r="W107" s="1651"/>
      <c r="X107" s="1651"/>
      <c r="Y107" s="1651"/>
      <c r="Z107" s="1651"/>
      <c r="AA107" s="1651"/>
      <c r="AB107" s="1651"/>
      <c r="AC107" s="1651"/>
      <c r="AD107" s="1651"/>
      <c r="AE107" s="1651"/>
      <c r="AF107" s="1651"/>
      <c r="AG107" s="1651"/>
      <c r="AH107" s="1651"/>
      <c r="AI107" s="1651"/>
      <c r="AJ107" s="1651"/>
      <c r="AK107" s="1651"/>
      <c r="AL107" s="1651"/>
      <c r="AM107" s="1651"/>
      <c r="AN107" s="1651"/>
      <c r="AO107" s="1651"/>
      <c r="AP107" s="1651"/>
      <c r="AQ107" s="1651"/>
      <c r="AR107" s="1651"/>
      <c r="AS107" s="1651"/>
      <c r="AT107" s="1651"/>
      <c r="AU107" s="1651"/>
      <c r="AV107" s="1651"/>
      <c r="AW107" s="1651"/>
      <c r="AX107" s="1651"/>
      <c r="AY107" s="1651"/>
      <c r="AZ107" s="1651"/>
      <c r="BA107" s="1651"/>
      <c r="BB107" s="1651"/>
      <c r="BC107" s="1651"/>
      <c r="BD107" s="1651"/>
      <c r="BE107" s="1651"/>
      <c r="BF107" s="1651"/>
      <c r="BG107" s="1651"/>
      <c r="BH107" s="1651"/>
      <c r="BI107" s="1651"/>
      <c r="BJ107" s="1651"/>
      <c r="BK107" s="1651"/>
      <c r="BL107" s="1651"/>
      <c r="BM107" s="1651"/>
      <c r="BN107" s="1651"/>
      <c r="BO107" s="1651"/>
      <c r="BP107" s="1651"/>
      <c r="BQ107" s="1651"/>
      <c r="BR107" s="1651"/>
      <c r="BS107" s="1651"/>
      <c r="BT107" s="1651"/>
      <c r="BU107" s="1651"/>
      <c r="BV107" s="1651"/>
      <c r="BW107" s="1651"/>
      <c r="BX107" s="1651"/>
      <c r="BY107" s="1651"/>
      <c r="BZ107" s="1651"/>
      <c r="CA107" s="1651"/>
      <c r="CB107" s="1651"/>
      <c r="CC107" s="1651"/>
      <c r="CD107" s="1651"/>
      <c r="CE107" s="1651"/>
      <c r="CF107" s="1651"/>
      <c r="CG107" s="1651"/>
      <c r="CH107" s="1651"/>
      <c r="CI107" s="1651"/>
      <c r="CJ107" s="1651"/>
      <c r="CK107" s="1651"/>
      <c r="CL107" s="1651"/>
      <c r="CM107" s="1651"/>
      <c r="CN107" s="1651"/>
      <c r="CO107" s="1651"/>
      <c r="CP107" s="1651"/>
      <c r="CQ107" s="1651"/>
      <c r="CR107" s="1651"/>
      <c r="CS107" s="1651"/>
      <c r="CT107" s="1651"/>
      <c r="CU107" s="1651"/>
      <c r="CV107" s="1651"/>
      <c r="CW107" s="1651"/>
      <c r="CX107" s="1651"/>
      <c r="CY107" s="1651"/>
      <c r="CZ107" s="1651"/>
      <c r="DA107" s="1651"/>
      <c r="DB107" s="1651"/>
      <c r="DC107" s="1651"/>
      <c r="DD107" s="1651"/>
      <c r="DE107" s="1651"/>
      <c r="DF107" s="1651"/>
      <c r="DG107" s="1651"/>
      <c r="DH107" s="1651"/>
      <c r="DI107" s="1651"/>
      <c r="DJ107" s="1651"/>
      <c r="DK107" s="1651"/>
      <c r="DL107" s="1651"/>
      <c r="DM107" s="1651"/>
      <c r="DN107" s="1651"/>
      <c r="DO107" s="1651"/>
      <c r="DP107" s="1651"/>
      <c r="DQ107" s="1651"/>
      <c r="DR107" s="1651"/>
      <c r="DS107" s="1651"/>
      <c r="DT107" s="1651"/>
      <c r="DU107" s="1651"/>
      <c r="DV107" s="1651"/>
      <c r="DW107" s="1651"/>
      <c r="DX107" s="1651"/>
      <c r="DY107" s="1651"/>
      <c r="DZ107" s="1651"/>
      <c r="EA107" s="1651"/>
      <c r="EB107" s="1651"/>
      <c r="EC107" s="1651"/>
      <c r="ED107" s="1651"/>
      <c r="EE107" s="1651"/>
      <c r="EF107" s="1651"/>
      <c r="EG107" s="1651"/>
      <c r="EH107" s="1651"/>
      <c r="EI107" s="1651"/>
      <c r="EJ107" s="1651"/>
      <c r="EK107" s="1651"/>
      <c r="EL107" s="1651"/>
      <c r="EM107" s="1651"/>
      <c r="EN107" s="1651"/>
      <c r="EO107" s="1651"/>
      <c r="EP107" s="1651"/>
      <c r="EQ107" s="1651"/>
      <c r="ER107" s="1651"/>
      <c r="ES107" s="1651"/>
      <c r="ET107" s="1651"/>
      <c r="EU107" s="1651"/>
      <c r="EV107" s="1651"/>
      <c r="EW107" s="1651"/>
      <c r="EX107" s="1651"/>
      <c r="EY107" s="1651"/>
      <c r="EZ107" s="1651"/>
      <c r="FA107" s="1651"/>
      <c r="FB107" s="1651"/>
      <c r="FC107" s="1651"/>
      <c r="FD107" s="1651"/>
      <c r="FE107" s="1651"/>
      <c r="FF107" s="1651"/>
      <c r="FG107" s="1651"/>
      <c r="FH107" s="1651"/>
      <c r="FI107" s="1651"/>
      <c r="FJ107" s="1651"/>
      <c r="FK107" s="1651"/>
      <c r="FL107" s="1651"/>
      <c r="FM107" s="1651"/>
      <c r="FN107" s="1651"/>
      <c r="FO107" s="1651"/>
      <c r="FP107" s="1651"/>
      <c r="FQ107" s="1651"/>
      <c r="FR107" s="1651"/>
      <c r="FS107" s="1651"/>
      <c r="FT107" s="1651"/>
      <c r="FU107" s="1651"/>
      <c r="FV107" s="1651"/>
      <c r="FW107" s="1651"/>
      <c r="FX107" s="1651"/>
      <c r="FY107" s="1651"/>
      <c r="FZ107" s="1651"/>
      <c r="GA107" s="1651"/>
      <c r="GB107" s="1651"/>
      <c r="GC107" s="1651"/>
      <c r="GD107" s="1651"/>
      <c r="GE107" s="1651"/>
      <c r="GF107" s="1651"/>
      <c r="GG107" s="1651"/>
      <c r="GH107" s="1651"/>
      <c r="GI107" s="1651"/>
      <c r="GJ107" s="1651"/>
      <c r="GK107" s="1651"/>
      <c r="GL107" s="1651"/>
    </row>
    <row r="108" spans="3:194" ht="12.75">
      <c r="C108" s="1666"/>
      <c r="D108" s="1652"/>
      <c r="E108" s="1652"/>
      <c r="F108" s="1652"/>
      <c r="G108" s="1652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51"/>
      <c r="V108" s="1651"/>
      <c r="W108" s="1651"/>
      <c r="X108" s="1651"/>
      <c r="Y108" s="1651"/>
      <c r="Z108" s="1651"/>
      <c r="AA108" s="1651"/>
      <c r="AB108" s="1651"/>
      <c r="AC108" s="1651"/>
      <c r="AD108" s="1651"/>
      <c r="AE108" s="1651"/>
      <c r="AF108" s="1651"/>
      <c r="AG108" s="1651"/>
      <c r="AH108" s="1651"/>
      <c r="AI108" s="1651"/>
      <c r="AJ108" s="1651"/>
      <c r="AK108" s="1651"/>
      <c r="AL108" s="1651"/>
      <c r="AM108" s="1651"/>
      <c r="AN108" s="1651"/>
      <c r="AO108" s="1651"/>
      <c r="AP108" s="1651"/>
      <c r="AQ108" s="1651"/>
      <c r="AR108" s="1651"/>
      <c r="AS108" s="1651"/>
      <c r="AT108" s="1651"/>
      <c r="AU108" s="1651"/>
      <c r="AV108" s="1651"/>
      <c r="AW108" s="1651"/>
      <c r="AX108" s="1651"/>
      <c r="AY108" s="1651"/>
      <c r="AZ108" s="1651"/>
      <c r="BA108" s="1651"/>
      <c r="BB108" s="1651"/>
      <c r="BC108" s="1651"/>
      <c r="BD108" s="1651"/>
      <c r="BE108" s="1651"/>
      <c r="BF108" s="1651"/>
      <c r="BG108" s="1651"/>
      <c r="BH108" s="1651"/>
      <c r="BI108" s="1651"/>
      <c r="BJ108" s="1651"/>
      <c r="BK108" s="1651"/>
      <c r="BL108" s="1651"/>
      <c r="BM108" s="1651"/>
      <c r="BN108" s="1651"/>
      <c r="BO108" s="1651"/>
      <c r="BP108" s="1651"/>
      <c r="BQ108" s="1651"/>
      <c r="BR108" s="1651"/>
      <c r="BS108" s="1651"/>
      <c r="BT108" s="1651"/>
      <c r="BU108" s="1651"/>
      <c r="BV108" s="1651"/>
      <c r="BW108" s="1651"/>
      <c r="BX108" s="1651"/>
      <c r="BY108" s="1651"/>
      <c r="BZ108" s="1651"/>
      <c r="CA108" s="1651"/>
      <c r="CB108" s="1651"/>
      <c r="CC108" s="1651"/>
      <c r="CD108" s="1651"/>
      <c r="CE108" s="1651"/>
      <c r="CF108" s="1651"/>
      <c r="CG108" s="1651"/>
      <c r="CH108" s="1651"/>
      <c r="CI108" s="1651"/>
      <c r="CJ108" s="1651"/>
      <c r="CK108" s="1651"/>
      <c r="CL108" s="1651"/>
      <c r="CM108" s="1651"/>
      <c r="CN108" s="1651"/>
      <c r="CO108" s="1651"/>
      <c r="CP108" s="1651"/>
      <c r="CQ108" s="1651"/>
      <c r="CR108" s="1651"/>
      <c r="CS108" s="1651"/>
      <c r="CT108" s="1651"/>
      <c r="CU108" s="1651"/>
      <c r="CV108" s="1651"/>
      <c r="CW108" s="1651"/>
      <c r="CX108" s="1651"/>
      <c r="CY108" s="1651"/>
      <c r="CZ108" s="1651"/>
      <c r="DA108" s="1651"/>
      <c r="DB108" s="1651"/>
      <c r="DC108" s="1651"/>
      <c r="DD108" s="1651"/>
      <c r="DE108" s="1651"/>
      <c r="DF108" s="1651"/>
      <c r="DG108" s="1651"/>
      <c r="DH108" s="1651"/>
      <c r="DI108" s="1651"/>
      <c r="DJ108" s="1651"/>
      <c r="DK108" s="1651"/>
      <c r="DL108" s="1651"/>
      <c r="DM108" s="1651"/>
      <c r="DN108" s="1651"/>
      <c r="DO108" s="1651"/>
      <c r="DP108" s="1651"/>
      <c r="DQ108" s="1651"/>
      <c r="DR108" s="1651"/>
      <c r="DS108" s="1651"/>
      <c r="DT108" s="1651"/>
      <c r="DU108" s="1651"/>
      <c r="DV108" s="1651"/>
      <c r="DW108" s="1651"/>
      <c r="DX108" s="1651"/>
      <c r="DY108" s="1651"/>
      <c r="DZ108" s="1651"/>
      <c r="EA108" s="1651"/>
      <c r="EB108" s="1651"/>
      <c r="EC108" s="1651"/>
      <c r="ED108" s="1651"/>
      <c r="EE108" s="1651"/>
      <c r="EF108" s="1651"/>
      <c r="EG108" s="1651"/>
      <c r="EH108" s="1651"/>
      <c r="EI108" s="1651"/>
      <c r="EJ108" s="1651"/>
      <c r="EK108" s="1651"/>
      <c r="EL108" s="1651"/>
      <c r="EM108" s="1651"/>
      <c r="EN108" s="1651"/>
      <c r="EO108" s="1651"/>
      <c r="EP108" s="1651"/>
      <c r="EQ108" s="1651"/>
      <c r="ER108" s="1651"/>
      <c r="ES108" s="1651"/>
      <c r="ET108" s="1651"/>
      <c r="EU108" s="1651"/>
      <c r="EV108" s="1651"/>
      <c r="EW108" s="1651"/>
      <c r="EX108" s="1651"/>
      <c r="EY108" s="1651"/>
      <c r="EZ108" s="1651"/>
      <c r="FA108" s="1651"/>
      <c r="FB108" s="1651"/>
      <c r="FC108" s="1651"/>
      <c r="FD108" s="1651"/>
      <c r="FE108" s="1651"/>
      <c r="FF108" s="1651"/>
      <c r="FG108" s="1651"/>
      <c r="FH108" s="1651"/>
      <c r="FI108" s="1651"/>
      <c r="FJ108" s="1651"/>
      <c r="FK108" s="1651"/>
      <c r="FL108" s="1651"/>
      <c r="FM108" s="1651"/>
      <c r="FN108" s="1651"/>
      <c r="FO108" s="1651"/>
      <c r="FP108" s="1651"/>
      <c r="FQ108" s="1651"/>
      <c r="FR108" s="1651"/>
      <c r="FS108" s="1651"/>
      <c r="FT108" s="1651"/>
      <c r="FU108" s="1651"/>
      <c r="FV108" s="1651"/>
      <c r="FW108" s="1651"/>
      <c r="FX108" s="1651"/>
      <c r="FY108" s="1651"/>
      <c r="FZ108" s="1651"/>
      <c r="GA108" s="1651"/>
      <c r="GB108" s="1651"/>
      <c r="GC108" s="1651"/>
      <c r="GD108" s="1651"/>
      <c r="GE108" s="1651"/>
      <c r="GF108" s="1651"/>
      <c r="GG108" s="1651"/>
      <c r="GH108" s="1651"/>
      <c r="GI108" s="1651"/>
      <c r="GJ108" s="1651"/>
      <c r="GK108" s="1651"/>
      <c r="GL108" s="1651"/>
    </row>
    <row r="109" spans="3:194" ht="12.75">
      <c r="C109" s="1666"/>
      <c r="D109" s="1652"/>
      <c r="E109" s="1652"/>
      <c r="F109" s="1652"/>
      <c r="G109" s="1652"/>
      <c r="H109" s="1667"/>
      <c r="I109" s="1667"/>
      <c r="J109" s="1667"/>
      <c r="K109" s="1667"/>
      <c r="L109" s="1667"/>
      <c r="M109" s="1667"/>
      <c r="N109" s="1667"/>
      <c r="O109" s="1667"/>
      <c r="P109" s="1667"/>
      <c r="Q109" s="1667"/>
      <c r="R109" s="1667"/>
      <c r="S109" s="1667"/>
      <c r="T109" s="1667"/>
      <c r="U109" s="1651"/>
      <c r="V109" s="1651"/>
      <c r="W109" s="1651"/>
      <c r="X109" s="1651"/>
      <c r="Y109" s="1651"/>
      <c r="Z109" s="1651"/>
      <c r="AA109" s="1651"/>
      <c r="AB109" s="1651"/>
      <c r="AC109" s="1651"/>
      <c r="AD109" s="1651"/>
      <c r="AE109" s="1651"/>
      <c r="AF109" s="1651"/>
      <c r="AG109" s="1651"/>
      <c r="AH109" s="1651"/>
      <c r="AI109" s="1651"/>
      <c r="AJ109" s="1651"/>
      <c r="AK109" s="1651"/>
      <c r="AL109" s="1651"/>
      <c r="AM109" s="1651"/>
      <c r="AN109" s="1651"/>
      <c r="AO109" s="1651"/>
      <c r="AP109" s="1651"/>
      <c r="AQ109" s="1651"/>
      <c r="AR109" s="1651"/>
      <c r="AS109" s="1651"/>
      <c r="AT109" s="1651"/>
      <c r="AU109" s="1651"/>
      <c r="AV109" s="1651"/>
      <c r="AW109" s="1651"/>
      <c r="AX109" s="1651"/>
      <c r="AY109" s="1651"/>
      <c r="AZ109" s="1651"/>
      <c r="BA109" s="1651"/>
      <c r="BB109" s="1651"/>
      <c r="BC109" s="1651"/>
      <c r="BD109" s="1651"/>
      <c r="BE109" s="1651"/>
      <c r="BF109" s="1651"/>
      <c r="BG109" s="1651"/>
      <c r="BH109" s="1651"/>
      <c r="BI109" s="1651"/>
      <c r="BJ109" s="1651"/>
      <c r="BK109" s="1651"/>
      <c r="BL109" s="1651"/>
      <c r="BM109" s="1651"/>
      <c r="BN109" s="1651"/>
      <c r="BO109" s="1651"/>
      <c r="BP109" s="1651"/>
      <c r="BQ109" s="1651"/>
      <c r="BR109" s="1651"/>
      <c r="BS109" s="1651"/>
      <c r="BT109" s="1651"/>
      <c r="BU109" s="1651"/>
      <c r="BV109" s="1651"/>
      <c r="BW109" s="1651"/>
      <c r="BX109" s="1651"/>
      <c r="BY109" s="1651"/>
      <c r="BZ109" s="1651"/>
      <c r="CA109" s="1651"/>
      <c r="CB109" s="1651"/>
      <c r="CC109" s="1651"/>
      <c r="CD109" s="1651"/>
      <c r="CE109" s="1651"/>
      <c r="CF109" s="1651"/>
      <c r="CG109" s="1651"/>
      <c r="CH109" s="1651"/>
      <c r="CI109" s="1651"/>
      <c r="CJ109" s="1651"/>
      <c r="CK109" s="1651"/>
      <c r="CL109" s="1651"/>
      <c r="CM109" s="1651"/>
      <c r="CN109" s="1651"/>
      <c r="CO109" s="1651"/>
      <c r="CP109" s="1651"/>
      <c r="CQ109" s="1651"/>
      <c r="CR109" s="1651"/>
      <c r="CS109" s="1651"/>
      <c r="CT109" s="1651"/>
      <c r="CU109" s="1651"/>
      <c r="CV109" s="1651"/>
      <c r="CW109" s="1651"/>
      <c r="CX109" s="1651"/>
      <c r="CY109" s="1651"/>
      <c r="CZ109" s="1651"/>
      <c r="DA109" s="1651"/>
      <c r="DB109" s="1651"/>
      <c r="DC109" s="1651"/>
      <c r="DD109" s="1651"/>
      <c r="DE109" s="1651"/>
      <c r="DF109" s="1651"/>
      <c r="DG109" s="1651"/>
      <c r="DH109" s="1651"/>
      <c r="DI109" s="1651"/>
      <c r="DJ109" s="1651"/>
      <c r="DK109" s="1651"/>
      <c r="DL109" s="1651"/>
      <c r="DM109" s="1651"/>
      <c r="DN109" s="1651"/>
      <c r="DO109" s="1651"/>
      <c r="DP109" s="1651"/>
      <c r="DQ109" s="1651"/>
      <c r="DR109" s="1651"/>
      <c r="DS109" s="1651"/>
      <c r="DT109" s="1651"/>
      <c r="DU109" s="1651"/>
      <c r="DV109" s="1651"/>
      <c r="DW109" s="1651"/>
      <c r="DX109" s="1651"/>
      <c r="DY109" s="1651"/>
      <c r="DZ109" s="1651"/>
      <c r="EA109" s="1651"/>
      <c r="EB109" s="1651"/>
      <c r="EC109" s="1651"/>
      <c r="ED109" s="1651"/>
      <c r="EE109" s="1651"/>
      <c r="EF109" s="1651"/>
      <c r="EG109" s="1651"/>
      <c r="EH109" s="1651"/>
      <c r="EI109" s="1651"/>
      <c r="EJ109" s="1651"/>
      <c r="EK109" s="1651"/>
      <c r="EL109" s="1651"/>
      <c r="EM109" s="1651"/>
      <c r="EN109" s="1651"/>
      <c r="EO109" s="1651"/>
      <c r="EP109" s="1651"/>
      <c r="EQ109" s="1651"/>
      <c r="ER109" s="1651"/>
      <c r="ES109" s="1651"/>
      <c r="ET109" s="1651"/>
      <c r="EU109" s="1651"/>
      <c r="EV109" s="1651"/>
      <c r="EW109" s="1651"/>
      <c r="EX109" s="1651"/>
      <c r="EY109" s="1651"/>
      <c r="EZ109" s="1651"/>
      <c r="FA109" s="1651"/>
      <c r="FB109" s="1651"/>
      <c r="FC109" s="1651"/>
      <c r="FD109" s="1651"/>
      <c r="FE109" s="1651"/>
      <c r="FF109" s="1651"/>
      <c r="FG109" s="1651"/>
      <c r="FH109" s="1651"/>
      <c r="FI109" s="1651"/>
      <c r="FJ109" s="1651"/>
      <c r="FK109" s="1651"/>
      <c r="FL109" s="1651"/>
      <c r="FM109" s="1651"/>
      <c r="FN109" s="1651"/>
      <c r="FO109" s="1651"/>
      <c r="FP109" s="1651"/>
      <c r="FQ109" s="1651"/>
      <c r="FR109" s="1651"/>
      <c r="FS109" s="1651"/>
      <c r="FT109" s="1651"/>
      <c r="FU109" s="1651"/>
      <c r="FV109" s="1651"/>
      <c r="FW109" s="1651"/>
      <c r="FX109" s="1651"/>
      <c r="FY109" s="1651"/>
      <c r="FZ109" s="1651"/>
      <c r="GA109" s="1651"/>
      <c r="GB109" s="1651"/>
      <c r="GC109" s="1651"/>
      <c r="GD109" s="1651"/>
      <c r="GE109" s="1651"/>
      <c r="GF109" s="1651"/>
      <c r="GG109" s="1651"/>
      <c r="GH109" s="1651"/>
      <c r="GI109" s="1651"/>
      <c r="GJ109" s="1651"/>
      <c r="GK109" s="1651"/>
      <c r="GL109" s="1651"/>
    </row>
    <row r="110" spans="3:194" ht="12.75">
      <c r="C110" s="1666"/>
      <c r="D110" s="1652"/>
      <c r="E110" s="1652"/>
      <c r="F110" s="1652"/>
      <c r="G110" s="1652"/>
      <c r="H110" s="1667"/>
      <c r="I110" s="1667"/>
      <c r="J110" s="1667"/>
      <c r="K110" s="1667"/>
      <c r="L110" s="1667"/>
      <c r="M110" s="1667"/>
      <c r="N110" s="1667"/>
      <c r="O110" s="1667"/>
      <c r="P110" s="1667"/>
      <c r="Q110" s="1667"/>
      <c r="R110" s="1667"/>
      <c r="S110" s="1667"/>
      <c r="T110" s="1667"/>
      <c r="U110" s="1651"/>
      <c r="V110" s="1651"/>
      <c r="W110" s="1651"/>
      <c r="X110" s="1651"/>
      <c r="Y110" s="1651"/>
      <c r="Z110" s="1651"/>
      <c r="AA110" s="1651"/>
      <c r="AB110" s="1651"/>
      <c r="AC110" s="1651"/>
      <c r="AD110" s="1651"/>
      <c r="AE110" s="1651"/>
      <c r="AF110" s="1651"/>
      <c r="AG110" s="1651"/>
      <c r="AH110" s="1651"/>
      <c r="AI110" s="1651"/>
      <c r="AJ110" s="1651"/>
      <c r="AK110" s="1651"/>
      <c r="AL110" s="1651"/>
      <c r="AM110" s="1651"/>
      <c r="AN110" s="1651"/>
      <c r="AO110" s="1651"/>
      <c r="AP110" s="1651"/>
      <c r="AQ110" s="1651"/>
      <c r="AR110" s="1651"/>
      <c r="AS110" s="1651"/>
      <c r="AT110" s="1651"/>
      <c r="AU110" s="1651"/>
      <c r="AV110" s="1651"/>
      <c r="AW110" s="1651"/>
      <c r="AX110" s="1651"/>
      <c r="AY110" s="1651"/>
      <c r="AZ110" s="1651"/>
      <c r="BA110" s="1651"/>
      <c r="BB110" s="1651"/>
      <c r="BC110" s="1651"/>
      <c r="BD110" s="1651"/>
      <c r="BE110" s="1651"/>
      <c r="BF110" s="1651"/>
      <c r="BG110" s="1651"/>
      <c r="BH110" s="1651"/>
      <c r="BI110" s="1651"/>
      <c r="BJ110" s="1651"/>
      <c r="BK110" s="1651"/>
      <c r="BL110" s="1651"/>
      <c r="BM110" s="1651"/>
      <c r="BN110" s="1651"/>
      <c r="BO110" s="1651"/>
      <c r="BP110" s="1651"/>
      <c r="BQ110" s="1651"/>
      <c r="BR110" s="1651"/>
      <c r="BS110" s="1651"/>
      <c r="BT110" s="1651"/>
      <c r="BU110" s="1651"/>
      <c r="BV110" s="1651"/>
      <c r="BW110" s="1651"/>
      <c r="BX110" s="1651"/>
      <c r="BY110" s="1651"/>
      <c r="BZ110" s="1651"/>
      <c r="CA110" s="1651"/>
      <c r="CB110" s="1651"/>
      <c r="CC110" s="1651"/>
      <c r="CD110" s="1651"/>
      <c r="CE110" s="1651"/>
      <c r="CF110" s="1651"/>
      <c r="CG110" s="1651"/>
      <c r="CH110" s="1651"/>
      <c r="CI110" s="1651"/>
      <c r="CJ110" s="1651"/>
      <c r="CK110" s="1651"/>
      <c r="CL110" s="1651"/>
      <c r="CM110" s="1651"/>
      <c r="CN110" s="1651"/>
      <c r="CO110" s="1651"/>
      <c r="CP110" s="1651"/>
      <c r="CQ110" s="1651"/>
      <c r="CR110" s="1651"/>
      <c r="CS110" s="1651"/>
      <c r="CT110" s="1651"/>
      <c r="CU110" s="1651"/>
      <c r="CV110" s="1651"/>
      <c r="CW110" s="1651"/>
      <c r="CX110" s="1651"/>
      <c r="CY110" s="1651"/>
      <c r="CZ110" s="1651"/>
      <c r="DA110" s="1651"/>
      <c r="DB110" s="1651"/>
      <c r="DC110" s="1651"/>
      <c r="DD110" s="1651"/>
      <c r="DE110" s="1651"/>
      <c r="DF110" s="1651"/>
      <c r="DG110" s="1651"/>
      <c r="DH110" s="1651"/>
      <c r="DI110" s="1651"/>
      <c r="DJ110" s="1651"/>
      <c r="DK110" s="1651"/>
      <c r="DL110" s="1651"/>
      <c r="DM110" s="1651"/>
      <c r="DN110" s="1651"/>
      <c r="DO110" s="1651"/>
      <c r="DP110" s="1651"/>
      <c r="DQ110" s="1651"/>
      <c r="DR110" s="1651"/>
      <c r="DS110" s="1651"/>
      <c r="DT110" s="1651"/>
      <c r="DU110" s="1651"/>
      <c r="DV110" s="1651"/>
      <c r="DW110" s="1651"/>
      <c r="DX110" s="1651"/>
      <c r="DY110" s="1651"/>
      <c r="DZ110" s="1651"/>
      <c r="EA110" s="1651"/>
      <c r="EB110" s="1651"/>
      <c r="EC110" s="1651"/>
      <c r="ED110" s="1651"/>
      <c r="EE110" s="1651"/>
      <c r="EF110" s="1651"/>
      <c r="EG110" s="1651"/>
      <c r="EH110" s="1651"/>
      <c r="EI110" s="1651"/>
      <c r="EJ110" s="1651"/>
      <c r="EK110" s="1651"/>
      <c r="EL110" s="1651"/>
      <c r="EM110" s="1651"/>
      <c r="EN110" s="1651"/>
      <c r="EO110" s="1651"/>
      <c r="EP110" s="1651"/>
      <c r="EQ110" s="1651"/>
      <c r="ER110" s="1651"/>
      <c r="ES110" s="1651"/>
      <c r="ET110" s="1651"/>
      <c r="EU110" s="1651"/>
      <c r="EV110" s="1651"/>
      <c r="EW110" s="1651"/>
      <c r="EX110" s="1651"/>
      <c r="EY110" s="1651"/>
      <c r="EZ110" s="1651"/>
      <c r="FA110" s="1651"/>
      <c r="FB110" s="1651"/>
      <c r="FC110" s="1651"/>
      <c r="FD110" s="1651"/>
      <c r="FE110" s="1651"/>
      <c r="FF110" s="1651"/>
      <c r="FG110" s="1651"/>
      <c r="FH110" s="1651"/>
      <c r="FI110" s="1651"/>
      <c r="FJ110" s="1651"/>
      <c r="FK110" s="1651"/>
      <c r="FL110" s="1651"/>
      <c r="FM110" s="1651"/>
      <c r="FN110" s="1651"/>
      <c r="FO110" s="1651"/>
      <c r="FP110" s="1651"/>
      <c r="FQ110" s="1651"/>
      <c r="FR110" s="1651"/>
      <c r="FS110" s="1651"/>
      <c r="FT110" s="1651"/>
      <c r="FU110" s="1651"/>
      <c r="FV110" s="1651"/>
      <c r="FW110" s="1651"/>
      <c r="FX110" s="1651"/>
      <c r="FY110" s="1651"/>
      <c r="FZ110" s="1651"/>
      <c r="GA110" s="1651"/>
      <c r="GB110" s="1651"/>
      <c r="GC110" s="1651"/>
      <c r="GD110" s="1651"/>
      <c r="GE110" s="1651"/>
      <c r="GF110" s="1651"/>
      <c r="GG110" s="1651"/>
      <c r="GH110" s="1651"/>
      <c r="GI110" s="1651"/>
      <c r="GJ110" s="1651"/>
      <c r="GK110" s="1651"/>
      <c r="GL110" s="1651"/>
    </row>
    <row r="111" spans="3:194" ht="12.75">
      <c r="C111" s="1666"/>
      <c r="D111" s="1652"/>
      <c r="E111" s="1652"/>
      <c r="F111" s="1652"/>
      <c r="G111" s="1652"/>
      <c r="H111" s="1667"/>
      <c r="I111" s="1667"/>
      <c r="J111" s="1667"/>
      <c r="K111" s="1667"/>
      <c r="L111" s="1667"/>
      <c r="M111" s="1667"/>
      <c r="N111" s="1667"/>
      <c r="O111" s="1667"/>
      <c r="P111" s="1667"/>
      <c r="Q111" s="1667"/>
      <c r="R111" s="1667"/>
      <c r="S111" s="1667"/>
      <c r="T111" s="1667"/>
      <c r="U111" s="1651"/>
      <c r="V111" s="1651"/>
      <c r="W111" s="1651"/>
      <c r="X111" s="1651"/>
      <c r="Y111" s="1651"/>
      <c r="Z111" s="1651"/>
      <c r="AA111" s="1651"/>
      <c r="AB111" s="1651"/>
      <c r="AC111" s="1651"/>
      <c r="AD111" s="1651"/>
      <c r="AE111" s="1651"/>
      <c r="AF111" s="1651"/>
      <c r="AG111" s="1651"/>
      <c r="AH111" s="1651"/>
      <c r="AI111" s="1651"/>
      <c r="AJ111" s="1651"/>
      <c r="AK111" s="1651"/>
      <c r="AL111" s="1651"/>
      <c r="AM111" s="1651"/>
      <c r="AN111" s="1651"/>
      <c r="AO111" s="1651"/>
      <c r="AP111" s="1651"/>
      <c r="AQ111" s="1651"/>
      <c r="AR111" s="1651"/>
      <c r="AS111" s="1651"/>
      <c r="AT111" s="1651"/>
      <c r="AU111" s="1651"/>
      <c r="AV111" s="1651"/>
      <c r="AW111" s="1651"/>
      <c r="AX111" s="1651"/>
      <c r="AY111" s="1651"/>
      <c r="AZ111" s="1651"/>
      <c r="BA111" s="1651"/>
      <c r="BB111" s="1651"/>
      <c r="BC111" s="1651"/>
      <c r="BD111" s="1651"/>
      <c r="BE111" s="1651"/>
      <c r="BF111" s="1651"/>
      <c r="BG111" s="1651"/>
      <c r="BH111" s="1651"/>
      <c r="BI111" s="1651"/>
      <c r="BJ111" s="1651"/>
      <c r="BK111" s="1651"/>
      <c r="BL111" s="1651"/>
      <c r="BM111" s="1651"/>
      <c r="BN111" s="1651"/>
      <c r="BO111" s="1651"/>
      <c r="BP111" s="1651"/>
      <c r="BQ111" s="1651"/>
      <c r="BR111" s="1651"/>
      <c r="BS111" s="1651"/>
      <c r="BT111" s="1651"/>
      <c r="BU111" s="1651"/>
      <c r="BV111" s="1651"/>
      <c r="BW111" s="1651"/>
      <c r="BX111" s="1651"/>
      <c r="BY111" s="1651"/>
      <c r="BZ111" s="1651"/>
      <c r="CA111" s="1651"/>
      <c r="CB111" s="1651"/>
      <c r="CC111" s="1651"/>
      <c r="CD111" s="1651"/>
      <c r="CE111" s="1651"/>
      <c r="CF111" s="1651"/>
      <c r="CG111" s="1651"/>
      <c r="CH111" s="1651"/>
      <c r="CI111" s="1651"/>
      <c r="CJ111" s="1651"/>
      <c r="CK111" s="1651"/>
      <c r="CL111" s="1651"/>
      <c r="CM111" s="1651"/>
      <c r="CN111" s="1651"/>
      <c r="CO111" s="1651"/>
      <c r="CP111" s="1651"/>
      <c r="CQ111" s="1651"/>
      <c r="CR111" s="1651"/>
      <c r="CS111" s="1651"/>
      <c r="CT111" s="1651"/>
      <c r="CU111" s="1651"/>
      <c r="CV111" s="1651"/>
      <c r="CW111" s="1651"/>
      <c r="CX111" s="1651"/>
      <c r="CY111" s="1651"/>
      <c r="CZ111" s="1651"/>
      <c r="DA111" s="1651"/>
      <c r="DB111" s="1651"/>
      <c r="DC111" s="1651"/>
      <c r="DD111" s="1651"/>
      <c r="DE111" s="1651"/>
      <c r="DF111" s="1651"/>
      <c r="DG111" s="1651"/>
      <c r="DH111" s="1651"/>
      <c r="DI111" s="1651"/>
      <c r="DJ111" s="1651"/>
      <c r="DK111" s="1651"/>
      <c r="DL111" s="1651"/>
      <c r="DM111" s="1651"/>
      <c r="DN111" s="1651"/>
      <c r="DO111" s="1651"/>
      <c r="DP111" s="1651"/>
      <c r="DQ111" s="1651"/>
      <c r="DR111" s="1651"/>
      <c r="DS111" s="1651"/>
      <c r="DT111" s="1651"/>
      <c r="DU111" s="1651"/>
      <c r="DV111" s="1651"/>
      <c r="DW111" s="1651"/>
      <c r="DX111" s="1651"/>
      <c r="DY111" s="1651"/>
      <c r="DZ111" s="1651"/>
      <c r="EA111" s="1651"/>
      <c r="EB111" s="1651"/>
      <c r="EC111" s="1651"/>
      <c r="ED111" s="1651"/>
      <c r="EE111" s="1651"/>
      <c r="EF111" s="1651"/>
      <c r="EG111" s="1651"/>
      <c r="EH111" s="1651"/>
      <c r="EI111" s="1651"/>
      <c r="EJ111" s="1651"/>
      <c r="EK111" s="1651"/>
      <c r="EL111" s="1651"/>
      <c r="EM111" s="1651"/>
      <c r="EN111" s="1651"/>
      <c r="EO111" s="1651"/>
      <c r="EP111" s="1651"/>
      <c r="EQ111" s="1651"/>
      <c r="ER111" s="1651"/>
      <c r="ES111" s="1651"/>
      <c r="ET111" s="1651"/>
      <c r="EU111" s="1651"/>
      <c r="EV111" s="1651"/>
      <c r="EW111" s="1651"/>
      <c r="EX111" s="1651"/>
      <c r="EY111" s="1651"/>
      <c r="EZ111" s="1651"/>
      <c r="FA111" s="1651"/>
      <c r="FB111" s="1651"/>
      <c r="FC111" s="1651"/>
      <c r="FD111" s="1651"/>
      <c r="FE111" s="1651"/>
      <c r="FF111" s="1651"/>
      <c r="FG111" s="1651"/>
      <c r="FH111" s="1651"/>
      <c r="FI111" s="1651"/>
      <c r="FJ111" s="1651"/>
      <c r="FK111" s="1651"/>
      <c r="FL111" s="1651"/>
      <c r="FM111" s="1651"/>
      <c r="FN111" s="1651"/>
      <c r="FO111" s="1651"/>
      <c r="FP111" s="1651"/>
      <c r="FQ111" s="1651"/>
      <c r="FR111" s="1651"/>
      <c r="FS111" s="1651"/>
      <c r="FT111" s="1651"/>
      <c r="FU111" s="1651"/>
      <c r="FV111" s="1651"/>
      <c r="FW111" s="1651"/>
      <c r="FX111" s="1651"/>
      <c r="FY111" s="1651"/>
      <c r="FZ111" s="1651"/>
      <c r="GA111" s="1651"/>
      <c r="GB111" s="1651"/>
      <c r="GC111" s="1651"/>
      <c r="GD111" s="1651"/>
      <c r="GE111" s="1651"/>
      <c r="GF111" s="1651"/>
      <c r="GG111" s="1651"/>
      <c r="GH111" s="1651"/>
      <c r="GI111" s="1651"/>
      <c r="GJ111" s="1651"/>
      <c r="GK111" s="1651"/>
      <c r="GL111" s="1651"/>
    </row>
    <row r="112" spans="3:194" ht="12.75">
      <c r="C112" s="1666"/>
      <c r="D112" s="1652"/>
      <c r="E112" s="1652"/>
      <c r="F112" s="1652"/>
      <c r="G112" s="1652"/>
      <c r="H112" s="1667"/>
      <c r="I112" s="1667"/>
      <c r="J112" s="1667"/>
      <c r="K112" s="1667"/>
      <c r="L112" s="1667"/>
      <c r="M112" s="1667"/>
      <c r="N112" s="1667"/>
      <c r="O112" s="1667"/>
      <c r="P112" s="1667"/>
      <c r="Q112" s="1667"/>
      <c r="R112" s="1667"/>
      <c r="S112" s="1667"/>
      <c r="T112" s="1667"/>
      <c r="U112" s="1651"/>
      <c r="V112" s="1651"/>
      <c r="W112" s="1651"/>
      <c r="X112" s="1651"/>
      <c r="Y112" s="1651"/>
      <c r="Z112" s="1651"/>
      <c r="AA112" s="1651"/>
      <c r="AB112" s="1651"/>
      <c r="AC112" s="1651"/>
      <c r="AD112" s="1651"/>
      <c r="AE112" s="1651"/>
      <c r="AF112" s="1651"/>
      <c r="AG112" s="1651"/>
      <c r="AH112" s="1651"/>
      <c r="AI112" s="1651"/>
      <c r="AJ112" s="1651"/>
      <c r="AK112" s="1651"/>
      <c r="AL112" s="1651"/>
      <c r="AM112" s="1651"/>
      <c r="AN112" s="1651"/>
      <c r="AO112" s="1651"/>
      <c r="AP112" s="1651"/>
      <c r="AQ112" s="1651"/>
      <c r="AR112" s="1651"/>
      <c r="AS112" s="1651"/>
      <c r="AT112" s="1651"/>
      <c r="AU112" s="1651"/>
      <c r="AV112" s="1651"/>
      <c r="AW112" s="1651"/>
      <c r="AX112" s="1651"/>
      <c r="AY112" s="1651"/>
      <c r="AZ112" s="1651"/>
      <c r="BA112" s="1651"/>
      <c r="BB112" s="1651"/>
      <c r="BC112" s="1651"/>
      <c r="BD112" s="1651"/>
      <c r="BE112" s="1651"/>
      <c r="BF112" s="1651"/>
      <c r="BG112" s="1651"/>
      <c r="BH112" s="1651"/>
      <c r="BI112" s="1651"/>
      <c r="BJ112" s="1651"/>
      <c r="BK112" s="1651"/>
      <c r="BL112" s="1651"/>
      <c r="BM112" s="1651"/>
      <c r="BN112" s="1651"/>
      <c r="BO112" s="1651"/>
      <c r="BP112" s="1651"/>
      <c r="BQ112" s="1651"/>
      <c r="BR112" s="1651"/>
      <c r="BS112" s="1651"/>
      <c r="BT112" s="1651"/>
      <c r="BU112" s="1651"/>
      <c r="BV112" s="1651"/>
      <c r="BW112" s="1651"/>
      <c r="BX112" s="1651"/>
      <c r="BY112" s="1651"/>
      <c r="BZ112" s="1651"/>
      <c r="CA112" s="1651"/>
      <c r="CB112" s="1651"/>
      <c r="CC112" s="1651"/>
      <c r="CD112" s="1651"/>
      <c r="CE112" s="1651"/>
      <c r="CF112" s="1651"/>
      <c r="CG112" s="1651"/>
      <c r="CH112" s="1651"/>
      <c r="CI112" s="1651"/>
      <c r="CJ112" s="1651"/>
      <c r="CK112" s="1651"/>
      <c r="CL112" s="1651"/>
      <c r="CM112" s="1651"/>
      <c r="CN112" s="1651"/>
      <c r="CO112" s="1651"/>
      <c r="CP112" s="1651"/>
      <c r="CQ112" s="1651"/>
      <c r="CR112" s="1651"/>
      <c r="CS112" s="1651"/>
      <c r="CT112" s="1651"/>
      <c r="CU112" s="1651"/>
      <c r="CV112" s="1651"/>
      <c r="CW112" s="1651"/>
      <c r="CX112" s="1651"/>
      <c r="CY112" s="1651"/>
      <c r="CZ112" s="1651"/>
      <c r="DA112" s="1651"/>
      <c r="DB112" s="1651"/>
      <c r="DC112" s="1651"/>
      <c r="DD112" s="1651"/>
      <c r="DE112" s="1651"/>
      <c r="DF112" s="1651"/>
      <c r="DG112" s="1651"/>
      <c r="DH112" s="1651"/>
      <c r="DI112" s="1651"/>
      <c r="DJ112" s="1651"/>
      <c r="DK112" s="1651"/>
      <c r="DL112" s="1651"/>
      <c r="DM112" s="1651"/>
      <c r="DN112" s="1651"/>
      <c r="DO112" s="1651"/>
      <c r="DP112" s="1651"/>
      <c r="DQ112" s="1651"/>
      <c r="DR112" s="1651"/>
      <c r="DS112" s="1651"/>
      <c r="DT112" s="1651"/>
      <c r="DU112" s="1651"/>
      <c r="DV112" s="1651"/>
      <c r="DW112" s="1651"/>
      <c r="DX112" s="1651"/>
      <c r="DY112" s="1651"/>
      <c r="DZ112" s="1651"/>
      <c r="EA112" s="1651"/>
      <c r="EB112" s="1651"/>
      <c r="EC112" s="1651"/>
      <c r="ED112" s="1651"/>
      <c r="EE112" s="1651"/>
      <c r="EF112" s="1651"/>
      <c r="EG112" s="1651"/>
      <c r="EH112" s="1651"/>
      <c r="EI112" s="1651"/>
      <c r="EJ112" s="1651"/>
      <c r="EK112" s="1651"/>
      <c r="EL112" s="1651"/>
      <c r="EM112" s="1651"/>
      <c r="EN112" s="1651"/>
      <c r="EO112" s="1651"/>
      <c r="EP112" s="1651"/>
      <c r="EQ112" s="1651"/>
      <c r="ER112" s="1651"/>
      <c r="ES112" s="1651"/>
      <c r="ET112" s="1651"/>
      <c r="EU112" s="1651"/>
      <c r="EV112" s="1651"/>
      <c r="EW112" s="1651"/>
      <c r="EX112" s="1651"/>
      <c r="EY112" s="1651"/>
      <c r="EZ112" s="1651"/>
      <c r="FA112" s="1651"/>
      <c r="FB112" s="1651"/>
      <c r="FC112" s="1651"/>
      <c r="FD112" s="1651"/>
      <c r="FE112" s="1651"/>
      <c r="FF112" s="1651"/>
      <c r="FG112" s="1651"/>
      <c r="FH112" s="1651"/>
      <c r="FI112" s="1651"/>
      <c r="FJ112" s="1651"/>
      <c r="FK112" s="1651"/>
      <c r="FL112" s="1651"/>
      <c r="FM112" s="1651"/>
      <c r="FN112" s="1651"/>
      <c r="FO112" s="1651"/>
      <c r="FP112" s="1651"/>
      <c r="FQ112" s="1651"/>
      <c r="FR112" s="1651"/>
      <c r="FS112" s="1651"/>
      <c r="FT112" s="1651"/>
      <c r="FU112" s="1651"/>
      <c r="FV112" s="1651"/>
      <c r="FW112" s="1651"/>
      <c r="FX112" s="1651"/>
      <c r="FY112" s="1651"/>
      <c r="FZ112" s="1651"/>
      <c r="GA112" s="1651"/>
      <c r="GB112" s="1651"/>
      <c r="GC112" s="1651"/>
      <c r="GD112" s="1651"/>
      <c r="GE112" s="1651"/>
      <c r="GF112" s="1651"/>
      <c r="GG112" s="1651"/>
      <c r="GH112" s="1651"/>
      <c r="GI112" s="1651"/>
      <c r="GJ112" s="1651"/>
      <c r="GK112" s="1651"/>
      <c r="GL112" s="1651"/>
    </row>
    <row r="113" spans="3:194" ht="12.75">
      <c r="C113" s="1666"/>
      <c r="D113" s="1652"/>
      <c r="E113" s="1652"/>
      <c r="F113" s="1652"/>
      <c r="G113" s="1652"/>
      <c r="H113" s="1667"/>
      <c r="I113" s="1667"/>
      <c r="J113" s="1667"/>
      <c r="K113" s="1667"/>
      <c r="L113" s="1667"/>
      <c r="M113" s="1667"/>
      <c r="N113" s="1667"/>
      <c r="O113" s="1667"/>
      <c r="P113" s="1667"/>
      <c r="Q113" s="1667"/>
      <c r="R113" s="1667"/>
      <c r="S113" s="1667"/>
      <c r="T113" s="1667"/>
      <c r="U113" s="1651"/>
      <c r="V113" s="1651"/>
      <c r="W113" s="1651"/>
      <c r="X113" s="1651"/>
      <c r="Y113" s="1651"/>
      <c r="Z113" s="1651"/>
      <c r="AA113" s="1651"/>
      <c r="AB113" s="1651"/>
      <c r="AC113" s="1651"/>
      <c r="AD113" s="1651"/>
      <c r="AE113" s="1651"/>
      <c r="AF113" s="1651"/>
      <c r="AG113" s="1651"/>
      <c r="AH113" s="1651"/>
      <c r="AI113" s="1651"/>
      <c r="AJ113" s="1651"/>
      <c r="AK113" s="1651"/>
      <c r="AL113" s="1651"/>
      <c r="AM113" s="1651"/>
      <c r="AN113" s="1651"/>
      <c r="AO113" s="1651"/>
      <c r="AP113" s="1651"/>
      <c r="AQ113" s="1651"/>
      <c r="AR113" s="1651"/>
      <c r="AS113" s="1651"/>
      <c r="AT113" s="1651"/>
      <c r="AU113" s="1651"/>
      <c r="AV113" s="1651"/>
      <c r="AW113" s="1651"/>
      <c r="AX113" s="1651"/>
      <c r="AY113" s="1651"/>
      <c r="AZ113" s="1651"/>
      <c r="BA113" s="1651"/>
      <c r="BB113" s="1651"/>
      <c r="BC113" s="1651"/>
      <c r="BD113" s="1651"/>
      <c r="BE113" s="1651"/>
      <c r="BF113" s="1651"/>
      <c r="BG113" s="1651"/>
      <c r="BH113" s="1651"/>
      <c r="BI113" s="1651"/>
      <c r="BJ113" s="1651"/>
      <c r="BK113" s="1651"/>
      <c r="BL113" s="1651"/>
      <c r="BM113" s="1651"/>
      <c r="BN113" s="1651"/>
      <c r="BO113" s="1651"/>
      <c r="BP113" s="1651"/>
      <c r="BQ113" s="1651"/>
      <c r="BR113" s="1651"/>
      <c r="BS113" s="1651"/>
      <c r="BT113" s="1651"/>
      <c r="BU113" s="1651"/>
      <c r="BV113" s="1651"/>
      <c r="BW113" s="1651"/>
      <c r="BX113" s="1651"/>
      <c r="BY113" s="1651"/>
      <c r="BZ113" s="1651"/>
      <c r="CA113" s="1651"/>
      <c r="CB113" s="1651"/>
      <c r="CC113" s="1651"/>
      <c r="CD113" s="1651"/>
      <c r="CE113" s="1651"/>
      <c r="CF113" s="1651"/>
      <c r="CG113" s="1651"/>
      <c r="CH113" s="1651"/>
      <c r="CI113" s="1651"/>
      <c r="CJ113" s="1651"/>
      <c r="CK113" s="1651"/>
      <c r="CL113" s="1651"/>
      <c r="CM113" s="1651"/>
      <c r="CN113" s="1651"/>
      <c r="CO113" s="1651"/>
      <c r="CP113" s="1651"/>
      <c r="CQ113" s="1651"/>
      <c r="CR113" s="1651"/>
      <c r="CS113" s="1651"/>
      <c r="CT113" s="1651"/>
      <c r="CU113" s="1651"/>
      <c r="CV113" s="1651"/>
      <c r="CW113" s="1651"/>
      <c r="CX113" s="1651"/>
      <c r="CY113" s="1651"/>
      <c r="CZ113" s="1651"/>
      <c r="DA113" s="1651"/>
      <c r="DB113" s="1651"/>
      <c r="DC113" s="1651"/>
      <c r="DD113" s="1651"/>
      <c r="DE113" s="1651"/>
      <c r="DF113" s="1651"/>
      <c r="DG113" s="1651"/>
      <c r="DH113" s="1651"/>
      <c r="DI113" s="1651"/>
      <c r="DJ113" s="1651"/>
      <c r="DK113" s="1651"/>
      <c r="DL113" s="1651"/>
      <c r="DM113" s="1651"/>
      <c r="DN113" s="1651"/>
      <c r="DO113" s="1651"/>
      <c r="DP113" s="1651"/>
      <c r="DQ113" s="1651"/>
      <c r="DR113" s="1651"/>
      <c r="DS113" s="1651"/>
      <c r="DT113" s="1651"/>
      <c r="DU113" s="1651"/>
      <c r="DV113" s="1651"/>
      <c r="DW113" s="1651"/>
      <c r="DX113" s="1651"/>
      <c r="DY113" s="1651"/>
      <c r="DZ113" s="1651"/>
      <c r="EA113" s="1651"/>
      <c r="EB113" s="1651"/>
      <c r="EC113" s="1651"/>
      <c r="ED113" s="1651"/>
      <c r="EE113" s="1651"/>
      <c r="EF113" s="1651"/>
      <c r="EG113" s="1651"/>
      <c r="EH113" s="1651"/>
      <c r="EI113" s="1651"/>
      <c r="EJ113" s="1651"/>
      <c r="EK113" s="1651"/>
      <c r="EL113" s="1651"/>
      <c r="EM113" s="1651"/>
      <c r="EN113" s="1651"/>
      <c r="EO113" s="1651"/>
      <c r="EP113" s="1651"/>
      <c r="EQ113" s="1651"/>
      <c r="ER113" s="1651"/>
      <c r="ES113" s="1651"/>
      <c r="ET113" s="1651"/>
      <c r="EU113" s="1651"/>
      <c r="EV113" s="1651"/>
      <c r="EW113" s="1651"/>
      <c r="EX113" s="1651"/>
      <c r="EY113" s="1651"/>
      <c r="EZ113" s="1651"/>
      <c r="FA113" s="1651"/>
      <c r="FB113" s="1651"/>
      <c r="FC113" s="1651"/>
      <c r="FD113" s="1651"/>
      <c r="FE113" s="1651"/>
      <c r="FF113" s="1651"/>
      <c r="FG113" s="1651"/>
      <c r="FH113" s="1651"/>
      <c r="FI113" s="1651"/>
      <c r="FJ113" s="1651"/>
      <c r="FK113" s="1651"/>
      <c r="FL113" s="1651"/>
      <c r="FM113" s="1651"/>
      <c r="FN113" s="1651"/>
      <c r="FO113" s="1651"/>
      <c r="FP113" s="1651"/>
      <c r="FQ113" s="1651"/>
      <c r="FR113" s="1651"/>
      <c r="FS113" s="1651"/>
      <c r="FT113" s="1651"/>
      <c r="FU113" s="1651"/>
      <c r="FV113" s="1651"/>
      <c r="FW113" s="1651"/>
      <c r="FX113" s="1651"/>
      <c r="FY113" s="1651"/>
      <c r="FZ113" s="1651"/>
      <c r="GA113" s="1651"/>
      <c r="GB113" s="1651"/>
      <c r="GC113" s="1651"/>
      <c r="GD113" s="1651"/>
      <c r="GE113" s="1651"/>
      <c r="GF113" s="1651"/>
      <c r="GG113" s="1651"/>
      <c r="GH113" s="1651"/>
      <c r="GI113" s="1651"/>
      <c r="GJ113" s="1651"/>
      <c r="GK113" s="1651"/>
      <c r="GL113" s="1651"/>
    </row>
    <row r="114" spans="3:194" ht="12.75">
      <c r="C114" s="1666"/>
      <c r="D114" s="1652"/>
      <c r="E114" s="1652"/>
      <c r="F114" s="1652"/>
      <c r="G114" s="1652"/>
      <c r="H114" s="1652"/>
      <c r="I114" s="1652"/>
      <c r="J114" s="1652"/>
      <c r="K114" s="1652"/>
      <c r="L114" s="1652"/>
      <c r="M114" s="1652"/>
      <c r="N114" s="1652"/>
      <c r="O114" s="1652"/>
      <c r="P114" s="1652"/>
      <c r="Q114" s="1652"/>
      <c r="R114" s="1652"/>
      <c r="S114" s="1652"/>
      <c r="T114" s="1652"/>
      <c r="U114" s="1651"/>
      <c r="V114" s="1651"/>
      <c r="W114" s="1651"/>
      <c r="X114" s="1651"/>
      <c r="Y114" s="1651"/>
      <c r="Z114" s="1651"/>
      <c r="AA114" s="1651"/>
      <c r="AB114" s="1651"/>
      <c r="AC114" s="1651"/>
      <c r="AD114" s="1651"/>
      <c r="AE114" s="1651"/>
      <c r="AF114" s="1651"/>
      <c r="AG114" s="1651"/>
      <c r="AH114" s="1651"/>
      <c r="AI114" s="1651"/>
      <c r="AJ114" s="1651"/>
      <c r="AK114" s="1651"/>
      <c r="AL114" s="1651"/>
      <c r="AM114" s="1651"/>
      <c r="AN114" s="1651"/>
      <c r="AO114" s="1651"/>
      <c r="AP114" s="1651"/>
      <c r="AQ114" s="1651"/>
      <c r="AR114" s="1651"/>
      <c r="AS114" s="1651"/>
      <c r="AT114" s="1651"/>
      <c r="AU114" s="1651"/>
      <c r="AV114" s="1651"/>
      <c r="AW114" s="1651"/>
      <c r="AX114" s="1651"/>
      <c r="AY114" s="1651"/>
      <c r="AZ114" s="1651"/>
      <c r="BA114" s="1651"/>
      <c r="BB114" s="1651"/>
      <c r="BC114" s="1651"/>
      <c r="BD114" s="1651"/>
      <c r="BE114" s="1651"/>
      <c r="BF114" s="1651"/>
      <c r="BG114" s="1651"/>
      <c r="BH114" s="1651"/>
      <c r="BI114" s="1651"/>
      <c r="BJ114" s="1651"/>
      <c r="BK114" s="1651"/>
      <c r="BL114" s="1651"/>
      <c r="BM114" s="1651"/>
      <c r="BN114" s="1651"/>
      <c r="BO114" s="1651"/>
      <c r="BP114" s="1651"/>
      <c r="BQ114" s="1651"/>
      <c r="BR114" s="1651"/>
      <c r="BS114" s="1651"/>
      <c r="BT114" s="1651"/>
      <c r="BU114" s="1651"/>
      <c r="BV114" s="1651"/>
      <c r="BW114" s="1651"/>
      <c r="BX114" s="1651"/>
      <c r="BY114" s="1651"/>
      <c r="BZ114" s="1651"/>
      <c r="CA114" s="1651"/>
      <c r="CB114" s="1651"/>
      <c r="CC114" s="1651"/>
      <c r="CD114" s="1651"/>
      <c r="CE114" s="1651"/>
      <c r="CF114" s="1651"/>
      <c r="CG114" s="1651"/>
      <c r="CH114" s="1651"/>
      <c r="CI114" s="1651"/>
      <c r="CJ114" s="1651"/>
      <c r="CK114" s="1651"/>
      <c r="CL114" s="1651"/>
      <c r="CM114" s="1651"/>
      <c r="CN114" s="1651"/>
      <c r="CO114" s="1651"/>
      <c r="CP114" s="1651"/>
      <c r="CQ114" s="1651"/>
      <c r="CR114" s="1651"/>
      <c r="CS114" s="1651"/>
      <c r="CT114" s="1651"/>
      <c r="CU114" s="1651"/>
      <c r="CV114" s="1651"/>
      <c r="CW114" s="1651"/>
      <c r="CX114" s="1651"/>
      <c r="CY114" s="1651"/>
      <c r="CZ114" s="1651"/>
      <c r="DA114" s="1651"/>
      <c r="DB114" s="1651"/>
      <c r="DC114" s="1651"/>
      <c r="DD114" s="1651"/>
      <c r="DE114" s="1651"/>
      <c r="DF114" s="1651"/>
      <c r="DG114" s="1651"/>
      <c r="DH114" s="1651"/>
      <c r="DI114" s="1651"/>
      <c r="DJ114" s="1651"/>
      <c r="DK114" s="1651"/>
      <c r="DL114" s="1651"/>
      <c r="DM114" s="1651"/>
      <c r="DN114" s="1651"/>
      <c r="DO114" s="1651"/>
      <c r="DP114" s="1651"/>
      <c r="DQ114" s="1651"/>
      <c r="DR114" s="1651"/>
      <c r="DS114" s="1651"/>
      <c r="DT114" s="1651"/>
      <c r="DU114" s="1651"/>
      <c r="DV114" s="1651"/>
      <c r="DW114" s="1651"/>
      <c r="DX114" s="1651"/>
      <c r="DY114" s="1651"/>
      <c r="DZ114" s="1651"/>
      <c r="EA114" s="1651"/>
      <c r="EB114" s="1651"/>
      <c r="EC114" s="1651"/>
      <c r="ED114" s="1651"/>
      <c r="EE114" s="1651"/>
      <c r="EF114" s="1651"/>
      <c r="EG114" s="1651"/>
      <c r="EH114" s="1651"/>
      <c r="EI114" s="1651"/>
      <c r="EJ114" s="1651"/>
      <c r="EK114" s="1651"/>
      <c r="EL114" s="1651"/>
      <c r="EM114" s="1651"/>
      <c r="EN114" s="1651"/>
      <c r="EO114" s="1651"/>
      <c r="EP114" s="1651"/>
      <c r="EQ114" s="1651"/>
      <c r="ER114" s="1651"/>
      <c r="ES114" s="1651"/>
      <c r="ET114" s="1651"/>
      <c r="EU114" s="1651"/>
      <c r="EV114" s="1651"/>
      <c r="EW114" s="1651"/>
      <c r="EX114" s="1651"/>
      <c r="EY114" s="1651"/>
      <c r="EZ114" s="1651"/>
      <c r="FA114" s="1651"/>
      <c r="FB114" s="1651"/>
      <c r="FC114" s="1651"/>
      <c r="FD114" s="1651"/>
      <c r="FE114" s="1651"/>
      <c r="FF114" s="1651"/>
      <c r="FG114" s="1651"/>
      <c r="FH114" s="1651"/>
      <c r="FI114" s="1651"/>
      <c r="FJ114" s="1651"/>
      <c r="FK114" s="1651"/>
      <c r="FL114" s="1651"/>
      <c r="FM114" s="1651"/>
      <c r="FN114" s="1651"/>
      <c r="FO114" s="1651"/>
      <c r="FP114" s="1651"/>
      <c r="FQ114" s="1651"/>
      <c r="FR114" s="1651"/>
      <c r="FS114" s="1651"/>
      <c r="FT114" s="1651"/>
      <c r="FU114" s="1651"/>
      <c r="FV114" s="1651"/>
      <c r="FW114" s="1651"/>
      <c r="FX114" s="1651"/>
      <c r="FY114" s="1651"/>
      <c r="FZ114" s="1651"/>
      <c r="GA114" s="1651"/>
      <c r="GB114" s="1651"/>
      <c r="GC114" s="1651"/>
      <c r="GD114" s="1651"/>
      <c r="GE114" s="1651"/>
      <c r="GF114" s="1651"/>
      <c r="GG114" s="1651"/>
      <c r="GH114" s="1651"/>
      <c r="GI114" s="1651"/>
      <c r="GJ114" s="1651"/>
      <c r="GK114" s="1651"/>
      <c r="GL114" s="1651"/>
    </row>
    <row r="115" spans="3:194" ht="12.75">
      <c r="C115" s="1666"/>
      <c r="D115" s="1651"/>
      <c r="E115" s="1651"/>
      <c r="F115" s="1652"/>
      <c r="G115" s="1652"/>
      <c r="H115" s="1651"/>
      <c r="I115" s="1651"/>
      <c r="J115" s="1651"/>
      <c r="K115" s="1651"/>
      <c r="L115" s="1651"/>
      <c r="M115" s="1651"/>
      <c r="N115" s="1651"/>
      <c r="O115" s="1651"/>
      <c r="P115" s="1651"/>
      <c r="Q115" s="1651"/>
      <c r="R115" s="1651"/>
      <c r="S115" s="1651"/>
      <c r="T115" s="1651"/>
      <c r="U115" s="1651"/>
      <c r="V115" s="1651"/>
      <c r="W115" s="1651"/>
      <c r="X115" s="1651"/>
      <c r="Y115" s="1651"/>
      <c r="Z115" s="1651"/>
      <c r="AA115" s="1651"/>
      <c r="AB115" s="1651"/>
      <c r="AC115" s="1651"/>
      <c r="AD115" s="1651"/>
      <c r="AE115" s="1651"/>
      <c r="AF115" s="1651"/>
      <c r="AG115" s="1651"/>
      <c r="AH115" s="1651"/>
      <c r="AI115" s="1651"/>
      <c r="AJ115" s="1651"/>
      <c r="AK115" s="1651"/>
      <c r="AL115" s="1651"/>
      <c r="AM115" s="1651"/>
      <c r="AN115" s="1651"/>
      <c r="AO115" s="1651"/>
      <c r="AP115" s="1651"/>
      <c r="AQ115" s="1651"/>
      <c r="AR115" s="1651"/>
      <c r="AS115" s="1651"/>
      <c r="AT115" s="1651"/>
      <c r="AU115" s="1651"/>
      <c r="AV115" s="1651"/>
      <c r="AW115" s="1651"/>
      <c r="AX115" s="1651"/>
      <c r="AY115" s="1651"/>
      <c r="AZ115" s="1651"/>
      <c r="BA115" s="1651"/>
      <c r="BB115" s="1651"/>
      <c r="BC115" s="1651"/>
      <c r="BD115" s="1651"/>
      <c r="BE115" s="1651"/>
      <c r="BF115" s="1651"/>
      <c r="BG115" s="1651"/>
      <c r="BH115" s="1651"/>
      <c r="BI115" s="1651"/>
      <c r="BJ115" s="1651"/>
      <c r="BK115" s="1651"/>
      <c r="BL115" s="1651"/>
      <c r="BM115" s="1651"/>
      <c r="BN115" s="1651"/>
      <c r="BO115" s="1651"/>
      <c r="BP115" s="1651"/>
      <c r="BQ115" s="1651"/>
      <c r="BR115" s="1651"/>
      <c r="BS115" s="1651"/>
      <c r="BT115" s="1651"/>
      <c r="BU115" s="1651"/>
      <c r="BV115" s="1651"/>
      <c r="BW115" s="1651"/>
      <c r="BX115" s="1651"/>
      <c r="BY115" s="1651"/>
      <c r="BZ115" s="1651"/>
      <c r="CA115" s="1651"/>
      <c r="CB115" s="1651"/>
      <c r="CC115" s="1651"/>
      <c r="CD115" s="1651"/>
      <c r="CE115" s="1651"/>
      <c r="CF115" s="1651"/>
      <c r="CG115" s="1651"/>
      <c r="CH115" s="1651"/>
      <c r="CI115" s="1651"/>
      <c r="CJ115" s="1651"/>
      <c r="CK115" s="1651"/>
      <c r="CL115" s="1651"/>
      <c r="CM115" s="1651"/>
      <c r="CN115" s="1651"/>
      <c r="CO115" s="1651"/>
      <c r="CP115" s="1651"/>
      <c r="CQ115" s="1651"/>
      <c r="CR115" s="1651"/>
      <c r="CS115" s="1651"/>
      <c r="CT115" s="1651"/>
      <c r="CU115" s="1651"/>
      <c r="CV115" s="1651"/>
      <c r="CW115" s="1651"/>
      <c r="CX115" s="1651"/>
      <c r="CY115" s="1651"/>
      <c r="CZ115" s="1651"/>
      <c r="DA115" s="1651"/>
      <c r="DB115" s="1651"/>
      <c r="DC115" s="1651"/>
      <c r="DD115" s="1651"/>
      <c r="DE115" s="1651"/>
      <c r="DF115" s="1651"/>
      <c r="DG115" s="1651"/>
      <c r="DH115" s="1651"/>
      <c r="DI115" s="1651"/>
      <c r="DJ115" s="1651"/>
      <c r="DK115" s="1651"/>
      <c r="DL115" s="1651"/>
      <c r="DM115" s="1651"/>
      <c r="DN115" s="1651"/>
      <c r="DO115" s="1651"/>
      <c r="DP115" s="1651"/>
      <c r="DQ115" s="1651"/>
      <c r="DR115" s="1651"/>
      <c r="DS115" s="1651"/>
      <c r="DT115" s="1651"/>
      <c r="DU115" s="1651"/>
      <c r="DV115" s="1651"/>
      <c r="DW115" s="1651"/>
      <c r="DX115" s="1651"/>
      <c r="DY115" s="1651"/>
      <c r="DZ115" s="1651"/>
      <c r="EA115" s="1651"/>
      <c r="EB115" s="1651"/>
      <c r="EC115" s="1651"/>
      <c r="ED115" s="1651"/>
      <c r="EE115" s="1651"/>
      <c r="EF115" s="1651"/>
      <c r="EG115" s="1651"/>
      <c r="EH115" s="1651"/>
      <c r="EI115" s="1651"/>
      <c r="EJ115" s="1651"/>
      <c r="EK115" s="1651"/>
      <c r="EL115" s="1651"/>
      <c r="EM115" s="1651"/>
      <c r="EN115" s="1651"/>
      <c r="EO115" s="1651"/>
      <c r="EP115" s="1651"/>
      <c r="EQ115" s="1651"/>
      <c r="ER115" s="1651"/>
      <c r="ES115" s="1651"/>
      <c r="ET115" s="1651"/>
      <c r="EU115" s="1651"/>
      <c r="EV115" s="1651"/>
      <c r="EW115" s="1651"/>
      <c r="EX115" s="1651"/>
      <c r="EY115" s="1651"/>
      <c r="EZ115" s="1651"/>
      <c r="FA115" s="1651"/>
      <c r="FB115" s="1651"/>
      <c r="FC115" s="1651"/>
      <c r="FD115" s="1651"/>
      <c r="FE115" s="1651"/>
      <c r="FF115" s="1651"/>
      <c r="FG115" s="1651"/>
      <c r="FH115" s="1651"/>
      <c r="FI115" s="1651"/>
      <c r="FJ115" s="1651"/>
      <c r="FK115" s="1651"/>
      <c r="FL115" s="1651"/>
      <c r="FM115" s="1651"/>
      <c r="FN115" s="1651"/>
      <c r="FO115" s="1651"/>
      <c r="FP115" s="1651"/>
      <c r="FQ115" s="1651"/>
      <c r="FR115" s="1651"/>
      <c r="FS115" s="1651"/>
      <c r="FT115" s="1651"/>
      <c r="FU115" s="1651"/>
      <c r="FV115" s="1651"/>
      <c r="FW115" s="1651"/>
      <c r="FX115" s="1651"/>
      <c r="FY115" s="1651"/>
      <c r="FZ115" s="1651"/>
      <c r="GA115" s="1651"/>
      <c r="GB115" s="1651"/>
      <c r="GC115" s="1651"/>
      <c r="GD115" s="1651"/>
      <c r="GE115" s="1651"/>
      <c r="GF115" s="1651"/>
      <c r="GG115" s="1651"/>
      <c r="GH115" s="1651"/>
      <c r="GI115" s="1651"/>
      <c r="GJ115" s="1651"/>
      <c r="GK115" s="1651"/>
      <c r="GL115" s="1651"/>
    </row>
    <row r="116" spans="3:7" ht="12.75">
      <c r="C116" s="1666"/>
      <c r="F116" s="1666"/>
      <c r="G116" s="1666"/>
    </row>
    <row r="117" spans="3:7" ht="12.75">
      <c r="C117" s="1666"/>
      <c r="F117" s="1666"/>
      <c r="G117" s="1666"/>
    </row>
    <row r="118" spans="3:7" ht="12.75">
      <c r="C118" s="1666"/>
      <c r="F118" s="1666"/>
      <c r="G118" s="1666"/>
    </row>
    <row r="119" spans="6:7" ht="12.75">
      <c r="F119" s="1666"/>
      <c r="G119" s="1666"/>
    </row>
  </sheetData>
  <sheetProtection/>
  <printOptions/>
  <pageMargins left="0.63" right="0.25" top="0.29" bottom="0.33" header="0" footer="0"/>
  <pageSetup fitToHeight="1" fitToWidth="1" horizontalDpi="600" verticalDpi="600" orientation="portrait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10.5742187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2.28125" style="0" hidden="1" customWidth="1"/>
    <col min="21" max="21" width="6.421875" style="0" hidden="1" customWidth="1"/>
    <col min="22" max="22" width="11.00390625" style="0" hidden="1" customWidth="1"/>
    <col min="23" max="26" width="5.7109375" style="0" hidden="1" customWidth="1"/>
    <col min="27" max="27" width="12.28125" style="0" hidden="1" customWidth="1"/>
    <col min="28" max="28" width="13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103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1104"/>
    </row>
    <row r="2" spans="1:31" s="1103" customFormat="1" ht="26.25">
      <c r="A2" s="1105"/>
      <c r="B2" s="1106" t="str">
        <f>+'TOT-0115'!B2</f>
        <v>ANEXO II al Memorándum D.T.E.E. N°  90 /2016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1106"/>
      <c r="X2" s="1106"/>
      <c r="Y2" s="1106"/>
      <c r="Z2" s="1106"/>
      <c r="AA2" s="1106"/>
      <c r="AB2" s="1106"/>
      <c r="AC2" s="1106"/>
      <c r="AD2" s="1106"/>
      <c r="AE2" s="1106"/>
    </row>
    <row r="3" s="1108" customFormat="1" ht="12.75">
      <c r="A3" s="1107"/>
    </row>
    <row r="4" spans="1:2" s="1111" customFormat="1" ht="11.25">
      <c r="A4" s="1109" t="s">
        <v>2</v>
      </c>
      <c r="B4" s="1110"/>
    </row>
    <row r="5" spans="1:2" s="1111" customFormat="1" ht="11.25">
      <c r="A5" s="1109" t="s">
        <v>3</v>
      </c>
      <c r="B5" s="1110"/>
    </row>
    <row r="6" spans="1:2" s="1111" customFormat="1" ht="11.25">
      <c r="A6" s="1109"/>
      <c r="B6" s="1110"/>
    </row>
    <row r="7" spans="1:2" s="1111" customFormat="1" ht="124.5" customHeight="1">
      <c r="A7" s="1109"/>
      <c r="B7" s="1110"/>
    </row>
    <row r="8" spans="1:2" s="1111" customFormat="1" ht="11.25">
      <c r="A8" s="1109"/>
      <c r="B8" s="1110"/>
    </row>
    <row r="9" s="1108" customFormat="1" ht="13.5" thickBot="1"/>
    <row r="10" spans="2:31" s="1108" customFormat="1" ht="13.5" thickTop="1">
      <c r="B10" s="1112"/>
      <c r="C10" s="1113"/>
      <c r="D10" s="1113"/>
      <c r="E10" s="1113"/>
      <c r="F10" s="1114"/>
      <c r="G10" s="1113"/>
      <c r="H10" s="1113"/>
      <c r="I10" s="1113"/>
      <c r="J10" s="1113"/>
      <c r="K10" s="1113"/>
      <c r="L10" s="1113"/>
      <c r="M10" s="1113"/>
      <c r="N10" s="1113"/>
      <c r="O10" s="1113"/>
      <c r="P10" s="1113"/>
      <c r="Q10" s="1113"/>
      <c r="R10" s="1113"/>
      <c r="S10" s="1113"/>
      <c r="T10" s="1113"/>
      <c r="U10" s="1113"/>
      <c r="V10" s="1113"/>
      <c r="W10" s="1113"/>
      <c r="X10" s="1113"/>
      <c r="Y10" s="1113"/>
      <c r="Z10" s="1113"/>
      <c r="AA10" s="1113"/>
      <c r="AB10" s="1113"/>
      <c r="AC10" s="1113"/>
      <c r="AD10" s="1113"/>
      <c r="AE10" s="1115"/>
    </row>
    <row r="11" spans="2:31" s="1116" customFormat="1" ht="20.25">
      <c r="B11" s="1117"/>
      <c r="C11" s="1118"/>
      <c r="D11" s="1118"/>
      <c r="E11" s="1119" t="s">
        <v>24</v>
      </c>
      <c r="F11" s="1118"/>
      <c r="G11" s="1118"/>
      <c r="H11" s="1118"/>
      <c r="I11" s="1118"/>
      <c r="O11" s="1118"/>
      <c r="P11" s="1118"/>
      <c r="Q11" s="1120"/>
      <c r="R11" s="1120"/>
      <c r="S11" s="1118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21"/>
    </row>
    <row r="12" spans="2:31" s="1108" customFormat="1" ht="12.75">
      <c r="B12" s="1122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3"/>
      <c r="U12" s="1123"/>
      <c r="V12" s="1123"/>
      <c r="W12" s="1123"/>
      <c r="X12" s="1123"/>
      <c r="Y12" s="1123"/>
      <c r="Z12" s="1123"/>
      <c r="AA12" s="1123"/>
      <c r="AB12" s="1123"/>
      <c r="AC12" s="1123"/>
      <c r="AD12" s="1123"/>
      <c r="AE12" s="1124"/>
    </row>
    <row r="13" spans="2:31" s="1116" customFormat="1" ht="20.25">
      <c r="B13" s="1117"/>
      <c r="C13" s="1118"/>
      <c r="D13" s="1118"/>
      <c r="E13" s="1120" t="s">
        <v>25</v>
      </c>
      <c r="F13" s="1118"/>
      <c r="G13" s="1118"/>
      <c r="H13" s="1118"/>
      <c r="I13" s="1118"/>
      <c r="J13" s="1118"/>
      <c r="K13" s="1118"/>
      <c r="L13" s="1118"/>
      <c r="M13" s="1118"/>
      <c r="N13" s="1118"/>
      <c r="O13" s="1118"/>
      <c r="P13" s="1118"/>
      <c r="Q13" s="1118"/>
      <c r="R13" s="1118"/>
      <c r="S13" s="1118"/>
      <c r="T13" s="1118"/>
      <c r="U13" s="1118"/>
      <c r="V13" s="1118"/>
      <c r="W13" s="1118"/>
      <c r="X13" s="1118"/>
      <c r="Y13" s="1118"/>
      <c r="Z13" s="1118"/>
      <c r="AA13" s="1118"/>
      <c r="AB13" s="1118"/>
      <c r="AC13" s="1118"/>
      <c r="AD13" s="1118"/>
      <c r="AE13" s="1121"/>
    </row>
    <row r="14" spans="2:31" s="1108" customFormat="1" ht="12.75">
      <c r="B14" s="1122"/>
      <c r="C14" s="1123"/>
      <c r="D14" s="1123"/>
      <c r="E14" s="1123"/>
      <c r="F14" s="1123"/>
      <c r="G14" s="1123"/>
      <c r="H14" s="1123"/>
      <c r="I14" s="1123"/>
      <c r="J14" s="1123"/>
      <c r="K14" s="1123"/>
      <c r="L14" s="1123"/>
      <c r="M14" s="1123"/>
      <c r="N14" s="1123"/>
      <c r="O14" s="1123"/>
      <c r="P14" s="1123"/>
      <c r="Q14" s="1123"/>
      <c r="R14" s="1123"/>
      <c r="S14" s="1123"/>
      <c r="T14" s="1123"/>
      <c r="U14" s="1123"/>
      <c r="V14" s="1123"/>
      <c r="W14" s="1123"/>
      <c r="X14" s="1123"/>
      <c r="Y14" s="1123"/>
      <c r="Z14" s="1123"/>
      <c r="AA14" s="1123"/>
      <c r="AB14" s="1123"/>
      <c r="AC14" s="1123"/>
      <c r="AD14" s="1123"/>
      <c r="AE14" s="1124"/>
    </row>
    <row r="15" spans="2:31" s="1116" customFormat="1" ht="20.25">
      <c r="B15" s="1117"/>
      <c r="C15" s="1118"/>
      <c r="D15" s="1118"/>
      <c r="E15" s="1120" t="s">
        <v>270</v>
      </c>
      <c r="F15" s="1118"/>
      <c r="G15" s="1118"/>
      <c r="H15" s="1118"/>
      <c r="J15" s="1118"/>
      <c r="K15" s="1118"/>
      <c r="L15" s="1118"/>
      <c r="M15" s="1118"/>
      <c r="N15" s="1118"/>
      <c r="O15" s="1118"/>
      <c r="P15" s="1118"/>
      <c r="Q15" s="1120"/>
      <c r="R15" s="1120"/>
      <c r="S15" s="1118"/>
      <c r="T15" s="1118"/>
      <c r="U15" s="1118"/>
      <c r="V15" s="1118"/>
      <c r="W15" s="1118"/>
      <c r="X15" s="1118"/>
      <c r="Y15" s="1118"/>
      <c r="Z15" s="1118"/>
      <c r="AA15" s="1118"/>
      <c r="AB15" s="1118"/>
      <c r="AC15" s="1118"/>
      <c r="AD15" s="1118"/>
      <c r="AE15" s="1121"/>
    </row>
    <row r="16" spans="2:31" s="1108" customFormat="1" ht="12.75">
      <c r="B16" s="1122"/>
      <c r="C16" s="1123"/>
      <c r="D16" s="1123"/>
      <c r="E16" s="1123"/>
      <c r="I16" s="1125"/>
      <c r="J16" s="1125"/>
      <c r="K16" s="1125"/>
      <c r="L16" s="1125"/>
      <c r="M16" s="1125"/>
      <c r="N16" s="1125"/>
      <c r="O16" s="1125"/>
      <c r="P16" s="1125"/>
      <c r="Q16" s="1125"/>
      <c r="R16" s="1125"/>
      <c r="S16" s="1123"/>
      <c r="T16" s="1123"/>
      <c r="U16" s="1123"/>
      <c r="V16" s="1123"/>
      <c r="W16" s="1123"/>
      <c r="X16" s="1123"/>
      <c r="Y16" s="1123"/>
      <c r="Z16" s="1123"/>
      <c r="AA16" s="1123"/>
      <c r="AB16" s="1123"/>
      <c r="AC16" s="1123"/>
      <c r="AD16" s="1123"/>
      <c r="AE16" s="1124"/>
    </row>
    <row r="17" spans="2:31" s="1126" customFormat="1" ht="19.5">
      <c r="B17" s="1127" t="str">
        <f>+'TOT-0115'!B14</f>
        <v>Desde el 01 al 31 de enero de 2015</v>
      </c>
      <c r="C17" s="1128"/>
      <c r="D17" s="1128"/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9"/>
      <c r="P17" s="1129"/>
      <c r="Q17" s="1128"/>
      <c r="R17" s="1128"/>
      <c r="S17" s="1128"/>
      <c r="T17" s="1128"/>
      <c r="U17" s="1128"/>
      <c r="V17" s="1128"/>
      <c r="W17" s="1128"/>
      <c r="X17" s="1128"/>
      <c r="Y17" s="1128"/>
      <c r="Z17" s="1128"/>
      <c r="AA17" s="1128"/>
      <c r="AB17" s="1128"/>
      <c r="AC17" s="1128"/>
      <c r="AD17" s="1128"/>
      <c r="AE17" s="1130"/>
    </row>
    <row r="18" spans="2:31" s="1108" customFormat="1" ht="16.5" customHeight="1" thickBot="1">
      <c r="B18" s="1122"/>
      <c r="C18" s="1123"/>
      <c r="D18" s="1123"/>
      <c r="E18" s="1123"/>
      <c r="F18" s="1131"/>
      <c r="G18" s="1131"/>
      <c r="H18" s="1123"/>
      <c r="I18" s="1123"/>
      <c r="J18" s="1123"/>
      <c r="K18" s="1132"/>
      <c r="L18" s="1123"/>
      <c r="M18" s="1123"/>
      <c r="N18" s="1123"/>
      <c r="Q18" s="1123"/>
      <c r="R18" s="1123"/>
      <c r="S18" s="1123"/>
      <c r="T18" s="1123"/>
      <c r="U18" s="1123"/>
      <c r="V18" s="1123"/>
      <c r="W18" s="1123"/>
      <c r="X18" s="1123"/>
      <c r="Y18" s="1123"/>
      <c r="Z18" s="1123"/>
      <c r="AA18" s="1123"/>
      <c r="AB18" s="1123"/>
      <c r="AC18" s="1123"/>
      <c r="AD18" s="1123"/>
      <c r="AE18" s="1124"/>
    </row>
    <row r="19" spans="2:31" s="1108" customFormat="1" ht="16.5" customHeight="1" thickBot="1" thickTop="1">
      <c r="B19" s="1122"/>
      <c r="C19" s="1123"/>
      <c r="D19" s="1123"/>
      <c r="E19" s="1133" t="s">
        <v>27</v>
      </c>
      <c r="F19" s="1134">
        <v>434.062</v>
      </c>
      <c r="G19" s="1135"/>
      <c r="H19" s="1123"/>
      <c r="I19" s="1123"/>
      <c r="J19" s="1123"/>
      <c r="K19" s="1123"/>
      <c r="L19" s="1123"/>
      <c r="M19" s="1123"/>
      <c r="N19" s="1123"/>
      <c r="O19" s="1123"/>
      <c r="P19" s="1123"/>
      <c r="Q19" s="1123"/>
      <c r="R19" s="1123"/>
      <c r="S19" s="1123"/>
      <c r="T19" s="1123"/>
      <c r="U19" s="1123"/>
      <c r="V19" s="1123"/>
      <c r="W19" s="1123"/>
      <c r="X19" s="1123"/>
      <c r="Y19" s="1123"/>
      <c r="Z19" s="1123"/>
      <c r="AA19" s="1123"/>
      <c r="AB19" s="1123"/>
      <c r="AC19" s="1123"/>
      <c r="AD19" s="1123"/>
      <c r="AE19" s="1124"/>
    </row>
    <row r="20" spans="2:31" s="1108" customFormat="1" ht="16.5" customHeight="1" thickBot="1" thickTop="1">
      <c r="B20" s="1122"/>
      <c r="C20" s="1123"/>
      <c r="D20" s="1123"/>
      <c r="E20" s="1133" t="s">
        <v>28</v>
      </c>
      <c r="F20" s="1134" t="s">
        <v>268</v>
      </c>
      <c r="G20" s="1135"/>
      <c r="H20" s="1123"/>
      <c r="I20" s="1123"/>
      <c r="J20" s="1123"/>
      <c r="K20" s="1136"/>
      <c r="L20" s="1137"/>
      <c r="M20" s="1123"/>
      <c r="N20" s="1123"/>
      <c r="O20" s="1123"/>
      <c r="P20" s="1123"/>
      <c r="Q20" s="1123"/>
      <c r="R20" s="1123"/>
      <c r="S20" s="1123"/>
      <c r="T20" s="1123"/>
      <c r="U20" s="1123"/>
      <c r="V20" s="1123"/>
      <c r="W20" s="1138"/>
      <c r="X20" s="1138"/>
      <c r="Y20" s="1138"/>
      <c r="Z20" s="1138"/>
      <c r="AA20" s="1138"/>
      <c r="AB20" s="1138"/>
      <c r="AC20" s="1138"/>
      <c r="AE20" s="1124"/>
    </row>
    <row r="21" spans="2:31" s="1108" customFormat="1" ht="16.5" customHeight="1" thickBot="1" thickTop="1">
      <c r="B21" s="1122"/>
      <c r="C21" s="1123"/>
      <c r="D21" s="1123"/>
      <c r="E21" s="1123"/>
      <c r="F21" s="1139"/>
      <c r="G21" s="1123"/>
      <c r="H21" s="1123"/>
      <c r="I21" s="1123"/>
      <c r="J21" s="1123"/>
      <c r="K21" s="1123"/>
      <c r="L21" s="1123"/>
      <c r="M21" s="1123"/>
      <c r="N21" s="1123"/>
      <c r="O21" s="1140"/>
      <c r="P21" s="1123"/>
      <c r="Q21" s="1123"/>
      <c r="R21" s="1123"/>
      <c r="S21" s="1123"/>
      <c r="T21" s="1123"/>
      <c r="U21" s="1123"/>
      <c r="V21" s="1123"/>
      <c r="W21" s="1123"/>
      <c r="X21" s="1123"/>
      <c r="Y21" s="1123"/>
      <c r="Z21" s="1123"/>
      <c r="AA21" s="1123"/>
      <c r="AB21" s="1123"/>
      <c r="AC21" s="1123"/>
      <c r="AD21" s="1123"/>
      <c r="AE21" s="1124"/>
    </row>
    <row r="22" spans="2:31" s="1108" customFormat="1" ht="33.75" customHeight="1" thickBot="1" thickTop="1">
      <c r="B22" s="1122"/>
      <c r="C22" s="1141" t="s">
        <v>29</v>
      </c>
      <c r="D22" s="1141" t="s">
        <v>30</v>
      </c>
      <c r="E22" s="1142" t="s">
        <v>5</v>
      </c>
      <c r="F22" s="1143" t="s">
        <v>32</v>
      </c>
      <c r="G22" s="1144" t="s">
        <v>33</v>
      </c>
      <c r="H22" s="1145" t="s">
        <v>34</v>
      </c>
      <c r="I22" s="1146" t="s">
        <v>35</v>
      </c>
      <c r="J22" s="1147" t="s">
        <v>36</v>
      </c>
      <c r="K22" s="1142" t="s">
        <v>37</v>
      </c>
      <c r="L22" s="1148" t="s">
        <v>38</v>
      </c>
      <c r="M22" s="1149" t="s">
        <v>39</v>
      </c>
      <c r="N22" s="1144" t="s">
        <v>40</v>
      </c>
      <c r="O22" s="1149" t="s">
        <v>171</v>
      </c>
      <c r="P22" s="1144" t="s">
        <v>41</v>
      </c>
      <c r="Q22" s="1148" t="s">
        <v>42</v>
      </c>
      <c r="R22" s="1142" t="s">
        <v>43</v>
      </c>
      <c r="S22" s="1150" t="s">
        <v>44</v>
      </c>
      <c r="T22" s="1151" t="s">
        <v>45</v>
      </c>
      <c r="U22" s="1152" t="s">
        <v>46</v>
      </c>
      <c r="V22" s="1153"/>
      <c r="W22" s="1154"/>
      <c r="X22" s="1155" t="s">
        <v>47</v>
      </c>
      <c r="Y22" s="1156"/>
      <c r="Z22" s="1157"/>
      <c r="AA22" s="1158" t="s">
        <v>48</v>
      </c>
      <c r="AB22" s="1159" t="s">
        <v>49</v>
      </c>
      <c r="AC22" s="1160" t="s">
        <v>50</v>
      </c>
      <c r="AD22" s="1160" t="s">
        <v>51</v>
      </c>
      <c r="AE22" s="1161"/>
    </row>
    <row r="23" spans="2:31" s="1108" customFormat="1" ht="16.5" customHeight="1" thickTop="1">
      <c r="B23" s="1122"/>
      <c r="C23" s="1162"/>
      <c r="D23" s="1162"/>
      <c r="E23" s="195"/>
      <c r="F23" s="196"/>
      <c r="G23" s="197"/>
      <c r="H23" s="196"/>
      <c r="I23" s="1163"/>
      <c r="J23" s="1164"/>
      <c r="K23" s="198"/>
      <c r="L23" s="199"/>
      <c r="M23" s="1165"/>
      <c r="N23" s="1166"/>
      <c r="O23" s="1167"/>
      <c r="P23" s="1168"/>
      <c r="Q23" s="1169"/>
      <c r="R23" s="1169"/>
      <c r="S23" s="1170"/>
      <c r="T23" s="1171"/>
      <c r="U23" s="1172"/>
      <c r="V23" s="1173"/>
      <c r="W23" s="1174"/>
      <c r="X23" s="1175"/>
      <c r="Y23" s="1176"/>
      <c r="Z23" s="1177"/>
      <c r="AA23" s="1178"/>
      <c r="AB23" s="1179"/>
      <c r="AC23" s="1180"/>
      <c r="AD23" s="1181"/>
      <c r="AE23" s="1182"/>
    </row>
    <row r="24" spans="2:31" s="1108" customFormat="1" ht="16.5" customHeight="1">
      <c r="B24" s="1122"/>
      <c r="C24" s="1183">
        <v>7</v>
      </c>
      <c r="D24" s="170">
        <v>283637</v>
      </c>
      <c r="E24" s="195" t="s">
        <v>190</v>
      </c>
      <c r="F24" s="196">
        <v>500</v>
      </c>
      <c r="G24" s="197">
        <v>313</v>
      </c>
      <c r="H24" s="196" t="s">
        <v>191</v>
      </c>
      <c r="I24" s="1163">
        <f>IF(H24="A",200,IF(H24="B",60,20))</f>
        <v>200</v>
      </c>
      <c r="J24" s="1164">
        <f>IF(F24=500,IF(G24&lt;100,100*$F$19/100,G24*$F$19/100),IF(G24&lt;100,100*$F$20/100,G24*$F$20/100))</f>
        <v>1358.61406</v>
      </c>
      <c r="K24" s="1184">
        <v>42016.59027777778</v>
      </c>
      <c r="L24" s="1185">
        <v>42016.66111111111</v>
      </c>
      <c r="M24" s="1165">
        <f>IF(E24="","",(L24-K24)*24)</f>
        <v>1.6999999999534339</v>
      </c>
      <c r="N24" s="1166">
        <f>IF(E24="","",ROUND((L24-K24)*24*60,0))</f>
        <v>102</v>
      </c>
      <c r="O24" s="1167" t="s">
        <v>185</v>
      </c>
      <c r="P24" s="1168" t="str">
        <f>IF(E24="","","--")</f>
        <v>--</v>
      </c>
      <c r="Q24" s="1169" t="str">
        <f>IF(E24="","","NO")</f>
        <v>NO</v>
      </c>
      <c r="R24" s="1169" t="str">
        <f>IF(E24="","",IF(OR(O24="P",O24="RP"),"--","NO"))</f>
        <v>NO</v>
      </c>
      <c r="S24" s="1170" t="str">
        <f>IF(O24="P",J24*I24*ROUND(N24/60,2)*0.01,"--")</f>
        <v>--</v>
      </c>
      <c r="T24" s="1171" t="str">
        <f>IF(O24="RP",J24*I24*ROUND(N24/60,2)*0.01*P24/100,"--")</f>
        <v>--</v>
      </c>
      <c r="U24" s="1172">
        <v>0</v>
      </c>
      <c r="V24" s="1173">
        <f>IF(AND(O24="F",N24&gt;=10),J24*I24*IF(Q24="SI",1.2,1)*IF(N24&lt;=300,ROUND(N24/60,2),5),"--")</f>
        <v>461928.78040000005</v>
      </c>
      <c r="W24" s="1174" t="str">
        <f>IF(AND(O24="F",N24&gt;300),(ROUND(N24/60,2)-5)*J24*I24*0.1*IF(Q24="SI",1.2,1),"--")</f>
        <v>--</v>
      </c>
      <c r="X24" s="1175" t="str">
        <f>IF(AND(O24="R",R24="NO"),J24*I24*P24/100*IF(Q24="SI",1.2,1),"--")</f>
        <v>--</v>
      </c>
      <c r="Y24" s="1176" t="str">
        <f>IF(AND(O24="R",N24&gt;=10),J24*I24*P24/100*IF(Q24="SI",1.2,1)*IF(N24&lt;=300,ROUND(N24/60,2),5),"--")</f>
        <v>--</v>
      </c>
      <c r="Z24" s="1177" t="str">
        <f>IF(AND(O24="R",N24&gt;300),(ROUND(N24/60,2)-5)*J24*I24*0.1*P24/100*IF(Q24="SI",1.2,1),"--")</f>
        <v>--</v>
      </c>
      <c r="AA24" s="1178" t="str">
        <f>IF(O24="RF",ROUND(N24/60,2)*J24*I24*0.1*IF(Q24="SI",1.2,1),"--")</f>
        <v>--</v>
      </c>
      <c r="AB24" s="1179" t="str">
        <f>IF(O24="RR",ROUND(N24/60,2)*J24*I24*0.1*P24/100*IF(Q24="SI",1.2,1),"--")</f>
        <v>--</v>
      </c>
      <c r="AC24" s="1186" t="str">
        <f>IF(E24="","","SI")</f>
        <v>SI</v>
      </c>
      <c r="AD24" s="1181">
        <f>IF(E24="","",SUM(S24:AB24)*IF(AC24="SI",1,2))</f>
        <v>461928.78040000005</v>
      </c>
      <c r="AE24" s="1182"/>
    </row>
    <row r="25" spans="2:31" s="1108" customFormat="1" ht="16.5" customHeight="1">
      <c r="B25" s="1122"/>
      <c r="C25" s="1187"/>
      <c r="D25" s="1187"/>
      <c r="E25" s="1162"/>
      <c r="F25" s="1188"/>
      <c r="G25" s="1189"/>
      <c r="H25" s="1188"/>
      <c r="I25" s="1163"/>
      <c r="J25" s="1164"/>
      <c r="K25" s="1184"/>
      <c r="L25" s="1185"/>
      <c r="M25" s="1165"/>
      <c r="N25" s="1166"/>
      <c r="O25" s="1167"/>
      <c r="P25" s="1168"/>
      <c r="Q25" s="1169"/>
      <c r="R25" s="1169"/>
      <c r="S25" s="1170"/>
      <c r="T25" s="1171"/>
      <c r="U25" s="1172"/>
      <c r="V25" s="1173"/>
      <c r="W25" s="1174"/>
      <c r="X25" s="1175"/>
      <c r="Y25" s="1176"/>
      <c r="Z25" s="1177"/>
      <c r="AA25" s="1178"/>
      <c r="AB25" s="1179"/>
      <c r="AC25" s="1186"/>
      <c r="AD25" s="1181"/>
      <c r="AE25" s="1182"/>
    </row>
    <row r="26" spans="2:31" s="1108" customFormat="1" ht="16.5" customHeight="1">
      <c r="B26" s="1122"/>
      <c r="C26" s="1162"/>
      <c r="D26" s="1162"/>
      <c r="E26" s="1162"/>
      <c r="F26" s="1188"/>
      <c r="G26" s="1189"/>
      <c r="H26" s="1188"/>
      <c r="I26" s="1163">
        <f>IF(H26="A",200,IF(H26="B",60,20))</f>
        <v>20</v>
      </c>
      <c r="J26" s="1164" t="e">
        <f>IF(F26=500,IF(G26&lt;100,100*$F$19/100,G26*$F$19/100),IF(G26&lt;100,100*$F$20/100,G26*$F$20/100))</f>
        <v>#VALUE!</v>
      </c>
      <c r="K26" s="1184"/>
      <c r="L26" s="1185"/>
      <c r="M26" s="1165">
        <f>IF(E26="","",(L26-K26)*24)</f>
      </c>
      <c r="N26" s="1166">
        <f>IF(E26="","",ROUND((L26-K26)*24*60,0))</f>
      </c>
      <c r="O26" s="1167"/>
      <c r="P26" s="1168">
        <f>IF(E26="","","--")</f>
      </c>
      <c r="Q26" s="1169">
        <f>IF(E26="","","NO")</f>
      </c>
      <c r="R26" s="1169">
        <f>IF(E26="","",IF(OR(O26="P",O26="RP"),"--","NO"))</f>
      </c>
      <c r="S26" s="1170" t="str">
        <f>IF(O26="P",J26*I26*ROUND(N26/60,2)*0.01,"--")</f>
        <v>--</v>
      </c>
      <c r="T26" s="1171" t="str">
        <f>IF(O26="RP",J26*I26*ROUND(N26/60,2)*0.01*P26/100,"--")</f>
        <v>--</v>
      </c>
      <c r="U26" s="1172">
        <v>0</v>
      </c>
      <c r="V26" s="1173" t="str">
        <f>IF(AND(O26="F",N26&gt;=10),J26*I26*IF(Q26="SI",1.2,1)*IF(N26&lt;=300,ROUND(N26/60,2),5),"--")</f>
        <v>--</v>
      </c>
      <c r="W26" s="1174" t="str">
        <f>IF(AND(O26="F",N26&gt;300),(ROUND(N26/60,2)-5)*J26*I26*0.1*IF(Q26="SI",1.2,1),"--")</f>
        <v>--</v>
      </c>
      <c r="X26" s="1175" t="str">
        <f>IF(AND(O26="R",R26="NO"),J26*I26*P26/100*IF(Q26="SI",1.2,1),"--")</f>
        <v>--</v>
      </c>
      <c r="Y26" s="1176" t="str">
        <f>IF(AND(O26="R",N26&gt;=10),J26*I26*P26/100*IF(Q26="SI",1.2,1)*IF(N26&lt;=300,ROUND(N26/60,2),5),"--")</f>
        <v>--</v>
      </c>
      <c r="Z26" s="1177" t="str">
        <f>IF(AND(O26="R",N26&gt;300),(ROUND(N26/60,2)-5)*J26*I26*0.1*P26/100*IF(Q26="SI",1.2,1),"--")</f>
        <v>--</v>
      </c>
      <c r="AA26" s="1178" t="str">
        <f>IF(O26="RF",ROUND(N26/60,2)*J26*I26*0.1*IF(Q26="SI",1.2,1),"--")</f>
        <v>--</v>
      </c>
      <c r="AB26" s="1179" t="str">
        <f>IF(O26="RR",ROUND(N26/60,2)*J26*I26*0.1*P26/100*IF(Q26="SI",1.2,1),"--")</f>
        <v>--</v>
      </c>
      <c r="AC26" s="1180">
        <f>IF(E26="","","SI")</f>
      </c>
      <c r="AD26" s="1181">
        <f>IF(E26="","",SUM(S26:AB26)*IF(AC26="SI",1,2))</f>
      </c>
      <c r="AE26" s="1182"/>
    </row>
    <row r="27" spans="2:31" s="1108" customFormat="1" ht="16.5" customHeight="1" thickBot="1">
      <c r="B27" s="1122"/>
      <c r="C27" s="1162"/>
      <c r="D27" s="1190"/>
      <c r="E27" s="1190"/>
      <c r="F27" s="1191"/>
      <c r="G27" s="1192"/>
      <c r="H27" s="1193"/>
      <c r="I27" s="1194"/>
      <c r="J27" s="1195"/>
      <c r="K27" s="1196"/>
      <c r="L27" s="1196"/>
      <c r="M27" s="1197"/>
      <c r="N27" s="1197"/>
      <c r="O27" s="1198"/>
      <c r="P27" s="1199"/>
      <c r="Q27" s="1198"/>
      <c r="R27" s="1198"/>
      <c r="S27" s="1200"/>
      <c r="T27" s="1201"/>
      <c r="U27" s="1202"/>
      <c r="V27" s="1203"/>
      <c r="W27" s="1204"/>
      <c r="X27" s="1205"/>
      <c r="Y27" s="1206"/>
      <c r="Z27" s="1207"/>
      <c r="AA27" s="1208"/>
      <c r="AB27" s="1209"/>
      <c r="AC27" s="1210"/>
      <c r="AD27" s="1211"/>
      <c r="AE27" s="1182"/>
    </row>
    <row r="28" spans="2:31" s="1108" customFormat="1" ht="16.5" customHeight="1" thickBot="1" thickTop="1">
      <c r="B28" s="1122"/>
      <c r="C28" s="1212" t="s">
        <v>172</v>
      </c>
      <c r="D28" s="1213" t="s">
        <v>269</v>
      </c>
      <c r="F28" s="1214"/>
      <c r="G28" s="1139"/>
      <c r="H28" s="1215"/>
      <c r="I28" s="1139"/>
      <c r="J28" s="1216"/>
      <c r="K28" s="1216"/>
      <c r="L28" s="1216"/>
      <c r="M28" s="1216"/>
      <c r="N28" s="1216"/>
      <c r="O28" s="1216"/>
      <c r="P28" s="1217"/>
      <c r="Q28" s="1216"/>
      <c r="R28" s="1216"/>
      <c r="S28" s="1218">
        <f aca="true" t="shared" si="0" ref="S28:AB28">SUM(S23:S27)</f>
        <v>0</v>
      </c>
      <c r="T28" s="1219">
        <f t="shared" si="0"/>
        <v>0</v>
      </c>
      <c r="U28" s="1220">
        <f t="shared" si="0"/>
        <v>0</v>
      </c>
      <c r="V28" s="1220">
        <f t="shared" si="0"/>
        <v>461928.78040000005</v>
      </c>
      <c r="W28" s="1220">
        <f t="shared" si="0"/>
        <v>0</v>
      </c>
      <c r="X28" s="1221">
        <f t="shared" si="0"/>
        <v>0</v>
      </c>
      <c r="Y28" s="1221">
        <f t="shared" si="0"/>
        <v>0</v>
      </c>
      <c r="Z28" s="1221">
        <f t="shared" si="0"/>
        <v>0</v>
      </c>
      <c r="AA28" s="1222">
        <f t="shared" si="0"/>
        <v>0</v>
      </c>
      <c r="AB28" s="1223">
        <f t="shared" si="0"/>
        <v>0</v>
      </c>
      <c r="AC28" s="1224"/>
      <c r="AD28" s="1225">
        <f>ROUND(SUM(AD23:AD27),2)</f>
        <v>461928.78</v>
      </c>
      <c r="AE28" s="1182"/>
    </row>
    <row r="29" spans="2:31" s="1226" customFormat="1" ht="9.75" thickTop="1">
      <c r="B29" s="1227"/>
      <c r="C29" s="1228"/>
      <c r="D29" s="1213"/>
      <c r="F29" s="1229"/>
      <c r="G29" s="1230"/>
      <c r="H29" s="1231"/>
      <c r="I29" s="1230"/>
      <c r="J29" s="1232"/>
      <c r="K29" s="1232"/>
      <c r="L29" s="1232"/>
      <c r="M29" s="1232"/>
      <c r="N29" s="1232"/>
      <c r="O29" s="1232"/>
      <c r="P29" s="1233"/>
      <c r="Q29" s="1232"/>
      <c r="R29" s="1232"/>
      <c r="S29" s="1234"/>
      <c r="T29" s="1234"/>
      <c r="U29" s="1234"/>
      <c r="V29" s="1234"/>
      <c r="W29" s="1234"/>
      <c r="X29" s="1234"/>
      <c r="Y29" s="1234"/>
      <c r="Z29" s="1234"/>
      <c r="AA29" s="1234"/>
      <c r="AB29" s="1234"/>
      <c r="AC29" s="1234"/>
      <c r="AD29" s="1235"/>
      <c r="AE29" s="1236"/>
    </row>
    <row r="30" spans="2:31" s="1108" customFormat="1" ht="16.5" customHeight="1" thickBot="1">
      <c r="B30" s="1237"/>
      <c r="C30" s="1238"/>
      <c r="D30" s="1238"/>
      <c r="E30" s="1238"/>
      <c r="F30" s="1238"/>
      <c r="G30" s="1238"/>
      <c r="H30" s="1238"/>
      <c r="I30" s="1238"/>
      <c r="J30" s="1238"/>
      <c r="K30" s="1238"/>
      <c r="L30" s="1238"/>
      <c r="M30" s="1238"/>
      <c r="N30" s="1238"/>
      <c r="O30" s="1238"/>
      <c r="P30" s="1238"/>
      <c r="Q30" s="1238"/>
      <c r="R30" s="1238"/>
      <c r="S30" s="1238"/>
      <c r="T30" s="1238"/>
      <c r="U30" s="1238"/>
      <c r="V30" s="1238"/>
      <c r="W30" s="1238"/>
      <c r="X30" s="1238"/>
      <c r="Y30" s="1238"/>
      <c r="Z30" s="1238"/>
      <c r="AA30" s="1238"/>
      <c r="AB30" s="1238"/>
      <c r="AC30" s="1238"/>
      <c r="AD30" s="1238"/>
      <c r="AE30" s="1239"/>
    </row>
    <row r="31" spans="2:31" ht="16.5" customHeight="1" thickTop="1">
      <c r="B31" s="1240"/>
      <c r="AE31" s="1240"/>
    </row>
  </sheetData>
  <sheetProtection/>
  <printOptions/>
  <pageMargins left="0.75" right="0.75" top="1" bottom="1" header="0" footer="0"/>
  <pageSetup fitToHeight="1" fitToWidth="1" horizontalDpi="600" verticalDpi="600" orientation="landscape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3"/>
  <sheetViews>
    <sheetView zoomScale="60" zoomScaleNormal="60" zoomScalePageLayoutView="0" workbookViewId="0" topLeftCell="A1">
      <selection activeCell="B3" sqref="B3"/>
    </sheetView>
  </sheetViews>
  <sheetFormatPr defaultColWidth="11.421875" defaultRowHeight="12.75" outlineLevelCol="1"/>
  <cols>
    <col min="1" max="1" width="7.57421875" style="928" customWidth="1"/>
    <col min="2" max="2" width="4.57421875" style="928" customWidth="1"/>
    <col min="3" max="3" width="5.28125" style="928" customWidth="1"/>
    <col min="4" max="4" width="4.7109375" style="928" customWidth="1"/>
    <col min="5" max="5" width="41.28125" style="928" customWidth="1"/>
    <col min="6" max="6" width="7.7109375" style="928" customWidth="1"/>
    <col min="7" max="7" width="13.140625" style="928" customWidth="1"/>
    <col min="8" max="8" width="6.140625" style="928" customWidth="1"/>
    <col min="9" max="9" width="4.421875" style="928" hidden="1" customWidth="1"/>
    <col min="10" max="10" width="8.8515625" style="928" hidden="1" customWidth="1"/>
    <col min="11" max="12" width="16.28125" style="928" customWidth="1"/>
    <col min="13" max="13" width="7.140625" style="1446" customWidth="1"/>
    <col min="14" max="14" width="7.8515625" style="928" customWidth="1"/>
    <col min="15" max="15" width="7.140625" style="928" customWidth="1"/>
    <col min="16" max="16" width="6.57421875" style="928" customWidth="1"/>
    <col min="17" max="17" width="5.421875" style="928" customWidth="1"/>
    <col min="18" max="18" width="6.00390625" style="928" bestFit="1" customWidth="1"/>
    <col min="19" max="19" width="48.00390625" style="928" hidden="1" customWidth="1"/>
    <col min="20" max="20" width="12.8515625" style="928" hidden="1" customWidth="1"/>
    <col min="21" max="21" width="12.140625" style="928" hidden="1" customWidth="1"/>
    <col min="22" max="22" width="13.7109375" style="931" customWidth="1"/>
    <col min="23" max="23" width="8.57421875" style="928" customWidth="1"/>
    <col min="24" max="24" width="9.00390625" style="928" customWidth="1"/>
    <col min="25" max="25" width="7.421875" style="931" bestFit="1" customWidth="1"/>
    <col min="26" max="26" width="8.57421875" style="931" customWidth="1"/>
    <col min="27" max="27" width="4.28125" style="931" bestFit="1" customWidth="1"/>
    <col min="28" max="28" width="10.421875" style="931" bestFit="1" customWidth="1"/>
    <col min="29" max="29" width="7.7109375" style="931" bestFit="1" customWidth="1"/>
    <col min="30" max="30" width="11.8515625" style="931" customWidth="1"/>
    <col min="31" max="31" width="16.57421875" style="931" hidden="1" customWidth="1" outlineLevel="1"/>
    <col min="32" max="32" width="15.7109375" style="928" hidden="1" customWidth="1" outlineLevel="1"/>
    <col min="33" max="33" width="15.8515625" style="928" hidden="1" customWidth="1" outlineLevel="1"/>
    <col min="34" max="34" width="48.140625" style="928" hidden="1" customWidth="1" outlineLevel="1"/>
    <col min="35" max="36" width="12.140625" style="928" hidden="1" customWidth="1" outlineLevel="1"/>
    <col min="37" max="37" width="26.57421875" style="928" bestFit="1" customWidth="1" collapsed="1"/>
    <col min="38" max="38" width="15.28125" style="928" customWidth="1"/>
    <col min="39" max="39" width="5.140625" style="928" customWidth="1"/>
    <col min="40" max="40" width="30.421875" style="928" customWidth="1"/>
    <col min="41" max="41" width="3.140625" style="928" customWidth="1"/>
    <col min="42" max="42" width="3.57421875" style="928" customWidth="1"/>
    <col min="43" max="43" width="24.28125" style="928" customWidth="1"/>
    <col min="44" max="44" width="4.7109375" style="928" customWidth="1"/>
    <col min="45" max="45" width="7.57421875" style="928" customWidth="1"/>
    <col min="46" max="47" width="4.140625" style="928" customWidth="1"/>
    <col min="48" max="48" width="7.140625" style="928" customWidth="1"/>
    <col min="49" max="49" width="5.28125" style="928" customWidth="1"/>
    <col min="50" max="50" width="5.421875" style="928" customWidth="1"/>
    <col min="51" max="51" width="4.7109375" style="928" customWidth="1"/>
    <col min="52" max="52" width="5.28125" style="928" customWidth="1"/>
    <col min="53" max="54" width="13.28125" style="928" customWidth="1"/>
    <col min="55" max="55" width="6.57421875" style="928" customWidth="1"/>
    <col min="56" max="56" width="6.421875" style="928" customWidth="1"/>
    <col min="57" max="60" width="11.421875" style="928" customWidth="1"/>
    <col min="61" max="61" width="12.7109375" style="928" customWidth="1"/>
    <col min="62" max="64" width="11.421875" style="928" customWidth="1"/>
    <col min="65" max="65" width="21.00390625" style="928" customWidth="1"/>
    <col min="66" max="16384" width="11.421875" style="928" customWidth="1"/>
  </cols>
  <sheetData>
    <row r="1" ht="12.75"/>
    <row r="2" spans="1:39" s="1241" customFormat="1" ht="26.25">
      <c r="A2" s="2097" t="str">
        <f>+'TOT-0115'!B2</f>
        <v>ANEXO II al Memorándum D.T.E.E. N°  90 /2016</v>
      </c>
      <c r="B2" s="2097"/>
      <c r="C2" s="2097"/>
      <c r="D2" s="2097"/>
      <c r="E2" s="2097"/>
      <c r="F2" s="2097"/>
      <c r="G2" s="2097"/>
      <c r="H2" s="2097"/>
      <c r="I2" s="2097"/>
      <c r="J2" s="2097"/>
      <c r="K2" s="2097"/>
      <c r="L2" s="2097"/>
      <c r="M2" s="2097"/>
      <c r="N2" s="2097"/>
      <c r="O2" s="2097"/>
      <c r="P2" s="2097"/>
      <c r="Q2" s="2097"/>
      <c r="R2" s="2097"/>
      <c r="S2" s="2097"/>
      <c r="T2" s="2097"/>
      <c r="U2" s="2097"/>
      <c r="V2" s="2097"/>
      <c r="W2" s="2097"/>
      <c r="X2" s="2097"/>
      <c r="Y2" s="2097"/>
      <c r="Z2" s="2097"/>
      <c r="AA2" s="2097"/>
      <c r="AB2" s="2097"/>
      <c r="AC2" s="2097"/>
      <c r="AD2" s="2097"/>
      <c r="AE2" s="2097"/>
      <c r="AF2" s="2097"/>
      <c r="AG2" s="2097"/>
      <c r="AH2" s="2097"/>
      <c r="AI2" s="2097"/>
      <c r="AJ2" s="2097"/>
      <c r="AK2" s="2097"/>
      <c r="AL2" s="2097"/>
      <c r="AM2" s="2097"/>
    </row>
    <row r="3" spans="1:39" s="1241" customFormat="1" ht="26.25">
      <c r="A3" s="932"/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1242"/>
      <c r="N3" s="932"/>
      <c r="O3" s="932"/>
      <c r="P3" s="932"/>
      <c r="Q3" s="932"/>
      <c r="R3" s="932"/>
      <c r="S3" s="932"/>
      <c r="T3" s="932"/>
      <c r="U3" s="932"/>
      <c r="V3" s="1242"/>
      <c r="W3" s="932"/>
      <c r="X3" s="932"/>
      <c r="Y3" s="1242"/>
      <c r="Z3" s="1242"/>
      <c r="AA3" s="1242"/>
      <c r="AB3" s="1242"/>
      <c r="AC3" s="1242"/>
      <c r="AD3" s="1242"/>
      <c r="AE3" s="1242"/>
      <c r="AF3" s="932"/>
      <c r="AG3" s="932"/>
      <c r="AH3" s="932"/>
      <c r="AI3" s="932"/>
      <c r="AJ3" s="932"/>
      <c r="AK3" s="932"/>
      <c r="AL3" s="932"/>
      <c r="AM3" s="932"/>
    </row>
    <row r="4" spans="1:31" s="958" customFormat="1" ht="12.75">
      <c r="A4" s="286" t="s">
        <v>2</v>
      </c>
      <c r="M4" s="1243"/>
      <c r="V4" s="1243"/>
      <c r="Y4" s="1243"/>
      <c r="Z4" s="1243"/>
      <c r="AA4" s="1243"/>
      <c r="AB4" s="1243"/>
      <c r="AC4" s="1243"/>
      <c r="AD4" s="1243"/>
      <c r="AE4" s="1243"/>
    </row>
    <row r="5" spans="1:31" s="937" customFormat="1" ht="11.25">
      <c r="A5" s="286" t="s">
        <v>271</v>
      </c>
      <c r="B5" s="936"/>
      <c r="C5" s="936"/>
      <c r="M5" s="1244"/>
      <c r="V5" s="1244"/>
      <c r="Y5" s="1244"/>
      <c r="Z5" s="1244"/>
      <c r="AA5" s="1244"/>
      <c r="AB5" s="1244"/>
      <c r="AC5" s="1244"/>
      <c r="AD5" s="1244"/>
      <c r="AE5" s="1244"/>
    </row>
    <row r="6" spans="1:31" s="937" customFormat="1" ht="85.5" customHeight="1" thickBot="1">
      <c r="A6" s="936"/>
      <c r="B6" s="936"/>
      <c r="C6" s="936"/>
      <c r="M6" s="1244"/>
      <c r="V6" s="1244"/>
      <c r="Y6" s="1244"/>
      <c r="Z6" s="1244"/>
      <c r="AA6" s="1244"/>
      <c r="AB6" s="1244"/>
      <c r="AC6" s="1244"/>
      <c r="AD6" s="1244"/>
      <c r="AE6" s="1244"/>
    </row>
    <row r="7" spans="1:39" s="958" customFormat="1" ht="12.75">
      <c r="A7" s="1245"/>
      <c r="B7" s="1246"/>
      <c r="C7" s="1246"/>
      <c r="D7" s="1246"/>
      <c r="E7" s="1246"/>
      <c r="F7" s="1247"/>
      <c r="G7" s="1246"/>
      <c r="H7" s="1246"/>
      <c r="I7" s="1246"/>
      <c r="J7" s="1246"/>
      <c r="K7" s="1246"/>
      <c r="L7" s="1246"/>
      <c r="M7" s="1248"/>
      <c r="N7" s="1246"/>
      <c r="O7" s="1246"/>
      <c r="P7" s="1246"/>
      <c r="Q7" s="1246"/>
      <c r="R7" s="1246"/>
      <c r="S7" s="1246"/>
      <c r="T7" s="1246"/>
      <c r="U7" s="1246"/>
      <c r="V7" s="1248"/>
      <c r="W7" s="1246"/>
      <c r="X7" s="1246"/>
      <c r="Y7" s="1248"/>
      <c r="Z7" s="1248"/>
      <c r="AA7" s="1248"/>
      <c r="AB7" s="1248"/>
      <c r="AC7" s="1248"/>
      <c r="AD7" s="1248"/>
      <c r="AE7" s="1248"/>
      <c r="AF7" s="1246"/>
      <c r="AG7" s="1246"/>
      <c r="AH7" s="1246"/>
      <c r="AI7" s="1246"/>
      <c r="AJ7" s="1246"/>
      <c r="AK7" s="1246"/>
      <c r="AL7" s="1246"/>
      <c r="AM7" s="1249"/>
    </row>
    <row r="8" spans="1:39" s="950" customFormat="1" ht="20.25">
      <c r="A8" s="1250"/>
      <c r="B8" s="948"/>
      <c r="C8" s="948"/>
      <c r="D8" s="948"/>
      <c r="E8" s="944" t="s">
        <v>24</v>
      </c>
      <c r="F8" s="948"/>
      <c r="G8" s="948"/>
      <c r="H8" s="948"/>
      <c r="I8" s="948"/>
      <c r="J8" s="948"/>
      <c r="K8" s="948"/>
      <c r="L8" s="948"/>
      <c r="M8" s="1251"/>
      <c r="N8" s="948"/>
      <c r="O8" s="948"/>
      <c r="P8" s="948"/>
      <c r="Q8" s="954"/>
      <c r="R8" s="954"/>
      <c r="S8" s="948"/>
      <c r="T8" s="948"/>
      <c r="U8" s="948"/>
      <c r="V8" s="1251"/>
      <c r="W8" s="948"/>
      <c r="X8" s="948"/>
      <c r="Y8" s="1251"/>
      <c r="Z8" s="1251"/>
      <c r="AA8" s="1251"/>
      <c r="AB8" s="1251"/>
      <c r="AC8" s="1251"/>
      <c r="AD8" s="1251"/>
      <c r="AE8" s="1251"/>
      <c r="AF8" s="948"/>
      <c r="AG8" s="948"/>
      <c r="AH8" s="948"/>
      <c r="AI8" s="948"/>
      <c r="AJ8" s="948"/>
      <c r="AK8" s="948"/>
      <c r="AL8" s="948"/>
      <c r="AM8" s="1252"/>
    </row>
    <row r="9" spans="1:39" s="958" customFormat="1" ht="12.75">
      <c r="A9" s="1253"/>
      <c r="B9" s="960"/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1254"/>
      <c r="N9" s="960"/>
      <c r="O9" s="960"/>
      <c r="P9" s="960"/>
      <c r="Q9" s="960"/>
      <c r="R9" s="960"/>
      <c r="S9" s="960"/>
      <c r="T9" s="960"/>
      <c r="U9" s="960"/>
      <c r="V9" s="1254"/>
      <c r="W9" s="960"/>
      <c r="X9" s="960"/>
      <c r="Y9" s="1254"/>
      <c r="Z9" s="1254"/>
      <c r="AA9" s="1254"/>
      <c r="AB9" s="1254"/>
      <c r="AC9" s="1254"/>
      <c r="AD9" s="1254"/>
      <c r="AE9" s="1254"/>
      <c r="AF9" s="960"/>
      <c r="AG9" s="960"/>
      <c r="AH9" s="960"/>
      <c r="AI9" s="960"/>
      <c r="AJ9" s="960"/>
      <c r="AK9" s="960"/>
      <c r="AL9" s="960"/>
      <c r="AM9" s="1255"/>
    </row>
    <row r="10" spans="1:39" s="950" customFormat="1" ht="20.25">
      <c r="A10" s="1250"/>
      <c r="B10" s="948"/>
      <c r="C10" s="948"/>
      <c r="D10" s="948"/>
      <c r="E10" s="1256" t="s">
        <v>272</v>
      </c>
      <c r="F10" s="948"/>
      <c r="G10" s="948"/>
      <c r="H10" s="948"/>
      <c r="I10" s="948"/>
      <c r="J10" s="948"/>
      <c r="K10" s="948"/>
      <c r="L10" s="948"/>
      <c r="M10" s="1251"/>
      <c r="N10" s="948"/>
      <c r="O10" s="948"/>
      <c r="P10" s="948"/>
      <c r="Q10" s="948"/>
      <c r="R10" s="948"/>
      <c r="S10" s="948"/>
      <c r="T10" s="948"/>
      <c r="U10" s="948"/>
      <c r="V10" s="1251"/>
      <c r="W10" s="948"/>
      <c r="X10" s="948"/>
      <c r="Y10" s="1251"/>
      <c r="Z10" s="1251"/>
      <c r="AA10" s="1251"/>
      <c r="AB10" s="1251"/>
      <c r="AC10" s="1251"/>
      <c r="AD10" s="1251"/>
      <c r="AE10" s="1251"/>
      <c r="AF10" s="948"/>
      <c r="AG10" s="948"/>
      <c r="AH10" s="948"/>
      <c r="AI10" s="948"/>
      <c r="AJ10" s="948"/>
      <c r="AK10" s="948"/>
      <c r="AL10" s="948"/>
      <c r="AM10" s="1252"/>
    </row>
    <row r="11" spans="1:39" s="958" customFormat="1" ht="12.75">
      <c r="A11" s="1253"/>
      <c r="B11" s="960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1254"/>
      <c r="N11" s="960"/>
      <c r="O11" s="960"/>
      <c r="P11" s="960"/>
      <c r="Q11" s="960"/>
      <c r="R11" s="960"/>
      <c r="S11" s="960"/>
      <c r="T11" s="960"/>
      <c r="U11" s="960"/>
      <c r="V11" s="1254"/>
      <c r="W11" s="960"/>
      <c r="X11" s="960"/>
      <c r="Y11" s="1254"/>
      <c r="Z11" s="1254"/>
      <c r="AA11" s="1254"/>
      <c r="AB11" s="1254"/>
      <c r="AC11" s="1254"/>
      <c r="AD11" s="1254"/>
      <c r="AE11" s="1254"/>
      <c r="AF11" s="960"/>
      <c r="AG11" s="960"/>
      <c r="AH11" s="960"/>
      <c r="AI11" s="960"/>
      <c r="AJ11" s="960"/>
      <c r="AK11" s="960"/>
      <c r="AL11" s="960"/>
      <c r="AM11" s="1255"/>
    </row>
    <row r="12" spans="1:39" s="958" customFormat="1" ht="12.75">
      <c r="A12" s="1253"/>
      <c r="B12" s="960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1254"/>
      <c r="N12" s="960"/>
      <c r="O12" s="960"/>
      <c r="P12" s="960"/>
      <c r="Q12" s="960"/>
      <c r="R12" s="960"/>
      <c r="S12" s="960"/>
      <c r="T12" s="960"/>
      <c r="U12" s="960"/>
      <c r="V12" s="1254"/>
      <c r="W12" s="960"/>
      <c r="X12" s="960"/>
      <c r="Y12" s="1254"/>
      <c r="Z12" s="1254"/>
      <c r="AA12" s="1254"/>
      <c r="AB12" s="1254"/>
      <c r="AC12" s="1254"/>
      <c r="AD12" s="1254"/>
      <c r="AE12" s="1254"/>
      <c r="AF12" s="960"/>
      <c r="AG12" s="960"/>
      <c r="AH12" s="960"/>
      <c r="AI12" s="960"/>
      <c r="AJ12" s="960"/>
      <c r="AK12" s="960"/>
      <c r="AL12" s="960"/>
      <c r="AM12" s="1255"/>
    </row>
    <row r="13" spans="1:39" s="1261" customFormat="1" ht="19.5">
      <c r="A13" s="1257" t="str">
        <f>+'TOT-0115'!B14</f>
        <v>Desde el 01 al 31 de enero de 2015</v>
      </c>
      <c r="B13" s="1258"/>
      <c r="C13" s="1258"/>
      <c r="D13" s="1258"/>
      <c r="E13" s="1258"/>
      <c r="F13" s="1258"/>
      <c r="G13" s="1258"/>
      <c r="H13" s="1258"/>
      <c r="I13" s="1258"/>
      <c r="J13" s="1258"/>
      <c r="K13" s="1258"/>
      <c r="L13" s="1258"/>
      <c r="M13" s="1259"/>
      <c r="N13" s="1258"/>
      <c r="O13" s="1258"/>
      <c r="P13" s="1258"/>
      <c r="Q13" s="1258"/>
      <c r="R13" s="1258"/>
      <c r="S13" s="1258"/>
      <c r="T13" s="1258"/>
      <c r="U13" s="1258"/>
      <c r="V13" s="1259"/>
      <c r="W13" s="1258"/>
      <c r="X13" s="1258"/>
      <c r="Y13" s="1259"/>
      <c r="Z13" s="1259"/>
      <c r="AA13" s="1259"/>
      <c r="AB13" s="1259"/>
      <c r="AC13" s="1259"/>
      <c r="AD13" s="1259"/>
      <c r="AE13" s="1259"/>
      <c r="AF13" s="1258"/>
      <c r="AG13" s="1258"/>
      <c r="AH13" s="1258"/>
      <c r="AI13" s="1258"/>
      <c r="AJ13" s="1258"/>
      <c r="AK13" s="1258"/>
      <c r="AL13" s="1258"/>
      <c r="AM13" s="1260"/>
    </row>
    <row r="14" spans="1:39" s="958" customFormat="1" ht="16.5" customHeight="1" thickBot="1">
      <c r="A14" s="1253"/>
      <c r="B14" s="960"/>
      <c r="C14" s="960"/>
      <c r="D14" s="960"/>
      <c r="E14" s="960"/>
      <c r="F14" s="1262"/>
      <c r="G14" s="1262"/>
      <c r="H14" s="960"/>
      <c r="I14" s="960"/>
      <c r="J14" s="960"/>
      <c r="K14" s="1263"/>
      <c r="L14" s="960"/>
      <c r="M14" s="1254"/>
      <c r="N14" s="960"/>
      <c r="O14" s="960"/>
      <c r="P14" s="960"/>
      <c r="Q14" s="960"/>
      <c r="R14" s="960"/>
      <c r="S14" s="960"/>
      <c r="T14" s="960"/>
      <c r="U14" s="960"/>
      <c r="V14" s="1254"/>
      <c r="W14" s="960"/>
      <c r="X14" s="960"/>
      <c r="Y14" s="1254"/>
      <c r="Z14" s="1254"/>
      <c r="AA14" s="1254"/>
      <c r="AB14" s="1254"/>
      <c r="AC14" s="1254"/>
      <c r="AD14" s="1254"/>
      <c r="AE14" s="1254"/>
      <c r="AF14" s="960"/>
      <c r="AG14" s="960"/>
      <c r="AH14" s="960"/>
      <c r="AI14" s="960"/>
      <c r="AJ14" s="960"/>
      <c r="AK14" s="960"/>
      <c r="AL14" s="960"/>
      <c r="AM14" s="1255"/>
    </row>
    <row r="15" spans="1:39" s="958" customFormat="1" ht="16.5" customHeight="1" thickBot="1" thickTop="1">
      <c r="A15" s="1253"/>
      <c r="B15" s="960"/>
      <c r="C15" s="960"/>
      <c r="D15" s="960"/>
      <c r="E15" s="1264" t="s">
        <v>27</v>
      </c>
      <c r="F15" s="1134">
        <v>434.062</v>
      </c>
      <c r="G15" s="1135"/>
      <c r="H15" s="960"/>
      <c r="I15" s="960"/>
      <c r="J15" s="960"/>
      <c r="K15" s="1265"/>
      <c r="L15" s="960"/>
      <c r="M15" s="1254"/>
      <c r="N15" s="960"/>
      <c r="O15" s="960"/>
      <c r="P15" s="960"/>
      <c r="Q15" s="960"/>
      <c r="R15" s="960"/>
      <c r="S15" s="1266" t="s">
        <v>273</v>
      </c>
      <c r="T15" s="1267"/>
      <c r="U15" s="1268"/>
      <c r="V15" s="1254"/>
      <c r="W15" s="960"/>
      <c r="X15" s="960"/>
      <c r="Y15" s="1254"/>
      <c r="Z15" s="1254"/>
      <c r="AA15" s="1254"/>
      <c r="AB15" s="1254"/>
      <c r="AC15" s="1254"/>
      <c r="AD15" s="1254"/>
      <c r="AE15" s="1254"/>
      <c r="AF15" s="960"/>
      <c r="AG15" s="960"/>
      <c r="AH15" s="1269" t="s">
        <v>273</v>
      </c>
      <c r="AI15" s="1270"/>
      <c r="AJ15" s="1271"/>
      <c r="AK15" s="960"/>
      <c r="AL15" s="960"/>
      <c r="AM15" s="1255"/>
    </row>
    <row r="16" spans="1:39" s="958" customFormat="1" ht="16.5" customHeight="1" thickBot="1" thickTop="1">
      <c r="A16" s="1253"/>
      <c r="B16" s="960"/>
      <c r="C16" s="960"/>
      <c r="D16" s="960"/>
      <c r="E16" s="1264" t="s">
        <v>28</v>
      </c>
      <c r="F16" s="1134">
        <v>361.726</v>
      </c>
      <c r="G16" s="1135"/>
      <c r="H16" s="960"/>
      <c r="I16" s="960"/>
      <c r="J16" s="960"/>
      <c r="K16" s="1265"/>
      <c r="L16" s="1272"/>
      <c r="M16" s="1254"/>
      <c r="N16" s="960"/>
      <c r="O16" s="960"/>
      <c r="P16" s="960"/>
      <c r="Q16" s="960"/>
      <c r="R16" s="960"/>
      <c r="S16" s="1273" t="s">
        <v>274</v>
      </c>
      <c r="T16" s="1274"/>
      <c r="U16" s="1275"/>
      <c r="V16" s="1254"/>
      <c r="W16" s="1276"/>
      <c r="X16" s="960"/>
      <c r="Y16" s="1254"/>
      <c r="Z16" s="1254"/>
      <c r="AA16" s="1254"/>
      <c r="AB16" s="1254"/>
      <c r="AC16" s="1254"/>
      <c r="AD16" s="1254"/>
      <c r="AE16" s="1254"/>
      <c r="AF16" s="960"/>
      <c r="AG16" s="960"/>
      <c r="AH16" s="1277" t="s">
        <v>275</v>
      </c>
      <c r="AI16" s="1278"/>
      <c r="AJ16" s="1279"/>
      <c r="AK16" s="1280"/>
      <c r="AL16" s="1280"/>
      <c r="AM16" s="1281"/>
    </row>
    <row r="17" spans="1:39" s="958" customFormat="1" ht="16.5" customHeight="1" thickBot="1" thickTop="1">
      <c r="A17" s="1253"/>
      <c r="B17" s="960"/>
      <c r="C17" s="960"/>
      <c r="D17" s="960"/>
      <c r="E17" s="960"/>
      <c r="F17" s="1282"/>
      <c r="G17" s="960"/>
      <c r="H17" s="960"/>
      <c r="I17" s="960"/>
      <c r="J17" s="960"/>
      <c r="K17" s="960"/>
      <c r="L17" s="960"/>
      <c r="M17" s="1254"/>
      <c r="N17" s="960"/>
      <c r="O17" s="1283"/>
      <c r="P17" s="960"/>
      <c r="Q17" s="960"/>
      <c r="R17" s="960"/>
      <c r="S17" s="1284" t="s">
        <v>276</v>
      </c>
      <c r="T17" s="1285"/>
      <c r="U17" s="1286"/>
      <c r="V17" s="1254"/>
      <c r="W17" s="960"/>
      <c r="X17" s="960"/>
      <c r="Y17" s="1254"/>
      <c r="Z17" s="1254"/>
      <c r="AA17" s="1254"/>
      <c r="AB17" s="1254"/>
      <c r="AC17" s="1254"/>
      <c r="AD17" s="1254"/>
      <c r="AE17" s="1254"/>
      <c r="AF17" s="960"/>
      <c r="AG17" s="960"/>
      <c r="AH17" s="1287" t="s">
        <v>277</v>
      </c>
      <c r="AI17" s="1288"/>
      <c r="AJ17" s="1289"/>
      <c r="AK17" s="960"/>
      <c r="AL17" s="960"/>
      <c r="AM17" s="1255"/>
    </row>
    <row r="18" spans="1:39" s="1306" customFormat="1" ht="67.5" customHeight="1" thickBot="1" thickTop="1">
      <c r="A18" s="1290"/>
      <c r="B18" s="1291"/>
      <c r="C18" s="1292" t="s">
        <v>278</v>
      </c>
      <c r="D18" s="980" t="s">
        <v>29</v>
      </c>
      <c r="E18" s="973" t="s">
        <v>5</v>
      </c>
      <c r="F18" s="1293" t="s">
        <v>32</v>
      </c>
      <c r="G18" s="973" t="s">
        <v>33</v>
      </c>
      <c r="H18" s="1294" t="s">
        <v>34</v>
      </c>
      <c r="I18" s="1295" t="s">
        <v>35</v>
      </c>
      <c r="J18" s="1296" t="s">
        <v>36</v>
      </c>
      <c r="K18" s="973" t="s">
        <v>37</v>
      </c>
      <c r="L18" s="1297" t="s">
        <v>38</v>
      </c>
      <c r="M18" s="1298" t="s">
        <v>39</v>
      </c>
      <c r="N18" s="1299" t="s">
        <v>40</v>
      </c>
      <c r="O18" s="1297" t="s">
        <v>171</v>
      </c>
      <c r="P18" s="973" t="s">
        <v>41</v>
      </c>
      <c r="Q18" s="1297" t="s">
        <v>42</v>
      </c>
      <c r="R18" s="973" t="s">
        <v>43</v>
      </c>
      <c r="S18" s="1300" t="s">
        <v>46</v>
      </c>
      <c r="T18" s="1301"/>
      <c r="U18" s="1302"/>
      <c r="V18" s="1303" t="s">
        <v>279</v>
      </c>
      <c r="W18" s="980" t="s">
        <v>280</v>
      </c>
      <c r="X18" s="980" t="s">
        <v>281</v>
      </c>
      <c r="Y18" s="1303" t="s">
        <v>282</v>
      </c>
      <c r="Z18" s="1303" t="s">
        <v>283</v>
      </c>
      <c r="AA18" s="1303" t="s">
        <v>284</v>
      </c>
      <c r="AB18" s="1303" t="s">
        <v>285</v>
      </c>
      <c r="AC18" s="1303" t="s">
        <v>286</v>
      </c>
      <c r="AD18" s="1303" t="s">
        <v>287</v>
      </c>
      <c r="AE18" s="1304" t="s">
        <v>288</v>
      </c>
      <c r="AF18" s="1304" t="s">
        <v>289</v>
      </c>
      <c r="AG18" s="1304" t="s">
        <v>290</v>
      </c>
      <c r="AH18" s="1300" t="s">
        <v>46</v>
      </c>
      <c r="AI18" s="1301"/>
      <c r="AJ18" s="1302"/>
      <c r="AK18" s="1303" t="s">
        <v>291</v>
      </c>
      <c r="AL18" s="980" t="s">
        <v>51</v>
      </c>
      <c r="AM18" s="1305"/>
    </row>
    <row r="19" spans="1:39" s="958" customFormat="1" ht="16.5" customHeight="1" hidden="1">
      <c r="A19" s="1253"/>
      <c r="B19" s="960"/>
      <c r="C19" s="960"/>
      <c r="D19" s="1307"/>
      <c r="E19" s="982"/>
      <c r="F19" s="982"/>
      <c r="G19" s="1307"/>
      <c r="H19" s="1307"/>
      <c r="I19" s="1308"/>
      <c r="J19" s="1309"/>
      <c r="K19" s="1307"/>
      <c r="L19" s="1307"/>
      <c r="M19" s="1310"/>
      <c r="N19" s="1311"/>
      <c r="O19" s="1307"/>
      <c r="P19" s="1307"/>
      <c r="Q19" s="1307"/>
      <c r="R19" s="1307"/>
      <c r="S19" s="1312"/>
      <c r="T19" s="1313"/>
      <c r="U19" s="1314"/>
      <c r="V19" s="1315"/>
      <c r="W19" s="1307"/>
      <c r="X19" s="1316"/>
      <c r="Y19" s="1317"/>
      <c r="Z19" s="1316"/>
      <c r="AA19" s="1316"/>
      <c r="AB19" s="1317"/>
      <c r="AC19" s="1317"/>
      <c r="AD19" s="1318"/>
      <c r="AE19" s="1319"/>
      <c r="AF19" s="1319"/>
      <c r="AG19" s="1319"/>
      <c r="AH19" s="1312"/>
      <c r="AI19" s="1313"/>
      <c r="AJ19" s="1314"/>
      <c r="AK19" s="1317"/>
      <c r="AL19" s="1316"/>
      <c r="AM19" s="1255"/>
    </row>
    <row r="20" spans="1:39" s="1243" customFormat="1" ht="16.5" customHeight="1" thickBot="1" thickTop="1">
      <c r="A20" s="1320"/>
      <c r="B20" s="1321"/>
      <c r="C20" s="1322"/>
      <c r="D20" s="1323"/>
      <c r="E20" s="1324"/>
      <c r="F20" s="1325"/>
      <c r="G20" s="1324"/>
      <c r="H20" s="1324"/>
      <c r="I20" s="1326"/>
      <c r="J20" s="1327"/>
      <c r="K20" s="1328"/>
      <c r="L20" s="1329"/>
      <c r="M20" s="1322"/>
      <c r="N20" s="1322"/>
      <c r="O20" s="1330"/>
      <c r="P20" s="1322"/>
      <c r="Q20" s="1322"/>
      <c r="R20" s="1322"/>
      <c r="S20" s="1331"/>
      <c r="T20" s="1331"/>
      <c r="U20" s="1332"/>
      <c r="V20" s="1333"/>
      <c r="W20" s="1322"/>
      <c r="X20" s="1334"/>
      <c r="Y20" s="1333"/>
      <c r="Z20" s="1334"/>
      <c r="AA20" s="1333"/>
      <c r="AB20" s="1333"/>
      <c r="AC20" s="1333"/>
      <c r="AD20" s="1335"/>
      <c r="AE20" s="1333"/>
      <c r="AF20" s="1333"/>
      <c r="AG20" s="1333"/>
      <c r="AH20" s="1331"/>
      <c r="AI20" s="1331"/>
      <c r="AJ20" s="1332"/>
      <c r="AK20" s="1333"/>
      <c r="AL20" s="1333"/>
      <c r="AM20" s="1255"/>
    </row>
    <row r="21" spans="1:39" s="1243" customFormat="1" ht="16.5" customHeight="1">
      <c r="A21" s="1320"/>
      <c r="B21" s="2098" t="s">
        <v>292</v>
      </c>
      <c r="C21" s="1336">
        <v>1</v>
      </c>
      <c r="D21" s="1336">
        <v>10</v>
      </c>
      <c r="E21" s="1337" t="s">
        <v>238</v>
      </c>
      <c r="F21" s="1337">
        <v>500</v>
      </c>
      <c r="G21" s="1337">
        <v>304</v>
      </c>
      <c r="H21" s="1337" t="s">
        <v>191</v>
      </c>
      <c r="I21" s="1338">
        <f>IF(H21="A",200,IF(H21="B",60,20))</f>
        <v>200</v>
      </c>
      <c r="J21" s="1339">
        <f>IF(F21=500,IF(G21&lt;100,100*$F$15/100,G21*$F$15/100),IF(G21&lt;100,100*$F$16/100,G21*$F$16/100))</f>
        <v>1319.54848</v>
      </c>
      <c r="K21" s="1340">
        <v>42025.87777777778</v>
      </c>
      <c r="L21" s="1340">
        <v>42029.48263888889</v>
      </c>
      <c r="M21" s="1341">
        <f>IF(E21="","",(L21-K21)*24)</f>
        <v>86.51666666666279</v>
      </c>
      <c r="N21" s="1342">
        <f>IF(E21="","",ROUND((L21-K21)*24*60,0))</f>
        <v>5191</v>
      </c>
      <c r="O21" s="1343" t="s">
        <v>185</v>
      </c>
      <c r="P21" s="1344" t="str">
        <f>IF(E21="","","--")</f>
        <v>--</v>
      </c>
      <c r="Q21" s="1345" t="str">
        <f>IF(E21="","","NO")</f>
        <v>NO</v>
      </c>
      <c r="R21" s="1345" t="str">
        <f>IF(E21="","",IF(OR(O21="P",O21="RP"),"--","NO"))</f>
        <v>NO</v>
      </c>
      <c r="S21" s="1346">
        <f>IF(AND(O21="F",R21="NO"),J21*I21*IF(Q21="SI",1.2,1),"--")</f>
        <v>263909.696</v>
      </c>
      <c r="T21" s="1346">
        <f>IF(AND(O21="F",AE21&gt;=10),J21*I21*IF(Q21="SI",1.2,1)*IF(AE21&lt;=300,ROUND(AE21/60,2),5),"--")</f>
        <v>1319548.48</v>
      </c>
      <c r="U21" s="1347">
        <f>IF(AND(O21="F",AE21&gt;300),(ROUND(AE21/60,2)-5)*J21*I21*0.1*IF(Q21="SI",1.2,1),"--")</f>
        <v>3066630.66752</v>
      </c>
      <c r="V21" s="1348">
        <f>IF(E21="","",SUM(S21:U21)*IF(W21="SI",1,2))</f>
        <v>4650088.843520001</v>
      </c>
      <c r="W21" s="1349" t="str">
        <f>IF(E21="","","SI")</f>
        <v>SI</v>
      </c>
      <c r="X21" s="1350">
        <v>2</v>
      </c>
      <c r="Y21" s="1351">
        <f>IF(E21="","",IF(X21&lt;=10,48,72))</f>
        <v>48</v>
      </c>
      <c r="Z21" s="1352">
        <v>30</v>
      </c>
      <c r="AA21" s="1353">
        <f>IF(E21="","",0.9)</f>
        <v>0.9</v>
      </c>
      <c r="AB21" s="1354">
        <f>IF(E21="","",Y21+Z21)</f>
        <v>78</v>
      </c>
      <c r="AC21" s="1354">
        <f>IF(E21="","",AA21*24*X21)</f>
        <v>43.2</v>
      </c>
      <c r="AD21" s="1354">
        <f>IF(E21="","",AC21+AB21)</f>
        <v>121.2</v>
      </c>
      <c r="AE21" s="1355">
        <f>AD21*60</f>
        <v>7272</v>
      </c>
      <c r="AF21" s="1356">
        <f>LOG(V21)/LOG(AC21)</f>
        <v>4.076751764414521</v>
      </c>
      <c r="AG21" s="1356">
        <f>1/(2*X21)</f>
        <v>0.25</v>
      </c>
      <c r="AH21" s="1346">
        <f>IF(AND(O21="F",R21="NO"),J21*I21*IF(Q21="SI",1.2,1),"--")</f>
        <v>263909.696</v>
      </c>
      <c r="AI21" s="1346">
        <f>IF(AND(O21="F",N21&gt;=10),J21*I21*IF(Q21="SI",1.2,1)*IF(N21&lt;=300,ROUND(N21/60,2),5),"--")</f>
        <v>1319548.48</v>
      </c>
      <c r="AJ21" s="1347">
        <f>IF(AND(O21="F",N21&gt;300),(ROUND(N21/60,2)-5)*J21*I21*0.1*IF(Q21="SI",1.2,1),"--")</f>
        <v>2151391.841792</v>
      </c>
      <c r="AK21" s="1354">
        <f>IF(E21="","",SUM(AH21:AJ21)*IF(W21="SI",1,2))</f>
        <v>3734850.017792</v>
      </c>
      <c r="AL21" s="1357">
        <f>IF(E21=""," ",IF(M21&lt;=AB21,0,(IF(M21&gt;AD21,AK21,(M21-AB21)^AF21*1/(1-AG21*(M21-AD21))))))</f>
        <v>641.2310403291209</v>
      </c>
      <c r="AM21" s="1358"/>
    </row>
    <row r="22" spans="1:39" s="1243" customFormat="1" ht="16.5" customHeight="1">
      <c r="A22" s="1320"/>
      <c r="B22" s="2099"/>
      <c r="C22" s="1359"/>
      <c r="D22" s="1359"/>
      <c r="E22" s="1360"/>
      <c r="F22" s="1361"/>
      <c r="G22" s="1360"/>
      <c r="H22" s="1361"/>
      <c r="I22" s="1362"/>
      <c r="J22" s="1363"/>
      <c r="K22" s="1364"/>
      <c r="L22" s="1364"/>
      <c r="M22" s="1365">
        <f>IF(E22="","",(L22-K22)*24)</f>
      </c>
      <c r="N22" s="1366">
        <f>IF(E22="","",ROUND((L22-K22)*24*60,0))</f>
      </c>
      <c r="O22" s="1367"/>
      <c r="P22" s="1368">
        <f>IF(E22="","","--")</f>
      </c>
      <c r="Q22" s="1369">
        <f>IF(E22="","","NO")</f>
      </c>
      <c r="R22" s="1369">
        <f>IF(E22="","",IF(OR(O22="P",O22="RP"),"--","NO"))</f>
      </c>
      <c r="S22" s="1370" t="str">
        <f>IF(AND(O22="F",R22="NO"),J22*I22*IF(Q22="SI",1.2,1),"--")</f>
        <v>--</v>
      </c>
      <c r="T22" s="1370" t="str">
        <f>IF(AND(O22="F",AE22&gt;=10),J22*I22*IF(Q22="SI",1.2,1)*IF(AE22&lt;=300,ROUND(AE22/60,2),5),"--")</f>
        <v>--</v>
      </c>
      <c r="U22" s="1371" t="str">
        <f>IF(AND(O22="F",AE22&gt;300),(ROUND(AE22/60,2)-5)*J22*I22*0.1*IF(Q22="SI",1.2,1),"--")</f>
        <v>--</v>
      </c>
      <c r="V22" s="1372">
        <f>IF(E22="","",SUM(S22:U22)*IF(W22="SI",1,2))</f>
      </c>
      <c r="W22" s="1371">
        <f>IF(E22="","","SI")</f>
      </c>
      <c r="X22" s="1373"/>
      <c r="Y22" s="1374">
        <f>IF(E22="","",IF(X22&lt;=10,48,72))</f>
      </c>
      <c r="Z22" s="1375"/>
      <c r="AA22" s="1376">
        <f>IF(E22="","",0.9)</f>
      </c>
      <c r="AB22" s="1372">
        <f>IF(E22="","",Y22+Z22)</f>
      </c>
      <c r="AC22" s="1372">
        <f>IF(E22="","",AA22*24*X22)</f>
      </c>
      <c r="AD22" s="1372">
        <f>IF(E22="","",AC22+AB22)</f>
      </c>
      <c r="AE22" s="1377"/>
      <c r="AF22" s="1378"/>
      <c r="AG22" s="1378"/>
      <c r="AH22" s="1370" t="str">
        <f>IF(AND(O22="F",R22="NO"),J22*I22*IF(Q22="SI",1.2,1),"--")</f>
        <v>--</v>
      </c>
      <c r="AI22" s="1370" t="str">
        <f>IF(AND(O22="F",N22&gt;=10),J22*I22*IF(Q22="SI",1.2,1)*IF(N22&lt;=300,ROUND(N22/60,2),5),"--")</f>
        <v>--</v>
      </c>
      <c r="AJ22" s="1371" t="str">
        <f>IF(AND(O22="F",N22&gt;300),(ROUND(N22/60,2)-5)*J22*I22*0.1*IF(Q22="SI",1.2,1),"--")</f>
        <v>--</v>
      </c>
      <c r="AK22" s="1372">
        <f>IF(E22="","",SUM(AH22:AJ22)*IF(W22="SI",1,2))</f>
      </c>
      <c r="AL22" s="1379" t="str">
        <f>IF(E22=""," ",IF(M22&lt;=AB22,0,(IF(M22&gt;AD22,AK22,(M22-AB22)^AF22*1/(1-AG22*(M22-AD22))))))</f>
        <v> </v>
      </c>
      <c r="AM22" s="1358"/>
    </row>
    <row r="23" spans="1:39" s="1243" customFormat="1" ht="16.5" customHeight="1">
      <c r="A23" s="1320"/>
      <c r="B23" s="2099"/>
      <c r="C23" s="1359"/>
      <c r="D23" s="1359"/>
      <c r="E23" s="1360"/>
      <c r="F23" s="1361"/>
      <c r="G23" s="1380"/>
      <c r="H23" s="1361"/>
      <c r="I23" s="1381"/>
      <c r="J23" s="1363"/>
      <c r="K23" s="1364"/>
      <c r="L23" s="1364"/>
      <c r="M23" s="1365">
        <f>IF(E23="","",(L23-K23)*24)</f>
      </c>
      <c r="N23" s="1366">
        <f>IF(E23="","",ROUND((L23-K23)*24*60,0))</f>
      </c>
      <c r="O23" s="1367"/>
      <c r="P23" s="1368">
        <f>IF(E23="","","--")</f>
      </c>
      <c r="Q23" s="1369">
        <f>IF(E23="","","NO")</f>
      </c>
      <c r="R23" s="1369">
        <f>IF(E23="","",IF(OR(O23="P",O23="RP"),"--","NO"))</f>
      </c>
      <c r="S23" s="1370" t="str">
        <f>IF(AND(O23="F",R23="NO"),J23*I23*IF(Q23="SI",1.2,1),"--")</f>
        <v>--</v>
      </c>
      <c r="T23" s="1370"/>
      <c r="U23" s="1371"/>
      <c r="V23" s="1372">
        <f>IF(E23="","",SUM(S23:U23)*IF(W23="SI",1,2))</f>
      </c>
      <c r="W23" s="1371">
        <f>IF(E23="","","SI")</f>
      </c>
      <c r="X23" s="1373"/>
      <c r="Y23" s="1374">
        <f>IF(E23="","",IF(M22&lt;=AD22,0,IF(X23&lt;=10,48,72)))</f>
      </c>
      <c r="Z23" s="1375"/>
      <c r="AA23" s="1376">
        <f>IF(E23="","",IF(M22&lt;=AD22,1,0.9))</f>
      </c>
      <c r="AB23" s="1372">
        <f>IF(E23="","",IF(M22&lt;=AD22,M22+Z23,Y23+Z23))</f>
      </c>
      <c r="AC23" s="1372">
        <f>IF(E23="","",IF(M22&lt;=AD22,AA23*X23*24,AA23*X23*24))</f>
      </c>
      <c r="AD23" s="1372">
        <f>IF(E23="","",AC23+AB23)</f>
      </c>
      <c r="AE23" s="1372"/>
      <c r="AF23" s="1382"/>
      <c r="AG23" s="1382"/>
      <c r="AH23" s="1370" t="str">
        <f>IF(AND(O23="F",R23="NO"),J23*I23*IF(Q23="SI",1.2,1),"--")</f>
        <v>--</v>
      </c>
      <c r="AI23" s="1370" t="str">
        <f>IF(AND(O23="F",N23&gt;=10),J23*I23*IF(Q23="SI",1.2,1)*IF(N23&lt;=300,ROUND(N23/60,2),5),"--")</f>
        <v>--</v>
      </c>
      <c r="AJ23" s="1371" t="str">
        <f>IF(AND(O23="F",N23&gt;300),(ROUND(N23/60,2)-5)*J23*I23*0.1*IF(Q23="SI",1.2,1),"--")</f>
        <v>--</v>
      </c>
      <c r="AK23" s="1372">
        <f>IF(E23="","",SUM(AH23:AJ23)*IF(W23="SI",1,2))</f>
      </c>
      <c r="AL23" s="1379" t="str">
        <f>IF(E23=""," ",IF(M23&lt;=AB23,0,(IF(M23&gt;AD23,AK23,(M23-AB23)^AF23*1/(1-AG23*(M23-AD23))))))</f>
        <v> </v>
      </c>
      <c r="AM23" s="1358"/>
    </row>
    <row r="24" spans="1:39" s="1254" customFormat="1" ht="16.5" customHeight="1" thickBot="1">
      <c r="A24" s="1320"/>
      <c r="B24" s="2100"/>
      <c r="C24" s="1383"/>
      <c r="D24" s="1383"/>
      <c r="E24" s="1384"/>
      <c r="F24" s="1385"/>
      <c r="G24" s="1386"/>
      <c r="H24" s="1385"/>
      <c r="I24" s="1387"/>
      <c r="J24" s="1388"/>
      <c r="K24" s="1389"/>
      <c r="L24" s="1389"/>
      <c r="M24" s="1390">
        <f>IF(E24="","",(L24-K24)*24)</f>
      </c>
      <c r="N24" s="1391">
        <f>IF(E24="","",ROUND((L24-K24)*24*60,0))</f>
      </c>
      <c r="O24" s="1392"/>
      <c r="P24" s="1393">
        <f>IF(E24="","","--")</f>
      </c>
      <c r="Q24" s="1394">
        <f>IF(E24="","","NO")</f>
      </c>
      <c r="R24" s="1394">
        <f>IF(E24="","",IF(OR(O24="P",O24="RP"),"--","NO"))</f>
      </c>
      <c r="S24" s="1395" t="str">
        <f>IF(AND(O24="F",R24="NO"),J24*I24*IF(Q24="SI",1.2,1),"--")</f>
        <v>--</v>
      </c>
      <c r="T24" s="1395"/>
      <c r="U24" s="1396"/>
      <c r="V24" s="1397">
        <f>IF(E24="","",SUM(S24:U24)*IF(W24="SI",1,2))</f>
      </c>
      <c r="W24" s="1396">
        <f>IF(E24="","","SI")</f>
      </c>
      <c r="X24" s="1398"/>
      <c r="Y24" s="1399">
        <f>IF(E24="","",IF(M23&lt;=AD23,0,IF(X24&lt;=10,48,72)))</f>
      </c>
      <c r="Z24" s="1400"/>
      <c r="AA24" s="1401">
        <f>IF(E24="","",IF(M23&lt;=AD23,1,0.9))</f>
      </c>
      <c r="AB24" s="1397">
        <f>IF(E24="","",IF(M23&lt;=AD23,M23+Z24,Y24+Z24))</f>
      </c>
      <c r="AC24" s="1397">
        <f>IF(E24="","",IF(M23&lt;=AD23,AA24*X24*24,AA24*X24*24))</f>
      </c>
      <c r="AD24" s="1397">
        <f>IF(E24="","",AC24+AB24)</f>
      </c>
      <c r="AE24" s="1397"/>
      <c r="AF24" s="1402"/>
      <c r="AG24" s="1402"/>
      <c r="AH24" s="1395" t="str">
        <f>IF(AND(O24="F",R24="NO"),J24*I24*IF(Q24="SI",1.2,1),"--")</f>
        <v>--</v>
      </c>
      <c r="AI24" s="1395" t="str">
        <f>IF(AND(O24="F",N24&gt;=10),J24*I24*IF(Q24="SI",1.2,1)*IF(N24&lt;=300,ROUND(N24/60,2),5),"--")</f>
        <v>--</v>
      </c>
      <c r="AJ24" s="1396" t="str">
        <f>IF(AND(O24="F",N24&gt;300),(ROUND(N24/60,2)-5)*J24*I24*0.1*IF(Q24="SI",1.2,1),"--")</f>
        <v>--</v>
      </c>
      <c r="AK24" s="1397">
        <f>IF(E24="","",SUM(AH24:AJ24)*IF(W24="SI",1,2))</f>
      </c>
      <c r="AL24" s="1403" t="str">
        <f>IF(E24=""," ",IF(M24&lt;=AB24,0,(IF(M24&gt;AD24,AK24,(M24-AB24)^AF24*1/(1-AG24*(M24-AD24))))))</f>
        <v> </v>
      </c>
      <c r="AM24" s="1358"/>
    </row>
    <row r="25" spans="1:39" s="1243" customFormat="1" ht="16.5" customHeight="1" thickBot="1">
      <c r="A25" s="1320"/>
      <c r="B25" s="1404"/>
      <c r="C25" s="1405"/>
      <c r="D25" s="1406"/>
      <c r="E25" s="1407"/>
      <c r="F25" s="1408"/>
      <c r="G25" s="1407"/>
      <c r="H25" s="1409"/>
      <c r="I25" s="1410"/>
      <c r="J25" s="1411"/>
      <c r="K25" s="1412"/>
      <c r="L25" s="1412"/>
      <c r="M25" s="1413"/>
      <c r="N25" s="1413"/>
      <c r="O25" s="1412"/>
      <c r="P25" s="1414"/>
      <c r="Q25" s="1413"/>
      <c r="R25" s="1413"/>
      <c r="S25" s="1415"/>
      <c r="T25" s="1415"/>
      <c r="U25" s="1416"/>
      <c r="V25" s="1417"/>
      <c r="W25" s="1418"/>
      <c r="X25" s="1419"/>
      <c r="Y25" s="1420"/>
      <c r="Z25" s="1419"/>
      <c r="AA25" s="1421"/>
      <c r="AB25" s="1420"/>
      <c r="AC25" s="1420"/>
      <c r="AD25" s="1420"/>
      <c r="AE25" s="1422"/>
      <c r="AF25" s="1420"/>
      <c r="AG25" s="1420"/>
      <c r="AH25" s="1415"/>
      <c r="AI25" s="1415"/>
      <c r="AJ25" s="1416"/>
      <c r="AK25" s="1420"/>
      <c r="AL25" s="1423"/>
      <c r="AM25" s="1358"/>
    </row>
    <row r="26" spans="1:39" s="958" customFormat="1" ht="16.5" customHeight="1" thickBot="1" thickTop="1">
      <c r="A26" s="1253"/>
      <c r="B26" s="960"/>
      <c r="C26" s="960"/>
      <c r="D26" s="1424"/>
      <c r="E26" s="1079"/>
      <c r="F26" s="1425"/>
      <c r="G26" s="1282"/>
      <c r="H26" s="1426"/>
      <c r="I26" s="1282"/>
      <c r="J26" s="1081"/>
      <c r="K26" s="1081"/>
      <c r="L26" s="1081"/>
      <c r="M26" s="1427"/>
      <c r="N26" s="1081"/>
      <c r="O26" s="1081"/>
      <c r="P26" s="1428"/>
      <c r="Q26" s="1081"/>
      <c r="R26" s="1081"/>
      <c r="S26" s="1429">
        <f>SUM(S19:S25)</f>
        <v>263909.696</v>
      </c>
      <c r="T26" s="1429">
        <f>SUM(T19:T25)</f>
        <v>1319548.48</v>
      </c>
      <c r="U26" s="1429">
        <f>SUM(U19:U25)</f>
        <v>3066630.66752</v>
      </c>
      <c r="V26" s="1430"/>
      <c r="W26" s="1431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29">
        <f>SUM(AH19:AH25)</f>
        <v>263909.696</v>
      </c>
      <c r="AI26" s="1429">
        <f>SUM(AI19:AI25)</f>
        <v>1319548.48</v>
      </c>
      <c r="AJ26" s="1429">
        <f>SUM(AJ19:AJ25)</f>
        <v>2151391.841792</v>
      </c>
      <c r="AK26" s="1430" t="s">
        <v>293</v>
      </c>
      <c r="AL26" s="1432">
        <f>ROUND(SUM(AL19:AL25),2)</f>
        <v>641.23</v>
      </c>
      <c r="AM26" s="1358"/>
    </row>
    <row r="27" spans="1:39" s="958" customFormat="1" ht="16.5" customHeight="1" thickTop="1">
      <c r="A27" s="1253"/>
      <c r="B27" s="960"/>
      <c r="C27" s="960"/>
      <c r="D27" s="967" t="s">
        <v>294</v>
      </c>
      <c r="E27" s="1433" t="s">
        <v>295</v>
      </c>
      <c r="F27" s="1425"/>
      <c r="G27" s="1282"/>
      <c r="H27" s="1426"/>
      <c r="I27" s="1282"/>
      <c r="J27" s="1081"/>
      <c r="K27" s="1081"/>
      <c r="L27" s="1081"/>
      <c r="M27" s="1427"/>
      <c r="N27" s="1081"/>
      <c r="O27" s="1081"/>
      <c r="P27" s="1428"/>
      <c r="Q27" s="1081"/>
      <c r="R27" s="1081"/>
      <c r="S27" s="1434"/>
      <c r="T27" s="1434"/>
      <c r="U27" s="1434"/>
      <c r="V27" s="1430"/>
      <c r="W27" s="1431"/>
      <c r="X27" s="1430"/>
      <c r="Y27" s="1430"/>
      <c r="Z27" s="1430"/>
      <c r="AA27" s="1430"/>
      <c r="AB27" s="1430"/>
      <c r="AC27" s="1430"/>
      <c r="AD27" s="1430"/>
      <c r="AE27" s="1430"/>
      <c r="AF27" s="1430"/>
      <c r="AG27" s="1430"/>
      <c r="AH27" s="1434"/>
      <c r="AI27" s="1434"/>
      <c r="AJ27" s="1434"/>
      <c r="AK27" s="1430"/>
      <c r="AL27" s="1430"/>
      <c r="AM27" s="1358"/>
    </row>
    <row r="28" spans="1:39" s="958" customFormat="1" ht="16.5" customHeight="1">
      <c r="A28" s="1253"/>
      <c r="B28" s="960"/>
      <c r="C28" s="960"/>
      <c r="D28" s="967" t="s">
        <v>296</v>
      </c>
      <c r="E28" s="1433" t="s">
        <v>297</v>
      </c>
      <c r="F28" s="1425"/>
      <c r="G28" s="1282"/>
      <c r="H28" s="1426"/>
      <c r="I28" s="1282"/>
      <c r="J28" s="1081"/>
      <c r="K28" s="1081"/>
      <c r="L28" s="1081"/>
      <c r="M28" s="1427"/>
      <c r="N28" s="1081"/>
      <c r="O28" s="1081"/>
      <c r="P28" s="1428"/>
      <c r="Q28" s="1081"/>
      <c r="R28" s="1081"/>
      <c r="S28" s="1434"/>
      <c r="T28" s="1434"/>
      <c r="U28" s="1434"/>
      <c r="V28" s="1430"/>
      <c r="W28" s="1431"/>
      <c r="X28" s="1430"/>
      <c r="Y28" s="1430"/>
      <c r="Z28" s="1430"/>
      <c r="AA28" s="1430"/>
      <c r="AB28" s="1430"/>
      <c r="AC28" s="1430"/>
      <c r="AD28" s="1430"/>
      <c r="AE28" s="1430"/>
      <c r="AF28" s="1430"/>
      <c r="AG28" s="1430"/>
      <c r="AH28" s="1434"/>
      <c r="AI28" s="1434"/>
      <c r="AJ28" s="1434"/>
      <c r="AK28" s="1430"/>
      <c r="AL28" s="1430"/>
      <c r="AM28" s="1358"/>
    </row>
    <row r="29" spans="1:39" s="958" customFormat="1" ht="21.75" customHeight="1">
      <c r="A29" s="1253"/>
      <c r="B29" s="960"/>
      <c r="C29" s="960"/>
      <c r="D29" s="1433" t="s">
        <v>298</v>
      </c>
      <c r="E29" s="1433" t="s">
        <v>299</v>
      </c>
      <c r="F29" s="1425"/>
      <c r="G29" s="1282"/>
      <c r="H29" s="1426"/>
      <c r="I29" s="1282"/>
      <c r="J29" s="1081"/>
      <c r="K29" s="1081"/>
      <c r="L29" s="1081"/>
      <c r="M29" s="1427"/>
      <c r="N29" s="1081"/>
      <c r="O29" s="1081"/>
      <c r="P29" s="1428"/>
      <c r="Q29" s="1081"/>
      <c r="R29" s="1081"/>
      <c r="S29" s="1434"/>
      <c r="T29" s="1434"/>
      <c r="U29" s="1434"/>
      <c r="V29" s="1430"/>
      <c r="W29" s="1431"/>
      <c r="X29" s="1430"/>
      <c r="Y29" s="1430"/>
      <c r="Z29" s="1430"/>
      <c r="AA29" s="1430"/>
      <c r="AB29" s="1430"/>
      <c r="AC29" s="1430"/>
      <c r="AD29" s="1435"/>
      <c r="AE29" s="1435"/>
      <c r="AF29" s="1435"/>
      <c r="AG29" s="1435"/>
      <c r="AH29" s="1436"/>
      <c r="AI29" s="1436"/>
      <c r="AJ29" s="1436"/>
      <c r="AK29" s="1437"/>
      <c r="AL29" s="1438"/>
      <c r="AM29" s="1358"/>
    </row>
    <row r="30" spans="1:39" s="958" customFormat="1" ht="21.75" customHeight="1">
      <c r="A30" s="1253"/>
      <c r="B30" s="960"/>
      <c r="C30" s="960"/>
      <c r="D30" s="1433" t="s">
        <v>300</v>
      </c>
      <c r="E30" s="1433" t="s">
        <v>301</v>
      </c>
      <c r="F30" s="1425"/>
      <c r="G30" s="1282"/>
      <c r="H30" s="1426"/>
      <c r="I30" s="1282"/>
      <c r="J30" s="1081"/>
      <c r="K30" s="1081"/>
      <c r="L30" s="1081"/>
      <c r="M30" s="1427"/>
      <c r="N30" s="1081"/>
      <c r="O30" s="1081"/>
      <c r="P30" s="1428"/>
      <c r="Q30" s="1081"/>
      <c r="R30" s="1081"/>
      <c r="S30" s="1434"/>
      <c r="T30" s="1434"/>
      <c r="U30" s="1434"/>
      <c r="V30" s="1430"/>
      <c r="W30" s="1431"/>
      <c r="X30" s="1430"/>
      <c r="Y30" s="1430"/>
      <c r="Z30" s="1430"/>
      <c r="AA30" s="1430"/>
      <c r="AB30" s="1430"/>
      <c r="AC30" s="1430"/>
      <c r="AD30" s="1435"/>
      <c r="AE30" s="1435"/>
      <c r="AF30" s="1435"/>
      <c r="AG30" s="1435"/>
      <c r="AH30" s="1436"/>
      <c r="AI30" s="1436"/>
      <c r="AJ30" s="1436"/>
      <c r="AK30" s="1435"/>
      <c r="AL30" s="1438"/>
      <c r="AM30" s="1358"/>
    </row>
    <row r="31" spans="1:39" s="958" customFormat="1" ht="21.75" customHeight="1">
      <c r="A31" s="1253"/>
      <c r="B31" s="960"/>
      <c r="C31" s="960"/>
      <c r="D31" s="1433" t="s">
        <v>302</v>
      </c>
      <c r="E31" s="1433" t="s">
        <v>303</v>
      </c>
      <c r="F31" s="1425"/>
      <c r="G31" s="1282"/>
      <c r="H31" s="1426"/>
      <c r="I31" s="1282"/>
      <c r="J31" s="1081"/>
      <c r="K31" s="1081"/>
      <c r="L31" s="1081"/>
      <c r="M31" s="1427"/>
      <c r="N31" s="1081"/>
      <c r="O31" s="1081"/>
      <c r="P31" s="1428"/>
      <c r="Q31" s="1081"/>
      <c r="R31" s="1081"/>
      <c r="S31" s="1434"/>
      <c r="T31" s="1434"/>
      <c r="U31" s="1434"/>
      <c r="V31" s="1430"/>
      <c r="W31" s="1431"/>
      <c r="X31" s="1430"/>
      <c r="Y31" s="1430"/>
      <c r="Z31" s="1430"/>
      <c r="AA31" s="1430"/>
      <c r="AB31" s="1430"/>
      <c r="AC31" s="1430"/>
      <c r="AD31" s="2101"/>
      <c r="AE31" s="2101"/>
      <c r="AF31" s="2101"/>
      <c r="AG31" s="2101"/>
      <c r="AH31" s="2101"/>
      <c r="AI31" s="2101"/>
      <c r="AJ31" s="2101"/>
      <c r="AK31" s="2101"/>
      <c r="AL31" s="1438"/>
      <c r="AM31" s="1358"/>
    </row>
    <row r="32" spans="1:39" s="958" customFormat="1" ht="16.5" customHeight="1">
      <c r="A32" s="1253"/>
      <c r="B32" s="960"/>
      <c r="C32" s="960"/>
      <c r="D32" s="1078"/>
      <c r="E32" s="1079"/>
      <c r="F32" s="1425"/>
      <c r="G32" s="1282"/>
      <c r="H32" s="1426"/>
      <c r="I32" s="1282"/>
      <c r="J32" s="1081"/>
      <c r="K32" s="1081"/>
      <c r="L32" s="1081"/>
      <c r="M32" s="1427"/>
      <c r="N32" s="1081"/>
      <c r="O32" s="1081"/>
      <c r="P32" s="1428"/>
      <c r="Q32" s="1081"/>
      <c r="R32" s="1081"/>
      <c r="S32" s="1434"/>
      <c r="T32" s="1434"/>
      <c r="U32" s="1434"/>
      <c r="V32" s="1430"/>
      <c r="W32" s="1431"/>
      <c r="X32" s="1430"/>
      <c r="Y32" s="1430"/>
      <c r="Z32" s="1430"/>
      <c r="AA32" s="1430"/>
      <c r="AB32" s="1430"/>
      <c r="AC32" s="1430"/>
      <c r="AD32" s="1439"/>
      <c r="AE32" s="1439"/>
      <c r="AF32" s="1439"/>
      <c r="AG32" s="1439"/>
      <c r="AH32" s="1439"/>
      <c r="AI32" s="1439"/>
      <c r="AJ32" s="1439"/>
      <c r="AK32" s="1439"/>
      <c r="AL32" s="1430"/>
      <c r="AM32" s="1358"/>
    </row>
    <row r="33" spans="1:39" ht="13.5" thickBot="1">
      <c r="A33" s="1440"/>
      <c r="B33" s="1441"/>
      <c r="C33" s="1441"/>
      <c r="D33" s="1441"/>
      <c r="E33" s="1441"/>
      <c r="F33" s="1441"/>
      <c r="G33" s="1441"/>
      <c r="H33" s="1441"/>
      <c r="I33" s="1441"/>
      <c r="J33" s="1441"/>
      <c r="K33" s="1441"/>
      <c r="L33" s="1441"/>
      <c r="M33" s="1442"/>
      <c r="N33" s="1441"/>
      <c r="O33" s="1441"/>
      <c r="P33" s="1441"/>
      <c r="Q33" s="1441"/>
      <c r="R33" s="1441"/>
      <c r="S33" s="1441"/>
      <c r="T33" s="1441"/>
      <c r="U33" s="1441"/>
      <c r="V33" s="1443"/>
      <c r="W33" s="1441"/>
      <c r="X33" s="1441"/>
      <c r="Y33" s="1443"/>
      <c r="Z33" s="1443"/>
      <c r="AA33" s="1443"/>
      <c r="AB33" s="1443"/>
      <c r="AC33" s="1443"/>
      <c r="AD33" s="1443"/>
      <c r="AE33" s="1443"/>
      <c r="AF33" s="1441"/>
      <c r="AG33" s="1441"/>
      <c r="AH33" s="1441"/>
      <c r="AI33" s="1441"/>
      <c r="AJ33" s="1441"/>
      <c r="AK33" s="1441"/>
      <c r="AL33" s="1444"/>
      <c r="AM33" s="1445"/>
    </row>
  </sheetData>
  <sheetProtection/>
  <mergeCells count="3">
    <mergeCell ref="A2:AM2"/>
    <mergeCell ref="B21:B24"/>
    <mergeCell ref="AD31:AK31"/>
  </mergeCells>
  <printOptions/>
  <pageMargins left="0.75" right="0.75" top="1" bottom="1" header="0" footer="0"/>
  <pageSetup fitToHeight="1" fitToWidth="1" horizontalDpi="600" verticalDpi="600" orientation="landscape" scale="4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285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+'TOT-0115'!B2</f>
        <v>ANEXO II al Memorándum D.T.E.E. N° 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24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250" customFormat="1" ht="33" customHeight="1">
      <c r="B10" s="251"/>
      <c r="C10" s="252"/>
      <c r="D10" s="252"/>
      <c r="E10" s="252"/>
      <c r="F10" s="253" t="s">
        <v>25</v>
      </c>
      <c r="G10" s="252"/>
      <c r="H10" s="252"/>
      <c r="I10" s="252"/>
      <c r="K10" s="252"/>
      <c r="L10" s="252"/>
      <c r="M10" s="252"/>
      <c r="N10" s="252"/>
      <c r="O10" s="252"/>
      <c r="P10" s="252"/>
      <c r="Q10" s="252"/>
      <c r="R10" s="253"/>
      <c r="S10" s="253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4"/>
    </row>
    <row r="11" spans="2:32" s="255" customFormat="1" ht="33" customHeight="1">
      <c r="B11" s="256"/>
      <c r="C11" s="257"/>
      <c r="D11" s="257"/>
      <c r="E11" s="257"/>
      <c r="F11" s="275" t="s">
        <v>240</v>
      </c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9"/>
    </row>
    <row r="12" spans="2:32" s="34" customFormat="1" ht="19.5">
      <c r="B12" s="35" t="str">
        <f>'TOT-0115'!B14</f>
        <v>Desde el 01 al 31 de enero de 2015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2"/>
      <c r="Q12" s="10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3"/>
    </row>
    <row r="13" spans="2:32" s="8" customFormat="1" ht="16.5" customHeight="1" thickBot="1">
      <c r="B13" s="55"/>
      <c r="C13" s="11"/>
      <c r="D13" s="11"/>
      <c r="E13" s="11"/>
      <c r="F13" s="11"/>
      <c r="G13" s="86"/>
      <c r="H13" s="86"/>
      <c r="I13" s="11"/>
      <c r="J13" s="11"/>
      <c r="K13" s="11"/>
      <c r="L13" s="104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8" customFormat="1" ht="16.5" customHeight="1" thickBot="1" thickTop="1">
      <c r="B14" s="55"/>
      <c r="C14" s="11"/>
      <c r="D14" s="11"/>
      <c r="E14" s="11"/>
      <c r="F14" s="105" t="s">
        <v>27</v>
      </c>
      <c r="G14" s="106">
        <v>434.062</v>
      </c>
      <c r="H14" s="10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0"/>
    </row>
    <row r="15" spans="2:32" s="8" customFormat="1" ht="16.5" customHeight="1" thickBot="1" thickTop="1">
      <c r="B15" s="55"/>
      <c r="C15" s="11"/>
      <c r="D15" s="11"/>
      <c r="E15" s="11"/>
      <c r="F15" s="105" t="s">
        <v>28</v>
      </c>
      <c r="G15" s="106">
        <v>361.726</v>
      </c>
      <c r="H15" s="107"/>
      <c r="I15" s="11"/>
      <c r="J15" s="11"/>
      <c r="K15" s="11"/>
      <c r="L15" s="108"/>
      <c r="M15" s="10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0"/>
      <c r="Y15" s="110"/>
      <c r="Z15" s="110"/>
      <c r="AA15" s="110"/>
      <c r="AB15" s="110"/>
      <c r="AC15" s="110"/>
      <c r="AD15" s="110"/>
      <c r="AF15" s="100"/>
    </row>
    <row r="16" spans="2:32" s="8" customFormat="1" ht="16.5" customHeight="1" thickBot="1" thickTop="1">
      <c r="B16" s="55"/>
      <c r="C16" s="111">
        <v>3</v>
      </c>
      <c r="D16" s="111">
        <v>4</v>
      </c>
      <c r="E16" s="111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11">
        <v>12</v>
      </c>
      <c r="M16" s="111">
        <v>13</v>
      </c>
      <c r="N16" s="111">
        <v>14</v>
      </c>
      <c r="O16" s="111">
        <v>15</v>
      </c>
      <c r="P16" s="111">
        <v>16</v>
      </c>
      <c r="Q16" s="111">
        <v>17</v>
      </c>
      <c r="R16" s="111">
        <v>18</v>
      </c>
      <c r="S16" s="111">
        <v>19</v>
      </c>
      <c r="T16" s="111">
        <v>20</v>
      </c>
      <c r="U16" s="111">
        <v>21</v>
      </c>
      <c r="V16" s="111">
        <v>22</v>
      </c>
      <c r="W16" s="111">
        <v>23</v>
      </c>
      <c r="X16" s="111">
        <v>24</v>
      </c>
      <c r="Y16" s="111">
        <v>25</v>
      </c>
      <c r="Z16" s="111">
        <v>26</v>
      </c>
      <c r="AA16" s="111">
        <v>27</v>
      </c>
      <c r="AB16" s="111">
        <v>28</v>
      </c>
      <c r="AC16" s="111">
        <v>29</v>
      </c>
      <c r="AD16" s="111">
        <v>30</v>
      </c>
      <c r="AE16" s="111">
        <v>31</v>
      </c>
      <c r="AF16" s="100"/>
    </row>
    <row r="17" spans="2:32" s="8" customFormat="1" ht="33.75" customHeight="1" thickBot="1" thickTop="1">
      <c r="B17" s="55"/>
      <c r="C17" s="112" t="s">
        <v>29</v>
      </c>
      <c r="D17" s="112" t="s">
        <v>30</v>
      </c>
      <c r="E17" s="112" t="s">
        <v>31</v>
      </c>
      <c r="F17" s="113" t="s">
        <v>5</v>
      </c>
      <c r="G17" s="114" t="s">
        <v>32</v>
      </c>
      <c r="H17" s="115" t="s">
        <v>33</v>
      </c>
      <c r="I17" s="116" t="s">
        <v>34</v>
      </c>
      <c r="J17" s="117" t="s">
        <v>35</v>
      </c>
      <c r="K17" s="118" t="s">
        <v>36</v>
      </c>
      <c r="L17" s="113" t="s">
        <v>37</v>
      </c>
      <c r="M17" s="119" t="s">
        <v>38</v>
      </c>
      <c r="N17" s="120" t="s">
        <v>39</v>
      </c>
      <c r="O17" s="115" t="s">
        <v>40</v>
      </c>
      <c r="P17" s="120" t="s">
        <v>171</v>
      </c>
      <c r="Q17" s="115" t="s">
        <v>41</v>
      </c>
      <c r="R17" s="119" t="s">
        <v>42</v>
      </c>
      <c r="S17" s="113" t="s">
        <v>43</v>
      </c>
      <c r="T17" s="121" t="s">
        <v>44</v>
      </c>
      <c r="U17" s="122" t="s">
        <v>45</v>
      </c>
      <c r="V17" s="123" t="s">
        <v>46</v>
      </c>
      <c r="W17" s="124"/>
      <c r="X17" s="125"/>
      <c r="Y17" s="126" t="s">
        <v>47</v>
      </c>
      <c r="Z17" s="127"/>
      <c r="AA17" s="128"/>
      <c r="AB17" s="129" t="s">
        <v>48</v>
      </c>
      <c r="AC17" s="130" t="s">
        <v>49</v>
      </c>
      <c r="AD17" s="131" t="s">
        <v>50</v>
      </c>
      <c r="AE17" s="131" t="s">
        <v>51</v>
      </c>
      <c r="AF17" s="132"/>
    </row>
    <row r="18" spans="2:32" s="8" customFormat="1" ht="16.5" customHeight="1" thickTop="1">
      <c r="B18" s="55"/>
      <c r="C18" s="133"/>
      <c r="D18" s="133"/>
      <c r="E18" s="133"/>
      <c r="F18" s="134"/>
      <c r="G18" s="134"/>
      <c r="H18" s="135"/>
      <c r="I18" s="136"/>
      <c r="J18" s="137"/>
      <c r="K18" s="138"/>
      <c r="L18" s="139"/>
      <c r="M18" s="139"/>
      <c r="N18" s="136"/>
      <c r="O18" s="136"/>
      <c r="P18" s="136"/>
      <c r="Q18" s="136"/>
      <c r="R18" s="136"/>
      <c r="S18" s="136"/>
      <c r="T18" s="140"/>
      <c r="U18" s="141"/>
      <c r="V18" s="142"/>
      <c r="W18" s="143"/>
      <c r="X18" s="144"/>
      <c r="Y18" s="145"/>
      <c r="Z18" s="146"/>
      <c r="AA18" s="147"/>
      <c r="AB18" s="148"/>
      <c r="AC18" s="149"/>
      <c r="AD18" s="136"/>
      <c r="AE18" s="150"/>
      <c r="AF18" s="100"/>
    </row>
    <row r="19" spans="2:32" s="8" customFormat="1" ht="16.5" customHeight="1">
      <c r="B19" s="55"/>
      <c r="C19" s="260"/>
      <c r="D19" s="260"/>
      <c r="E19" s="260"/>
      <c r="F19" s="195"/>
      <c r="G19" s="196"/>
      <c r="H19" s="197"/>
      <c r="I19" s="196"/>
      <c r="J19" s="173">
        <f aca="true" t="shared" si="0" ref="J19:J39">IF(I19="A",200,IF(I19="B",60,20))</f>
        <v>20</v>
      </c>
      <c r="K19" s="174">
        <f aca="true" t="shared" si="1" ref="K19:K39">IF(G19=500,IF(H19&lt;100,100*$G$14/100,H19*$G$14/100),IF(H19&lt;100,100*$G$15/100,H19*$G$15/100))</f>
        <v>361.726</v>
      </c>
      <c r="L19" s="175"/>
      <c r="M19" s="176"/>
      <c r="N19" s="177">
        <f aca="true" t="shared" si="2" ref="N19:N39">IF(F19="","",(M19-L19)*24)</f>
      </c>
      <c r="O19" s="178">
        <f aca="true" t="shared" si="3" ref="O19:O39">IF(F19="","",ROUND((M19-L19)*24*60,0))</f>
      </c>
      <c r="P19" s="179"/>
      <c r="Q19" s="180">
        <f aca="true" t="shared" si="4" ref="Q19:Q39">IF(F19="","","--")</f>
      </c>
      <c r="R19" s="181">
        <f aca="true" t="shared" si="5" ref="R19:R39">IF(F19="","","NO")</f>
      </c>
      <c r="S19" s="181">
        <f aca="true" t="shared" si="6" ref="S19:S39">IF(F19="","",IF(OR(P19="P",P19="RP"),"--","NO"))</f>
      </c>
      <c r="T19" s="261" t="str">
        <f aca="true" t="shared" si="7" ref="T19:T39">IF(P19="P",K19*J19*ROUND(O19/60,2)*0.01,"--")</f>
        <v>--</v>
      </c>
      <c r="U19" s="262" t="str">
        <f aca="true" t="shared" si="8" ref="U19:U39">IF(P19="RP",K19*J19*ROUND(O19/60,2)*0.01*Q19/100,"--")</f>
        <v>--</v>
      </c>
      <c r="V19" s="263" t="str">
        <f aca="true" t="shared" si="9" ref="V19:V39">IF(AND(P19="F",S19="NO"),K19*J19*IF(R19="SI",1.2,1),"--")</f>
        <v>--</v>
      </c>
      <c r="W19" s="264" t="str">
        <f aca="true" t="shared" si="10" ref="W19:W39">IF(AND(P19="F",O19&gt;=10),K19*J19*IF(R19="SI",1.2,1)*IF(O19&lt;=300,ROUND(O19/60,2),5),"--")</f>
        <v>--</v>
      </c>
      <c r="X19" s="265" t="str">
        <f aca="true" t="shared" si="11" ref="X19:X39">IF(AND(P19="F",O19&gt;300),(ROUND(O19/60,2)-5)*K19*J19*0.1*IF(R19="SI",1.2,1),"--")</f>
        <v>--</v>
      </c>
      <c r="Y19" s="266" t="str">
        <f aca="true" t="shared" si="12" ref="Y19:Y39">IF(AND(P19="R",S19="NO"),K19*J19*Q19/100*IF(R19="SI",1.2,1),"--")</f>
        <v>--</v>
      </c>
      <c r="Z19" s="267" t="str">
        <f aca="true" t="shared" si="13" ref="Z19:Z39">IF(AND(P19="R",O19&gt;=10),K19*J19*Q19/100*IF(R19="SI",1.2,1)*IF(O19&lt;=300,ROUND(O19/60,2),5),"--")</f>
        <v>--</v>
      </c>
      <c r="AA19" s="268" t="str">
        <f aca="true" t="shared" si="14" ref="AA19:AA39">IF(AND(P19="R",O19&gt;300),(ROUND(O19/60,2)-5)*K19*J19*0.1*Q19/100*IF(R19="SI",1.2,1),"--")</f>
        <v>--</v>
      </c>
      <c r="AB19" s="269" t="str">
        <f aca="true" t="shared" si="15" ref="AB19:AB39">IF(P19="RF",ROUND(O19/60,2)*K19*J19*0.1*IF(R19="SI",1.2,1),"--")</f>
        <v>--</v>
      </c>
      <c r="AC19" s="270" t="str">
        <f aca="true" t="shared" si="16" ref="AC19:AC39">IF(P19="RR",ROUND(O19/60,2)*K19*J19*0.1*Q19/100*IF(R19="SI",1.2,1),"--")</f>
        <v>--</v>
      </c>
      <c r="AD19" s="271">
        <f aca="true" t="shared" si="17" ref="AD19:AD39">IF(F19="","","SI")</f>
      </c>
      <c r="AE19" s="193">
        <f aca="true" t="shared" si="18" ref="AE19:AE39">IF(F19="","",SUM(T19:AC19)*IF(AD19="SI",1,2))</f>
      </c>
      <c r="AF19" s="100"/>
    </row>
    <row r="20" spans="2:32" s="8" customFormat="1" ht="16.5" customHeight="1">
      <c r="B20" s="55"/>
      <c r="C20" s="260">
        <v>12</v>
      </c>
      <c r="D20" s="260">
        <v>2832178</v>
      </c>
      <c r="E20" s="260">
        <v>4864</v>
      </c>
      <c r="F20" s="195" t="s">
        <v>239</v>
      </c>
      <c r="G20" s="196">
        <v>500</v>
      </c>
      <c r="H20" s="197">
        <v>202.17</v>
      </c>
      <c r="I20" s="196" t="s">
        <v>184</v>
      </c>
      <c r="J20" s="173">
        <f t="shared" si="0"/>
        <v>20</v>
      </c>
      <c r="K20" s="174">
        <f t="shared" si="1"/>
        <v>877.5431454</v>
      </c>
      <c r="L20" s="175">
        <v>42005.427777777775</v>
      </c>
      <c r="M20" s="175">
        <v>42005.44236111111</v>
      </c>
      <c r="N20" s="177">
        <f t="shared" si="2"/>
        <v>0.35000000009313226</v>
      </c>
      <c r="O20" s="178">
        <f t="shared" si="3"/>
        <v>21</v>
      </c>
      <c r="P20" s="179" t="s">
        <v>185</v>
      </c>
      <c r="Q20" s="180" t="str">
        <f t="shared" si="4"/>
        <v>--</v>
      </c>
      <c r="R20" s="181" t="str">
        <f t="shared" si="5"/>
        <v>NO</v>
      </c>
      <c r="S20" s="181" t="str">
        <f t="shared" si="6"/>
        <v>NO</v>
      </c>
      <c r="T20" s="261" t="str">
        <f t="shared" si="7"/>
        <v>--</v>
      </c>
      <c r="U20" s="262" t="str">
        <f t="shared" si="8"/>
        <v>--</v>
      </c>
      <c r="V20" s="263">
        <f t="shared" si="9"/>
        <v>17550.862908</v>
      </c>
      <c r="W20" s="264">
        <f t="shared" si="10"/>
        <v>6142.8020178</v>
      </c>
      <c r="X20" s="265" t="str">
        <f t="shared" si="11"/>
        <v>--</v>
      </c>
      <c r="Y20" s="266" t="str">
        <f t="shared" si="12"/>
        <v>--</v>
      </c>
      <c r="Z20" s="267" t="str">
        <f t="shared" si="13"/>
        <v>--</v>
      </c>
      <c r="AA20" s="268" t="str">
        <f t="shared" si="14"/>
        <v>--</v>
      </c>
      <c r="AB20" s="269" t="str">
        <f t="shared" si="15"/>
        <v>--</v>
      </c>
      <c r="AC20" s="270" t="str">
        <f t="shared" si="16"/>
        <v>--</v>
      </c>
      <c r="AD20" s="192" t="str">
        <f t="shared" si="17"/>
        <v>SI</v>
      </c>
      <c r="AE20" s="193">
        <f t="shared" si="18"/>
        <v>23693.6649258</v>
      </c>
      <c r="AF20" s="194"/>
    </row>
    <row r="21" spans="2:32" s="8" customFormat="1" ht="16.5" customHeight="1">
      <c r="B21" s="55"/>
      <c r="C21" s="151"/>
      <c r="D21" s="151"/>
      <c r="E21" s="151"/>
      <c r="F21" s="195"/>
      <c r="G21" s="196"/>
      <c r="H21" s="197"/>
      <c r="I21" s="196"/>
      <c r="J21" s="173">
        <f t="shared" si="0"/>
        <v>20</v>
      </c>
      <c r="K21" s="174">
        <f t="shared" si="1"/>
        <v>361.726</v>
      </c>
      <c r="L21" s="175"/>
      <c r="M21" s="176"/>
      <c r="N21" s="177">
        <f t="shared" si="2"/>
      </c>
      <c r="O21" s="178">
        <f t="shared" si="3"/>
      </c>
      <c r="P21" s="179"/>
      <c r="Q21" s="180">
        <f t="shared" si="4"/>
      </c>
      <c r="R21" s="181">
        <f t="shared" si="5"/>
      </c>
      <c r="S21" s="181">
        <f t="shared" si="6"/>
      </c>
      <c r="T21" s="261" t="str">
        <f t="shared" si="7"/>
        <v>--</v>
      </c>
      <c r="U21" s="262" t="str">
        <f t="shared" si="8"/>
        <v>--</v>
      </c>
      <c r="V21" s="263" t="str">
        <f t="shared" si="9"/>
        <v>--</v>
      </c>
      <c r="W21" s="264" t="str">
        <f t="shared" si="10"/>
        <v>--</v>
      </c>
      <c r="X21" s="265" t="str">
        <f t="shared" si="11"/>
        <v>--</v>
      </c>
      <c r="Y21" s="266" t="str">
        <f t="shared" si="12"/>
        <v>--</v>
      </c>
      <c r="Z21" s="267" t="str">
        <f t="shared" si="13"/>
        <v>--</v>
      </c>
      <c r="AA21" s="268" t="str">
        <f t="shared" si="14"/>
        <v>--</v>
      </c>
      <c r="AB21" s="269" t="str">
        <f t="shared" si="15"/>
        <v>--</v>
      </c>
      <c r="AC21" s="270" t="str">
        <f t="shared" si="16"/>
        <v>--</v>
      </c>
      <c r="AD21" s="192">
        <f t="shared" si="17"/>
      </c>
      <c r="AE21" s="193">
        <f t="shared" si="18"/>
      </c>
      <c r="AF21" s="194"/>
    </row>
    <row r="22" spans="2:32" s="8" customFormat="1" ht="16.5" customHeight="1">
      <c r="B22" s="55"/>
      <c r="C22" s="170"/>
      <c r="D22" s="170"/>
      <c r="E22" s="170"/>
      <c r="F22" s="195"/>
      <c r="G22" s="196"/>
      <c r="H22" s="197"/>
      <c r="I22" s="196"/>
      <c r="J22" s="173">
        <f t="shared" si="0"/>
        <v>20</v>
      </c>
      <c r="K22" s="174">
        <f t="shared" si="1"/>
        <v>361.726</v>
      </c>
      <c r="L22" s="198"/>
      <c r="M22" s="199"/>
      <c r="N22" s="177">
        <f t="shared" si="2"/>
      </c>
      <c r="O22" s="178">
        <f t="shared" si="3"/>
      </c>
      <c r="P22" s="179"/>
      <c r="Q22" s="180">
        <f t="shared" si="4"/>
      </c>
      <c r="R22" s="181">
        <f t="shared" si="5"/>
      </c>
      <c r="S22" s="181">
        <f t="shared" si="6"/>
      </c>
      <c r="T22" s="261" t="str">
        <f t="shared" si="7"/>
        <v>--</v>
      </c>
      <c r="U22" s="262" t="str">
        <f t="shared" si="8"/>
        <v>--</v>
      </c>
      <c r="V22" s="263" t="str">
        <f t="shared" si="9"/>
        <v>--</v>
      </c>
      <c r="W22" s="264" t="str">
        <f t="shared" si="10"/>
        <v>--</v>
      </c>
      <c r="X22" s="265" t="str">
        <f t="shared" si="11"/>
        <v>--</v>
      </c>
      <c r="Y22" s="266" t="str">
        <f t="shared" si="12"/>
        <v>--</v>
      </c>
      <c r="Z22" s="267" t="str">
        <f t="shared" si="13"/>
        <v>--</v>
      </c>
      <c r="AA22" s="268" t="str">
        <f t="shared" si="14"/>
        <v>--</v>
      </c>
      <c r="AB22" s="269" t="str">
        <f t="shared" si="15"/>
        <v>--</v>
      </c>
      <c r="AC22" s="270" t="str">
        <f t="shared" si="16"/>
        <v>--</v>
      </c>
      <c r="AD22" s="192">
        <f t="shared" si="17"/>
      </c>
      <c r="AE22" s="193">
        <f t="shared" si="18"/>
      </c>
      <c r="AF22" s="194"/>
    </row>
    <row r="23" spans="2:32" s="8" customFormat="1" ht="16.5" customHeight="1">
      <c r="B23" s="55"/>
      <c r="C23" s="151"/>
      <c r="D23" s="151"/>
      <c r="E23" s="151"/>
      <c r="F23" s="195"/>
      <c r="G23" s="196"/>
      <c r="H23" s="197"/>
      <c r="I23" s="196"/>
      <c r="J23" s="173">
        <f t="shared" si="0"/>
        <v>20</v>
      </c>
      <c r="K23" s="174">
        <f t="shared" si="1"/>
        <v>361.726</v>
      </c>
      <c r="L23" s="198"/>
      <c r="M23" s="199"/>
      <c r="N23" s="177">
        <f t="shared" si="2"/>
      </c>
      <c r="O23" s="178">
        <f t="shared" si="3"/>
      </c>
      <c r="P23" s="179"/>
      <c r="Q23" s="180">
        <f t="shared" si="4"/>
      </c>
      <c r="R23" s="181">
        <f t="shared" si="5"/>
      </c>
      <c r="S23" s="181">
        <f t="shared" si="6"/>
      </c>
      <c r="T23" s="261" t="str">
        <f t="shared" si="7"/>
        <v>--</v>
      </c>
      <c r="U23" s="262" t="str">
        <f t="shared" si="8"/>
        <v>--</v>
      </c>
      <c r="V23" s="263" t="str">
        <f t="shared" si="9"/>
        <v>--</v>
      </c>
      <c r="W23" s="264" t="str">
        <f t="shared" si="10"/>
        <v>--</v>
      </c>
      <c r="X23" s="265" t="str">
        <f t="shared" si="11"/>
        <v>--</v>
      </c>
      <c r="Y23" s="266" t="str">
        <f t="shared" si="12"/>
        <v>--</v>
      </c>
      <c r="Z23" s="267" t="str">
        <f t="shared" si="13"/>
        <v>--</v>
      </c>
      <c r="AA23" s="268" t="str">
        <f t="shared" si="14"/>
        <v>--</v>
      </c>
      <c r="AB23" s="269" t="str">
        <f t="shared" si="15"/>
        <v>--</v>
      </c>
      <c r="AC23" s="270" t="str">
        <f t="shared" si="16"/>
        <v>--</v>
      </c>
      <c r="AD23" s="192">
        <f t="shared" si="17"/>
      </c>
      <c r="AE23" s="193">
        <f t="shared" si="18"/>
      </c>
      <c r="AF23" s="194"/>
    </row>
    <row r="24" spans="2:32" s="8" customFormat="1" ht="16.5" customHeight="1">
      <c r="B24" s="55"/>
      <c r="C24" s="170"/>
      <c r="D24" s="170"/>
      <c r="E24" s="170"/>
      <c r="F24" s="170"/>
      <c r="G24" s="171"/>
      <c r="H24" s="172"/>
      <c r="I24" s="171"/>
      <c r="J24" s="173">
        <f t="shared" si="0"/>
        <v>20</v>
      </c>
      <c r="K24" s="174">
        <f t="shared" si="1"/>
        <v>361.726</v>
      </c>
      <c r="L24" s="175"/>
      <c r="M24" s="176"/>
      <c r="N24" s="177">
        <f t="shared" si="2"/>
      </c>
      <c r="O24" s="178">
        <f t="shared" si="3"/>
      </c>
      <c r="P24" s="179"/>
      <c r="Q24" s="180">
        <f t="shared" si="4"/>
      </c>
      <c r="R24" s="181">
        <f t="shared" si="5"/>
      </c>
      <c r="S24" s="181">
        <f t="shared" si="6"/>
      </c>
      <c r="T24" s="261" t="str">
        <f t="shared" si="7"/>
        <v>--</v>
      </c>
      <c r="U24" s="262" t="str">
        <f t="shared" si="8"/>
        <v>--</v>
      </c>
      <c r="V24" s="263" t="str">
        <f t="shared" si="9"/>
        <v>--</v>
      </c>
      <c r="W24" s="264" t="str">
        <f t="shared" si="10"/>
        <v>--</v>
      </c>
      <c r="X24" s="265" t="str">
        <f t="shared" si="11"/>
        <v>--</v>
      </c>
      <c r="Y24" s="266" t="str">
        <f t="shared" si="12"/>
        <v>--</v>
      </c>
      <c r="Z24" s="267" t="str">
        <f t="shared" si="13"/>
        <v>--</v>
      </c>
      <c r="AA24" s="268" t="str">
        <f t="shared" si="14"/>
        <v>--</v>
      </c>
      <c r="AB24" s="269" t="str">
        <f t="shared" si="15"/>
        <v>--</v>
      </c>
      <c r="AC24" s="270" t="str">
        <f t="shared" si="16"/>
        <v>--</v>
      </c>
      <c r="AD24" s="192">
        <f t="shared" si="17"/>
      </c>
      <c r="AE24" s="193">
        <f t="shared" si="18"/>
      </c>
      <c r="AF24" s="194"/>
    </row>
    <row r="25" spans="2:32" s="8" customFormat="1" ht="16.5" customHeight="1">
      <c r="B25" s="55"/>
      <c r="C25" s="151"/>
      <c r="D25" s="151"/>
      <c r="E25" s="151"/>
      <c r="F25" s="170"/>
      <c r="G25" s="171"/>
      <c r="H25" s="172"/>
      <c r="I25" s="171"/>
      <c r="J25" s="173">
        <f t="shared" si="0"/>
        <v>20</v>
      </c>
      <c r="K25" s="174">
        <f t="shared" si="1"/>
        <v>361.726</v>
      </c>
      <c r="L25" s="175"/>
      <c r="M25" s="176"/>
      <c r="N25" s="177">
        <f t="shared" si="2"/>
      </c>
      <c r="O25" s="178">
        <f t="shared" si="3"/>
      </c>
      <c r="P25" s="179"/>
      <c r="Q25" s="180">
        <f t="shared" si="4"/>
      </c>
      <c r="R25" s="181">
        <f t="shared" si="5"/>
      </c>
      <c r="S25" s="181">
        <f t="shared" si="6"/>
      </c>
      <c r="T25" s="261" t="str">
        <f t="shared" si="7"/>
        <v>--</v>
      </c>
      <c r="U25" s="262" t="str">
        <f t="shared" si="8"/>
        <v>--</v>
      </c>
      <c r="V25" s="263" t="str">
        <f t="shared" si="9"/>
        <v>--</v>
      </c>
      <c r="W25" s="264" t="str">
        <f t="shared" si="10"/>
        <v>--</v>
      </c>
      <c r="X25" s="265" t="str">
        <f t="shared" si="11"/>
        <v>--</v>
      </c>
      <c r="Y25" s="266" t="str">
        <f t="shared" si="12"/>
        <v>--</v>
      </c>
      <c r="Z25" s="267" t="str">
        <f t="shared" si="13"/>
        <v>--</v>
      </c>
      <c r="AA25" s="268" t="str">
        <f t="shared" si="14"/>
        <v>--</v>
      </c>
      <c r="AB25" s="269" t="str">
        <f t="shared" si="15"/>
        <v>--</v>
      </c>
      <c r="AC25" s="270" t="str">
        <f t="shared" si="16"/>
        <v>--</v>
      </c>
      <c r="AD25" s="192">
        <f t="shared" si="17"/>
      </c>
      <c r="AE25" s="193">
        <f t="shared" si="18"/>
      </c>
      <c r="AF25" s="194"/>
    </row>
    <row r="26" spans="2:32" s="8" customFormat="1" ht="16.5" customHeight="1">
      <c r="B26" s="55"/>
      <c r="C26" s="170"/>
      <c r="D26" s="170"/>
      <c r="E26" s="170"/>
      <c r="F26" s="200"/>
      <c r="G26" s="201"/>
      <c r="H26" s="202"/>
      <c r="I26" s="201"/>
      <c r="J26" s="173">
        <f t="shared" si="0"/>
        <v>20</v>
      </c>
      <c r="K26" s="174">
        <f t="shared" si="1"/>
        <v>361.726</v>
      </c>
      <c r="L26" s="203"/>
      <c r="M26" s="204"/>
      <c r="N26" s="177">
        <f t="shared" si="2"/>
      </c>
      <c r="O26" s="178">
        <f t="shared" si="3"/>
      </c>
      <c r="P26" s="179"/>
      <c r="Q26" s="180">
        <f t="shared" si="4"/>
      </c>
      <c r="R26" s="181">
        <f t="shared" si="5"/>
      </c>
      <c r="S26" s="181">
        <f t="shared" si="6"/>
      </c>
      <c r="T26" s="261" t="str">
        <f t="shared" si="7"/>
        <v>--</v>
      </c>
      <c r="U26" s="262" t="str">
        <f t="shared" si="8"/>
        <v>--</v>
      </c>
      <c r="V26" s="263" t="str">
        <f t="shared" si="9"/>
        <v>--</v>
      </c>
      <c r="W26" s="264" t="str">
        <f t="shared" si="10"/>
        <v>--</v>
      </c>
      <c r="X26" s="265" t="str">
        <f t="shared" si="11"/>
        <v>--</v>
      </c>
      <c r="Y26" s="266" t="str">
        <f t="shared" si="12"/>
        <v>--</v>
      </c>
      <c r="Z26" s="267" t="str">
        <f t="shared" si="13"/>
        <v>--</v>
      </c>
      <c r="AA26" s="268" t="str">
        <f t="shared" si="14"/>
        <v>--</v>
      </c>
      <c r="AB26" s="269" t="str">
        <f t="shared" si="15"/>
        <v>--</v>
      </c>
      <c r="AC26" s="270" t="str">
        <f t="shared" si="16"/>
        <v>--</v>
      </c>
      <c r="AD26" s="192">
        <f t="shared" si="17"/>
      </c>
      <c r="AE26" s="193">
        <f t="shared" si="18"/>
      </c>
      <c r="AF26" s="194"/>
    </row>
    <row r="27" spans="2:32" s="8" customFormat="1" ht="16.5" customHeight="1">
      <c r="B27" s="55"/>
      <c r="C27" s="151"/>
      <c r="D27" s="151"/>
      <c r="E27" s="151"/>
      <c r="F27" s="200"/>
      <c r="G27" s="201"/>
      <c r="H27" s="202"/>
      <c r="I27" s="201"/>
      <c r="J27" s="173">
        <f t="shared" si="0"/>
        <v>20</v>
      </c>
      <c r="K27" s="174">
        <f t="shared" si="1"/>
        <v>361.726</v>
      </c>
      <c r="L27" s="203"/>
      <c r="M27" s="204"/>
      <c r="N27" s="177">
        <f t="shared" si="2"/>
      </c>
      <c r="O27" s="178">
        <f t="shared" si="3"/>
      </c>
      <c r="P27" s="179"/>
      <c r="Q27" s="180">
        <f t="shared" si="4"/>
      </c>
      <c r="R27" s="181">
        <f t="shared" si="5"/>
      </c>
      <c r="S27" s="181">
        <f t="shared" si="6"/>
      </c>
      <c r="T27" s="261" t="str">
        <f t="shared" si="7"/>
        <v>--</v>
      </c>
      <c r="U27" s="262" t="str">
        <f t="shared" si="8"/>
        <v>--</v>
      </c>
      <c r="V27" s="263" t="str">
        <f t="shared" si="9"/>
        <v>--</v>
      </c>
      <c r="W27" s="264" t="str">
        <f t="shared" si="10"/>
        <v>--</v>
      </c>
      <c r="X27" s="265" t="str">
        <f t="shared" si="11"/>
        <v>--</v>
      </c>
      <c r="Y27" s="266" t="str">
        <f t="shared" si="12"/>
        <v>--</v>
      </c>
      <c r="Z27" s="267" t="str">
        <f t="shared" si="13"/>
        <v>--</v>
      </c>
      <c r="AA27" s="268" t="str">
        <f t="shared" si="14"/>
        <v>--</v>
      </c>
      <c r="AB27" s="269" t="str">
        <f t="shared" si="15"/>
        <v>--</v>
      </c>
      <c r="AC27" s="270" t="str">
        <f t="shared" si="16"/>
        <v>--</v>
      </c>
      <c r="AD27" s="192">
        <f t="shared" si="17"/>
      </c>
      <c r="AE27" s="193">
        <f t="shared" si="18"/>
      </c>
      <c r="AF27" s="194"/>
    </row>
    <row r="28" spans="2:32" s="8" customFormat="1" ht="16.5" customHeight="1">
      <c r="B28" s="55"/>
      <c r="C28" s="170"/>
      <c r="D28" s="170"/>
      <c r="E28" s="170"/>
      <c r="F28" s="200"/>
      <c r="G28" s="201"/>
      <c r="H28" s="202"/>
      <c r="I28" s="201"/>
      <c r="J28" s="173">
        <f t="shared" si="0"/>
        <v>20</v>
      </c>
      <c r="K28" s="174">
        <f t="shared" si="1"/>
        <v>361.726</v>
      </c>
      <c r="L28" s="203"/>
      <c r="M28" s="204"/>
      <c r="N28" s="177">
        <f t="shared" si="2"/>
      </c>
      <c r="O28" s="178">
        <f t="shared" si="3"/>
      </c>
      <c r="P28" s="179"/>
      <c r="Q28" s="180">
        <f t="shared" si="4"/>
      </c>
      <c r="R28" s="181">
        <f t="shared" si="5"/>
      </c>
      <c r="S28" s="181">
        <f t="shared" si="6"/>
      </c>
      <c r="T28" s="261" t="str">
        <f t="shared" si="7"/>
        <v>--</v>
      </c>
      <c r="U28" s="262" t="str">
        <f t="shared" si="8"/>
        <v>--</v>
      </c>
      <c r="V28" s="263" t="str">
        <f t="shared" si="9"/>
        <v>--</v>
      </c>
      <c r="W28" s="264" t="str">
        <f t="shared" si="10"/>
        <v>--</v>
      </c>
      <c r="X28" s="265" t="str">
        <f t="shared" si="11"/>
        <v>--</v>
      </c>
      <c r="Y28" s="266" t="str">
        <f t="shared" si="12"/>
        <v>--</v>
      </c>
      <c r="Z28" s="267" t="str">
        <f t="shared" si="13"/>
        <v>--</v>
      </c>
      <c r="AA28" s="268" t="str">
        <f t="shared" si="14"/>
        <v>--</v>
      </c>
      <c r="AB28" s="269" t="str">
        <f t="shared" si="15"/>
        <v>--</v>
      </c>
      <c r="AC28" s="270" t="str">
        <f t="shared" si="16"/>
        <v>--</v>
      </c>
      <c r="AD28" s="192">
        <f t="shared" si="17"/>
      </c>
      <c r="AE28" s="193">
        <f t="shared" si="18"/>
      </c>
      <c r="AF28" s="194"/>
    </row>
    <row r="29" spans="2:32" s="8" customFormat="1" ht="16.5" customHeight="1">
      <c r="B29" s="55"/>
      <c r="C29" s="151"/>
      <c r="D29" s="151"/>
      <c r="E29" s="151"/>
      <c r="F29" s="200"/>
      <c r="G29" s="201"/>
      <c r="H29" s="202"/>
      <c r="I29" s="201"/>
      <c r="J29" s="173">
        <f t="shared" si="0"/>
        <v>20</v>
      </c>
      <c r="K29" s="174">
        <f t="shared" si="1"/>
        <v>361.726</v>
      </c>
      <c r="L29" s="203"/>
      <c r="M29" s="204"/>
      <c r="N29" s="177">
        <f t="shared" si="2"/>
      </c>
      <c r="O29" s="178">
        <f t="shared" si="3"/>
      </c>
      <c r="P29" s="179"/>
      <c r="Q29" s="180">
        <f t="shared" si="4"/>
      </c>
      <c r="R29" s="181">
        <f t="shared" si="5"/>
      </c>
      <c r="S29" s="181">
        <f t="shared" si="6"/>
      </c>
      <c r="T29" s="261" t="str">
        <f t="shared" si="7"/>
        <v>--</v>
      </c>
      <c r="U29" s="262" t="str">
        <f t="shared" si="8"/>
        <v>--</v>
      </c>
      <c r="V29" s="263" t="str">
        <f t="shared" si="9"/>
        <v>--</v>
      </c>
      <c r="W29" s="264" t="str">
        <f t="shared" si="10"/>
        <v>--</v>
      </c>
      <c r="X29" s="265" t="str">
        <f t="shared" si="11"/>
        <v>--</v>
      </c>
      <c r="Y29" s="266" t="str">
        <f t="shared" si="12"/>
        <v>--</v>
      </c>
      <c r="Z29" s="267" t="str">
        <f t="shared" si="13"/>
        <v>--</v>
      </c>
      <c r="AA29" s="268" t="str">
        <f t="shared" si="14"/>
        <v>--</v>
      </c>
      <c r="AB29" s="269" t="str">
        <f t="shared" si="15"/>
        <v>--</v>
      </c>
      <c r="AC29" s="270" t="str">
        <f t="shared" si="16"/>
        <v>--</v>
      </c>
      <c r="AD29" s="192">
        <f t="shared" si="17"/>
      </c>
      <c r="AE29" s="193">
        <f t="shared" si="18"/>
      </c>
      <c r="AF29" s="194"/>
    </row>
    <row r="30" spans="2:32" s="8" customFormat="1" ht="16.5" customHeight="1">
      <c r="B30" s="55"/>
      <c r="C30" s="170"/>
      <c r="D30" s="170"/>
      <c r="E30" s="170"/>
      <c r="F30" s="200"/>
      <c r="G30" s="201"/>
      <c r="H30" s="202"/>
      <c r="I30" s="201"/>
      <c r="J30" s="173">
        <f t="shared" si="0"/>
        <v>20</v>
      </c>
      <c r="K30" s="174">
        <f t="shared" si="1"/>
        <v>361.726</v>
      </c>
      <c r="L30" s="203"/>
      <c r="M30" s="204"/>
      <c r="N30" s="177">
        <f t="shared" si="2"/>
      </c>
      <c r="O30" s="178">
        <f t="shared" si="3"/>
      </c>
      <c r="P30" s="179"/>
      <c r="Q30" s="180">
        <f t="shared" si="4"/>
      </c>
      <c r="R30" s="181">
        <f t="shared" si="5"/>
      </c>
      <c r="S30" s="181">
        <f t="shared" si="6"/>
      </c>
      <c r="T30" s="261" t="str">
        <f t="shared" si="7"/>
        <v>--</v>
      </c>
      <c r="U30" s="262" t="str">
        <f t="shared" si="8"/>
        <v>--</v>
      </c>
      <c r="V30" s="263" t="str">
        <f t="shared" si="9"/>
        <v>--</v>
      </c>
      <c r="W30" s="264" t="str">
        <f t="shared" si="10"/>
        <v>--</v>
      </c>
      <c r="X30" s="265" t="str">
        <f t="shared" si="11"/>
        <v>--</v>
      </c>
      <c r="Y30" s="266" t="str">
        <f t="shared" si="12"/>
        <v>--</v>
      </c>
      <c r="Z30" s="267" t="str">
        <f t="shared" si="13"/>
        <v>--</v>
      </c>
      <c r="AA30" s="268" t="str">
        <f t="shared" si="14"/>
        <v>--</v>
      </c>
      <c r="AB30" s="269" t="str">
        <f t="shared" si="15"/>
        <v>--</v>
      </c>
      <c r="AC30" s="270" t="str">
        <f t="shared" si="16"/>
        <v>--</v>
      </c>
      <c r="AD30" s="192">
        <f t="shared" si="17"/>
      </c>
      <c r="AE30" s="193">
        <f t="shared" si="18"/>
      </c>
      <c r="AF30" s="194"/>
    </row>
    <row r="31" spans="2:32" s="8" customFormat="1" ht="16.5" customHeight="1">
      <c r="B31" s="55"/>
      <c r="C31" s="151"/>
      <c r="D31" s="151"/>
      <c r="E31" s="151"/>
      <c r="F31" s="200"/>
      <c r="G31" s="201"/>
      <c r="H31" s="202"/>
      <c r="I31" s="201"/>
      <c r="J31" s="173">
        <f t="shared" si="0"/>
        <v>20</v>
      </c>
      <c r="K31" s="174">
        <f t="shared" si="1"/>
        <v>361.726</v>
      </c>
      <c r="L31" s="203"/>
      <c r="M31" s="205"/>
      <c r="N31" s="177">
        <f t="shared" si="2"/>
      </c>
      <c r="O31" s="178">
        <f t="shared" si="3"/>
      </c>
      <c r="P31" s="179"/>
      <c r="Q31" s="180">
        <f t="shared" si="4"/>
      </c>
      <c r="R31" s="181">
        <f t="shared" si="5"/>
      </c>
      <c r="S31" s="181">
        <f t="shared" si="6"/>
      </c>
      <c r="T31" s="261" t="str">
        <f t="shared" si="7"/>
        <v>--</v>
      </c>
      <c r="U31" s="262" t="str">
        <f t="shared" si="8"/>
        <v>--</v>
      </c>
      <c r="V31" s="263" t="str">
        <f t="shared" si="9"/>
        <v>--</v>
      </c>
      <c r="W31" s="264" t="str">
        <f t="shared" si="10"/>
        <v>--</v>
      </c>
      <c r="X31" s="265" t="str">
        <f t="shared" si="11"/>
        <v>--</v>
      </c>
      <c r="Y31" s="266" t="str">
        <f t="shared" si="12"/>
        <v>--</v>
      </c>
      <c r="Z31" s="267" t="str">
        <f t="shared" si="13"/>
        <v>--</v>
      </c>
      <c r="AA31" s="268" t="str">
        <f t="shared" si="14"/>
        <v>--</v>
      </c>
      <c r="AB31" s="269" t="str">
        <f t="shared" si="15"/>
        <v>--</v>
      </c>
      <c r="AC31" s="270" t="str">
        <f t="shared" si="16"/>
        <v>--</v>
      </c>
      <c r="AD31" s="192">
        <f t="shared" si="17"/>
      </c>
      <c r="AE31" s="193">
        <f t="shared" si="18"/>
      </c>
      <c r="AF31" s="194"/>
    </row>
    <row r="32" spans="2:32" s="8" customFormat="1" ht="16.5" customHeight="1">
      <c r="B32" s="55"/>
      <c r="C32" s="170"/>
      <c r="D32" s="170"/>
      <c r="E32" s="170"/>
      <c r="F32" s="200"/>
      <c r="G32" s="201"/>
      <c r="H32" s="202"/>
      <c r="I32" s="201"/>
      <c r="J32" s="173">
        <f t="shared" si="0"/>
        <v>20</v>
      </c>
      <c r="K32" s="174">
        <f t="shared" si="1"/>
        <v>361.726</v>
      </c>
      <c r="L32" s="203"/>
      <c r="M32" s="205"/>
      <c r="N32" s="177">
        <f t="shared" si="2"/>
      </c>
      <c r="O32" s="178">
        <f t="shared" si="3"/>
      </c>
      <c r="P32" s="179"/>
      <c r="Q32" s="180">
        <f t="shared" si="4"/>
      </c>
      <c r="R32" s="181">
        <f t="shared" si="5"/>
      </c>
      <c r="S32" s="181">
        <f t="shared" si="6"/>
      </c>
      <c r="T32" s="261" t="str">
        <f t="shared" si="7"/>
        <v>--</v>
      </c>
      <c r="U32" s="262" t="str">
        <f t="shared" si="8"/>
        <v>--</v>
      </c>
      <c r="V32" s="263" t="str">
        <f t="shared" si="9"/>
        <v>--</v>
      </c>
      <c r="W32" s="264" t="str">
        <f t="shared" si="10"/>
        <v>--</v>
      </c>
      <c r="X32" s="265" t="str">
        <f t="shared" si="11"/>
        <v>--</v>
      </c>
      <c r="Y32" s="266" t="str">
        <f t="shared" si="12"/>
        <v>--</v>
      </c>
      <c r="Z32" s="267" t="str">
        <f t="shared" si="13"/>
        <v>--</v>
      </c>
      <c r="AA32" s="268" t="str">
        <f t="shared" si="14"/>
        <v>--</v>
      </c>
      <c r="AB32" s="269" t="str">
        <f t="shared" si="15"/>
        <v>--</v>
      </c>
      <c r="AC32" s="270" t="str">
        <f t="shared" si="16"/>
        <v>--</v>
      </c>
      <c r="AD32" s="192">
        <f t="shared" si="17"/>
      </c>
      <c r="AE32" s="193">
        <f t="shared" si="18"/>
      </c>
      <c r="AF32" s="194"/>
    </row>
    <row r="33" spans="2:32" s="8" customFormat="1" ht="16.5" customHeight="1">
      <c r="B33" s="55"/>
      <c r="C33" s="151"/>
      <c r="D33" s="151"/>
      <c r="E33" s="151"/>
      <c r="F33" s="200"/>
      <c r="G33" s="201"/>
      <c r="H33" s="202"/>
      <c r="I33" s="201"/>
      <c r="J33" s="173">
        <f t="shared" si="0"/>
        <v>20</v>
      </c>
      <c r="K33" s="174">
        <f t="shared" si="1"/>
        <v>361.726</v>
      </c>
      <c r="L33" s="203"/>
      <c r="M33" s="205"/>
      <c r="N33" s="177">
        <f t="shared" si="2"/>
      </c>
      <c r="O33" s="178">
        <f t="shared" si="3"/>
      </c>
      <c r="P33" s="179"/>
      <c r="Q33" s="180">
        <f t="shared" si="4"/>
      </c>
      <c r="R33" s="181">
        <f t="shared" si="5"/>
      </c>
      <c r="S33" s="181">
        <f t="shared" si="6"/>
      </c>
      <c r="T33" s="261" t="str">
        <f t="shared" si="7"/>
        <v>--</v>
      </c>
      <c r="U33" s="262" t="str">
        <f t="shared" si="8"/>
        <v>--</v>
      </c>
      <c r="V33" s="263" t="str">
        <f t="shared" si="9"/>
        <v>--</v>
      </c>
      <c r="W33" s="264" t="str">
        <f t="shared" si="10"/>
        <v>--</v>
      </c>
      <c r="X33" s="265" t="str">
        <f t="shared" si="11"/>
        <v>--</v>
      </c>
      <c r="Y33" s="266" t="str">
        <f t="shared" si="12"/>
        <v>--</v>
      </c>
      <c r="Z33" s="267" t="str">
        <f t="shared" si="13"/>
        <v>--</v>
      </c>
      <c r="AA33" s="268" t="str">
        <f t="shared" si="14"/>
        <v>--</v>
      </c>
      <c r="AB33" s="269" t="str">
        <f t="shared" si="15"/>
        <v>--</v>
      </c>
      <c r="AC33" s="270" t="str">
        <f t="shared" si="16"/>
        <v>--</v>
      </c>
      <c r="AD33" s="192">
        <f t="shared" si="17"/>
      </c>
      <c r="AE33" s="193">
        <f t="shared" si="18"/>
      </c>
      <c r="AF33" s="194"/>
    </row>
    <row r="34" spans="2:32" s="8" customFormat="1" ht="16.5" customHeight="1">
      <c r="B34" s="55"/>
      <c r="C34" s="170"/>
      <c r="D34" s="170"/>
      <c r="E34" s="170"/>
      <c r="F34" s="200"/>
      <c r="G34" s="201"/>
      <c r="H34" s="202"/>
      <c r="I34" s="201"/>
      <c r="J34" s="173">
        <f t="shared" si="0"/>
        <v>20</v>
      </c>
      <c r="K34" s="174">
        <f t="shared" si="1"/>
        <v>361.726</v>
      </c>
      <c r="L34" s="203"/>
      <c r="M34" s="205"/>
      <c r="N34" s="177">
        <f t="shared" si="2"/>
      </c>
      <c r="O34" s="178">
        <f t="shared" si="3"/>
      </c>
      <c r="P34" s="179"/>
      <c r="Q34" s="180">
        <f t="shared" si="4"/>
      </c>
      <c r="R34" s="181">
        <f t="shared" si="5"/>
      </c>
      <c r="S34" s="181">
        <f t="shared" si="6"/>
      </c>
      <c r="T34" s="261" t="str">
        <f t="shared" si="7"/>
        <v>--</v>
      </c>
      <c r="U34" s="262" t="str">
        <f t="shared" si="8"/>
        <v>--</v>
      </c>
      <c r="V34" s="263" t="str">
        <f t="shared" si="9"/>
        <v>--</v>
      </c>
      <c r="W34" s="264" t="str">
        <f t="shared" si="10"/>
        <v>--</v>
      </c>
      <c r="X34" s="265" t="str">
        <f t="shared" si="11"/>
        <v>--</v>
      </c>
      <c r="Y34" s="266" t="str">
        <f t="shared" si="12"/>
        <v>--</v>
      </c>
      <c r="Z34" s="267" t="str">
        <f t="shared" si="13"/>
        <v>--</v>
      </c>
      <c r="AA34" s="268" t="str">
        <f t="shared" si="14"/>
        <v>--</v>
      </c>
      <c r="AB34" s="269" t="str">
        <f t="shared" si="15"/>
        <v>--</v>
      </c>
      <c r="AC34" s="270" t="str">
        <f t="shared" si="16"/>
        <v>--</v>
      </c>
      <c r="AD34" s="192">
        <f t="shared" si="17"/>
      </c>
      <c r="AE34" s="193">
        <f t="shared" si="18"/>
      </c>
      <c r="AF34" s="194"/>
    </row>
    <row r="35" spans="2:32" s="8" customFormat="1" ht="16.5" customHeight="1">
      <c r="B35" s="55"/>
      <c r="C35" s="151"/>
      <c r="D35" s="151"/>
      <c r="E35" s="151"/>
      <c r="F35" s="200"/>
      <c r="G35" s="201"/>
      <c r="H35" s="202"/>
      <c r="I35" s="201"/>
      <c r="J35" s="173">
        <f t="shared" si="0"/>
        <v>20</v>
      </c>
      <c r="K35" s="174">
        <f t="shared" si="1"/>
        <v>361.726</v>
      </c>
      <c r="L35" s="203"/>
      <c r="M35" s="205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6"/>
      </c>
      <c r="T35" s="261" t="str">
        <f t="shared" si="7"/>
        <v>--</v>
      </c>
      <c r="U35" s="262" t="str">
        <f t="shared" si="8"/>
        <v>--</v>
      </c>
      <c r="V35" s="263" t="str">
        <f t="shared" si="9"/>
        <v>--</v>
      </c>
      <c r="W35" s="264" t="str">
        <f t="shared" si="10"/>
        <v>--</v>
      </c>
      <c r="X35" s="265" t="str">
        <f t="shared" si="11"/>
        <v>--</v>
      </c>
      <c r="Y35" s="266" t="str">
        <f t="shared" si="12"/>
        <v>--</v>
      </c>
      <c r="Z35" s="267" t="str">
        <f t="shared" si="13"/>
        <v>--</v>
      </c>
      <c r="AA35" s="268" t="str">
        <f t="shared" si="14"/>
        <v>--</v>
      </c>
      <c r="AB35" s="269" t="str">
        <f t="shared" si="15"/>
        <v>--</v>
      </c>
      <c r="AC35" s="270" t="str">
        <f t="shared" si="16"/>
        <v>--</v>
      </c>
      <c r="AD35" s="192">
        <f t="shared" si="17"/>
      </c>
      <c r="AE35" s="193">
        <f t="shared" si="18"/>
      </c>
      <c r="AF35" s="194"/>
    </row>
    <row r="36" spans="2:32" s="8" customFormat="1" ht="16.5" customHeight="1">
      <c r="B36" s="55"/>
      <c r="C36" s="170"/>
      <c r="D36" s="170"/>
      <c r="E36" s="170"/>
      <c r="F36" s="200"/>
      <c r="G36" s="201"/>
      <c r="H36" s="202"/>
      <c r="I36" s="201"/>
      <c r="J36" s="173">
        <f t="shared" si="0"/>
        <v>20</v>
      </c>
      <c r="K36" s="174">
        <f t="shared" si="1"/>
        <v>361.726</v>
      </c>
      <c r="L36" s="203"/>
      <c r="M36" s="205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6"/>
      </c>
      <c r="T36" s="261" t="str">
        <f t="shared" si="7"/>
        <v>--</v>
      </c>
      <c r="U36" s="262" t="str">
        <f t="shared" si="8"/>
        <v>--</v>
      </c>
      <c r="V36" s="263" t="str">
        <f t="shared" si="9"/>
        <v>--</v>
      </c>
      <c r="W36" s="264" t="str">
        <f t="shared" si="10"/>
        <v>--</v>
      </c>
      <c r="X36" s="265" t="str">
        <f t="shared" si="11"/>
        <v>--</v>
      </c>
      <c r="Y36" s="266" t="str">
        <f t="shared" si="12"/>
        <v>--</v>
      </c>
      <c r="Z36" s="267" t="str">
        <f t="shared" si="13"/>
        <v>--</v>
      </c>
      <c r="AA36" s="268" t="str">
        <f t="shared" si="14"/>
        <v>--</v>
      </c>
      <c r="AB36" s="269" t="str">
        <f t="shared" si="15"/>
        <v>--</v>
      </c>
      <c r="AC36" s="270" t="str">
        <f t="shared" si="16"/>
        <v>--</v>
      </c>
      <c r="AD36" s="192">
        <f t="shared" si="17"/>
      </c>
      <c r="AE36" s="193">
        <f t="shared" si="18"/>
      </c>
      <c r="AF36" s="194"/>
    </row>
    <row r="37" spans="2:32" s="8" customFormat="1" ht="16.5" customHeight="1">
      <c r="B37" s="55"/>
      <c r="C37" s="151"/>
      <c r="D37" s="151"/>
      <c r="E37" s="151"/>
      <c r="F37" s="200"/>
      <c r="G37" s="201"/>
      <c r="H37" s="202"/>
      <c r="I37" s="201"/>
      <c r="J37" s="173">
        <f t="shared" si="0"/>
        <v>20</v>
      </c>
      <c r="K37" s="174">
        <f t="shared" si="1"/>
        <v>361.726</v>
      </c>
      <c r="L37" s="203"/>
      <c r="M37" s="205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261" t="str">
        <f t="shared" si="7"/>
        <v>--</v>
      </c>
      <c r="U37" s="262" t="str">
        <f t="shared" si="8"/>
        <v>--</v>
      </c>
      <c r="V37" s="263" t="str">
        <f t="shared" si="9"/>
        <v>--</v>
      </c>
      <c r="W37" s="264" t="str">
        <f t="shared" si="10"/>
        <v>--</v>
      </c>
      <c r="X37" s="265" t="str">
        <f t="shared" si="11"/>
        <v>--</v>
      </c>
      <c r="Y37" s="266" t="str">
        <f t="shared" si="12"/>
        <v>--</v>
      </c>
      <c r="Z37" s="267" t="str">
        <f t="shared" si="13"/>
        <v>--</v>
      </c>
      <c r="AA37" s="268" t="str">
        <f t="shared" si="14"/>
        <v>--</v>
      </c>
      <c r="AB37" s="269" t="str">
        <f t="shared" si="15"/>
        <v>--</v>
      </c>
      <c r="AC37" s="270" t="str">
        <f t="shared" si="16"/>
        <v>--</v>
      </c>
      <c r="AD37" s="192">
        <f t="shared" si="17"/>
      </c>
      <c r="AE37" s="193">
        <f t="shared" si="18"/>
      </c>
      <c r="AF37" s="194"/>
    </row>
    <row r="38" spans="2:32" s="8" customFormat="1" ht="16.5" customHeight="1">
      <c r="B38" s="55"/>
      <c r="C38" s="170"/>
      <c r="D38" s="170"/>
      <c r="E38" s="170"/>
      <c r="F38" s="200"/>
      <c r="G38" s="201"/>
      <c r="H38" s="202"/>
      <c r="I38" s="201"/>
      <c r="J38" s="173">
        <f t="shared" si="0"/>
        <v>20</v>
      </c>
      <c r="K38" s="174">
        <f t="shared" si="1"/>
        <v>361.726</v>
      </c>
      <c r="L38" s="203"/>
      <c r="M38" s="205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261" t="str">
        <f t="shared" si="7"/>
        <v>--</v>
      </c>
      <c r="U38" s="262" t="str">
        <f t="shared" si="8"/>
        <v>--</v>
      </c>
      <c r="V38" s="263" t="str">
        <f t="shared" si="9"/>
        <v>--</v>
      </c>
      <c r="W38" s="264" t="str">
        <f t="shared" si="10"/>
        <v>--</v>
      </c>
      <c r="X38" s="265" t="str">
        <f t="shared" si="11"/>
        <v>--</v>
      </c>
      <c r="Y38" s="266" t="str">
        <f t="shared" si="12"/>
        <v>--</v>
      </c>
      <c r="Z38" s="267" t="str">
        <f t="shared" si="13"/>
        <v>--</v>
      </c>
      <c r="AA38" s="268" t="str">
        <f t="shared" si="14"/>
        <v>--</v>
      </c>
      <c r="AB38" s="269" t="str">
        <f t="shared" si="15"/>
        <v>--</v>
      </c>
      <c r="AC38" s="270" t="str">
        <f t="shared" si="16"/>
        <v>--</v>
      </c>
      <c r="AD38" s="192">
        <f t="shared" si="17"/>
      </c>
      <c r="AE38" s="193">
        <f t="shared" si="18"/>
      </c>
      <c r="AF38" s="194"/>
    </row>
    <row r="39" spans="2:32" s="8" customFormat="1" ht="16.5" customHeight="1">
      <c r="B39" s="55"/>
      <c r="C39" s="151"/>
      <c r="D39" s="151"/>
      <c r="E39" s="151"/>
      <c r="F39" s="200"/>
      <c r="G39" s="201"/>
      <c r="H39" s="202"/>
      <c r="I39" s="201"/>
      <c r="J39" s="173">
        <f t="shared" si="0"/>
        <v>20</v>
      </c>
      <c r="K39" s="174">
        <f t="shared" si="1"/>
        <v>361.726</v>
      </c>
      <c r="L39" s="203"/>
      <c r="M39" s="205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261" t="str">
        <f t="shared" si="7"/>
        <v>--</v>
      </c>
      <c r="U39" s="262" t="str">
        <f t="shared" si="8"/>
        <v>--</v>
      </c>
      <c r="V39" s="263" t="str">
        <f t="shared" si="9"/>
        <v>--</v>
      </c>
      <c r="W39" s="264" t="str">
        <f t="shared" si="10"/>
        <v>--</v>
      </c>
      <c r="X39" s="265" t="str">
        <f t="shared" si="11"/>
        <v>--</v>
      </c>
      <c r="Y39" s="266" t="str">
        <f t="shared" si="12"/>
        <v>--</v>
      </c>
      <c r="Z39" s="267" t="str">
        <f t="shared" si="13"/>
        <v>--</v>
      </c>
      <c r="AA39" s="268" t="str">
        <f t="shared" si="14"/>
        <v>--</v>
      </c>
      <c r="AB39" s="269" t="str">
        <f t="shared" si="15"/>
        <v>--</v>
      </c>
      <c r="AC39" s="270" t="str">
        <f t="shared" si="16"/>
        <v>--</v>
      </c>
      <c r="AD39" s="192">
        <f t="shared" si="17"/>
      </c>
      <c r="AE39" s="193">
        <f t="shared" si="18"/>
      </c>
      <c r="AF39" s="194"/>
    </row>
    <row r="40" spans="2:32" s="8" customFormat="1" ht="16.5" customHeight="1" thickBot="1">
      <c r="B40" s="55"/>
      <c r="C40" s="170"/>
      <c r="D40" s="206"/>
      <c r="E40" s="170"/>
      <c r="F40" s="208"/>
      <c r="G40" s="209"/>
      <c r="H40" s="210"/>
      <c r="I40" s="211"/>
      <c r="J40" s="212"/>
      <c r="K40" s="213"/>
      <c r="L40" s="214"/>
      <c r="M40" s="214"/>
      <c r="N40" s="215"/>
      <c r="O40" s="215"/>
      <c r="P40" s="216"/>
      <c r="Q40" s="217"/>
      <c r="R40" s="216"/>
      <c r="S40" s="216"/>
      <c r="T40" s="218"/>
      <c r="U40" s="219"/>
      <c r="V40" s="220"/>
      <c r="W40" s="221"/>
      <c r="X40" s="222"/>
      <c r="Y40" s="223"/>
      <c r="Z40" s="224"/>
      <c r="AA40" s="225"/>
      <c r="AB40" s="226"/>
      <c r="AC40" s="227"/>
      <c r="AD40" s="228"/>
      <c r="AE40" s="229"/>
      <c r="AF40" s="194"/>
    </row>
    <row r="41" spans="2:32" s="8" customFormat="1" ht="16.5" customHeight="1" thickBot="1" thickTop="1">
      <c r="B41" s="55"/>
      <c r="C41" s="230" t="s">
        <v>172</v>
      </c>
      <c r="D41" s="231" t="s">
        <v>269</v>
      </c>
      <c r="E41" s="230"/>
      <c r="F41" s="232"/>
      <c r="G41" s="233"/>
      <c r="H41" s="234"/>
      <c r="I41" s="235"/>
      <c r="J41" s="234"/>
      <c r="K41" s="236"/>
      <c r="L41" s="236"/>
      <c r="M41" s="236"/>
      <c r="N41" s="236"/>
      <c r="O41" s="236"/>
      <c r="P41" s="236"/>
      <c r="Q41" s="237"/>
      <c r="R41" s="236"/>
      <c r="S41" s="236"/>
      <c r="T41" s="238">
        <f aca="true" t="shared" si="19" ref="T41:AC41">SUM(T18:T40)</f>
        <v>0</v>
      </c>
      <c r="U41" s="239">
        <f t="shared" si="19"/>
        <v>0</v>
      </c>
      <c r="V41" s="240">
        <f t="shared" si="19"/>
        <v>17550.862908</v>
      </c>
      <c r="W41" s="240">
        <f t="shared" si="19"/>
        <v>6142.8020178</v>
      </c>
      <c r="X41" s="240">
        <f t="shared" si="19"/>
        <v>0</v>
      </c>
      <c r="Y41" s="241">
        <f t="shared" si="19"/>
        <v>0</v>
      </c>
      <c r="Z41" s="241">
        <f t="shared" si="19"/>
        <v>0</v>
      </c>
      <c r="AA41" s="241">
        <f t="shared" si="19"/>
        <v>0</v>
      </c>
      <c r="AB41" s="242">
        <f t="shared" si="19"/>
        <v>0</v>
      </c>
      <c r="AC41" s="243">
        <f t="shared" si="19"/>
        <v>0</v>
      </c>
      <c r="AD41" s="244"/>
      <c r="AE41" s="245">
        <f>ROUND(SUM(AE18:AE40),2)</f>
        <v>23693.66</v>
      </c>
      <c r="AF41" s="194"/>
    </row>
    <row r="42" spans="2:32" s="8" customFormat="1" ht="16.5" customHeight="1" thickBot="1" thickTop="1"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8"/>
    </row>
    <row r="43" spans="2:32" ht="16.5" customHeight="1" thickTop="1">
      <c r="B43" s="249"/>
      <c r="C43" s="249"/>
      <c r="D43" s="249"/>
      <c r="AF43" s="249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70" zoomScaleNormal="70" zoomScalePageLayoutView="0" workbookViewId="0" topLeftCell="A1">
      <selection activeCell="B13" sqref="B1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7.42187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C1" s="9"/>
      <c r="D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+'TOT-0115'!B2</f>
        <v>ANEXO II al Memorándum D.T.E.E. N° 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90"/>
    </row>
    <row r="4" spans="1:3" s="14" customFormat="1" ht="11.25">
      <c r="A4" s="286" t="s">
        <v>323</v>
      </c>
      <c r="B4" s="91"/>
      <c r="C4" s="12"/>
    </row>
    <row r="5" spans="2:3" s="14" customFormat="1" ht="11.25">
      <c r="B5" s="286" t="s">
        <v>3</v>
      </c>
      <c r="C5" s="12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24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250" customFormat="1" ht="33" customHeight="1">
      <c r="B10" s="251"/>
      <c r="C10" s="252"/>
      <c r="D10" s="252"/>
      <c r="E10" s="252"/>
      <c r="F10" s="253" t="s">
        <v>25</v>
      </c>
      <c r="G10" s="252"/>
      <c r="H10" s="252"/>
      <c r="I10" s="252"/>
      <c r="K10" s="252"/>
      <c r="L10" s="252"/>
      <c r="M10" s="252"/>
      <c r="N10" s="252"/>
      <c r="O10" s="252"/>
      <c r="P10" s="252"/>
      <c r="Q10" s="252"/>
      <c r="R10" s="253"/>
      <c r="S10" s="253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4"/>
    </row>
    <row r="11" spans="2:32" s="255" customFormat="1" ht="33" customHeight="1">
      <c r="B11" s="256"/>
      <c r="C11" s="257"/>
      <c r="D11" s="257"/>
      <c r="E11" s="257"/>
      <c r="F11" s="275" t="s">
        <v>241</v>
      </c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9"/>
    </row>
    <row r="12" spans="2:32" s="34" customFormat="1" ht="19.5">
      <c r="B12" s="35" t="str">
        <f>+'TOT-0115'!B14</f>
        <v>Desde el 01 al 31 de enero de 2015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2"/>
      <c r="Q12" s="10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3"/>
    </row>
    <row r="13" spans="2:32" s="8" customFormat="1" ht="16.5" customHeight="1" thickBot="1">
      <c r="B13" s="55"/>
      <c r="C13" s="11"/>
      <c r="D13" s="11"/>
      <c r="E13" s="11"/>
      <c r="F13" s="11"/>
      <c r="G13" s="86"/>
      <c r="H13" s="86"/>
      <c r="I13" s="11"/>
      <c r="J13" s="11"/>
      <c r="K13" s="11"/>
      <c r="L13" s="104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8" customFormat="1" ht="16.5" customHeight="1" thickBot="1" thickTop="1">
      <c r="B14" s="55"/>
      <c r="C14" s="11"/>
      <c r="D14" s="11"/>
      <c r="E14" s="11"/>
      <c r="F14" s="105" t="s">
        <v>27</v>
      </c>
      <c r="G14" s="106">
        <v>140.549</v>
      </c>
      <c r="H14" s="10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0"/>
    </row>
    <row r="15" spans="2:32" s="8" customFormat="1" ht="16.5" customHeight="1" thickTop="1">
      <c r="B15" s="55"/>
      <c r="C15" s="11"/>
      <c r="D15" s="11"/>
      <c r="E15" s="11"/>
      <c r="F15" s="287"/>
      <c r="G15" s="288"/>
      <c r="H15" s="289"/>
      <c r="I15" s="11"/>
      <c r="J15" s="11"/>
      <c r="K15" s="11"/>
      <c r="L15" s="108"/>
      <c r="M15" s="10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0"/>
      <c r="Y15" s="110"/>
      <c r="Z15" s="110"/>
      <c r="AA15" s="110"/>
      <c r="AB15" s="110"/>
      <c r="AC15" s="110"/>
      <c r="AD15" s="110"/>
      <c r="AF15" s="100"/>
    </row>
    <row r="16" spans="2:32" s="8" customFormat="1" ht="16.5" customHeight="1" thickBot="1">
      <c r="B16" s="55"/>
      <c r="C16" s="111">
        <v>3</v>
      </c>
      <c r="D16" s="111">
        <v>4</v>
      </c>
      <c r="E16" s="111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11">
        <v>12</v>
      </c>
      <c r="M16" s="111">
        <v>13</v>
      </c>
      <c r="N16" s="111">
        <v>14</v>
      </c>
      <c r="O16" s="111">
        <v>15</v>
      </c>
      <c r="P16" s="111">
        <v>16</v>
      </c>
      <c r="Q16" s="111">
        <v>17</v>
      </c>
      <c r="R16" s="111">
        <v>18</v>
      </c>
      <c r="S16" s="111">
        <v>19</v>
      </c>
      <c r="T16" s="111">
        <v>20</v>
      </c>
      <c r="U16" s="111">
        <v>21</v>
      </c>
      <c r="V16" s="111">
        <v>22</v>
      </c>
      <c r="W16" s="111">
        <v>23</v>
      </c>
      <c r="X16" s="111">
        <v>24</v>
      </c>
      <c r="Y16" s="111">
        <v>25</v>
      </c>
      <c r="Z16" s="111">
        <v>26</v>
      </c>
      <c r="AA16" s="111">
        <v>27</v>
      </c>
      <c r="AB16" s="111">
        <v>28</v>
      </c>
      <c r="AC16" s="111">
        <v>29</v>
      </c>
      <c r="AD16" s="111">
        <v>30</v>
      </c>
      <c r="AE16" s="111">
        <v>31</v>
      </c>
      <c r="AF16" s="100"/>
    </row>
    <row r="17" spans="2:32" s="8" customFormat="1" ht="33.75" customHeight="1" thickBot="1" thickTop="1">
      <c r="B17" s="55"/>
      <c r="C17" s="112" t="s">
        <v>29</v>
      </c>
      <c r="D17" s="112" t="s">
        <v>30</v>
      </c>
      <c r="E17" s="112" t="s">
        <v>31</v>
      </c>
      <c r="F17" s="113" t="s">
        <v>5</v>
      </c>
      <c r="G17" s="114" t="s">
        <v>32</v>
      </c>
      <c r="H17" s="115" t="s">
        <v>33</v>
      </c>
      <c r="I17" s="116" t="s">
        <v>34</v>
      </c>
      <c r="J17" s="117" t="s">
        <v>35</v>
      </c>
      <c r="K17" s="118" t="s">
        <v>36</v>
      </c>
      <c r="L17" s="113" t="s">
        <v>37</v>
      </c>
      <c r="M17" s="119" t="s">
        <v>38</v>
      </c>
      <c r="N17" s="120" t="s">
        <v>39</v>
      </c>
      <c r="O17" s="115" t="s">
        <v>40</v>
      </c>
      <c r="P17" s="120" t="s">
        <v>171</v>
      </c>
      <c r="Q17" s="115" t="s">
        <v>41</v>
      </c>
      <c r="R17" s="119" t="s">
        <v>42</v>
      </c>
      <c r="S17" s="113" t="s">
        <v>43</v>
      </c>
      <c r="T17" s="121" t="s">
        <v>44</v>
      </c>
      <c r="U17" s="122" t="s">
        <v>45</v>
      </c>
      <c r="V17" s="123" t="s">
        <v>46</v>
      </c>
      <c r="W17" s="124"/>
      <c r="X17" s="125"/>
      <c r="Y17" s="126" t="s">
        <v>47</v>
      </c>
      <c r="Z17" s="127"/>
      <c r="AA17" s="128"/>
      <c r="AB17" s="129" t="s">
        <v>48</v>
      </c>
      <c r="AC17" s="130" t="s">
        <v>49</v>
      </c>
      <c r="AD17" s="131" t="s">
        <v>50</v>
      </c>
      <c r="AE17" s="131" t="s">
        <v>51</v>
      </c>
      <c r="AF17" s="132"/>
    </row>
    <row r="18" spans="2:32" s="8" customFormat="1" ht="16.5" customHeight="1" thickTop="1">
      <c r="B18" s="55"/>
      <c r="C18" s="133"/>
      <c r="D18" s="133"/>
      <c r="E18" s="133"/>
      <c r="F18" s="134"/>
      <c r="G18" s="134"/>
      <c r="H18" s="135"/>
      <c r="I18" s="136"/>
      <c r="J18" s="137"/>
      <c r="K18" s="138"/>
      <c r="L18" s="139"/>
      <c r="M18" s="139"/>
      <c r="N18" s="136"/>
      <c r="O18" s="136"/>
      <c r="P18" s="136"/>
      <c r="Q18" s="136"/>
      <c r="R18" s="136"/>
      <c r="S18" s="136"/>
      <c r="T18" s="140"/>
      <c r="U18" s="141"/>
      <c r="V18" s="142"/>
      <c r="W18" s="143"/>
      <c r="X18" s="144"/>
      <c r="Y18" s="145"/>
      <c r="Z18" s="146"/>
      <c r="AA18" s="147"/>
      <c r="AB18" s="148"/>
      <c r="AC18" s="149"/>
      <c r="AD18" s="136"/>
      <c r="AE18" s="150"/>
      <c r="AF18" s="100"/>
    </row>
    <row r="19" spans="2:32" s="8" customFormat="1" ht="16.5" customHeight="1">
      <c r="B19" s="55"/>
      <c r="C19" s="260"/>
      <c r="D19" s="260"/>
      <c r="E19" s="260"/>
      <c r="F19" s="195"/>
      <c r="G19" s="196"/>
      <c r="H19" s="197"/>
      <c r="I19" s="196"/>
      <c r="J19" s="173">
        <f aca="true" t="shared" si="0" ref="J19:J39">IF(I19="A",200,IF(I19="B",60,20))</f>
        <v>20</v>
      </c>
      <c r="K19" s="174">
        <f aca="true" t="shared" si="1" ref="K19:K39">IF(G19=500,IF(H19&lt;100,100*$G$14/100,H19*$G$14/100),IF(H19&lt;100,100*$G$15/100,H19*$G$15/100))</f>
        <v>0</v>
      </c>
      <c r="L19" s="175"/>
      <c r="M19" s="176"/>
      <c r="N19" s="177">
        <f aca="true" t="shared" si="2" ref="N19:N39">IF(F19="","",(M19-L19)*24)</f>
      </c>
      <c r="O19" s="178">
        <f aca="true" t="shared" si="3" ref="O19:O39">IF(F19="","",ROUND((M19-L19)*24*60,0))</f>
      </c>
      <c r="P19" s="179"/>
      <c r="Q19" s="180">
        <f aca="true" t="shared" si="4" ref="Q19:Q39">IF(F19="","","--")</f>
      </c>
      <c r="R19" s="181">
        <f aca="true" t="shared" si="5" ref="R19:R39">IF(F19="","","NO")</f>
      </c>
      <c r="S19" s="181">
        <f aca="true" t="shared" si="6" ref="S19:S39">IF(F19="","",IF(OR(P19="P",P19="RP"),"--","NO"))</f>
      </c>
      <c r="T19" s="261" t="str">
        <f aca="true" t="shared" si="7" ref="T19:T39">IF(P19="P",K19*J19*ROUND(O19/60,2)*0.01,"--")</f>
        <v>--</v>
      </c>
      <c r="U19" s="262" t="str">
        <f aca="true" t="shared" si="8" ref="U19:U39">IF(P19="RP",K19*J19*ROUND(O19/60,2)*0.01*Q19/100,"--")</f>
        <v>--</v>
      </c>
      <c r="V19" s="263" t="str">
        <f aca="true" t="shared" si="9" ref="V19:V39">IF(AND(P19="F",S19="NO"),K19*J19*IF(R19="SI",1.2,1),"--")</f>
        <v>--</v>
      </c>
      <c r="W19" s="264" t="str">
        <f aca="true" t="shared" si="10" ref="W19:W39">IF(AND(P19="F",O19&gt;=10),K19*J19*IF(R19="SI",1.2,1)*IF(O19&lt;=300,ROUND(O19/60,2),5),"--")</f>
        <v>--</v>
      </c>
      <c r="X19" s="265" t="str">
        <f aca="true" t="shared" si="11" ref="X19:X39">IF(AND(P19="F",O19&gt;300),(ROUND(O19/60,2)-5)*K19*J19*0.1*IF(R19="SI",1.2,1),"--")</f>
        <v>--</v>
      </c>
      <c r="Y19" s="266" t="str">
        <f aca="true" t="shared" si="12" ref="Y19:Y39">IF(AND(P19="R",S19="NO"),K19*J19*Q19/100*IF(R19="SI",1.2,1),"--")</f>
        <v>--</v>
      </c>
      <c r="Z19" s="267" t="str">
        <f aca="true" t="shared" si="13" ref="Z19:Z39">IF(AND(P19="R",O19&gt;=10),K19*J19*Q19/100*IF(R19="SI",1.2,1)*IF(O19&lt;=300,ROUND(O19/60,2),5),"--")</f>
        <v>--</v>
      </c>
      <c r="AA19" s="268" t="str">
        <f aca="true" t="shared" si="14" ref="AA19:AA39">IF(AND(P19="R",O19&gt;300),(ROUND(O19/60,2)-5)*K19*J19*0.1*Q19/100*IF(R19="SI",1.2,1),"--")</f>
        <v>--</v>
      </c>
      <c r="AB19" s="269" t="str">
        <f aca="true" t="shared" si="15" ref="AB19:AB39">IF(P19="RF",ROUND(O19/60,2)*K19*J19*0.1*IF(R19="SI",1.2,1),"--")</f>
        <v>--</v>
      </c>
      <c r="AC19" s="270" t="str">
        <f aca="true" t="shared" si="16" ref="AC19:AC39">IF(P19="RR",ROUND(O19/60,2)*K19*J19*0.1*Q19/100*IF(R19="SI",1.2,1),"--")</f>
        <v>--</v>
      </c>
      <c r="AD19" s="271">
        <f aca="true" t="shared" si="17" ref="AD19:AD39">IF(F19="","","SI")</f>
      </c>
      <c r="AE19" s="193">
        <f aca="true" t="shared" si="18" ref="AE19:AE39">IF(F19="","",SUM(T19:AC19)*IF(AD19="SI",1,2))</f>
      </c>
      <c r="AF19" s="100"/>
    </row>
    <row r="20" spans="2:32" s="8" customFormat="1" ht="16.5" customHeight="1">
      <c r="B20" s="55"/>
      <c r="C20" s="260">
        <v>13</v>
      </c>
      <c r="D20" s="260">
        <v>283644</v>
      </c>
      <c r="E20" s="260">
        <v>4826</v>
      </c>
      <c r="F20" s="195" t="s">
        <v>195</v>
      </c>
      <c r="G20" s="196">
        <v>500</v>
      </c>
      <c r="H20" s="196">
        <v>280.70001220703125</v>
      </c>
      <c r="I20" s="196" t="s">
        <v>184</v>
      </c>
      <c r="J20" s="173">
        <f t="shared" si="0"/>
        <v>20</v>
      </c>
      <c r="K20" s="174">
        <f t="shared" si="1"/>
        <v>394.5210601568604</v>
      </c>
      <c r="L20" s="175">
        <v>42017.93125</v>
      </c>
      <c r="M20" s="176">
        <v>42017.955555555556</v>
      </c>
      <c r="N20" s="177">
        <f t="shared" si="2"/>
        <v>0.5833333333139308</v>
      </c>
      <c r="O20" s="178">
        <f t="shared" si="3"/>
        <v>35</v>
      </c>
      <c r="P20" s="179" t="s">
        <v>185</v>
      </c>
      <c r="Q20" s="180" t="str">
        <f t="shared" si="4"/>
        <v>--</v>
      </c>
      <c r="R20" s="181" t="str">
        <f t="shared" si="5"/>
        <v>NO</v>
      </c>
      <c r="S20" s="181" t="str">
        <f t="shared" si="6"/>
        <v>NO</v>
      </c>
      <c r="T20" s="261" t="str">
        <f t="shared" si="7"/>
        <v>--</v>
      </c>
      <c r="U20" s="262" t="str">
        <f t="shared" si="8"/>
        <v>--</v>
      </c>
      <c r="V20" s="263">
        <f t="shared" si="9"/>
        <v>7890.421203137208</v>
      </c>
      <c r="W20" s="264">
        <f t="shared" si="10"/>
        <v>4576.44429781958</v>
      </c>
      <c r="X20" s="265" t="str">
        <f t="shared" si="11"/>
        <v>--</v>
      </c>
      <c r="Y20" s="266" t="str">
        <f t="shared" si="12"/>
        <v>--</v>
      </c>
      <c r="Z20" s="267" t="str">
        <f t="shared" si="13"/>
        <v>--</v>
      </c>
      <c r="AA20" s="268" t="str">
        <f t="shared" si="14"/>
        <v>--</v>
      </c>
      <c r="AB20" s="269" t="str">
        <f t="shared" si="15"/>
        <v>--</v>
      </c>
      <c r="AC20" s="270" t="str">
        <f t="shared" si="16"/>
        <v>--</v>
      </c>
      <c r="AD20" s="271" t="s">
        <v>82</v>
      </c>
      <c r="AE20" s="193">
        <f t="shared" si="18"/>
        <v>12466.865500956788</v>
      </c>
      <c r="AF20" s="194"/>
    </row>
    <row r="21" spans="2:32" s="8" customFormat="1" ht="16.5" customHeight="1">
      <c r="B21" s="55"/>
      <c r="C21" s="260"/>
      <c r="D21" s="260"/>
      <c r="E21" s="260"/>
      <c r="F21" s="195"/>
      <c r="G21" s="196"/>
      <c r="H21" s="197"/>
      <c r="I21" s="196"/>
      <c r="J21" s="173">
        <f t="shared" si="0"/>
        <v>20</v>
      </c>
      <c r="K21" s="174">
        <f t="shared" si="1"/>
        <v>0</v>
      </c>
      <c r="L21" s="175"/>
      <c r="M21" s="176"/>
      <c r="N21" s="177">
        <f t="shared" si="2"/>
      </c>
      <c r="O21" s="178">
        <f t="shared" si="3"/>
      </c>
      <c r="P21" s="179"/>
      <c r="Q21" s="180">
        <f t="shared" si="4"/>
      </c>
      <c r="R21" s="181">
        <f t="shared" si="5"/>
      </c>
      <c r="S21" s="181">
        <f t="shared" si="6"/>
      </c>
      <c r="T21" s="261" t="str">
        <f t="shared" si="7"/>
        <v>--</v>
      </c>
      <c r="U21" s="262" t="str">
        <f t="shared" si="8"/>
        <v>--</v>
      </c>
      <c r="V21" s="263" t="str">
        <f t="shared" si="9"/>
        <v>--</v>
      </c>
      <c r="W21" s="264" t="str">
        <f t="shared" si="10"/>
        <v>--</v>
      </c>
      <c r="X21" s="265" t="str">
        <f t="shared" si="11"/>
        <v>--</v>
      </c>
      <c r="Y21" s="266" t="str">
        <f t="shared" si="12"/>
        <v>--</v>
      </c>
      <c r="Z21" s="267" t="str">
        <f t="shared" si="13"/>
        <v>--</v>
      </c>
      <c r="AA21" s="268" t="str">
        <f t="shared" si="14"/>
        <v>--</v>
      </c>
      <c r="AB21" s="269" t="str">
        <f t="shared" si="15"/>
        <v>--</v>
      </c>
      <c r="AC21" s="270" t="str">
        <f t="shared" si="16"/>
        <v>--</v>
      </c>
      <c r="AD21" s="271">
        <f t="shared" si="17"/>
      </c>
      <c r="AE21" s="193">
        <f t="shared" si="18"/>
      </c>
      <c r="AF21" s="194"/>
    </row>
    <row r="22" spans="2:32" s="8" customFormat="1" ht="16.5" customHeight="1">
      <c r="B22" s="55"/>
      <c r="C22" s="260"/>
      <c r="D22" s="260"/>
      <c r="E22" s="260"/>
      <c r="F22" s="195"/>
      <c r="G22" s="196"/>
      <c r="H22" s="197"/>
      <c r="I22" s="196"/>
      <c r="J22" s="173">
        <f t="shared" si="0"/>
        <v>20</v>
      </c>
      <c r="K22" s="174">
        <f t="shared" si="1"/>
        <v>0</v>
      </c>
      <c r="L22" s="198"/>
      <c r="M22" s="199"/>
      <c r="N22" s="177">
        <f t="shared" si="2"/>
      </c>
      <c r="O22" s="178">
        <f t="shared" si="3"/>
      </c>
      <c r="P22" s="179"/>
      <c r="Q22" s="180">
        <f t="shared" si="4"/>
      </c>
      <c r="R22" s="181">
        <f t="shared" si="5"/>
      </c>
      <c r="S22" s="181">
        <f t="shared" si="6"/>
      </c>
      <c r="T22" s="261" t="str">
        <f t="shared" si="7"/>
        <v>--</v>
      </c>
      <c r="U22" s="262" t="str">
        <f t="shared" si="8"/>
        <v>--</v>
      </c>
      <c r="V22" s="263" t="str">
        <f t="shared" si="9"/>
        <v>--</v>
      </c>
      <c r="W22" s="264" t="str">
        <f t="shared" si="10"/>
        <v>--</v>
      </c>
      <c r="X22" s="265" t="str">
        <f t="shared" si="11"/>
        <v>--</v>
      </c>
      <c r="Y22" s="266" t="str">
        <f t="shared" si="12"/>
        <v>--</v>
      </c>
      <c r="Z22" s="267" t="str">
        <f t="shared" si="13"/>
        <v>--</v>
      </c>
      <c r="AA22" s="268" t="str">
        <f t="shared" si="14"/>
        <v>--</v>
      </c>
      <c r="AB22" s="269" t="str">
        <f t="shared" si="15"/>
        <v>--</v>
      </c>
      <c r="AC22" s="270" t="str">
        <f t="shared" si="16"/>
        <v>--</v>
      </c>
      <c r="AD22" s="271">
        <f t="shared" si="17"/>
      </c>
      <c r="AE22" s="193">
        <f t="shared" si="18"/>
      </c>
      <c r="AF22" s="194"/>
    </row>
    <row r="23" spans="2:32" s="8" customFormat="1" ht="16.5" customHeight="1">
      <c r="B23" s="55"/>
      <c r="C23" s="260"/>
      <c r="D23" s="260"/>
      <c r="E23" s="260"/>
      <c r="F23" s="195"/>
      <c r="G23" s="196"/>
      <c r="H23" s="197"/>
      <c r="I23" s="196"/>
      <c r="J23" s="173">
        <f t="shared" si="0"/>
        <v>20</v>
      </c>
      <c r="K23" s="174">
        <f t="shared" si="1"/>
        <v>0</v>
      </c>
      <c r="L23" s="198"/>
      <c r="M23" s="199"/>
      <c r="N23" s="177">
        <f t="shared" si="2"/>
      </c>
      <c r="O23" s="178">
        <f t="shared" si="3"/>
      </c>
      <c r="P23" s="179"/>
      <c r="Q23" s="180">
        <f t="shared" si="4"/>
      </c>
      <c r="R23" s="181">
        <f t="shared" si="5"/>
      </c>
      <c r="S23" s="181">
        <f t="shared" si="6"/>
      </c>
      <c r="T23" s="261" t="str">
        <f t="shared" si="7"/>
        <v>--</v>
      </c>
      <c r="U23" s="262" t="str">
        <f t="shared" si="8"/>
        <v>--</v>
      </c>
      <c r="V23" s="263" t="str">
        <f t="shared" si="9"/>
        <v>--</v>
      </c>
      <c r="W23" s="264" t="str">
        <f t="shared" si="10"/>
        <v>--</v>
      </c>
      <c r="X23" s="265" t="str">
        <f t="shared" si="11"/>
        <v>--</v>
      </c>
      <c r="Y23" s="266" t="str">
        <f t="shared" si="12"/>
        <v>--</v>
      </c>
      <c r="Z23" s="267" t="str">
        <f t="shared" si="13"/>
        <v>--</v>
      </c>
      <c r="AA23" s="268" t="str">
        <f t="shared" si="14"/>
        <v>--</v>
      </c>
      <c r="AB23" s="269" t="str">
        <f t="shared" si="15"/>
        <v>--</v>
      </c>
      <c r="AC23" s="270" t="str">
        <f t="shared" si="16"/>
        <v>--</v>
      </c>
      <c r="AD23" s="271">
        <f t="shared" si="17"/>
      </c>
      <c r="AE23" s="193">
        <f t="shared" si="18"/>
      </c>
      <c r="AF23" s="194"/>
    </row>
    <row r="24" spans="2:32" s="8" customFormat="1" ht="16.5" customHeight="1">
      <c r="B24" s="55"/>
      <c r="C24" s="260"/>
      <c r="D24" s="260"/>
      <c r="E24" s="260"/>
      <c r="F24" s="195"/>
      <c r="G24" s="196"/>
      <c r="H24" s="197"/>
      <c r="I24" s="171"/>
      <c r="J24" s="173">
        <f t="shared" si="0"/>
        <v>20</v>
      </c>
      <c r="K24" s="174">
        <f t="shared" si="1"/>
        <v>0</v>
      </c>
      <c r="L24" s="175"/>
      <c r="M24" s="176"/>
      <c r="N24" s="177">
        <f t="shared" si="2"/>
      </c>
      <c r="O24" s="178">
        <f t="shared" si="3"/>
      </c>
      <c r="P24" s="179"/>
      <c r="Q24" s="180">
        <f t="shared" si="4"/>
      </c>
      <c r="R24" s="181">
        <f t="shared" si="5"/>
      </c>
      <c r="S24" s="181">
        <f t="shared" si="6"/>
      </c>
      <c r="T24" s="261" t="str">
        <f t="shared" si="7"/>
        <v>--</v>
      </c>
      <c r="U24" s="262" t="str">
        <f t="shared" si="8"/>
        <v>--</v>
      </c>
      <c r="V24" s="263" t="str">
        <f t="shared" si="9"/>
        <v>--</v>
      </c>
      <c r="W24" s="264" t="str">
        <f t="shared" si="10"/>
        <v>--</v>
      </c>
      <c r="X24" s="265" t="str">
        <f t="shared" si="11"/>
        <v>--</v>
      </c>
      <c r="Y24" s="266" t="str">
        <f t="shared" si="12"/>
        <v>--</v>
      </c>
      <c r="Z24" s="267" t="str">
        <f t="shared" si="13"/>
        <v>--</v>
      </c>
      <c r="AA24" s="268" t="str">
        <f t="shared" si="14"/>
        <v>--</v>
      </c>
      <c r="AB24" s="269" t="str">
        <f t="shared" si="15"/>
        <v>--</v>
      </c>
      <c r="AC24" s="270" t="str">
        <f t="shared" si="16"/>
        <v>--</v>
      </c>
      <c r="AD24" s="271">
        <f t="shared" si="17"/>
      </c>
      <c r="AE24" s="193">
        <f t="shared" si="18"/>
      </c>
      <c r="AF24" s="194"/>
    </row>
    <row r="25" spans="2:32" s="8" customFormat="1" ht="16.5" customHeight="1">
      <c r="B25" s="55"/>
      <c r="C25" s="260"/>
      <c r="D25" s="260"/>
      <c r="E25" s="260"/>
      <c r="F25" s="195"/>
      <c r="G25" s="196"/>
      <c r="H25" s="197"/>
      <c r="I25" s="171"/>
      <c r="J25" s="173">
        <f t="shared" si="0"/>
        <v>20</v>
      </c>
      <c r="K25" s="174">
        <f t="shared" si="1"/>
        <v>0</v>
      </c>
      <c r="L25" s="175"/>
      <c r="M25" s="176"/>
      <c r="N25" s="177">
        <f t="shared" si="2"/>
      </c>
      <c r="O25" s="178">
        <f t="shared" si="3"/>
      </c>
      <c r="P25" s="179"/>
      <c r="Q25" s="180">
        <f t="shared" si="4"/>
      </c>
      <c r="R25" s="181">
        <f t="shared" si="5"/>
      </c>
      <c r="S25" s="181">
        <f t="shared" si="6"/>
      </c>
      <c r="T25" s="261" t="str">
        <f t="shared" si="7"/>
        <v>--</v>
      </c>
      <c r="U25" s="262" t="str">
        <f t="shared" si="8"/>
        <v>--</v>
      </c>
      <c r="V25" s="263" t="str">
        <f t="shared" si="9"/>
        <v>--</v>
      </c>
      <c r="W25" s="264" t="str">
        <f t="shared" si="10"/>
        <v>--</v>
      </c>
      <c r="X25" s="265" t="str">
        <f t="shared" si="11"/>
        <v>--</v>
      </c>
      <c r="Y25" s="266" t="str">
        <f t="shared" si="12"/>
        <v>--</v>
      </c>
      <c r="Z25" s="267" t="str">
        <f t="shared" si="13"/>
        <v>--</v>
      </c>
      <c r="AA25" s="268" t="str">
        <f t="shared" si="14"/>
        <v>--</v>
      </c>
      <c r="AB25" s="269" t="str">
        <f t="shared" si="15"/>
        <v>--</v>
      </c>
      <c r="AC25" s="270" t="str">
        <f t="shared" si="16"/>
        <v>--</v>
      </c>
      <c r="AD25" s="271">
        <f t="shared" si="17"/>
      </c>
      <c r="AE25" s="193">
        <f t="shared" si="18"/>
      </c>
      <c r="AF25" s="194"/>
    </row>
    <row r="26" spans="2:32" s="8" customFormat="1" ht="16.5" customHeight="1">
      <c r="B26" s="55"/>
      <c r="C26" s="170"/>
      <c r="D26" s="170"/>
      <c r="E26" s="170"/>
      <c r="F26" s="200"/>
      <c r="G26" s="201"/>
      <c r="H26" s="202"/>
      <c r="I26" s="201"/>
      <c r="J26" s="173">
        <f t="shared" si="0"/>
        <v>20</v>
      </c>
      <c r="K26" s="174">
        <f t="shared" si="1"/>
        <v>0</v>
      </c>
      <c r="L26" s="203"/>
      <c r="M26" s="204"/>
      <c r="N26" s="177">
        <f t="shared" si="2"/>
      </c>
      <c r="O26" s="178">
        <f t="shared" si="3"/>
      </c>
      <c r="P26" s="179"/>
      <c r="Q26" s="180">
        <f t="shared" si="4"/>
      </c>
      <c r="R26" s="181">
        <f t="shared" si="5"/>
      </c>
      <c r="S26" s="181">
        <f t="shared" si="6"/>
      </c>
      <c r="T26" s="261" t="str">
        <f t="shared" si="7"/>
        <v>--</v>
      </c>
      <c r="U26" s="262" t="str">
        <f t="shared" si="8"/>
        <v>--</v>
      </c>
      <c r="V26" s="263" t="str">
        <f t="shared" si="9"/>
        <v>--</v>
      </c>
      <c r="W26" s="264" t="str">
        <f t="shared" si="10"/>
        <v>--</v>
      </c>
      <c r="X26" s="265" t="str">
        <f t="shared" si="11"/>
        <v>--</v>
      </c>
      <c r="Y26" s="266" t="str">
        <f t="shared" si="12"/>
        <v>--</v>
      </c>
      <c r="Z26" s="267" t="str">
        <f t="shared" si="13"/>
        <v>--</v>
      </c>
      <c r="AA26" s="268" t="str">
        <f t="shared" si="14"/>
        <v>--</v>
      </c>
      <c r="AB26" s="269" t="str">
        <f t="shared" si="15"/>
        <v>--</v>
      </c>
      <c r="AC26" s="270" t="str">
        <f t="shared" si="16"/>
        <v>--</v>
      </c>
      <c r="AD26" s="192">
        <f t="shared" si="17"/>
      </c>
      <c r="AE26" s="193">
        <f t="shared" si="18"/>
      </c>
      <c r="AF26" s="194"/>
    </row>
    <row r="27" spans="2:32" s="8" customFormat="1" ht="16.5" customHeight="1">
      <c r="B27" s="55"/>
      <c r="C27" s="151"/>
      <c r="D27" s="260"/>
      <c r="E27" s="260"/>
      <c r="F27" s="200"/>
      <c r="G27" s="201"/>
      <c r="H27" s="202"/>
      <c r="I27" s="201"/>
      <c r="J27" s="173">
        <f t="shared" si="0"/>
        <v>20</v>
      </c>
      <c r="K27" s="174">
        <f t="shared" si="1"/>
        <v>0</v>
      </c>
      <c r="L27" s="203"/>
      <c r="M27" s="204"/>
      <c r="N27" s="177">
        <f t="shared" si="2"/>
      </c>
      <c r="O27" s="178">
        <f t="shared" si="3"/>
      </c>
      <c r="P27" s="179"/>
      <c r="Q27" s="180">
        <f t="shared" si="4"/>
      </c>
      <c r="R27" s="181">
        <f t="shared" si="5"/>
      </c>
      <c r="S27" s="181">
        <f t="shared" si="6"/>
      </c>
      <c r="T27" s="261" t="str">
        <f t="shared" si="7"/>
        <v>--</v>
      </c>
      <c r="U27" s="262" t="str">
        <f t="shared" si="8"/>
        <v>--</v>
      </c>
      <c r="V27" s="263" t="str">
        <f t="shared" si="9"/>
        <v>--</v>
      </c>
      <c r="W27" s="264" t="str">
        <f t="shared" si="10"/>
        <v>--</v>
      </c>
      <c r="X27" s="265" t="str">
        <f t="shared" si="11"/>
        <v>--</v>
      </c>
      <c r="Y27" s="266" t="str">
        <f t="shared" si="12"/>
        <v>--</v>
      </c>
      <c r="Z27" s="267" t="str">
        <f t="shared" si="13"/>
        <v>--</v>
      </c>
      <c r="AA27" s="268" t="str">
        <f t="shared" si="14"/>
        <v>--</v>
      </c>
      <c r="AB27" s="269" t="str">
        <f t="shared" si="15"/>
        <v>--</v>
      </c>
      <c r="AC27" s="270" t="str">
        <f t="shared" si="16"/>
        <v>--</v>
      </c>
      <c r="AD27" s="192">
        <f t="shared" si="17"/>
      </c>
      <c r="AE27" s="193">
        <f t="shared" si="18"/>
      </c>
      <c r="AF27" s="194"/>
    </row>
    <row r="28" spans="2:32" s="8" customFormat="1" ht="16.5" customHeight="1">
      <c r="B28" s="55"/>
      <c r="C28" s="170"/>
      <c r="D28" s="170"/>
      <c r="E28" s="170"/>
      <c r="F28" s="200"/>
      <c r="G28" s="201"/>
      <c r="H28" s="202"/>
      <c r="I28" s="201"/>
      <c r="J28" s="173">
        <f t="shared" si="0"/>
        <v>20</v>
      </c>
      <c r="K28" s="174">
        <f t="shared" si="1"/>
        <v>0</v>
      </c>
      <c r="L28" s="203"/>
      <c r="M28" s="204"/>
      <c r="N28" s="177">
        <f t="shared" si="2"/>
      </c>
      <c r="O28" s="178">
        <f t="shared" si="3"/>
      </c>
      <c r="P28" s="179"/>
      <c r="Q28" s="180">
        <f t="shared" si="4"/>
      </c>
      <c r="R28" s="181">
        <f t="shared" si="5"/>
      </c>
      <c r="S28" s="181">
        <f t="shared" si="6"/>
      </c>
      <c r="T28" s="261" t="str">
        <f t="shared" si="7"/>
        <v>--</v>
      </c>
      <c r="U28" s="262" t="str">
        <f t="shared" si="8"/>
        <v>--</v>
      </c>
      <c r="V28" s="263" t="str">
        <f t="shared" si="9"/>
        <v>--</v>
      </c>
      <c r="W28" s="264" t="str">
        <f t="shared" si="10"/>
        <v>--</v>
      </c>
      <c r="X28" s="265" t="str">
        <f t="shared" si="11"/>
        <v>--</v>
      </c>
      <c r="Y28" s="266" t="str">
        <f t="shared" si="12"/>
        <v>--</v>
      </c>
      <c r="Z28" s="267" t="str">
        <f t="shared" si="13"/>
        <v>--</v>
      </c>
      <c r="AA28" s="268" t="str">
        <f t="shared" si="14"/>
        <v>--</v>
      </c>
      <c r="AB28" s="269" t="str">
        <f t="shared" si="15"/>
        <v>--</v>
      </c>
      <c r="AC28" s="270" t="str">
        <f t="shared" si="16"/>
        <v>--</v>
      </c>
      <c r="AD28" s="192">
        <f t="shared" si="17"/>
      </c>
      <c r="AE28" s="193">
        <f t="shared" si="18"/>
      </c>
      <c r="AF28" s="194"/>
    </row>
    <row r="29" spans="2:32" s="8" customFormat="1" ht="16.5" customHeight="1">
      <c r="B29" s="55"/>
      <c r="C29" s="151"/>
      <c r="D29" s="260"/>
      <c r="E29" s="260"/>
      <c r="F29" s="200"/>
      <c r="G29" s="201"/>
      <c r="H29" s="202"/>
      <c r="I29" s="201"/>
      <c r="J29" s="173">
        <f t="shared" si="0"/>
        <v>20</v>
      </c>
      <c r="K29" s="174">
        <f t="shared" si="1"/>
        <v>0</v>
      </c>
      <c r="L29" s="203"/>
      <c r="M29" s="204"/>
      <c r="N29" s="177">
        <f t="shared" si="2"/>
      </c>
      <c r="O29" s="178">
        <f t="shared" si="3"/>
      </c>
      <c r="P29" s="179"/>
      <c r="Q29" s="180">
        <f t="shared" si="4"/>
      </c>
      <c r="R29" s="181">
        <f t="shared" si="5"/>
      </c>
      <c r="S29" s="181">
        <f t="shared" si="6"/>
      </c>
      <c r="T29" s="261" t="str">
        <f t="shared" si="7"/>
        <v>--</v>
      </c>
      <c r="U29" s="262" t="str">
        <f t="shared" si="8"/>
        <v>--</v>
      </c>
      <c r="V29" s="263" t="str">
        <f t="shared" si="9"/>
        <v>--</v>
      </c>
      <c r="W29" s="264" t="str">
        <f t="shared" si="10"/>
        <v>--</v>
      </c>
      <c r="X29" s="265" t="str">
        <f t="shared" si="11"/>
        <v>--</v>
      </c>
      <c r="Y29" s="266" t="str">
        <f t="shared" si="12"/>
        <v>--</v>
      </c>
      <c r="Z29" s="267" t="str">
        <f t="shared" si="13"/>
        <v>--</v>
      </c>
      <c r="AA29" s="268" t="str">
        <f t="shared" si="14"/>
        <v>--</v>
      </c>
      <c r="AB29" s="269" t="str">
        <f t="shared" si="15"/>
        <v>--</v>
      </c>
      <c r="AC29" s="270" t="str">
        <f t="shared" si="16"/>
        <v>--</v>
      </c>
      <c r="AD29" s="192">
        <f t="shared" si="17"/>
      </c>
      <c r="AE29" s="193">
        <f t="shared" si="18"/>
      </c>
      <c r="AF29" s="194"/>
    </row>
    <row r="30" spans="2:32" s="8" customFormat="1" ht="16.5" customHeight="1">
      <c r="B30" s="55"/>
      <c r="C30" s="170"/>
      <c r="D30" s="170"/>
      <c r="E30" s="170"/>
      <c r="F30" s="200"/>
      <c r="G30" s="201"/>
      <c r="H30" s="202"/>
      <c r="I30" s="201"/>
      <c r="J30" s="173">
        <f t="shared" si="0"/>
        <v>20</v>
      </c>
      <c r="K30" s="174">
        <f t="shared" si="1"/>
        <v>0</v>
      </c>
      <c r="L30" s="203"/>
      <c r="M30" s="204"/>
      <c r="N30" s="177">
        <f t="shared" si="2"/>
      </c>
      <c r="O30" s="178">
        <f t="shared" si="3"/>
      </c>
      <c r="P30" s="179"/>
      <c r="Q30" s="180">
        <f t="shared" si="4"/>
      </c>
      <c r="R30" s="181">
        <f t="shared" si="5"/>
      </c>
      <c r="S30" s="181">
        <f t="shared" si="6"/>
      </c>
      <c r="T30" s="261" t="str">
        <f t="shared" si="7"/>
        <v>--</v>
      </c>
      <c r="U30" s="262" t="str">
        <f t="shared" si="8"/>
        <v>--</v>
      </c>
      <c r="V30" s="263" t="str">
        <f t="shared" si="9"/>
        <v>--</v>
      </c>
      <c r="W30" s="264" t="str">
        <f t="shared" si="10"/>
        <v>--</v>
      </c>
      <c r="X30" s="265" t="str">
        <f t="shared" si="11"/>
        <v>--</v>
      </c>
      <c r="Y30" s="266" t="str">
        <f t="shared" si="12"/>
        <v>--</v>
      </c>
      <c r="Z30" s="267" t="str">
        <f t="shared" si="13"/>
        <v>--</v>
      </c>
      <c r="AA30" s="268" t="str">
        <f t="shared" si="14"/>
        <v>--</v>
      </c>
      <c r="AB30" s="269" t="str">
        <f t="shared" si="15"/>
        <v>--</v>
      </c>
      <c r="AC30" s="270" t="str">
        <f t="shared" si="16"/>
        <v>--</v>
      </c>
      <c r="AD30" s="192">
        <f t="shared" si="17"/>
      </c>
      <c r="AE30" s="193">
        <f t="shared" si="18"/>
      </c>
      <c r="AF30" s="194"/>
    </row>
    <row r="31" spans="2:32" s="8" customFormat="1" ht="16.5" customHeight="1">
      <c r="B31" s="55"/>
      <c r="C31" s="151"/>
      <c r="D31" s="260"/>
      <c r="E31" s="260"/>
      <c r="F31" s="200"/>
      <c r="G31" s="201"/>
      <c r="H31" s="202"/>
      <c r="I31" s="201"/>
      <c r="J31" s="173">
        <f t="shared" si="0"/>
        <v>20</v>
      </c>
      <c r="K31" s="174">
        <f t="shared" si="1"/>
        <v>0</v>
      </c>
      <c r="L31" s="203"/>
      <c r="M31" s="205"/>
      <c r="N31" s="177">
        <f t="shared" si="2"/>
      </c>
      <c r="O31" s="178">
        <f t="shared" si="3"/>
      </c>
      <c r="P31" s="179"/>
      <c r="Q31" s="180">
        <f t="shared" si="4"/>
      </c>
      <c r="R31" s="181">
        <f t="shared" si="5"/>
      </c>
      <c r="S31" s="181">
        <f t="shared" si="6"/>
      </c>
      <c r="T31" s="261" t="str">
        <f t="shared" si="7"/>
        <v>--</v>
      </c>
      <c r="U31" s="262" t="str">
        <f t="shared" si="8"/>
        <v>--</v>
      </c>
      <c r="V31" s="263" t="str">
        <f t="shared" si="9"/>
        <v>--</v>
      </c>
      <c r="W31" s="264" t="str">
        <f t="shared" si="10"/>
        <v>--</v>
      </c>
      <c r="X31" s="265" t="str">
        <f t="shared" si="11"/>
        <v>--</v>
      </c>
      <c r="Y31" s="266" t="str">
        <f t="shared" si="12"/>
        <v>--</v>
      </c>
      <c r="Z31" s="267" t="str">
        <f t="shared" si="13"/>
        <v>--</v>
      </c>
      <c r="AA31" s="268" t="str">
        <f t="shared" si="14"/>
        <v>--</v>
      </c>
      <c r="AB31" s="269" t="str">
        <f t="shared" si="15"/>
        <v>--</v>
      </c>
      <c r="AC31" s="270" t="str">
        <f t="shared" si="16"/>
        <v>--</v>
      </c>
      <c r="AD31" s="192">
        <f t="shared" si="17"/>
      </c>
      <c r="AE31" s="193">
        <f t="shared" si="18"/>
      </c>
      <c r="AF31" s="194"/>
    </row>
    <row r="32" spans="2:32" s="8" customFormat="1" ht="16.5" customHeight="1">
      <c r="B32" s="55"/>
      <c r="C32" s="170"/>
      <c r="D32" s="170"/>
      <c r="E32" s="170"/>
      <c r="F32" s="200"/>
      <c r="G32" s="201"/>
      <c r="H32" s="202"/>
      <c r="I32" s="201"/>
      <c r="J32" s="173">
        <f t="shared" si="0"/>
        <v>20</v>
      </c>
      <c r="K32" s="174">
        <f t="shared" si="1"/>
        <v>0</v>
      </c>
      <c r="L32" s="203"/>
      <c r="M32" s="205"/>
      <c r="N32" s="177">
        <f t="shared" si="2"/>
      </c>
      <c r="O32" s="178">
        <f t="shared" si="3"/>
      </c>
      <c r="P32" s="179"/>
      <c r="Q32" s="180">
        <f t="shared" si="4"/>
      </c>
      <c r="R32" s="181">
        <f t="shared" si="5"/>
      </c>
      <c r="S32" s="181">
        <f t="shared" si="6"/>
      </c>
      <c r="T32" s="261" t="str">
        <f t="shared" si="7"/>
        <v>--</v>
      </c>
      <c r="U32" s="262" t="str">
        <f t="shared" si="8"/>
        <v>--</v>
      </c>
      <c r="V32" s="263" t="str">
        <f t="shared" si="9"/>
        <v>--</v>
      </c>
      <c r="W32" s="264" t="str">
        <f t="shared" si="10"/>
        <v>--</v>
      </c>
      <c r="X32" s="265" t="str">
        <f t="shared" si="11"/>
        <v>--</v>
      </c>
      <c r="Y32" s="266" t="str">
        <f t="shared" si="12"/>
        <v>--</v>
      </c>
      <c r="Z32" s="267" t="str">
        <f t="shared" si="13"/>
        <v>--</v>
      </c>
      <c r="AA32" s="268" t="str">
        <f t="shared" si="14"/>
        <v>--</v>
      </c>
      <c r="AB32" s="269" t="str">
        <f t="shared" si="15"/>
        <v>--</v>
      </c>
      <c r="AC32" s="270" t="str">
        <f t="shared" si="16"/>
        <v>--</v>
      </c>
      <c r="AD32" s="192">
        <f t="shared" si="17"/>
      </c>
      <c r="AE32" s="193">
        <f t="shared" si="18"/>
      </c>
      <c r="AF32" s="194"/>
    </row>
    <row r="33" spans="2:32" s="8" customFormat="1" ht="16.5" customHeight="1">
      <c r="B33" s="55"/>
      <c r="C33" s="151"/>
      <c r="D33" s="260"/>
      <c r="E33" s="260"/>
      <c r="F33" s="200"/>
      <c r="G33" s="201"/>
      <c r="H33" s="202"/>
      <c r="I33" s="201"/>
      <c r="J33" s="173">
        <f t="shared" si="0"/>
        <v>20</v>
      </c>
      <c r="K33" s="174">
        <f t="shared" si="1"/>
        <v>0</v>
      </c>
      <c r="L33" s="203"/>
      <c r="M33" s="205"/>
      <c r="N33" s="177">
        <f t="shared" si="2"/>
      </c>
      <c r="O33" s="178">
        <f t="shared" si="3"/>
      </c>
      <c r="P33" s="179"/>
      <c r="Q33" s="180">
        <f t="shared" si="4"/>
      </c>
      <c r="R33" s="181">
        <f t="shared" si="5"/>
      </c>
      <c r="S33" s="181">
        <f t="shared" si="6"/>
      </c>
      <c r="T33" s="261" t="str">
        <f t="shared" si="7"/>
        <v>--</v>
      </c>
      <c r="U33" s="262" t="str">
        <f t="shared" si="8"/>
        <v>--</v>
      </c>
      <c r="V33" s="263" t="str">
        <f t="shared" si="9"/>
        <v>--</v>
      </c>
      <c r="W33" s="264" t="str">
        <f t="shared" si="10"/>
        <v>--</v>
      </c>
      <c r="X33" s="265" t="str">
        <f t="shared" si="11"/>
        <v>--</v>
      </c>
      <c r="Y33" s="266" t="str">
        <f t="shared" si="12"/>
        <v>--</v>
      </c>
      <c r="Z33" s="267" t="str">
        <f t="shared" si="13"/>
        <v>--</v>
      </c>
      <c r="AA33" s="268" t="str">
        <f t="shared" si="14"/>
        <v>--</v>
      </c>
      <c r="AB33" s="269" t="str">
        <f t="shared" si="15"/>
        <v>--</v>
      </c>
      <c r="AC33" s="270" t="str">
        <f t="shared" si="16"/>
        <v>--</v>
      </c>
      <c r="AD33" s="192">
        <f t="shared" si="17"/>
      </c>
      <c r="AE33" s="193">
        <f t="shared" si="18"/>
      </c>
      <c r="AF33" s="194"/>
    </row>
    <row r="34" spans="2:32" s="8" customFormat="1" ht="16.5" customHeight="1">
      <c r="B34" s="55"/>
      <c r="C34" s="170"/>
      <c r="D34" s="170"/>
      <c r="E34" s="170"/>
      <c r="F34" s="200"/>
      <c r="G34" s="201"/>
      <c r="H34" s="202"/>
      <c r="I34" s="201"/>
      <c r="J34" s="173">
        <f t="shared" si="0"/>
        <v>20</v>
      </c>
      <c r="K34" s="174">
        <f t="shared" si="1"/>
        <v>0</v>
      </c>
      <c r="L34" s="203"/>
      <c r="M34" s="205"/>
      <c r="N34" s="177">
        <f t="shared" si="2"/>
      </c>
      <c r="O34" s="178">
        <f t="shared" si="3"/>
      </c>
      <c r="P34" s="179"/>
      <c r="Q34" s="180">
        <f t="shared" si="4"/>
      </c>
      <c r="R34" s="181">
        <f t="shared" si="5"/>
      </c>
      <c r="S34" s="181">
        <f t="shared" si="6"/>
      </c>
      <c r="T34" s="261" t="str">
        <f t="shared" si="7"/>
        <v>--</v>
      </c>
      <c r="U34" s="262" t="str">
        <f t="shared" si="8"/>
        <v>--</v>
      </c>
      <c r="V34" s="263" t="str">
        <f t="shared" si="9"/>
        <v>--</v>
      </c>
      <c r="W34" s="264" t="str">
        <f t="shared" si="10"/>
        <v>--</v>
      </c>
      <c r="X34" s="265" t="str">
        <f t="shared" si="11"/>
        <v>--</v>
      </c>
      <c r="Y34" s="266" t="str">
        <f t="shared" si="12"/>
        <v>--</v>
      </c>
      <c r="Z34" s="267" t="str">
        <f t="shared" si="13"/>
        <v>--</v>
      </c>
      <c r="AA34" s="268" t="str">
        <f t="shared" si="14"/>
        <v>--</v>
      </c>
      <c r="AB34" s="269" t="str">
        <f t="shared" si="15"/>
        <v>--</v>
      </c>
      <c r="AC34" s="270" t="str">
        <f t="shared" si="16"/>
        <v>--</v>
      </c>
      <c r="AD34" s="192">
        <f t="shared" si="17"/>
      </c>
      <c r="AE34" s="193">
        <f t="shared" si="18"/>
      </c>
      <c r="AF34" s="194"/>
    </row>
    <row r="35" spans="2:32" s="8" customFormat="1" ht="16.5" customHeight="1">
      <c r="B35" s="55"/>
      <c r="C35" s="151"/>
      <c r="D35" s="260"/>
      <c r="E35" s="260"/>
      <c r="F35" s="200"/>
      <c r="G35" s="201"/>
      <c r="H35" s="202"/>
      <c r="I35" s="201"/>
      <c r="J35" s="173">
        <f t="shared" si="0"/>
        <v>20</v>
      </c>
      <c r="K35" s="174">
        <f t="shared" si="1"/>
        <v>0</v>
      </c>
      <c r="L35" s="203"/>
      <c r="M35" s="205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6"/>
      </c>
      <c r="T35" s="261" t="str">
        <f t="shared" si="7"/>
        <v>--</v>
      </c>
      <c r="U35" s="262" t="str">
        <f t="shared" si="8"/>
        <v>--</v>
      </c>
      <c r="V35" s="263" t="str">
        <f t="shared" si="9"/>
        <v>--</v>
      </c>
      <c r="W35" s="264" t="str">
        <f t="shared" si="10"/>
        <v>--</v>
      </c>
      <c r="X35" s="265" t="str">
        <f t="shared" si="11"/>
        <v>--</v>
      </c>
      <c r="Y35" s="266" t="str">
        <f t="shared" si="12"/>
        <v>--</v>
      </c>
      <c r="Z35" s="267" t="str">
        <f t="shared" si="13"/>
        <v>--</v>
      </c>
      <c r="AA35" s="268" t="str">
        <f t="shared" si="14"/>
        <v>--</v>
      </c>
      <c r="AB35" s="269" t="str">
        <f t="shared" si="15"/>
        <v>--</v>
      </c>
      <c r="AC35" s="270" t="str">
        <f t="shared" si="16"/>
        <v>--</v>
      </c>
      <c r="AD35" s="192">
        <f t="shared" si="17"/>
      </c>
      <c r="AE35" s="193">
        <f t="shared" si="18"/>
      </c>
      <c r="AF35" s="194"/>
    </row>
    <row r="36" spans="2:32" s="8" customFormat="1" ht="16.5" customHeight="1">
      <c r="B36" s="55"/>
      <c r="C36" s="170"/>
      <c r="D36" s="170"/>
      <c r="E36" s="170"/>
      <c r="F36" s="200"/>
      <c r="G36" s="201"/>
      <c r="H36" s="202"/>
      <c r="I36" s="201"/>
      <c r="J36" s="173">
        <f t="shared" si="0"/>
        <v>20</v>
      </c>
      <c r="K36" s="174">
        <f t="shared" si="1"/>
        <v>0</v>
      </c>
      <c r="L36" s="203"/>
      <c r="M36" s="205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6"/>
      </c>
      <c r="T36" s="261" t="str">
        <f t="shared" si="7"/>
        <v>--</v>
      </c>
      <c r="U36" s="262" t="str">
        <f t="shared" si="8"/>
        <v>--</v>
      </c>
      <c r="V36" s="263" t="str">
        <f t="shared" si="9"/>
        <v>--</v>
      </c>
      <c r="W36" s="264" t="str">
        <f t="shared" si="10"/>
        <v>--</v>
      </c>
      <c r="X36" s="265" t="str">
        <f t="shared" si="11"/>
        <v>--</v>
      </c>
      <c r="Y36" s="266" t="str">
        <f t="shared" si="12"/>
        <v>--</v>
      </c>
      <c r="Z36" s="267" t="str">
        <f t="shared" si="13"/>
        <v>--</v>
      </c>
      <c r="AA36" s="268" t="str">
        <f t="shared" si="14"/>
        <v>--</v>
      </c>
      <c r="AB36" s="269" t="str">
        <f t="shared" si="15"/>
        <v>--</v>
      </c>
      <c r="AC36" s="270" t="str">
        <f t="shared" si="16"/>
        <v>--</v>
      </c>
      <c r="AD36" s="192">
        <f t="shared" si="17"/>
      </c>
      <c r="AE36" s="193">
        <f t="shared" si="18"/>
      </c>
      <c r="AF36" s="194"/>
    </row>
    <row r="37" spans="2:32" s="8" customFormat="1" ht="16.5" customHeight="1">
      <c r="B37" s="55"/>
      <c r="C37" s="151"/>
      <c r="D37" s="260"/>
      <c r="E37" s="260"/>
      <c r="F37" s="200"/>
      <c r="G37" s="201"/>
      <c r="H37" s="202"/>
      <c r="I37" s="201"/>
      <c r="J37" s="173">
        <f t="shared" si="0"/>
        <v>20</v>
      </c>
      <c r="K37" s="174">
        <f t="shared" si="1"/>
        <v>0</v>
      </c>
      <c r="L37" s="203"/>
      <c r="M37" s="205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261" t="str">
        <f t="shared" si="7"/>
        <v>--</v>
      </c>
      <c r="U37" s="262" t="str">
        <f t="shared" si="8"/>
        <v>--</v>
      </c>
      <c r="V37" s="263" t="str">
        <f t="shared" si="9"/>
        <v>--</v>
      </c>
      <c r="W37" s="264" t="str">
        <f t="shared" si="10"/>
        <v>--</v>
      </c>
      <c r="X37" s="265" t="str">
        <f t="shared" si="11"/>
        <v>--</v>
      </c>
      <c r="Y37" s="266" t="str">
        <f t="shared" si="12"/>
        <v>--</v>
      </c>
      <c r="Z37" s="267" t="str">
        <f t="shared" si="13"/>
        <v>--</v>
      </c>
      <c r="AA37" s="268" t="str">
        <f t="shared" si="14"/>
        <v>--</v>
      </c>
      <c r="AB37" s="269" t="str">
        <f t="shared" si="15"/>
        <v>--</v>
      </c>
      <c r="AC37" s="270" t="str">
        <f t="shared" si="16"/>
        <v>--</v>
      </c>
      <c r="AD37" s="192">
        <f t="shared" si="17"/>
      </c>
      <c r="AE37" s="193">
        <f t="shared" si="18"/>
      </c>
      <c r="AF37" s="194"/>
    </row>
    <row r="38" spans="2:32" s="8" customFormat="1" ht="16.5" customHeight="1">
      <c r="B38" s="55"/>
      <c r="C38" s="170"/>
      <c r="D38" s="170"/>
      <c r="E38" s="170"/>
      <c r="F38" s="200"/>
      <c r="G38" s="201"/>
      <c r="H38" s="202"/>
      <c r="I38" s="201"/>
      <c r="J38" s="173">
        <f t="shared" si="0"/>
        <v>20</v>
      </c>
      <c r="K38" s="174">
        <f t="shared" si="1"/>
        <v>0</v>
      </c>
      <c r="L38" s="203"/>
      <c r="M38" s="205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261" t="str">
        <f t="shared" si="7"/>
        <v>--</v>
      </c>
      <c r="U38" s="262" t="str">
        <f t="shared" si="8"/>
        <v>--</v>
      </c>
      <c r="V38" s="263" t="str">
        <f t="shared" si="9"/>
        <v>--</v>
      </c>
      <c r="W38" s="264" t="str">
        <f t="shared" si="10"/>
        <v>--</v>
      </c>
      <c r="X38" s="265" t="str">
        <f t="shared" si="11"/>
        <v>--</v>
      </c>
      <c r="Y38" s="266" t="str">
        <f t="shared" si="12"/>
        <v>--</v>
      </c>
      <c r="Z38" s="267" t="str">
        <f t="shared" si="13"/>
        <v>--</v>
      </c>
      <c r="AA38" s="268" t="str">
        <f t="shared" si="14"/>
        <v>--</v>
      </c>
      <c r="AB38" s="269" t="str">
        <f t="shared" si="15"/>
        <v>--</v>
      </c>
      <c r="AC38" s="270" t="str">
        <f t="shared" si="16"/>
        <v>--</v>
      </c>
      <c r="AD38" s="192">
        <f t="shared" si="17"/>
      </c>
      <c r="AE38" s="193">
        <f t="shared" si="18"/>
      </c>
      <c r="AF38" s="194"/>
    </row>
    <row r="39" spans="2:32" s="8" customFormat="1" ht="16.5" customHeight="1">
      <c r="B39" s="55"/>
      <c r="C39" s="151"/>
      <c r="D39" s="260"/>
      <c r="E39" s="260"/>
      <c r="F39" s="200"/>
      <c r="G39" s="201"/>
      <c r="H39" s="202"/>
      <c r="I39" s="201"/>
      <c r="J39" s="173">
        <f t="shared" si="0"/>
        <v>20</v>
      </c>
      <c r="K39" s="174">
        <f t="shared" si="1"/>
        <v>0</v>
      </c>
      <c r="L39" s="203"/>
      <c r="M39" s="205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261" t="str">
        <f t="shared" si="7"/>
        <v>--</v>
      </c>
      <c r="U39" s="262" t="str">
        <f t="shared" si="8"/>
        <v>--</v>
      </c>
      <c r="V39" s="263" t="str">
        <f t="shared" si="9"/>
        <v>--</v>
      </c>
      <c r="W39" s="264" t="str">
        <f t="shared" si="10"/>
        <v>--</v>
      </c>
      <c r="X39" s="265" t="str">
        <f t="shared" si="11"/>
        <v>--</v>
      </c>
      <c r="Y39" s="266" t="str">
        <f t="shared" si="12"/>
        <v>--</v>
      </c>
      <c r="Z39" s="267" t="str">
        <f t="shared" si="13"/>
        <v>--</v>
      </c>
      <c r="AA39" s="268" t="str">
        <f t="shared" si="14"/>
        <v>--</v>
      </c>
      <c r="AB39" s="269" t="str">
        <f t="shared" si="15"/>
        <v>--</v>
      </c>
      <c r="AC39" s="270" t="str">
        <f t="shared" si="16"/>
        <v>--</v>
      </c>
      <c r="AD39" s="192">
        <f t="shared" si="17"/>
      </c>
      <c r="AE39" s="193">
        <f t="shared" si="18"/>
      </c>
      <c r="AF39" s="194"/>
    </row>
    <row r="40" spans="2:32" s="8" customFormat="1" ht="16.5" customHeight="1" thickBot="1">
      <c r="B40" s="55"/>
      <c r="C40" s="170"/>
      <c r="D40" s="210"/>
      <c r="E40" s="210"/>
      <c r="F40" s="210"/>
      <c r="G40" s="210"/>
      <c r="H40" s="210"/>
      <c r="I40" s="211"/>
      <c r="J40" s="212"/>
      <c r="K40" s="213"/>
      <c r="L40" s="214"/>
      <c r="M40" s="214"/>
      <c r="N40" s="215"/>
      <c r="O40" s="215"/>
      <c r="P40" s="216"/>
      <c r="Q40" s="217"/>
      <c r="R40" s="216"/>
      <c r="S40" s="216"/>
      <c r="T40" s="218"/>
      <c r="U40" s="219"/>
      <c r="V40" s="220"/>
      <c r="W40" s="221"/>
      <c r="X40" s="222"/>
      <c r="Y40" s="223"/>
      <c r="Z40" s="224"/>
      <c r="AA40" s="225"/>
      <c r="AB40" s="226"/>
      <c r="AC40" s="227"/>
      <c r="AD40" s="228"/>
      <c r="AE40" s="229"/>
      <c r="AF40" s="194"/>
    </row>
    <row r="41" spans="2:32" s="8" customFormat="1" ht="16.5" customHeight="1" thickBot="1" thickTop="1">
      <c r="B41" s="55"/>
      <c r="C41" s="230" t="s">
        <v>172</v>
      </c>
      <c r="D41" s="231" t="s">
        <v>269</v>
      </c>
      <c r="E41" s="290"/>
      <c r="F41" s="232"/>
      <c r="G41" s="233"/>
      <c r="H41" s="234"/>
      <c r="I41" s="235"/>
      <c r="J41" s="234"/>
      <c r="K41" s="236"/>
      <c r="L41" s="236"/>
      <c r="M41" s="236"/>
      <c r="N41" s="236"/>
      <c r="O41" s="236"/>
      <c r="P41" s="236"/>
      <c r="Q41" s="237"/>
      <c r="R41" s="236"/>
      <c r="S41" s="236"/>
      <c r="T41" s="238">
        <f aca="true" t="shared" si="19" ref="T41:AC41">SUM(T18:T40)</f>
        <v>0</v>
      </c>
      <c r="U41" s="239">
        <f t="shared" si="19"/>
        <v>0</v>
      </c>
      <c r="V41" s="240">
        <f t="shared" si="19"/>
        <v>7890.421203137208</v>
      </c>
      <c r="W41" s="240">
        <f t="shared" si="19"/>
        <v>4576.44429781958</v>
      </c>
      <c r="X41" s="240">
        <f t="shared" si="19"/>
        <v>0</v>
      </c>
      <c r="Y41" s="241">
        <f t="shared" si="19"/>
        <v>0</v>
      </c>
      <c r="Z41" s="241">
        <f t="shared" si="19"/>
        <v>0</v>
      </c>
      <c r="AA41" s="241">
        <f t="shared" si="19"/>
        <v>0</v>
      </c>
      <c r="AB41" s="242">
        <f t="shared" si="19"/>
        <v>0</v>
      </c>
      <c r="AC41" s="243">
        <f t="shared" si="19"/>
        <v>0</v>
      </c>
      <c r="AD41" s="244"/>
      <c r="AE41" s="245">
        <f>ROUND(SUM(AE18:AE40),2)</f>
        <v>12466.87</v>
      </c>
      <c r="AF41" s="194"/>
    </row>
    <row r="42" spans="2:32" s="8" customFormat="1" ht="16.5" customHeight="1" thickBot="1" thickTop="1"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8"/>
    </row>
    <row r="43" spans="2:32" ht="16.5" customHeight="1" thickTop="1">
      <c r="B43" s="249"/>
      <c r="AF43" s="249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6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291"/>
    </row>
    <row r="2" spans="1:30" s="3" customFormat="1" ht="26.25">
      <c r="A2" s="89"/>
      <c r="B2" s="292" t="str">
        <f>+'TOT-0115'!B2</f>
        <v>ANEXO II al Memorándum D.T.E.E. N°  90 /2016</v>
      </c>
      <c r="C2" s="292"/>
      <c r="D2" s="292"/>
      <c r="E2" s="292"/>
      <c r="F2" s="292"/>
      <c r="G2" s="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</row>
    <row r="3" spans="1:30" s="8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14" customFormat="1" ht="11.25">
      <c r="A4" s="293" t="s">
        <v>53</v>
      </c>
      <c r="B4" s="294"/>
      <c r="C4" s="294"/>
      <c r="D4" s="294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</row>
    <row r="5" spans="1:30" s="14" customFormat="1" ht="11.25">
      <c r="A5" s="293" t="s">
        <v>3</v>
      </c>
      <c r="B5" s="294"/>
      <c r="C5" s="294"/>
      <c r="D5" s="294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</row>
    <row r="6" spans="1:30" s="8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8" customFormat="1" ht="13.5" thickTop="1">
      <c r="A7" s="90"/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95"/>
    </row>
    <row r="8" spans="1:30" s="18" customFormat="1" ht="20.25">
      <c r="A8" s="298"/>
      <c r="B8" s="299"/>
      <c r="C8" s="300"/>
      <c r="D8" s="300"/>
      <c r="E8" s="298"/>
      <c r="F8" s="301" t="s">
        <v>24</v>
      </c>
      <c r="G8" s="298"/>
      <c r="H8" s="298"/>
      <c r="I8" s="302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99"/>
    </row>
    <row r="9" spans="1:30" s="8" customFormat="1" ht="12.75">
      <c r="A9" s="90"/>
      <c r="B9" s="303"/>
      <c r="C9" s="84"/>
      <c r="D9" s="84"/>
      <c r="E9" s="90"/>
      <c r="F9" s="84"/>
      <c r="G9" s="304"/>
      <c r="H9" s="90"/>
      <c r="I9" s="84"/>
      <c r="J9" s="90"/>
      <c r="K9" s="90"/>
      <c r="L9" s="90"/>
      <c r="M9" s="90"/>
      <c r="N9" s="90"/>
      <c r="O9" s="90"/>
      <c r="P9" s="90"/>
      <c r="Q9" s="90"/>
      <c r="R9" s="90"/>
      <c r="S9" s="90"/>
      <c r="T9" s="84"/>
      <c r="U9" s="84"/>
      <c r="V9" s="84"/>
      <c r="W9" s="84"/>
      <c r="X9" s="84"/>
      <c r="Y9" s="84"/>
      <c r="Z9" s="84"/>
      <c r="AA9" s="84"/>
      <c r="AB9" s="84"/>
      <c r="AC9" s="84"/>
      <c r="AD9" s="100"/>
    </row>
    <row r="10" spans="1:30" s="311" customFormat="1" ht="30" customHeight="1">
      <c r="A10" s="305"/>
      <c r="B10" s="306"/>
      <c r="C10" s="307"/>
      <c r="D10" s="307"/>
      <c r="E10" s="305"/>
      <c r="F10" s="308" t="s">
        <v>54</v>
      </c>
      <c r="G10" s="305"/>
      <c r="H10" s="309"/>
      <c r="I10" s="307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10"/>
    </row>
    <row r="11" spans="1:30" s="315" customFormat="1" ht="9.75" customHeight="1">
      <c r="A11" s="312"/>
      <c r="B11" s="313"/>
      <c r="C11" s="314"/>
      <c r="D11" s="314"/>
      <c r="E11" s="312"/>
      <c r="G11" s="314"/>
      <c r="H11" s="314"/>
      <c r="I11" s="314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6"/>
    </row>
    <row r="12" spans="1:30" s="315" customFormat="1" ht="21" customHeight="1">
      <c r="A12" s="305"/>
      <c r="B12" s="306"/>
      <c r="C12" s="307"/>
      <c r="D12" s="307"/>
      <c r="E12" s="305"/>
      <c r="F12" s="317" t="s">
        <v>55</v>
      </c>
      <c r="G12" s="305"/>
      <c r="H12" s="305"/>
      <c r="I12" s="305"/>
      <c r="J12" s="318"/>
      <c r="K12" s="318"/>
      <c r="L12" s="318"/>
      <c r="M12" s="318"/>
      <c r="N12" s="318"/>
      <c r="O12" s="312"/>
      <c r="P12" s="312"/>
      <c r="Q12" s="312"/>
      <c r="R12" s="312"/>
      <c r="S12" s="312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6"/>
    </row>
    <row r="13" spans="1:30" s="8" customFormat="1" ht="12.75">
      <c r="A13" s="90"/>
      <c r="B13" s="303"/>
      <c r="C13" s="84"/>
      <c r="D13" s="84"/>
      <c r="E13" s="90"/>
      <c r="F13" s="84"/>
      <c r="G13" s="84"/>
      <c r="H13" s="84"/>
      <c r="I13" s="319"/>
      <c r="J13" s="84"/>
      <c r="K13" s="84"/>
      <c r="L13" s="84"/>
      <c r="M13" s="84"/>
      <c r="N13" s="84"/>
      <c r="O13" s="90"/>
      <c r="P13" s="90"/>
      <c r="Q13" s="90"/>
      <c r="R13" s="90"/>
      <c r="S13" s="90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00"/>
    </row>
    <row r="14" spans="1:30" s="34" customFormat="1" ht="19.5">
      <c r="A14" s="320"/>
      <c r="B14" s="35" t="str">
        <f>'TOT-0115'!B14</f>
        <v>Desde el 01 al 31 de enero de 2015</v>
      </c>
      <c r="C14" s="39"/>
      <c r="D14" s="39"/>
      <c r="E14" s="321"/>
      <c r="F14" s="322"/>
      <c r="G14" s="322"/>
      <c r="H14" s="322"/>
      <c r="I14" s="322"/>
      <c r="J14" s="322"/>
      <c r="K14" s="322"/>
      <c r="L14" s="322"/>
      <c r="M14" s="322"/>
      <c r="N14" s="322"/>
      <c r="O14" s="321"/>
      <c r="P14" s="321"/>
      <c r="Q14" s="321"/>
      <c r="R14" s="321"/>
      <c r="S14" s="321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3"/>
    </row>
    <row r="15" spans="1:30" s="8" customFormat="1" ht="13.5" thickBot="1">
      <c r="A15" s="90"/>
      <c r="B15" s="303"/>
      <c r="C15" s="84"/>
      <c r="D15" s="84"/>
      <c r="E15" s="90"/>
      <c r="F15" s="84"/>
      <c r="G15" s="84"/>
      <c r="H15" s="84"/>
      <c r="I15" s="319"/>
      <c r="J15" s="84"/>
      <c r="K15" s="84"/>
      <c r="L15" s="84"/>
      <c r="M15" s="84"/>
      <c r="N15" s="84"/>
      <c r="O15" s="90"/>
      <c r="P15" s="90"/>
      <c r="Q15" s="90"/>
      <c r="R15" s="90"/>
      <c r="S15" s="90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100"/>
    </row>
    <row r="16" spans="1:30" s="8" customFormat="1" ht="16.5" customHeight="1" thickBot="1" thickTop="1">
      <c r="A16" s="90"/>
      <c r="B16" s="303"/>
      <c r="C16" s="84"/>
      <c r="D16" s="84"/>
      <c r="E16" s="90"/>
      <c r="F16" s="324" t="s">
        <v>56</v>
      </c>
      <c r="G16" s="325"/>
      <c r="H16" s="326">
        <v>1.193</v>
      </c>
      <c r="J16" s="90"/>
      <c r="K16" s="90"/>
      <c r="L16" s="90"/>
      <c r="M16" s="90"/>
      <c r="N16" s="90"/>
      <c r="O16" s="90"/>
      <c r="P16" s="90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100"/>
    </row>
    <row r="17" spans="1:30" s="8" customFormat="1" ht="16.5" customHeight="1" thickBot="1" thickTop="1">
      <c r="A17" s="90"/>
      <c r="B17" s="303"/>
      <c r="C17" s="84"/>
      <c r="D17" s="84"/>
      <c r="E17" s="90"/>
      <c r="F17" s="327" t="s">
        <v>57</v>
      </c>
      <c r="G17" s="328"/>
      <c r="H17" s="329">
        <v>200</v>
      </c>
      <c r="I17" s="9"/>
      <c r="J17" s="84"/>
      <c r="K17" s="108"/>
      <c r="L17" s="109"/>
      <c r="M17" s="11"/>
      <c r="N17" s="84"/>
      <c r="O17" s="84"/>
      <c r="P17" s="84"/>
      <c r="Q17" s="84"/>
      <c r="R17" s="84"/>
      <c r="S17" s="84"/>
      <c r="T17" s="84"/>
      <c r="U17" s="84"/>
      <c r="V17" s="84"/>
      <c r="W17" s="330"/>
      <c r="X17" s="330"/>
      <c r="Y17" s="330"/>
      <c r="Z17" s="330"/>
      <c r="AA17" s="330"/>
      <c r="AB17" s="330"/>
      <c r="AC17" s="90"/>
      <c r="AD17" s="100"/>
    </row>
    <row r="18" spans="1:30" s="8" customFormat="1" ht="16.5" customHeight="1" thickBot="1" thickTop="1">
      <c r="A18" s="90"/>
      <c r="B18" s="303"/>
      <c r="C18" s="331">
        <v>3</v>
      </c>
      <c r="D18" s="331">
        <v>4</v>
      </c>
      <c r="E18" s="331">
        <v>5</v>
      </c>
      <c r="F18" s="331">
        <v>6</v>
      </c>
      <c r="G18" s="331">
        <v>7</v>
      </c>
      <c r="H18" s="331">
        <v>8</v>
      </c>
      <c r="I18" s="331">
        <v>9</v>
      </c>
      <c r="J18" s="331">
        <v>10</v>
      </c>
      <c r="K18" s="331">
        <v>11</v>
      </c>
      <c r="L18" s="331">
        <v>12</v>
      </c>
      <c r="M18" s="331">
        <v>13</v>
      </c>
      <c r="N18" s="331">
        <v>14</v>
      </c>
      <c r="O18" s="331">
        <v>15</v>
      </c>
      <c r="P18" s="331">
        <v>16</v>
      </c>
      <c r="Q18" s="331">
        <v>17</v>
      </c>
      <c r="R18" s="331">
        <v>18</v>
      </c>
      <c r="S18" s="331">
        <v>19</v>
      </c>
      <c r="T18" s="331">
        <v>20</v>
      </c>
      <c r="U18" s="331">
        <v>21</v>
      </c>
      <c r="V18" s="331">
        <v>22</v>
      </c>
      <c r="W18" s="331">
        <v>23</v>
      </c>
      <c r="X18" s="331">
        <v>24</v>
      </c>
      <c r="Y18" s="331">
        <v>25</v>
      </c>
      <c r="Z18" s="331">
        <v>26</v>
      </c>
      <c r="AA18" s="331">
        <v>27</v>
      </c>
      <c r="AB18" s="331">
        <v>28</v>
      </c>
      <c r="AC18" s="331">
        <v>29</v>
      </c>
      <c r="AD18" s="100"/>
    </row>
    <row r="19" spans="1:30" s="8" customFormat="1" ht="33.75" customHeight="1" thickBot="1" thickTop="1">
      <c r="A19" s="90"/>
      <c r="B19" s="303"/>
      <c r="C19" s="332" t="s">
        <v>29</v>
      </c>
      <c r="D19" s="112" t="s">
        <v>30</v>
      </c>
      <c r="E19" s="112" t="s">
        <v>31</v>
      </c>
      <c r="F19" s="333" t="s">
        <v>58</v>
      </c>
      <c r="G19" s="334" t="s">
        <v>59</v>
      </c>
      <c r="H19" s="335" t="s">
        <v>60</v>
      </c>
      <c r="I19" s="336" t="s">
        <v>32</v>
      </c>
      <c r="J19" s="337" t="s">
        <v>36</v>
      </c>
      <c r="K19" s="334" t="s">
        <v>37</v>
      </c>
      <c r="L19" s="334" t="s">
        <v>38</v>
      </c>
      <c r="M19" s="333" t="s">
        <v>61</v>
      </c>
      <c r="N19" s="333" t="s">
        <v>40</v>
      </c>
      <c r="O19" s="120" t="s">
        <v>171</v>
      </c>
      <c r="P19" s="120" t="s">
        <v>41</v>
      </c>
      <c r="Q19" s="338" t="s">
        <v>43</v>
      </c>
      <c r="R19" s="334" t="s">
        <v>62</v>
      </c>
      <c r="S19" s="339" t="s">
        <v>35</v>
      </c>
      <c r="T19" s="340" t="s">
        <v>44</v>
      </c>
      <c r="U19" s="341" t="s">
        <v>45</v>
      </c>
      <c r="V19" s="123" t="s">
        <v>63</v>
      </c>
      <c r="W19" s="125"/>
      <c r="X19" s="342" t="s">
        <v>64</v>
      </c>
      <c r="Y19" s="343"/>
      <c r="Z19" s="344" t="s">
        <v>48</v>
      </c>
      <c r="AA19" s="345" t="s">
        <v>49</v>
      </c>
      <c r="AB19" s="131" t="s">
        <v>50</v>
      </c>
      <c r="AC19" s="336" t="s">
        <v>51</v>
      </c>
      <c r="AD19" s="100"/>
    </row>
    <row r="20" spans="1:30" s="8" customFormat="1" ht="16.5" customHeight="1" thickTop="1">
      <c r="A20" s="90"/>
      <c r="B20" s="303"/>
      <c r="C20" s="346"/>
      <c r="D20" s="346"/>
      <c r="E20" s="346"/>
      <c r="F20" s="346"/>
      <c r="G20" s="346"/>
      <c r="H20" s="346"/>
      <c r="I20" s="347"/>
      <c r="J20" s="348"/>
      <c r="K20" s="346"/>
      <c r="L20" s="346"/>
      <c r="M20" s="346"/>
      <c r="N20" s="346"/>
      <c r="O20" s="346"/>
      <c r="P20" s="133"/>
      <c r="Q20" s="349"/>
      <c r="R20" s="346"/>
      <c r="S20" s="350"/>
      <c r="T20" s="351"/>
      <c r="U20" s="352"/>
      <c r="V20" s="353"/>
      <c r="W20" s="354"/>
      <c r="X20" s="355"/>
      <c r="Y20" s="356"/>
      <c r="Z20" s="357"/>
      <c r="AA20" s="358"/>
      <c r="AB20" s="349"/>
      <c r="AC20" s="359"/>
      <c r="AD20" s="100"/>
    </row>
    <row r="21" spans="1:30" s="8" customFormat="1" ht="16.5" customHeight="1">
      <c r="A21" s="90"/>
      <c r="B21" s="303"/>
      <c r="C21" s="151"/>
      <c r="D21" s="151"/>
      <c r="E21" s="151"/>
      <c r="F21" s="151"/>
      <c r="G21" s="151"/>
      <c r="H21" s="151"/>
      <c r="I21" s="360"/>
      <c r="J21" s="361"/>
      <c r="K21" s="151"/>
      <c r="L21" s="151"/>
      <c r="M21" s="151"/>
      <c r="N21" s="151"/>
      <c r="O21" s="151"/>
      <c r="P21" s="158"/>
      <c r="Q21" s="362"/>
      <c r="R21" s="151"/>
      <c r="S21" s="363"/>
      <c r="T21" s="364"/>
      <c r="U21" s="365"/>
      <c r="V21" s="366"/>
      <c r="W21" s="367"/>
      <c r="X21" s="368"/>
      <c r="Y21" s="369"/>
      <c r="Z21" s="370"/>
      <c r="AA21" s="371"/>
      <c r="AB21" s="362"/>
      <c r="AC21" s="372"/>
      <c r="AD21" s="100"/>
    </row>
    <row r="22" spans="1:30" s="8" customFormat="1" ht="16.5" customHeight="1">
      <c r="A22" s="90"/>
      <c r="B22" s="303"/>
      <c r="C22" s="170">
        <v>14</v>
      </c>
      <c r="D22" s="170">
        <v>283380</v>
      </c>
      <c r="E22" s="170">
        <v>3559</v>
      </c>
      <c r="F22" s="373" t="s">
        <v>196</v>
      </c>
      <c r="G22" s="374" t="s">
        <v>197</v>
      </c>
      <c r="H22" s="375">
        <v>300</v>
      </c>
      <c r="I22" s="1098" t="s">
        <v>155</v>
      </c>
      <c r="J22" s="377">
        <f aca="true" t="shared" si="0" ref="J22:J41">H22*$H$16</f>
        <v>357.90000000000003</v>
      </c>
      <c r="K22" s="378">
        <v>42012.10277777778</v>
      </c>
      <c r="L22" s="378">
        <v>42012.103472222225</v>
      </c>
      <c r="M22" s="379">
        <f aca="true" t="shared" si="1" ref="M22:M41">IF(F22="","",(L22-K22)*24)</f>
        <v>0.016666666720993817</v>
      </c>
      <c r="N22" s="380">
        <f aca="true" t="shared" si="2" ref="N22:N41">IF(F22="","",ROUND((L22-K22)*24*60,0))</f>
        <v>1</v>
      </c>
      <c r="O22" s="381" t="s">
        <v>187</v>
      </c>
      <c r="P22" s="283" t="str">
        <f aca="true" t="shared" si="3" ref="P22:P41">IF(F22="","","--")</f>
        <v>--</v>
      </c>
      <c r="Q22" s="382" t="str">
        <f aca="true" t="shared" si="4" ref="Q22:Q41">IF(F22="","",IF(OR(O22="P",O22="RP"),"--","NO"))</f>
        <v>--</v>
      </c>
      <c r="R22" s="181" t="str">
        <f aca="true" t="shared" si="5" ref="R22:R41">IF(F22="","","NO")</f>
        <v>NO</v>
      </c>
      <c r="S22" s="383">
        <f aca="true" t="shared" si="6" ref="S22:S41">$H$17*IF(OR(O22="P",O22="RP"),0.1,1)*IF(R22="SI",1,0.1)</f>
        <v>2</v>
      </c>
      <c r="T22" s="384">
        <f aca="true" t="shared" si="7" ref="T22:T41">IF(O22="P",J22*S22*ROUND(N22/60,2),"--")</f>
        <v>14.316000000000003</v>
      </c>
      <c r="U22" s="385" t="str">
        <f aca="true" t="shared" si="8" ref="U22:U41">IF(O22="RP",J22*S22*P22/100*ROUND(N22/60,2),"--")</f>
        <v>--</v>
      </c>
      <c r="V22" s="386" t="str">
        <f aca="true" t="shared" si="9" ref="V22:V41">IF(AND(O22="F",Q22="NO"),J22*S22,"--")</f>
        <v>--</v>
      </c>
      <c r="W22" s="387" t="str">
        <f aca="true" t="shared" si="10" ref="W22:W41">IF(O22="F",J22*S22*ROUND(N22/60,2),"--")</f>
        <v>--</v>
      </c>
      <c r="X22" s="388" t="str">
        <f aca="true" t="shared" si="11" ref="X22:X41">IF(AND(O22="R",Q22="NO"),J22*S22*P22/100,"--")</f>
        <v>--</v>
      </c>
      <c r="Y22" s="389" t="str">
        <f aca="true" t="shared" si="12" ref="Y22:Y41">IF(O22="R",J22*S22*P22/100*ROUND(N22/60,2),"--")</f>
        <v>--</v>
      </c>
      <c r="Z22" s="390" t="str">
        <f aca="true" t="shared" si="13" ref="Z22:Z41">IF(O22="RF",J22*S22*ROUND(N22/60,2),"--")</f>
        <v>--</v>
      </c>
      <c r="AA22" s="391" t="str">
        <f aca="true" t="shared" si="14" ref="AA22:AA41">IF(O22="RR",J22*S22*P22/100*ROUND(N22/60,2),"--")</f>
        <v>--</v>
      </c>
      <c r="AB22" s="392" t="s">
        <v>82</v>
      </c>
      <c r="AC22" s="193">
        <f aca="true" t="shared" si="15" ref="AC22:AC41">IF(F22="","",(SUM(T22:AA22)*IF(AB22="SI",1,2)*IF(AND(P22&lt;&gt;"--",O22="RF"),P22/100,1)))</f>
        <v>14.316000000000003</v>
      </c>
      <c r="AD22" s="100"/>
    </row>
    <row r="23" spans="1:30" s="8" customFormat="1" ht="16.5" customHeight="1">
      <c r="A23" s="90"/>
      <c r="B23" s="303"/>
      <c r="C23" s="151">
        <v>15</v>
      </c>
      <c r="D23" s="151">
        <v>283379</v>
      </c>
      <c r="E23" s="151">
        <v>4654</v>
      </c>
      <c r="F23" s="373" t="s">
        <v>196</v>
      </c>
      <c r="G23" s="374" t="s">
        <v>198</v>
      </c>
      <c r="H23" s="375">
        <v>300</v>
      </c>
      <c r="I23" s="1098" t="s">
        <v>155</v>
      </c>
      <c r="J23" s="377">
        <f t="shared" si="0"/>
        <v>357.90000000000003</v>
      </c>
      <c r="K23" s="378">
        <v>42012.10486111111</v>
      </c>
      <c r="L23" s="378">
        <v>42012.18472222222</v>
      </c>
      <c r="M23" s="379">
        <f t="shared" si="1"/>
        <v>1.9166666666278616</v>
      </c>
      <c r="N23" s="380">
        <f t="shared" si="2"/>
        <v>115</v>
      </c>
      <c r="O23" s="381" t="s">
        <v>187</v>
      </c>
      <c r="P23" s="283" t="str">
        <f t="shared" si="3"/>
        <v>--</v>
      </c>
      <c r="Q23" s="382" t="str">
        <f t="shared" si="4"/>
        <v>--</v>
      </c>
      <c r="R23" s="181" t="str">
        <f t="shared" si="5"/>
        <v>NO</v>
      </c>
      <c r="S23" s="383">
        <f t="shared" si="6"/>
        <v>2</v>
      </c>
      <c r="T23" s="384">
        <f t="shared" si="7"/>
        <v>1374.336</v>
      </c>
      <c r="U23" s="385" t="str">
        <f t="shared" si="8"/>
        <v>--</v>
      </c>
      <c r="V23" s="386" t="str">
        <f t="shared" si="9"/>
        <v>--</v>
      </c>
      <c r="W23" s="387" t="str">
        <f t="shared" si="10"/>
        <v>--</v>
      </c>
      <c r="X23" s="388" t="str">
        <f t="shared" si="11"/>
        <v>--</v>
      </c>
      <c r="Y23" s="389" t="str">
        <f t="shared" si="12"/>
        <v>--</v>
      </c>
      <c r="Z23" s="390" t="str">
        <f t="shared" si="13"/>
        <v>--</v>
      </c>
      <c r="AA23" s="391" t="str">
        <f t="shared" si="14"/>
        <v>--</v>
      </c>
      <c r="AB23" s="392" t="s">
        <v>82</v>
      </c>
      <c r="AC23" s="193">
        <f t="shared" si="15"/>
        <v>1374.336</v>
      </c>
      <c r="AD23" s="100"/>
    </row>
    <row r="24" spans="1:30" s="8" customFormat="1" ht="16.5" customHeight="1">
      <c r="A24" s="90"/>
      <c r="B24" s="303"/>
      <c r="C24" s="170">
        <v>16</v>
      </c>
      <c r="D24" s="170">
        <v>283381</v>
      </c>
      <c r="E24" s="170">
        <v>3559</v>
      </c>
      <c r="F24" s="373" t="s">
        <v>196</v>
      </c>
      <c r="G24" s="374" t="s">
        <v>197</v>
      </c>
      <c r="H24" s="375">
        <v>300</v>
      </c>
      <c r="I24" s="1098" t="s">
        <v>155</v>
      </c>
      <c r="J24" s="377">
        <f t="shared" si="0"/>
        <v>357.90000000000003</v>
      </c>
      <c r="K24" s="378">
        <v>42012.18541666667</v>
      </c>
      <c r="L24" s="378">
        <v>42012.186111111114</v>
      </c>
      <c r="M24" s="379">
        <f t="shared" si="1"/>
        <v>0.016666666720993817</v>
      </c>
      <c r="N24" s="380">
        <f t="shared" si="2"/>
        <v>1</v>
      </c>
      <c r="O24" s="381" t="s">
        <v>187</v>
      </c>
      <c r="P24" s="283" t="str">
        <f t="shared" si="3"/>
        <v>--</v>
      </c>
      <c r="Q24" s="382" t="str">
        <f t="shared" si="4"/>
        <v>--</v>
      </c>
      <c r="R24" s="181" t="str">
        <f t="shared" si="5"/>
        <v>NO</v>
      </c>
      <c r="S24" s="383">
        <f t="shared" si="6"/>
        <v>2</v>
      </c>
      <c r="T24" s="384">
        <f t="shared" si="7"/>
        <v>14.316000000000003</v>
      </c>
      <c r="U24" s="385" t="str">
        <f t="shared" si="8"/>
        <v>--</v>
      </c>
      <c r="V24" s="386" t="str">
        <f t="shared" si="9"/>
        <v>--</v>
      </c>
      <c r="W24" s="387" t="str">
        <f t="shared" si="10"/>
        <v>--</v>
      </c>
      <c r="X24" s="388" t="str">
        <f t="shared" si="11"/>
        <v>--</v>
      </c>
      <c r="Y24" s="389" t="str">
        <f t="shared" si="12"/>
        <v>--</v>
      </c>
      <c r="Z24" s="390" t="str">
        <f t="shared" si="13"/>
        <v>--</v>
      </c>
      <c r="AA24" s="391" t="str">
        <f t="shared" si="14"/>
        <v>--</v>
      </c>
      <c r="AB24" s="392" t="s">
        <v>82</v>
      </c>
      <c r="AC24" s="193">
        <f t="shared" si="15"/>
        <v>14.316000000000003</v>
      </c>
      <c r="AD24" s="100"/>
    </row>
    <row r="25" spans="1:30" s="8" customFormat="1" ht="16.5" customHeight="1">
      <c r="A25" s="90"/>
      <c r="B25" s="303"/>
      <c r="C25" s="151">
        <v>17</v>
      </c>
      <c r="D25" s="151">
        <v>283636</v>
      </c>
      <c r="E25" s="151">
        <v>59</v>
      </c>
      <c r="F25" s="373" t="s">
        <v>199</v>
      </c>
      <c r="G25" s="374" t="s">
        <v>200</v>
      </c>
      <c r="H25" s="375">
        <v>150</v>
      </c>
      <c r="I25" s="1098" t="s">
        <v>155</v>
      </c>
      <c r="J25" s="377">
        <f t="shared" si="0"/>
        <v>178.95000000000002</v>
      </c>
      <c r="K25" s="378">
        <v>42016.37291666667</v>
      </c>
      <c r="L25" s="378">
        <v>42016.77291666667</v>
      </c>
      <c r="M25" s="379">
        <f t="shared" si="1"/>
        <v>9.600000000034925</v>
      </c>
      <c r="N25" s="380">
        <f t="shared" si="2"/>
        <v>576</v>
      </c>
      <c r="O25" s="381" t="s">
        <v>187</v>
      </c>
      <c r="P25" s="283" t="str">
        <f t="shared" si="3"/>
        <v>--</v>
      </c>
      <c r="Q25" s="382" t="str">
        <f t="shared" si="4"/>
        <v>--</v>
      </c>
      <c r="R25" s="181" t="str">
        <f t="shared" si="5"/>
        <v>NO</v>
      </c>
      <c r="S25" s="383">
        <f t="shared" si="6"/>
        <v>2</v>
      </c>
      <c r="T25" s="384">
        <f t="shared" si="7"/>
        <v>3435.84</v>
      </c>
      <c r="U25" s="385" t="str">
        <f t="shared" si="8"/>
        <v>--</v>
      </c>
      <c r="V25" s="386" t="str">
        <f t="shared" si="9"/>
        <v>--</v>
      </c>
      <c r="W25" s="387" t="str">
        <f t="shared" si="10"/>
        <v>--</v>
      </c>
      <c r="X25" s="388" t="str">
        <f t="shared" si="11"/>
        <v>--</v>
      </c>
      <c r="Y25" s="389" t="str">
        <f t="shared" si="12"/>
        <v>--</v>
      </c>
      <c r="Z25" s="390" t="str">
        <f t="shared" si="13"/>
        <v>--</v>
      </c>
      <c r="AA25" s="391" t="str">
        <f t="shared" si="14"/>
        <v>--</v>
      </c>
      <c r="AB25" s="392" t="s">
        <v>82</v>
      </c>
      <c r="AC25" s="193">
        <f t="shared" si="15"/>
        <v>3435.84</v>
      </c>
      <c r="AD25" s="100"/>
    </row>
    <row r="26" spans="1:30" s="8" customFormat="1" ht="16.5" customHeight="1">
      <c r="A26" s="90"/>
      <c r="B26" s="303"/>
      <c r="C26" s="170">
        <v>18</v>
      </c>
      <c r="D26" s="170">
        <v>283640</v>
      </c>
      <c r="E26" s="170">
        <v>71</v>
      </c>
      <c r="F26" s="373" t="s">
        <v>201</v>
      </c>
      <c r="G26" s="374" t="s">
        <v>202</v>
      </c>
      <c r="H26" s="375">
        <v>150</v>
      </c>
      <c r="I26" s="1098" t="s">
        <v>155</v>
      </c>
      <c r="J26" s="377">
        <f t="shared" si="0"/>
        <v>178.95000000000002</v>
      </c>
      <c r="K26" s="378">
        <v>42017.14166666667</v>
      </c>
      <c r="L26" s="378">
        <v>42017.299305555556</v>
      </c>
      <c r="M26" s="379">
        <f t="shared" si="1"/>
        <v>3.7833333332673647</v>
      </c>
      <c r="N26" s="380">
        <f t="shared" si="2"/>
        <v>227</v>
      </c>
      <c r="O26" s="381" t="s">
        <v>185</v>
      </c>
      <c r="P26" s="283" t="str">
        <f t="shared" si="3"/>
        <v>--</v>
      </c>
      <c r="Q26" s="382" t="str">
        <f t="shared" si="4"/>
        <v>NO</v>
      </c>
      <c r="R26" s="181" t="str">
        <f t="shared" si="5"/>
        <v>NO</v>
      </c>
      <c r="S26" s="383">
        <f t="shared" si="6"/>
        <v>20</v>
      </c>
      <c r="T26" s="384" t="str">
        <f t="shared" si="7"/>
        <v>--</v>
      </c>
      <c r="U26" s="385" t="str">
        <f t="shared" si="8"/>
        <v>--</v>
      </c>
      <c r="V26" s="386">
        <f t="shared" si="9"/>
        <v>3579.0000000000005</v>
      </c>
      <c r="W26" s="387">
        <f t="shared" si="10"/>
        <v>13528.62</v>
      </c>
      <c r="X26" s="388" t="str">
        <f t="shared" si="11"/>
        <v>--</v>
      </c>
      <c r="Y26" s="389" t="str">
        <f t="shared" si="12"/>
        <v>--</v>
      </c>
      <c r="Z26" s="390" t="str">
        <f t="shared" si="13"/>
        <v>--</v>
      </c>
      <c r="AA26" s="391" t="str">
        <f t="shared" si="14"/>
        <v>--</v>
      </c>
      <c r="AB26" s="392" t="s">
        <v>82</v>
      </c>
      <c r="AC26" s="193">
        <f t="shared" si="15"/>
        <v>17107.620000000003</v>
      </c>
      <c r="AD26" s="100"/>
    </row>
    <row r="27" spans="1:30" s="8" customFormat="1" ht="16.5" customHeight="1">
      <c r="A27" s="90"/>
      <c r="B27" s="303"/>
      <c r="C27" s="151">
        <v>19</v>
      </c>
      <c r="D27" s="151">
        <v>283641</v>
      </c>
      <c r="E27" s="151">
        <v>59</v>
      </c>
      <c r="F27" s="373" t="s">
        <v>199</v>
      </c>
      <c r="G27" s="374" t="s">
        <v>200</v>
      </c>
      <c r="H27" s="375">
        <v>150</v>
      </c>
      <c r="I27" s="1098" t="s">
        <v>155</v>
      </c>
      <c r="J27" s="377">
        <f t="shared" si="0"/>
        <v>178.95000000000002</v>
      </c>
      <c r="K27" s="378">
        <v>42017.33819444444</v>
      </c>
      <c r="L27" s="378">
        <v>42017.76736111111</v>
      </c>
      <c r="M27" s="379">
        <f t="shared" si="1"/>
        <v>10.300000000046566</v>
      </c>
      <c r="N27" s="380">
        <f t="shared" si="2"/>
        <v>618</v>
      </c>
      <c r="O27" s="381" t="s">
        <v>187</v>
      </c>
      <c r="P27" s="283" t="str">
        <f t="shared" si="3"/>
        <v>--</v>
      </c>
      <c r="Q27" s="382" t="str">
        <f t="shared" si="4"/>
        <v>--</v>
      </c>
      <c r="R27" s="181" t="str">
        <f t="shared" si="5"/>
        <v>NO</v>
      </c>
      <c r="S27" s="383">
        <f t="shared" si="6"/>
        <v>2</v>
      </c>
      <c r="T27" s="384">
        <f t="shared" si="7"/>
        <v>3686.370000000001</v>
      </c>
      <c r="U27" s="385" t="str">
        <f t="shared" si="8"/>
        <v>--</v>
      </c>
      <c r="V27" s="386" t="str">
        <f t="shared" si="9"/>
        <v>--</v>
      </c>
      <c r="W27" s="387" t="str">
        <f t="shared" si="10"/>
        <v>--</v>
      </c>
      <c r="X27" s="388" t="str">
        <f t="shared" si="11"/>
        <v>--</v>
      </c>
      <c r="Y27" s="389" t="str">
        <f t="shared" si="12"/>
        <v>--</v>
      </c>
      <c r="Z27" s="390" t="str">
        <f t="shared" si="13"/>
        <v>--</v>
      </c>
      <c r="AA27" s="391" t="str">
        <f t="shared" si="14"/>
        <v>--</v>
      </c>
      <c r="AB27" s="392" t="s">
        <v>82</v>
      </c>
      <c r="AC27" s="193">
        <f t="shared" si="15"/>
        <v>3686.370000000001</v>
      </c>
      <c r="AD27" s="100"/>
    </row>
    <row r="28" spans="1:31" s="8" customFormat="1" ht="16.5" customHeight="1">
      <c r="A28" s="90"/>
      <c r="B28" s="303"/>
      <c r="C28" s="170">
        <v>20</v>
      </c>
      <c r="D28" s="170">
        <v>283650</v>
      </c>
      <c r="E28" s="170">
        <v>59</v>
      </c>
      <c r="F28" s="373" t="s">
        <v>199</v>
      </c>
      <c r="G28" s="374" t="s">
        <v>200</v>
      </c>
      <c r="H28" s="375">
        <v>150</v>
      </c>
      <c r="I28" s="1098" t="s">
        <v>155</v>
      </c>
      <c r="J28" s="377">
        <f t="shared" si="0"/>
        <v>178.95000000000002</v>
      </c>
      <c r="K28" s="378">
        <v>42018.34583333333</v>
      </c>
      <c r="L28" s="378">
        <v>42018.74236111111</v>
      </c>
      <c r="M28" s="379">
        <f t="shared" si="1"/>
        <v>9.516666666604578</v>
      </c>
      <c r="N28" s="380">
        <f t="shared" si="2"/>
        <v>571</v>
      </c>
      <c r="O28" s="381" t="s">
        <v>187</v>
      </c>
      <c r="P28" s="283" t="str">
        <f t="shared" si="3"/>
        <v>--</v>
      </c>
      <c r="Q28" s="382" t="str">
        <f t="shared" si="4"/>
        <v>--</v>
      </c>
      <c r="R28" s="181" t="str">
        <f t="shared" si="5"/>
        <v>NO</v>
      </c>
      <c r="S28" s="383">
        <f t="shared" si="6"/>
        <v>2</v>
      </c>
      <c r="T28" s="384">
        <f t="shared" si="7"/>
        <v>3407.208</v>
      </c>
      <c r="U28" s="385" t="str">
        <f t="shared" si="8"/>
        <v>--</v>
      </c>
      <c r="V28" s="386" t="str">
        <f t="shared" si="9"/>
        <v>--</v>
      </c>
      <c r="W28" s="387" t="str">
        <f t="shared" si="10"/>
        <v>--</v>
      </c>
      <c r="X28" s="388" t="str">
        <f t="shared" si="11"/>
        <v>--</v>
      </c>
      <c r="Y28" s="389" t="str">
        <f t="shared" si="12"/>
        <v>--</v>
      </c>
      <c r="Z28" s="390" t="str">
        <f t="shared" si="13"/>
        <v>--</v>
      </c>
      <c r="AA28" s="391" t="str">
        <f t="shared" si="14"/>
        <v>--</v>
      </c>
      <c r="AB28" s="392" t="s">
        <v>82</v>
      </c>
      <c r="AC28" s="193">
        <f t="shared" si="15"/>
        <v>3407.208</v>
      </c>
      <c r="AD28" s="100"/>
      <c r="AE28" s="84"/>
    </row>
    <row r="29" spans="1:30" s="8" customFormat="1" ht="16.5" customHeight="1">
      <c r="A29" s="90"/>
      <c r="B29" s="303"/>
      <c r="C29" s="151">
        <v>21</v>
      </c>
      <c r="D29" s="151">
        <v>283655</v>
      </c>
      <c r="E29" s="151">
        <v>59</v>
      </c>
      <c r="F29" s="373" t="s">
        <v>199</v>
      </c>
      <c r="G29" s="374" t="s">
        <v>200</v>
      </c>
      <c r="H29" s="375">
        <v>150</v>
      </c>
      <c r="I29" s="1098" t="s">
        <v>155</v>
      </c>
      <c r="J29" s="377">
        <f t="shared" si="0"/>
        <v>178.95000000000002</v>
      </c>
      <c r="K29" s="378">
        <v>42019.33541666667</v>
      </c>
      <c r="L29" s="378">
        <v>42019.745833333334</v>
      </c>
      <c r="M29" s="379">
        <f t="shared" si="1"/>
        <v>9.849999999976717</v>
      </c>
      <c r="N29" s="380">
        <f t="shared" si="2"/>
        <v>591</v>
      </c>
      <c r="O29" s="381" t="s">
        <v>187</v>
      </c>
      <c r="P29" s="283" t="str">
        <f t="shared" si="3"/>
        <v>--</v>
      </c>
      <c r="Q29" s="382" t="str">
        <f t="shared" si="4"/>
        <v>--</v>
      </c>
      <c r="R29" s="181" t="str">
        <f t="shared" si="5"/>
        <v>NO</v>
      </c>
      <c r="S29" s="383">
        <f t="shared" si="6"/>
        <v>2</v>
      </c>
      <c r="T29" s="384">
        <f t="shared" si="7"/>
        <v>3525.315</v>
      </c>
      <c r="U29" s="385" t="str">
        <f t="shared" si="8"/>
        <v>--</v>
      </c>
      <c r="V29" s="386" t="str">
        <f t="shared" si="9"/>
        <v>--</v>
      </c>
      <c r="W29" s="387" t="str">
        <f t="shared" si="10"/>
        <v>--</v>
      </c>
      <c r="X29" s="388" t="str">
        <f t="shared" si="11"/>
        <v>--</v>
      </c>
      <c r="Y29" s="389" t="str">
        <f t="shared" si="12"/>
        <v>--</v>
      </c>
      <c r="Z29" s="390" t="str">
        <f t="shared" si="13"/>
        <v>--</v>
      </c>
      <c r="AA29" s="391" t="str">
        <f t="shared" si="14"/>
        <v>--</v>
      </c>
      <c r="AB29" s="392" t="s">
        <v>82</v>
      </c>
      <c r="AC29" s="193">
        <f t="shared" si="15"/>
        <v>3525.315</v>
      </c>
      <c r="AD29" s="100"/>
    </row>
    <row r="30" spans="1:30" s="8" customFormat="1" ht="16.5" customHeight="1">
      <c r="A30" s="90"/>
      <c r="B30" s="303"/>
      <c r="C30" s="170">
        <v>22</v>
      </c>
      <c r="D30" s="170">
        <v>283658</v>
      </c>
      <c r="E30" s="170">
        <v>59</v>
      </c>
      <c r="F30" s="373" t="s">
        <v>199</v>
      </c>
      <c r="G30" s="374" t="s">
        <v>200</v>
      </c>
      <c r="H30" s="375">
        <v>150</v>
      </c>
      <c r="I30" s="1098" t="s">
        <v>155</v>
      </c>
      <c r="J30" s="377">
        <f t="shared" si="0"/>
        <v>178.95000000000002</v>
      </c>
      <c r="K30" s="378">
        <v>42020.34305555555</v>
      </c>
      <c r="L30" s="378">
        <v>42020.76388888889</v>
      </c>
      <c r="M30" s="379">
        <f t="shared" si="1"/>
        <v>10.100000000093132</v>
      </c>
      <c r="N30" s="380">
        <f t="shared" si="2"/>
        <v>606</v>
      </c>
      <c r="O30" s="381" t="s">
        <v>187</v>
      </c>
      <c r="P30" s="283" t="str">
        <f t="shared" si="3"/>
        <v>--</v>
      </c>
      <c r="Q30" s="382" t="str">
        <f t="shared" si="4"/>
        <v>--</v>
      </c>
      <c r="R30" s="181" t="str">
        <f t="shared" si="5"/>
        <v>NO</v>
      </c>
      <c r="S30" s="383">
        <f t="shared" si="6"/>
        <v>2</v>
      </c>
      <c r="T30" s="384">
        <f t="shared" si="7"/>
        <v>3614.7900000000004</v>
      </c>
      <c r="U30" s="385" t="str">
        <f t="shared" si="8"/>
        <v>--</v>
      </c>
      <c r="V30" s="386" t="str">
        <f t="shared" si="9"/>
        <v>--</v>
      </c>
      <c r="W30" s="387" t="str">
        <f t="shared" si="10"/>
        <v>--</v>
      </c>
      <c r="X30" s="388" t="str">
        <f t="shared" si="11"/>
        <v>--</v>
      </c>
      <c r="Y30" s="389" t="str">
        <f t="shared" si="12"/>
        <v>--</v>
      </c>
      <c r="Z30" s="390" t="str">
        <f t="shared" si="13"/>
        <v>--</v>
      </c>
      <c r="AA30" s="391" t="str">
        <f t="shared" si="14"/>
        <v>--</v>
      </c>
      <c r="AB30" s="392" t="s">
        <v>82</v>
      </c>
      <c r="AC30" s="193">
        <f t="shared" si="15"/>
        <v>3614.7900000000004</v>
      </c>
      <c r="AD30" s="100"/>
    </row>
    <row r="31" spans="1:30" s="8" customFormat="1" ht="16.5" customHeight="1">
      <c r="A31" s="90"/>
      <c r="B31" s="303"/>
      <c r="C31" s="151">
        <v>23</v>
      </c>
      <c r="D31" s="151">
        <v>283663</v>
      </c>
      <c r="E31" s="151">
        <v>59</v>
      </c>
      <c r="F31" s="373" t="s">
        <v>199</v>
      </c>
      <c r="G31" s="374" t="s">
        <v>200</v>
      </c>
      <c r="H31" s="375">
        <v>150</v>
      </c>
      <c r="I31" s="1098" t="s">
        <v>155</v>
      </c>
      <c r="J31" s="377">
        <f t="shared" si="0"/>
        <v>178.95000000000002</v>
      </c>
      <c r="K31" s="378">
        <v>42021.33125</v>
      </c>
      <c r="L31" s="378">
        <v>42021.69930555556</v>
      </c>
      <c r="M31" s="379">
        <f t="shared" si="1"/>
        <v>8.83333333331393</v>
      </c>
      <c r="N31" s="380">
        <f t="shared" si="2"/>
        <v>530</v>
      </c>
      <c r="O31" s="381" t="s">
        <v>187</v>
      </c>
      <c r="P31" s="283" t="str">
        <f t="shared" si="3"/>
        <v>--</v>
      </c>
      <c r="Q31" s="382" t="str">
        <f t="shared" si="4"/>
        <v>--</v>
      </c>
      <c r="R31" s="181" t="str">
        <f t="shared" si="5"/>
        <v>NO</v>
      </c>
      <c r="S31" s="383">
        <f t="shared" si="6"/>
        <v>2</v>
      </c>
      <c r="T31" s="384">
        <f t="shared" si="7"/>
        <v>3160.2570000000005</v>
      </c>
      <c r="U31" s="385" t="str">
        <f t="shared" si="8"/>
        <v>--</v>
      </c>
      <c r="V31" s="386" t="str">
        <f t="shared" si="9"/>
        <v>--</v>
      </c>
      <c r="W31" s="387" t="str">
        <f t="shared" si="10"/>
        <v>--</v>
      </c>
      <c r="X31" s="388" t="str">
        <f t="shared" si="11"/>
        <v>--</v>
      </c>
      <c r="Y31" s="389" t="str">
        <f t="shared" si="12"/>
        <v>--</v>
      </c>
      <c r="Z31" s="390" t="str">
        <f t="shared" si="13"/>
        <v>--</v>
      </c>
      <c r="AA31" s="391" t="str">
        <f t="shared" si="14"/>
        <v>--</v>
      </c>
      <c r="AB31" s="392" t="s">
        <v>82</v>
      </c>
      <c r="AC31" s="193">
        <f t="shared" si="15"/>
        <v>3160.2570000000005</v>
      </c>
      <c r="AD31" s="100"/>
    </row>
    <row r="32" spans="1:30" s="8" customFormat="1" ht="16.5" customHeight="1">
      <c r="A32" s="90"/>
      <c r="B32" s="303"/>
      <c r="C32" s="170">
        <v>24</v>
      </c>
      <c r="D32" s="170">
        <v>284213</v>
      </c>
      <c r="E32" s="170">
        <v>80</v>
      </c>
      <c r="F32" s="373" t="s">
        <v>203</v>
      </c>
      <c r="G32" s="393" t="s">
        <v>204</v>
      </c>
      <c r="H32" s="375">
        <v>150</v>
      </c>
      <c r="I32" s="1098" t="s">
        <v>155</v>
      </c>
      <c r="J32" s="377">
        <f t="shared" si="0"/>
        <v>178.95000000000002</v>
      </c>
      <c r="K32" s="378">
        <v>42035.82708333333</v>
      </c>
      <c r="L32" s="378">
        <v>42035.87847222222</v>
      </c>
      <c r="M32" s="379">
        <f t="shared" si="1"/>
        <v>1.2333333333372138</v>
      </c>
      <c r="N32" s="380">
        <f t="shared" si="2"/>
        <v>74</v>
      </c>
      <c r="O32" s="381" t="s">
        <v>185</v>
      </c>
      <c r="P32" s="283" t="str">
        <f t="shared" si="3"/>
        <v>--</v>
      </c>
      <c r="Q32" s="382" t="str">
        <f t="shared" si="4"/>
        <v>NO</v>
      </c>
      <c r="R32" s="181" t="s">
        <v>82</v>
      </c>
      <c r="S32" s="383">
        <f t="shared" si="6"/>
        <v>200</v>
      </c>
      <c r="T32" s="384" t="str">
        <f t="shared" si="7"/>
        <v>--</v>
      </c>
      <c r="U32" s="385" t="str">
        <f t="shared" si="8"/>
        <v>--</v>
      </c>
      <c r="V32" s="386">
        <f t="shared" si="9"/>
        <v>35790</v>
      </c>
      <c r="W32" s="387">
        <f t="shared" si="10"/>
        <v>44021.7</v>
      </c>
      <c r="X32" s="388" t="str">
        <f t="shared" si="11"/>
        <v>--</v>
      </c>
      <c r="Y32" s="389" t="str">
        <f t="shared" si="12"/>
        <v>--</v>
      </c>
      <c r="Z32" s="390" t="str">
        <f t="shared" si="13"/>
        <v>--</v>
      </c>
      <c r="AA32" s="391" t="str">
        <f t="shared" si="14"/>
        <v>--</v>
      </c>
      <c r="AB32" s="392" t="s">
        <v>82</v>
      </c>
      <c r="AC32" s="193">
        <f t="shared" si="15"/>
        <v>79811.7</v>
      </c>
      <c r="AD32" s="100"/>
    </row>
    <row r="33" spans="1:30" s="8" customFormat="1" ht="16.5" customHeight="1">
      <c r="A33" s="90"/>
      <c r="B33" s="303"/>
      <c r="C33" s="151"/>
      <c r="D33" s="151"/>
      <c r="E33" s="151"/>
      <c r="F33" s="373"/>
      <c r="G33" s="393"/>
      <c r="H33" s="375"/>
      <c r="I33" s="376"/>
      <c r="J33" s="377">
        <f t="shared" si="0"/>
        <v>0</v>
      </c>
      <c r="K33" s="378"/>
      <c r="L33" s="378"/>
      <c r="M33" s="379">
        <f t="shared" si="1"/>
      </c>
      <c r="N33" s="380">
        <f t="shared" si="2"/>
      </c>
      <c r="O33" s="381"/>
      <c r="P33" s="283">
        <f t="shared" si="3"/>
      </c>
      <c r="Q33" s="382">
        <f t="shared" si="4"/>
      </c>
      <c r="R33" s="181">
        <f t="shared" si="5"/>
      </c>
      <c r="S33" s="383">
        <f t="shared" si="6"/>
        <v>20</v>
      </c>
      <c r="T33" s="384" t="str">
        <f t="shared" si="7"/>
        <v>--</v>
      </c>
      <c r="U33" s="385" t="str">
        <f t="shared" si="8"/>
        <v>--</v>
      </c>
      <c r="V33" s="386" t="str">
        <f t="shared" si="9"/>
        <v>--</v>
      </c>
      <c r="W33" s="387" t="str">
        <f t="shared" si="10"/>
        <v>--</v>
      </c>
      <c r="X33" s="388" t="str">
        <f t="shared" si="11"/>
        <v>--</v>
      </c>
      <c r="Y33" s="389" t="str">
        <f t="shared" si="12"/>
        <v>--</v>
      </c>
      <c r="Z33" s="390" t="str">
        <f t="shared" si="13"/>
        <v>--</v>
      </c>
      <c r="AA33" s="391" t="str">
        <f t="shared" si="14"/>
        <v>--</v>
      </c>
      <c r="AB33" s="392">
        <f aca="true" t="shared" si="16" ref="AB33:AB41">IF(F33="","","SI")</f>
      </c>
      <c r="AC33" s="193">
        <f t="shared" si="15"/>
      </c>
      <c r="AD33" s="100"/>
    </row>
    <row r="34" spans="1:30" s="8" customFormat="1" ht="16.5" customHeight="1">
      <c r="A34" s="90"/>
      <c r="B34" s="303"/>
      <c r="C34" s="170"/>
      <c r="D34" s="170"/>
      <c r="E34" s="170"/>
      <c r="F34" s="373"/>
      <c r="G34" s="393"/>
      <c r="H34" s="375"/>
      <c r="I34" s="376"/>
      <c r="J34" s="377">
        <f t="shared" si="0"/>
        <v>0</v>
      </c>
      <c r="K34" s="378"/>
      <c r="L34" s="378"/>
      <c r="M34" s="379">
        <f t="shared" si="1"/>
      </c>
      <c r="N34" s="380">
        <f t="shared" si="2"/>
      </c>
      <c r="O34" s="381"/>
      <c r="P34" s="283">
        <f t="shared" si="3"/>
      </c>
      <c r="Q34" s="382">
        <f t="shared" si="4"/>
      </c>
      <c r="R34" s="181">
        <f t="shared" si="5"/>
      </c>
      <c r="S34" s="383">
        <f t="shared" si="6"/>
        <v>20</v>
      </c>
      <c r="T34" s="384" t="str">
        <f t="shared" si="7"/>
        <v>--</v>
      </c>
      <c r="U34" s="385" t="str">
        <f t="shared" si="8"/>
        <v>--</v>
      </c>
      <c r="V34" s="386" t="str">
        <f t="shared" si="9"/>
        <v>--</v>
      </c>
      <c r="W34" s="387" t="str">
        <f t="shared" si="10"/>
        <v>--</v>
      </c>
      <c r="X34" s="388" t="str">
        <f t="shared" si="11"/>
        <v>--</v>
      </c>
      <c r="Y34" s="389" t="str">
        <f t="shared" si="12"/>
        <v>--</v>
      </c>
      <c r="Z34" s="390" t="str">
        <f t="shared" si="13"/>
        <v>--</v>
      </c>
      <c r="AA34" s="391" t="str">
        <f t="shared" si="14"/>
        <v>--</v>
      </c>
      <c r="AB34" s="392">
        <f t="shared" si="16"/>
      </c>
      <c r="AC34" s="193">
        <f t="shared" si="15"/>
      </c>
      <c r="AD34" s="100"/>
    </row>
    <row r="35" spans="1:30" s="8" customFormat="1" ht="16.5" customHeight="1">
      <c r="A35" s="90"/>
      <c r="B35" s="303"/>
      <c r="C35" s="151"/>
      <c r="D35" s="151"/>
      <c r="E35" s="151"/>
      <c r="F35" s="373"/>
      <c r="G35" s="393"/>
      <c r="H35" s="375"/>
      <c r="I35" s="376"/>
      <c r="J35" s="377">
        <f t="shared" si="0"/>
        <v>0</v>
      </c>
      <c r="K35" s="378"/>
      <c r="L35" s="378"/>
      <c r="M35" s="379">
        <f t="shared" si="1"/>
      </c>
      <c r="N35" s="380">
        <f t="shared" si="2"/>
      </c>
      <c r="O35" s="381"/>
      <c r="P35" s="283">
        <f t="shared" si="3"/>
      </c>
      <c r="Q35" s="382">
        <f t="shared" si="4"/>
      </c>
      <c r="R35" s="181">
        <f t="shared" si="5"/>
      </c>
      <c r="S35" s="383">
        <f t="shared" si="6"/>
        <v>20</v>
      </c>
      <c r="T35" s="384" t="str">
        <f t="shared" si="7"/>
        <v>--</v>
      </c>
      <c r="U35" s="385" t="str">
        <f t="shared" si="8"/>
        <v>--</v>
      </c>
      <c r="V35" s="386" t="str">
        <f t="shared" si="9"/>
        <v>--</v>
      </c>
      <c r="W35" s="387" t="str">
        <f t="shared" si="10"/>
        <v>--</v>
      </c>
      <c r="X35" s="388" t="str">
        <f t="shared" si="11"/>
        <v>--</v>
      </c>
      <c r="Y35" s="389" t="str">
        <f t="shared" si="12"/>
        <v>--</v>
      </c>
      <c r="Z35" s="390" t="str">
        <f t="shared" si="13"/>
        <v>--</v>
      </c>
      <c r="AA35" s="391" t="str">
        <f t="shared" si="14"/>
        <v>--</v>
      </c>
      <c r="AB35" s="392">
        <f t="shared" si="16"/>
      </c>
      <c r="AC35" s="193">
        <f t="shared" si="15"/>
      </c>
      <c r="AD35" s="100"/>
    </row>
    <row r="36" spans="1:30" s="8" customFormat="1" ht="16.5" customHeight="1">
      <c r="A36" s="90"/>
      <c r="B36" s="303"/>
      <c r="C36" s="170"/>
      <c r="D36" s="170"/>
      <c r="E36" s="170"/>
      <c r="F36" s="373"/>
      <c r="G36" s="393"/>
      <c r="H36" s="375"/>
      <c r="I36" s="376"/>
      <c r="J36" s="377">
        <f t="shared" si="0"/>
        <v>0</v>
      </c>
      <c r="K36" s="378"/>
      <c r="L36" s="378"/>
      <c r="M36" s="379">
        <f t="shared" si="1"/>
      </c>
      <c r="N36" s="380">
        <f t="shared" si="2"/>
      </c>
      <c r="O36" s="381"/>
      <c r="P36" s="283">
        <f t="shared" si="3"/>
      </c>
      <c r="Q36" s="382">
        <f t="shared" si="4"/>
      </c>
      <c r="R36" s="181">
        <f t="shared" si="5"/>
      </c>
      <c r="S36" s="383">
        <f t="shared" si="6"/>
        <v>20</v>
      </c>
      <c r="T36" s="384" t="str">
        <f t="shared" si="7"/>
        <v>--</v>
      </c>
      <c r="U36" s="385" t="str">
        <f t="shared" si="8"/>
        <v>--</v>
      </c>
      <c r="V36" s="386" t="str">
        <f t="shared" si="9"/>
        <v>--</v>
      </c>
      <c r="W36" s="387" t="str">
        <f t="shared" si="10"/>
        <v>--</v>
      </c>
      <c r="X36" s="388" t="str">
        <f t="shared" si="11"/>
        <v>--</v>
      </c>
      <c r="Y36" s="389" t="str">
        <f t="shared" si="12"/>
        <v>--</v>
      </c>
      <c r="Z36" s="390" t="str">
        <f t="shared" si="13"/>
        <v>--</v>
      </c>
      <c r="AA36" s="391" t="str">
        <f t="shared" si="14"/>
        <v>--</v>
      </c>
      <c r="AB36" s="392">
        <f t="shared" si="16"/>
      </c>
      <c r="AC36" s="193">
        <f t="shared" si="15"/>
      </c>
      <c r="AD36" s="100"/>
    </row>
    <row r="37" spans="1:30" s="8" customFormat="1" ht="16.5" customHeight="1">
      <c r="A37" s="90"/>
      <c r="B37" s="303"/>
      <c r="C37" s="151"/>
      <c r="D37" s="151"/>
      <c r="E37" s="151"/>
      <c r="F37" s="373"/>
      <c r="G37" s="393"/>
      <c r="H37" s="375"/>
      <c r="I37" s="376"/>
      <c r="J37" s="377">
        <f t="shared" si="0"/>
        <v>0</v>
      </c>
      <c r="K37" s="378"/>
      <c r="L37" s="378"/>
      <c r="M37" s="379">
        <f t="shared" si="1"/>
      </c>
      <c r="N37" s="380">
        <f t="shared" si="2"/>
      </c>
      <c r="O37" s="381"/>
      <c r="P37" s="283">
        <f t="shared" si="3"/>
      </c>
      <c r="Q37" s="382">
        <f t="shared" si="4"/>
      </c>
      <c r="R37" s="181">
        <f t="shared" si="5"/>
      </c>
      <c r="S37" s="383">
        <f t="shared" si="6"/>
        <v>20</v>
      </c>
      <c r="T37" s="384" t="str">
        <f t="shared" si="7"/>
        <v>--</v>
      </c>
      <c r="U37" s="385" t="str">
        <f t="shared" si="8"/>
        <v>--</v>
      </c>
      <c r="V37" s="386" t="str">
        <f t="shared" si="9"/>
        <v>--</v>
      </c>
      <c r="W37" s="387" t="str">
        <f t="shared" si="10"/>
        <v>--</v>
      </c>
      <c r="X37" s="388" t="str">
        <f t="shared" si="11"/>
        <v>--</v>
      </c>
      <c r="Y37" s="389" t="str">
        <f t="shared" si="12"/>
        <v>--</v>
      </c>
      <c r="Z37" s="390" t="str">
        <f t="shared" si="13"/>
        <v>--</v>
      </c>
      <c r="AA37" s="391" t="str">
        <f t="shared" si="14"/>
        <v>--</v>
      </c>
      <c r="AB37" s="392">
        <f t="shared" si="16"/>
      </c>
      <c r="AC37" s="193">
        <f t="shared" si="15"/>
      </c>
      <c r="AD37" s="100"/>
    </row>
    <row r="38" spans="1:30" s="8" customFormat="1" ht="16.5" customHeight="1">
      <c r="A38" s="90"/>
      <c r="B38" s="303"/>
      <c r="C38" s="170"/>
      <c r="D38" s="170"/>
      <c r="E38" s="170"/>
      <c r="F38" s="373"/>
      <c r="G38" s="393"/>
      <c r="H38" s="375"/>
      <c r="I38" s="376"/>
      <c r="J38" s="377">
        <f t="shared" si="0"/>
        <v>0</v>
      </c>
      <c r="K38" s="378"/>
      <c r="L38" s="378"/>
      <c r="M38" s="379">
        <f t="shared" si="1"/>
      </c>
      <c r="N38" s="380">
        <f t="shared" si="2"/>
      </c>
      <c r="O38" s="381"/>
      <c r="P38" s="283">
        <f t="shared" si="3"/>
      </c>
      <c r="Q38" s="382">
        <f t="shared" si="4"/>
      </c>
      <c r="R38" s="181">
        <f t="shared" si="5"/>
      </c>
      <c r="S38" s="383">
        <f t="shared" si="6"/>
        <v>20</v>
      </c>
      <c r="T38" s="384" t="str">
        <f t="shared" si="7"/>
        <v>--</v>
      </c>
      <c r="U38" s="385" t="str">
        <f t="shared" si="8"/>
        <v>--</v>
      </c>
      <c r="V38" s="386" t="str">
        <f t="shared" si="9"/>
        <v>--</v>
      </c>
      <c r="W38" s="387" t="str">
        <f t="shared" si="10"/>
        <v>--</v>
      </c>
      <c r="X38" s="388" t="str">
        <f t="shared" si="11"/>
        <v>--</v>
      </c>
      <c r="Y38" s="389" t="str">
        <f t="shared" si="12"/>
        <v>--</v>
      </c>
      <c r="Z38" s="390" t="str">
        <f t="shared" si="13"/>
        <v>--</v>
      </c>
      <c r="AA38" s="391" t="str">
        <f t="shared" si="14"/>
        <v>--</v>
      </c>
      <c r="AB38" s="392">
        <f t="shared" si="16"/>
      </c>
      <c r="AC38" s="193">
        <f t="shared" si="15"/>
      </c>
      <c r="AD38" s="100"/>
    </row>
    <row r="39" spans="1:30" s="8" customFormat="1" ht="16.5" customHeight="1">
      <c r="A39" s="90"/>
      <c r="B39" s="303"/>
      <c r="C39" s="151"/>
      <c r="D39" s="151"/>
      <c r="E39" s="151"/>
      <c r="F39" s="373"/>
      <c r="G39" s="393"/>
      <c r="H39" s="375"/>
      <c r="I39" s="376"/>
      <c r="J39" s="377">
        <f t="shared" si="0"/>
        <v>0</v>
      </c>
      <c r="K39" s="378"/>
      <c r="L39" s="378"/>
      <c r="M39" s="379">
        <f t="shared" si="1"/>
      </c>
      <c r="N39" s="380">
        <f t="shared" si="2"/>
      </c>
      <c r="O39" s="381"/>
      <c r="P39" s="283">
        <f t="shared" si="3"/>
      </c>
      <c r="Q39" s="382">
        <f t="shared" si="4"/>
      </c>
      <c r="R39" s="181">
        <f t="shared" si="5"/>
      </c>
      <c r="S39" s="383">
        <f t="shared" si="6"/>
        <v>20</v>
      </c>
      <c r="T39" s="384" t="str">
        <f t="shared" si="7"/>
        <v>--</v>
      </c>
      <c r="U39" s="385" t="str">
        <f t="shared" si="8"/>
        <v>--</v>
      </c>
      <c r="V39" s="386" t="str">
        <f t="shared" si="9"/>
        <v>--</v>
      </c>
      <c r="W39" s="387" t="str">
        <f t="shared" si="10"/>
        <v>--</v>
      </c>
      <c r="X39" s="388" t="str">
        <f t="shared" si="11"/>
        <v>--</v>
      </c>
      <c r="Y39" s="389" t="str">
        <f t="shared" si="12"/>
        <v>--</v>
      </c>
      <c r="Z39" s="390" t="str">
        <f t="shared" si="13"/>
        <v>--</v>
      </c>
      <c r="AA39" s="391" t="str">
        <f t="shared" si="14"/>
        <v>--</v>
      </c>
      <c r="AB39" s="392">
        <f t="shared" si="16"/>
      </c>
      <c r="AC39" s="193">
        <f t="shared" si="15"/>
      </c>
      <c r="AD39" s="100"/>
    </row>
    <row r="40" spans="1:30" s="8" customFormat="1" ht="16.5" customHeight="1">
      <c r="A40" s="90"/>
      <c r="B40" s="303"/>
      <c r="C40" s="170"/>
      <c r="D40" s="170"/>
      <c r="E40" s="170"/>
      <c r="F40" s="373"/>
      <c r="G40" s="393"/>
      <c r="H40" s="375"/>
      <c r="I40" s="376"/>
      <c r="J40" s="377">
        <f t="shared" si="0"/>
        <v>0</v>
      </c>
      <c r="K40" s="378"/>
      <c r="L40" s="378"/>
      <c r="M40" s="379">
        <f t="shared" si="1"/>
      </c>
      <c r="N40" s="380">
        <f t="shared" si="2"/>
      </c>
      <c r="O40" s="381"/>
      <c r="P40" s="283">
        <f t="shared" si="3"/>
      </c>
      <c r="Q40" s="382">
        <f t="shared" si="4"/>
      </c>
      <c r="R40" s="181">
        <f t="shared" si="5"/>
      </c>
      <c r="S40" s="383">
        <f t="shared" si="6"/>
        <v>20</v>
      </c>
      <c r="T40" s="384" t="str">
        <f t="shared" si="7"/>
        <v>--</v>
      </c>
      <c r="U40" s="385" t="str">
        <f t="shared" si="8"/>
        <v>--</v>
      </c>
      <c r="V40" s="386" t="str">
        <f t="shared" si="9"/>
        <v>--</v>
      </c>
      <c r="W40" s="387" t="str">
        <f t="shared" si="10"/>
        <v>--</v>
      </c>
      <c r="X40" s="388" t="str">
        <f t="shared" si="11"/>
        <v>--</v>
      </c>
      <c r="Y40" s="389" t="str">
        <f t="shared" si="12"/>
        <v>--</v>
      </c>
      <c r="Z40" s="390" t="str">
        <f t="shared" si="13"/>
        <v>--</v>
      </c>
      <c r="AA40" s="391" t="str">
        <f t="shared" si="14"/>
        <v>--</v>
      </c>
      <c r="AB40" s="392">
        <f t="shared" si="16"/>
      </c>
      <c r="AC40" s="193">
        <f t="shared" si="15"/>
      </c>
      <c r="AD40" s="100"/>
    </row>
    <row r="41" spans="1:30" s="8" customFormat="1" ht="16.5" customHeight="1">
      <c r="A41" s="90"/>
      <c r="B41" s="303"/>
      <c r="C41" s="151"/>
      <c r="D41" s="151"/>
      <c r="E41" s="151"/>
      <c r="F41" s="373"/>
      <c r="G41" s="393"/>
      <c r="H41" s="375"/>
      <c r="I41" s="376"/>
      <c r="J41" s="377">
        <f t="shared" si="0"/>
        <v>0</v>
      </c>
      <c r="K41" s="378"/>
      <c r="L41" s="378"/>
      <c r="M41" s="379">
        <f t="shared" si="1"/>
      </c>
      <c r="N41" s="380">
        <f t="shared" si="2"/>
      </c>
      <c r="O41" s="381"/>
      <c r="P41" s="283">
        <f t="shared" si="3"/>
      </c>
      <c r="Q41" s="382">
        <f t="shared" si="4"/>
      </c>
      <c r="R41" s="181">
        <f t="shared" si="5"/>
      </c>
      <c r="S41" s="383">
        <f t="shared" si="6"/>
        <v>20</v>
      </c>
      <c r="T41" s="384" t="str">
        <f t="shared" si="7"/>
        <v>--</v>
      </c>
      <c r="U41" s="385" t="str">
        <f t="shared" si="8"/>
        <v>--</v>
      </c>
      <c r="V41" s="386" t="str">
        <f t="shared" si="9"/>
        <v>--</v>
      </c>
      <c r="W41" s="387" t="str">
        <f t="shared" si="10"/>
        <v>--</v>
      </c>
      <c r="X41" s="388" t="str">
        <f t="shared" si="11"/>
        <v>--</v>
      </c>
      <c r="Y41" s="389" t="str">
        <f t="shared" si="12"/>
        <v>--</v>
      </c>
      <c r="Z41" s="390" t="str">
        <f t="shared" si="13"/>
        <v>--</v>
      </c>
      <c r="AA41" s="391" t="str">
        <f t="shared" si="14"/>
        <v>--</v>
      </c>
      <c r="AB41" s="392">
        <f t="shared" si="16"/>
      </c>
      <c r="AC41" s="193">
        <f t="shared" si="15"/>
      </c>
      <c r="AD41" s="100"/>
    </row>
    <row r="42" spans="1:30" s="8" customFormat="1" ht="16.5" customHeight="1" thickBot="1">
      <c r="A42" s="90"/>
      <c r="B42" s="303"/>
      <c r="C42" s="170"/>
      <c r="D42" s="170"/>
      <c r="E42" s="170"/>
      <c r="F42" s="394"/>
      <c r="G42" s="395"/>
      <c r="H42" s="394"/>
      <c r="I42" s="396"/>
      <c r="J42" s="397"/>
      <c r="K42" s="398"/>
      <c r="L42" s="399"/>
      <c r="M42" s="400"/>
      <c r="N42" s="401"/>
      <c r="O42" s="402"/>
      <c r="P42" s="217"/>
      <c r="Q42" s="403"/>
      <c r="R42" s="402"/>
      <c r="S42" s="404"/>
      <c r="T42" s="405"/>
      <c r="U42" s="406"/>
      <c r="V42" s="407"/>
      <c r="W42" s="408"/>
      <c r="X42" s="409"/>
      <c r="Y42" s="410"/>
      <c r="Z42" s="411"/>
      <c r="AA42" s="412"/>
      <c r="AB42" s="413"/>
      <c r="AC42" s="414"/>
      <c r="AD42" s="100"/>
    </row>
    <row r="43" spans="1:30" s="8" customFormat="1" ht="16.5" customHeight="1" thickBot="1" thickTop="1">
      <c r="A43" s="90"/>
      <c r="B43" s="303"/>
      <c r="C43" s="230" t="s">
        <v>172</v>
      </c>
      <c r="D43" s="231"/>
      <c r="E43" s="230"/>
      <c r="F43" s="232"/>
      <c r="G43" s="84"/>
      <c r="H43" s="84"/>
      <c r="I43" s="84"/>
      <c r="J43" s="84"/>
      <c r="K43" s="84"/>
      <c r="L43" s="330"/>
      <c r="M43" s="84"/>
      <c r="N43" s="84"/>
      <c r="O43" s="84"/>
      <c r="P43" s="84"/>
      <c r="Q43" s="84"/>
      <c r="R43" s="84"/>
      <c r="S43" s="84"/>
      <c r="T43" s="415">
        <f aca="true" t="shared" si="17" ref="T43:AA43">SUM(T20:T42)</f>
        <v>22232.748000000003</v>
      </c>
      <c r="U43" s="416">
        <f t="shared" si="17"/>
        <v>0</v>
      </c>
      <c r="V43" s="417">
        <f t="shared" si="17"/>
        <v>39369</v>
      </c>
      <c r="W43" s="418">
        <f t="shared" si="17"/>
        <v>57550.32</v>
      </c>
      <c r="X43" s="419">
        <f t="shared" si="17"/>
        <v>0</v>
      </c>
      <c r="Y43" s="420">
        <f t="shared" si="17"/>
        <v>0</v>
      </c>
      <c r="Z43" s="421">
        <f t="shared" si="17"/>
        <v>0</v>
      </c>
      <c r="AA43" s="422">
        <f t="shared" si="17"/>
        <v>0</v>
      </c>
      <c r="AB43" s="90"/>
      <c r="AC43" s="423">
        <f>ROUND(SUM(AC20:AC42),2)</f>
        <v>119152.07</v>
      </c>
      <c r="AD43" s="100"/>
    </row>
    <row r="44" spans="1:30" s="8" customFormat="1" ht="16.5" customHeight="1" thickBot="1" thickTop="1">
      <c r="A44" s="90"/>
      <c r="B44" s="424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6"/>
    </row>
    <row r="45" spans="1:31" ht="16.5" customHeight="1" thickTop="1">
      <c r="A45" s="427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</row>
    <row r="46" spans="1:31" ht="16.5" customHeight="1">
      <c r="A46" s="427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</row>
    <row r="47" spans="1:31" ht="16.5" customHeight="1">
      <c r="A47" s="427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</row>
    <row r="48" spans="1:31" ht="16.5" customHeight="1">
      <c r="A48" s="427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</row>
    <row r="49" spans="6:31" ht="16.5" customHeight="1"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</row>
    <row r="50" spans="6:31" ht="16.5" customHeight="1"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</row>
    <row r="51" spans="6:31" ht="16.5" customHeight="1"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</row>
    <row r="52" spans="6:31" ht="16.5" customHeight="1"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</row>
    <row r="53" spans="6:31" ht="16.5" customHeight="1"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</row>
    <row r="54" spans="6:31" ht="16.5" customHeight="1"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</row>
    <row r="55" spans="6:31" ht="16.5" customHeight="1"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</row>
    <row r="56" spans="6:31" ht="16.5" customHeight="1"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</row>
    <row r="57" spans="6:31" ht="16.5" customHeight="1"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</row>
    <row r="58" spans="6:31" ht="16.5" customHeight="1"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</row>
    <row r="59" spans="6:31" ht="16.5" customHeight="1"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</row>
    <row r="60" spans="6:31" ht="16.5" customHeight="1"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</row>
    <row r="61" spans="6:31" ht="16.5" customHeight="1"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</row>
    <row r="62" spans="6:31" ht="16.5" customHeight="1"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</row>
    <row r="63" spans="6:31" ht="16.5" customHeight="1"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</row>
    <row r="64" spans="6:31" ht="16.5" customHeight="1"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</row>
    <row r="65" spans="6:31" ht="16.5" customHeight="1"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</row>
    <row r="66" spans="6:31" ht="16.5" customHeight="1"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</row>
    <row r="67" spans="6:31" ht="16.5" customHeight="1"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</row>
    <row r="68" spans="6:31" ht="16.5" customHeight="1"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</row>
    <row r="69" spans="6:31" ht="16.5" customHeight="1"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</row>
    <row r="70" spans="6:31" ht="16.5" customHeight="1"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</row>
    <row r="71" spans="6:31" ht="16.5" customHeight="1"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</row>
    <row r="72" spans="6:31" ht="16.5" customHeight="1"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</row>
    <row r="73" spans="6:31" ht="16.5" customHeight="1"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</row>
    <row r="74" spans="6:31" ht="16.5" customHeight="1"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</row>
    <row r="75" spans="6:31" ht="16.5" customHeight="1"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</row>
    <row r="76" spans="6:31" ht="16.5" customHeight="1"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</row>
    <row r="77" spans="6:31" ht="16.5" customHeight="1"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</row>
    <row r="78" spans="6:31" ht="16.5" customHeight="1"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</row>
    <row r="79" spans="6:31" ht="16.5" customHeight="1"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</row>
    <row r="80" spans="6:31" ht="16.5" customHeight="1"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</row>
    <row r="81" spans="6:31" ht="16.5" customHeight="1"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  <c r="AD81" s="428"/>
      <c r="AE81" s="428"/>
    </row>
    <row r="82" spans="6:31" ht="16.5" customHeight="1"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</row>
    <row r="83" spans="6:31" ht="16.5" customHeight="1"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</row>
    <row r="84" spans="6:31" ht="16.5" customHeight="1"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</row>
    <row r="85" spans="6:31" ht="16.5" customHeight="1"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</row>
    <row r="86" spans="6:31" ht="16.5" customHeight="1"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</row>
    <row r="87" spans="6:31" ht="16.5" customHeight="1"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</row>
    <row r="88" spans="6:31" ht="16.5" customHeight="1"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</row>
    <row r="89" spans="6:31" ht="16.5" customHeight="1"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  <c r="AD89" s="428"/>
      <c r="AE89" s="428"/>
    </row>
    <row r="90" spans="6:31" ht="16.5" customHeight="1"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</row>
    <row r="91" spans="6:31" ht="16.5" customHeight="1"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</row>
    <row r="92" spans="6:31" ht="16.5" customHeight="1"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</row>
    <row r="93" spans="6:31" ht="16.5" customHeight="1"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</row>
    <row r="94" spans="6:31" ht="16.5" customHeight="1"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</row>
    <row r="95" spans="6:31" ht="16.5" customHeight="1"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</row>
    <row r="96" spans="6:31" ht="16.5" customHeight="1"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</row>
    <row r="97" spans="6:31" ht="16.5" customHeight="1"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</row>
    <row r="98" spans="6:31" ht="16.5" customHeight="1"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  <c r="AB98" s="428"/>
      <c r="AC98" s="428"/>
      <c r="AD98" s="428"/>
      <c r="AE98" s="428"/>
    </row>
    <row r="99" spans="6:31" ht="16.5" customHeight="1"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</row>
    <row r="100" spans="6:31" ht="16.5" customHeight="1"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</row>
    <row r="101" spans="6:31" ht="16.5" customHeight="1"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</row>
    <row r="102" spans="6:31" ht="16.5" customHeight="1"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</row>
    <row r="103" spans="6:31" ht="16.5" customHeight="1"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</row>
    <row r="104" spans="6:31" ht="16.5" customHeight="1"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</row>
    <row r="105" spans="6:31" ht="16.5" customHeight="1"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</row>
    <row r="106" spans="6:31" ht="16.5" customHeight="1"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</row>
    <row r="107" spans="6:31" ht="16.5" customHeight="1"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</row>
    <row r="108" spans="6:31" ht="16.5" customHeight="1"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</row>
    <row r="109" spans="6:31" ht="16.5" customHeight="1"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</row>
    <row r="110" spans="6:31" ht="16.5" customHeight="1"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</row>
    <row r="111" spans="6:31" ht="16.5" customHeight="1"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</row>
    <row r="112" spans="6:31" ht="16.5" customHeight="1"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</row>
    <row r="113" spans="6:31" ht="16.5" customHeight="1"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</row>
    <row r="114" spans="6:31" ht="16.5" customHeight="1"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</row>
    <row r="115" spans="6:31" ht="16.5" customHeight="1"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</row>
    <row r="116" spans="6:31" ht="16.5" customHeight="1"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</row>
    <row r="117" spans="6:31" ht="16.5" customHeight="1"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</row>
    <row r="118" spans="6:31" ht="16.5" customHeight="1"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</row>
    <row r="119" spans="6:31" ht="16.5" customHeight="1"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</row>
    <row r="120" spans="6:31" ht="16.5" customHeight="1"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</row>
    <row r="121" spans="6:31" ht="16.5" customHeight="1"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  <c r="AB121" s="428"/>
      <c r="AC121" s="428"/>
      <c r="AD121" s="428"/>
      <c r="AE121" s="428"/>
    </row>
    <row r="122" spans="6:31" ht="16.5" customHeight="1"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8"/>
    </row>
    <row r="123" spans="6:31" ht="16.5" customHeight="1"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</row>
    <row r="124" spans="6:31" ht="16.5" customHeight="1"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8"/>
      <c r="AC124" s="428"/>
      <c r="AD124" s="428"/>
      <c r="AE124" s="428"/>
    </row>
    <row r="125" spans="6:31" ht="16.5" customHeight="1"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</row>
    <row r="126" spans="6:31" ht="16.5" customHeight="1"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</row>
    <row r="127" spans="6:31" ht="16.5" customHeight="1"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  <c r="Z127" s="428"/>
      <c r="AA127" s="428"/>
      <c r="AB127" s="428"/>
      <c r="AC127" s="428"/>
      <c r="AD127" s="428"/>
      <c r="AE127" s="428"/>
    </row>
    <row r="128" spans="6:31" ht="16.5" customHeight="1"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</row>
    <row r="129" spans="6:31" ht="16.5" customHeight="1"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  <c r="AD129" s="428"/>
      <c r="AE129" s="428"/>
    </row>
    <row r="130" spans="6:31" ht="16.5" customHeight="1"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</row>
    <row r="131" spans="6:31" ht="16.5" customHeight="1"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  <c r="AB131" s="428"/>
      <c r="AC131" s="428"/>
      <c r="AD131" s="428"/>
      <c r="AE131" s="428"/>
    </row>
    <row r="132" spans="6:31" ht="16.5" customHeight="1"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  <c r="AB132" s="428"/>
      <c r="AC132" s="428"/>
      <c r="AD132" s="428"/>
      <c r="AE132" s="428"/>
    </row>
    <row r="133" spans="6:31" ht="16.5" customHeight="1"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</row>
    <row r="134" spans="6:31" ht="16.5" customHeight="1"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  <c r="AB134" s="428"/>
      <c r="AC134" s="428"/>
      <c r="AD134" s="428"/>
      <c r="AE134" s="428"/>
    </row>
    <row r="135" spans="6:31" ht="16.5" customHeight="1"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</row>
    <row r="136" spans="6:31" ht="16.5" customHeight="1"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  <c r="AD136" s="428"/>
      <c r="AE136" s="428"/>
    </row>
    <row r="137" spans="6:31" ht="16.5" customHeight="1"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  <c r="AB137" s="428"/>
      <c r="AC137" s="428"/>
      <c r="AD137" s="428"/>
      <c r="AE137" s="428"/>
    </row>
    <row r="138" spans="6:31" ht="16.5" customHeight="1"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</row>
    <row r="139" spans="6:31" ht="16.5" customHeight="1"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8"/>
      <c r="AA139" s="428"/>
      <c r="AB139" s="428"/>
      <c r="AC139" s="428"/>
      <c r="AD139" s="428"/>
      <c r="AE139" s="428"/>
    </row>
    <row r="140" spans="6:31" ht="16.5" customHeight="1"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  <c r="Z140" s="428"/>
      <c r="AA140" s="428"/>
      <c r="AB140" s="428"/>
      <c r="AC140" s="428"/>
      <c r="AD140" s="428"/>
      <c r="AE140" s="428"/>
    </row>
    <row r="141" spans="6:31" ht="16.5" customHeight="1"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  <c r="Z141" s="428"/>
      <c r="AA141" s="428"/>
      <c r="AB141" s="428"/>
      <c r="AC141" s="428"/>
      <c r="AD141" s="428"/>
      <c r="AE141" s="428"/>
    </row>
    <row r="142" spans="6:31" ht="16.5" customHeight="1"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  <c r="AB142" s="428"/>
      <c r="AC142" s="428"/>
      <c r="AD142" s="428"/>
      <c r="AE142" s="428"/>
    </row>
    <row r="143" spans="6:31" ht="16.5" customHeight="1"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8"/>
      <c r="Z143" s="428"/>
      <c r="AA143" s="428"/>
      <c r="AB143" s="428"/>
      <c r="AC143" s="428"/>
      <c r="AD143" s="428"/>
      <c r="AE143" s="428"/>
    </row>
    <row r="144" spans="6:31" ht="16.5" customHeight="1"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8"/>
      <c r="AC144" s="428"/>
      <c r="AD144" s="428"/>
      <c r="AE144" s="428"/>
    </row>
    <row r="145" spans="6:31" ht="16.5" customHeight="1"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</row>
    <row r="146" spans="6:31" ht="16.5" customHeight="1"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  <c r="AB146" s="428"/>
      <c r="AC146" s="428"/>
      <c r="AD146" s="428"/>
      <c r="AE146" s="428"/>
    </row>
    <row r="147" spans="6:31" ht="16.5" customHeight="1"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8"/>
      <c r="AB147" s="428"/>
      <c r="AC147" s="428"/>
      <c r="AD147" s="428"/>
      <c r="AE147" s="428"/>
    </row>
    <row r="148" spans="6:31" ht="16.5" customHeight="1"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  <c r="AB148" s="428"/>
      <c r="AC148" s="428"/>
      <c r="AD148" s="428"/>
      <c r="AE148" s="428"/>
    </row>
    <row r="149" spans="6:31" ht="16.5" customHeight="1"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  <c r="Z149" s="428"/>
      <c r="AA149" s="428"/>
      <c r="AB149" s="428"/>
      <c r="AC149" s="428"/>
      <c r="AD149" s="428"/>
      <c r="AE149" s="428"/>
    </row>
    <row r="150" spans="6:31" ht="16.5" customHeight="1"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  <c r="Z150" s="428"/>
      <c r="AA150" s="428"/>
      <c r="AB150" s="428"/>
      <c r="AC150" s="428"/>
      <c r="AD150" s="428"/>
      <c r="AE150" s="428"/>
    </row>
    <row r="151" spans="6:31" ht="16.5" customHeight="1"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8"/>
      <c r="AB151" s="428"/>
      <c r="AC151" s="428"/>
      <c r="AD151" s="428"/>
      <c r="AE151" s="428"/>
    </row>
    <row r="152" spans="6:31" ht="16.5" customHeight="1">
      <c r="F152" s="428"/>
      <c r="G152" s="428"/>
      <c r="H152" s="428"/>
      <c r="I152" s="428"/>
      <c r="J152" s="428"/>
      <c r="K152" s="428"/>
      <c r="L152" s="428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8"/>
      <c r="X152" s="428"/>
      <c r="Y152" s="428"/>
      <c r="Z152" s="428"/>
      <c r="AA152" s="428"/>
      <c r="AB152" s="428"/>
      <c r="AC152" s="428"/>
      <c r="AD152" s="428"/>
      <c r="AE152" s="428"/>
    </row>
    <row r="153" ht="16.5" customHeight="1">
      <c r="AE153" s="428"/>
    </row>
    <row r="154" ht="16.5" customHeight="1">
      <c r="AE154" s="428"/>
    </row>
    <row r="155" ht="16.5" customHeight="1">
      <c r="AE155" s="428"/>
    </row>
    <row r="156" ht="16.5" customHeight="1">
      <c r="AE156" s="428"/>
    </row>
    <row r="157" ht="16.5" customHeight="1"/>
    <row r="158" ht="16.5" customHeight="1"/>
    <row r="15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291"/>
    </row>
    <row r="2" spans="1:30" s="3" customFormat="1" ht="26.25">
      <c r="A2" s="89"/>
      <c r="B2" s="292" t="str">
        <f>+'TOT-0115'!B2</f>
        <v>ANEXO II al Memorándum D.T.E.E. N°  90 /2016</v>
      </c>
      <c r="C2" s="292"/>
      <c r="D2" s="292"/>
      <c r="E2" s="292"/>
      <c r="F2" s="292"/>
      <c r="G2" s="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</row>
    <row r="3" spans="1:30" s="8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14" customFormat="1" ht="11.25">
      <c r="A4" s="293" t="s">
        <v>53</v>
      </c>
      <c r="B4" s="294"/>
      <c r="C4" s="294"/>
      <c r="D4" s="294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</row>
    <row r="5" spans="1:30" s="14" customFormat="1" ht="11.25">
      <c r="A5" s="293" t="s">
        <v>3</v>
      </c>
      <c r="B5" s="294"/>
      <c r="C5" s="294"/>
      <c r="D5" s="294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</row>
    <row r="6" spans="1:30" s="8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8" customFormat="1" ht="13.5" thickTop="1">
      <c r="A7" s="90"/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95"/>
    </row>
    <row r="8" spans="1:30" s="18" customFormat="1" ht="20.25">
      <c r="A8" s="298"/>
      <c r="B8" s="299"/>
      <c r="C8" s="300"/>
      <c r="D8" s="300"/>
      <c r="E8" s="298"/>
      <c r="F8" s="301" t="s">
        <v>24</v>
      </c>
      <c r="G8" s="298"/>
      <c r="H8" s="298"/>
      <c r="I8" s="302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99"/>
    </row>
    <row r="9" spans="1:30" s="8" customFormat="1" ht="12.75">
      <c r="A9" s="90"/>
      <c r="B9" s="303"/>
      <c r="C9" s="84"/>
      <c r="D9" s="84"/>
      <c r="E9" s="90"/>
      <c r="F9" s="84"/>
      <c r="G9" s="304"/>
      <c r="H9" s="90"/>
      <c r="I9" s="84"/>
      <c r="J9" s="90"/>
      <c r="K9" s="90"/>
      <c r="L9" s="90"/>
      <c r="M9" s="90"/>
      <c r="N9" s="90"/>
      <c r="O9" s="90"/>
      <c r="P9" s="90"/>
      <c r="Q9" s="90"/>
      <c r="R9" s="90"/>
      <c r="S9" s="90"/>
      <c r="T9" s="84"/>
      <c r="U9" s="84"/>
      <c r="V9" s="84"/>
      <c r="W9" s="84"/>
      <c r="X9" s="84"/>
      <c r="Y9" s="84"/>
      <c r="Z9" s="84"/>
      <c r="AA9" s="84"/>
      <c r="AB9" s="84"/>
      <c r="AC9" s="84"/>
      <c r="AD9" s="100"/>
    </row>
    <row r="10" spans="1:30" s="250" customFormat="1" ht="33" customHeight="1">
      <c r="A10" s="451"/>
      <c r="B10" s="452"/>
      <c r="C10" s="453"/>
      <c r="D10" s="453"/>
      <c r="E10" s="451"/>
      <c r="F10" s="429" t="s">
        <v>54</v>
      </c>
      <c r="G10" s="451"/>
      <c r="H10" s="454"/>
      <c r="I10" s="453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254"/>
    </row>
    <row r="11" spans="1:30" s="255" customFormat="1" ht="33" customHeight="1">
      <c r="A11" s="430"/>
      <c r="B11" s="431"/>
      <c r="C11" s="432"/>
      <c r="D11" s="432"/>
      <c r="E11" s="430"/>
      <c r="F11" s="275" t="s">
        <v>245</v>
      </c>
      <c r="G11" s="432"/>
      <c r="H11" s="432"/>
      <c r="I11" s="433"/>
      <c r="J11" s="432"/>
      <c r="K11" s="432"/>
      <c r="L11" s="432"/>
      <c r="M11" s="432"/>
      <c r="N11" s="432"/>
      <c r="O11" s="430"/>
      <c r="P11" s="430"/>
      <c r="Q11" s="430"/>
      <c r="R11" s="430"/>
      <c r="S11" s="430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259"/>
    </row>
    <row r="12" spans="1:30" s="34" customFormat="1" ht="19.5">
      <c r="A12" s="320"/>
      <c r="B12" s="35" t="str">
        <f>'TOT-0115'!B14</f>
        <v>Desde el 01 al 31 de enero de 2015</v>
      </c>
      <c r="C12" s="39"/>
      <c r="D12" s="39"/>
      <c r="E12" s="321"/>
      <c r="F12" s="322"/>
      <c r="G12" s="322"/>
      <c r="H12" s="322"/>
      <c r="I12" s="322"/>
      <c r="J12" s="322"/>
      <c r="K12" s="322"/>
      <c r="L12" s="322"/>
      <c r="M12" s="322"/>
      <c r="N12" s="322"/>
      <c r="O12" s="321"/>
      <c r="P12" s="321"/>
      <c r="Q12" s="321"/>
      <c r="R12" s="321"/>
      <c r="S12" s="321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3"/>
    </row>
    <row r="13" spans="1:30" s="8" customFormat="1" ht="13.5" thickBot="1">
      <c r="A13" s="90"/>
      <c r="B13" s="303"/>
      <c r="C13" s="84"/>
      <c r="D13" s="84"/>
      <c r="E13" s="90"/>
      <c r="F13" s="84"/>
      <c r="G13" s="84"/>
      <c r="H13" s="84"/>
      <c r="I13" s="319"/>
      <c r="J13" s="84"/>
      <c r="K13" s="84"/>
      <c r="L13" s="84"/>
      <c r="M13" s="84"/>
      <c r="N13" s="84"/>
      <c r="O13" s="90"/>
      <c r="P13" s="90"/>
      <c r="Q13" s="90"/>
      <c r="R13" s="90"/>
      <c r="S13" s="90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00"/>
    </row>
    <row r="14" spans="1:30" s="8" customFormat="1" ht="16.5" customHeight="1" thickBot="1" thickTop="1">
      <c r="A14" s="90"/>
      <c r="B14" s="303"/>
      <c r="C14" s="84"/>
      <c r="D14" s="84"/>
      <c r="E14" s="90"/>
      <c r="F14" s="324" t="s">
        <v>56</v>
      </c>
      <c r="G14" s="325"/>
      <c r="H14" s="326">
        <v>0.319</v>
      </c>
      <c r="J14" s="90"/>
      <c r="K14" s="90"/>
      <c r="L14" s="90"/>
      <c r="M14" s="90"/>
      <c r="N14" s="90"/>
      <c r="O14" s="90"/>
      <c r="P14" s="90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100"/>
    </row>
    <row r="15" spans="1:30" s="8" customFormat="1" ht="16.5" customHeight="1" thickBot="1" thickTop="1">
      <c r="A15" s="90"/>
      <c r="B15" s="303"/>
      <c r="C15" s="84"/>
      <c r="D15" s="84"/>
      <c r="E15" s="90"/>
      <c r="F15" s="327" t="s">
        <v>57</v>
      </c>
      <c r="G15" s="328"/>
      <c r="H15" s="329">
        <v>200</v>
      </c>
      <c r="I15" s="9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330"/>
      <c r="X15" s="330"/>
      <c r="Y15" s="330"/>
      <c r="Z15" s="330"/>
      <c r="AA15" s="330"/>
      <c r="AB15" s="330"/>
      <c r="AC15" s="90"/>
      <c r="AD15" s="100"/>
    </row>
    <row r="16" spans="1:30" s="8" customFormat="1" ht="16.5" customHeight="1" thickBot="1" thickTop="1">
      <c r="A16" s="90"/>
      <c r="B16" s="303"/>
      <c r="C16" s="331">
        <v>3</v>
      </c>
      <c r="D16" s="331">
        <v>4</v>
      </c>
      <c r="E16" s="331">
        <v>5</v>
      </c>
      <c r="F16" s="331">
        <v>6</v>
      </c>
      <c r="G16" s="331">
        <v>7</v>
      </c>
      <c r="H16" s="331">
        <v>8</v>
      </c>
      <c r="I16" s="331">
        <v>9</v>
      </c>
      <c r="J16" s="331">
        <v>10</v>
      </c>
      <c r="K16" s="331">
        <v>11</v>
      </c>
      <c r="L16" s="331">
        <v>12</v>
      </c>
      <c r="M16" s="331">
        <v>13</v>
      </c>
      <c r="N16" s="331">
        <v>14</v>
      </c>
      <c r="O16" s="331">
        <v>15</v>
      </c>
      <c r="P16" s="331">
        <v>16</v>
      </c>
      <c r="Q16" s="331">
        <v>17</v>
      </c>
      <c r="R16" s="331">
        <v>18</v>
      </c>
      <c r="S16" s="331">
        <v>19</v>
      </c>
      <c r="T16" s="331">
        <v>20</v>
      </c>
      <c r="U16" s="331">
        <v>21</v>
      </c>
      <c r="V16" s="331">
        <v>22</v>
      </c>
      <c r="W16" s="331">
        <v>23</v>
      </c>
      <c r="X16" s="331">
        <v>24</v>
      </c>
      <c r="Y16" s="331">
        <v>25</v>
      </c>
      <c r="Z16" s="331">
        <v>26</v>
      </c>
      <c r="AA16" s="331">
        <v>27</v>
      </c>
      <c r="AB16" s="331">
        <v>28</v>
      </c>
      <c r="AC16" s="331">
        <v>29</v>
      </c>
      <c r="AD16" s="100"/>
    </row>
    <row r="17" spans="1:30" s="8" customFormat="1" ht="33.75" customHeight="1" thickBot="1" thickTop="1">
      <c r="A17" s="90"/>
      <c r="B17" s="303"/>
      <c r="C17" s="332" t="s">
        <v>29</v>
      </c>
      <c r="D17" s="112" t="s">
        <v>30</v>
      </c>
      <c r="E17" s="112" t="s">
        <v>31</v>
      </c>
      <c r="F17" s="333" t="s">
        <v>58</v>
      </c>
      <c r="G17" s="334" t="s">
        <v>59</v>
      </c>
      <c r="H17" s="335" t="s">
        <v>60</v>
      </c>
      <c r="I17" s="336" t="s">
        <v>32</v>
      </c>
      <c r="J17" s="337" t="s">
        <v>36</v>
      </c>
      <c r="K17" s="334" t="s">
        <v>37</v>
      </c>
      <c r="L17" s="334" t="s">
        <v>38</v>
      </c>
      <c r="M17" s="333" t="s">
        <v>61</v>
      </c>
      <c r="N17" s="333" t="s">
        <v>40</v>
      </c>
      <c r="O17" s="120" t="s">
        <v>171</v>
      </c>
      <c r="P17" s="120" t="s">
        <v>41</v>
      </c>
      <c r="Q17" s="338" t="s">
        <v>43</v>
      </c>
      <c r="R17" s="334" t="s">
        <v>62</v>
      </c>
      <c r="S17" s="339" t="s">
        <v>35</v>
      </c>
      <c r="T17" s="340" t="s">
        <v>44</v>
      </c>
      <c r="U17" s="341" t="s">
        <v>45</v>
      </c>
      <c r="V17" s="123" t="s">
        <v>63</v>
      </c>
      <c r="W17" s="125"/>
      <c r="X17" s="342" t="s">
        <v>64</v>
      </c>
      <c r="Y17" s="343"/>
      <c r="Z17" s="344" t="s">
        <v>48</v>
      </c>
      <c r="AA17" s="345" t="s">
        <v>49</v>
      </c>
      <c r="AB17" s="131" t="s">
        <v>50</v>
      </c>
      <c r="AC17" s="336" t="s">
        <v>51</v>
      </c>
      <c r="AD17" s="100"/>
    </row>
    <row r="18" spans="1:30" s="8" customFormat="1" ht="16.5" customHeight="1" thickTop="1">
      <c r="A18" s="90"/>
      <c r="B18" s="303"/>
      <c r="C18" s="346"/>
      <c r="D18" s="346"/>
      <c r="E18" s="346"/>
      <c r="F18" s="346"/>
      <c r="G18" s="346"/>
      <c r="H18" s="346"/>
      <c r="I18" s="347"/>
      <c r="J18" s="348"/>
      <c r="K18" s="346"/>
      <c r="L18" s="346"/>
      <c r="M18" s="346"/>
      <c r="N18" s="346"/>
      <c r="O18" s="346"/>
      <c r="P18" s="133"/>
      <c r="Q18" s="349"/>
      <c r="R18" s="346"/>
      <c r="S18" s="350"/>
      <c r="T18" s="351"/>
      <c r="U18" s="352"/>
      <c r="V18" s="353"/>
      <c r="W18" s="354"/>
      <c r="X18" s="355"/>
      <c r="Y18" s="356"/>
      <c r="Z18" s="357"/>
      <c r="AA18" s="358"/>
      <c r="AB18" s="349"/>
      <c r="AC18" s="359"/>
      <c r="AD18" s="100"/>
    </row>
    <row r="19" spans="1:30" s="8" customFormat="1" ht="16.5" customHeight="1">
      <c r="A19" s="90"/>
      <c r="B19" s="303"/>
      <c r="C19" s="151"/>
      <c r="D19" s="151"/>
      <c r="E19" s="151"/>
      <c r="F19" s="151"/>
      <c r="G19" s="151"/>
      <c r="H19" s="151"/>
      <c r="I19" s="360"/>
      <c r="J19" s="361"/>
      <c r="K19" s="151"/>
      <c r="L19" s="151"/>
      <c r="M19" s="151"/>
      <c r="N19" s="151"/>
      <c r="O19" s="151"/>
      <c r="P19" s="158"/>
      <c r="Q19" s="362"/>
      <c r="R19" s="151"/>
      <c r="S19" s="363"/>
      <c r="T19" s="364"/>
      <c r="U19" s="365"/>
      <c r="V19" s="366"/>
      <c r="W19" s="367"/>
      <c r="X19" s="368"/>
      <c r="Y19" s="369"/>
      <c r="Z19" s="370"/>
      <c r="AA19" s="371"/>
      <c r="AB19" s="362"/>
      <c r="AC19" s="372"/>
      <c r="AD19" s="100"/>
    </row>
    <row r="20" spans="1:30" s="8" customFormat="1" ht="16.5" customHeight="1">
      <c r="A20" s="90"/>
      <c r="B20" s="303"/>
      <c r="C20" s="151">
        <v>25</v>
      </c>
      <c r="D20" s="151">
        <v>283633</v>
      </c>
      <c r="E20" s="170">
        <v>2949</v>
      </c>
      <c r="F20" s="373" t="s">
        <v>205</v>
      </c>
      <c r="G20" s="374" t="s">
        <v>206</v>
      </c>
      <c r="H20" s="375">
        <v>300</v>
      </c>
      <c r="I20" s="1098" t="s">
        <v>133</v>
      </c>
      <c r="J20" s="377">
        <f aca="true" t="shared" si="0" ref="J20:J39">H20*$H$14</f>
        <v>95.7</v>
      </c>
      <c r="K20" s="378">
        <v>42016.31805555556</v>
      </c>
      <c r="L20" s="378">
        <v>42016.419444444444</v>
      </c>
      <c r="M20" s="379">
        <f aca="true" t="shared" si="1" ref="M20:M39">IF(F20="","",(L20-K20)*24)</f>
        <v>2.43333333323244</v>
      </c>
      <c r="N20" s="380">
        <f aca="true" t="shared" si="2" ref="N20:N39">IF(F20="","",ROUND((L20-K20)*24*60,0))</f>
        <v>146</v>
      </c>
      <c r="O20" s="381" t="s">
        <v>185</v>
      </c>
      <c r="P20" s="283" t="str">
        <f aca="true" t="shared" si="3" ref="P20:P39">IF(F20="","","--")</f>
        <v>--</v>
      </c>
      <c r="Q20" s="382" t="str">
        <f>IF(F20="","",IF(OR(O20="P",O20="RP"),"--","NO"))</f>
        <v>NO</v>
      </c>
      <c r="R20" s="181" t="s">
        <v>82</v>
      </c>
      <c r="S20" s="383">
        <f aca="true" t="shared" si="4" ref="S20:S39">$H$15*IF(OR(O20="P",O20="RP"),0.1,1)*IF(R20="SI",1,0.1)</f>
        <v>200</v>
      </c>
      <c r="T20" s="438" t="str">
        <f aca="true" t="shared" si="5" ref="T20:T39">IF(O20="P",J20*S20*ROUND(N20/60,2),"--")</f>
        <v>--</v>
      </c>
      <c r="U20" s="439" t="str">
        <f aca="true" t="shared" si="6" ref="U20:U39">IF(O20="RP",J20*S20*P20/100*ROUND(N20/60,2),"--")</f>
        <v>--</v>
      </c>
      <c r="V20" s="386">
        <f aca="true" t="shared" si="7" ref="V20:V39">IF(AND(O20="F",Q20="NO"),J20*S20,"--")</f>
        <v>19140</v>
      </c>
      <c r="W20" s="387">
        <f aca="true" t="shared" si="8" ref="W20:W39">IF(O20="F",J20*S20*ROUND(N20/60,2),"--")</f>
        <v>46510.200000000004</v>
      </c>
      <c r="X20" s="388" t="str">
        <f aca="true" t="shared" si="9" ref="X20:X39">IF(AND(O20="R",Q20="NO"),J20*S20*P20/100,"--")</f>
        <v>--</v>
      </c>
      <c r="Y20" s="389" t="str">
        <f aca="true" t="shared" si="10" ref="Y20:Y39">IF(O20="R",J20*S20*P20/100*ROUND(N20/60,2),"--")</f>
        <v>--</v>
      </c>
      <c r="Z20" s="390" t="str">
        <f aca="true" t="shared" si="11" ref="Z20:Z39">IF(O20="RF",J20*S20*ROUND(N20/60,2),"--")</f>
        <v>--</v>
      </c>
      <c r="AA20" s="391" t="str">
        <f aca="true" t="shared" si="12" ref="AA20:AA39">IF(O20="RR",J20*S20*P20/100*ROUND(N20/60,2),"--")</f>
        <v>--</v>
      </c>
      <c r="AB20" s="455" t="s">
        <v>82</v>
      </c>
      <c r="AC20" s="456">
        <f aca="true" t="shared" si="13" ref="AC20:AC39">IF(F20="","",SUM(T20:AA20)*IF(AB20="SI",1,2)*IF(AND(P20&lt;&gt;"--",O20="RF"),P20/100,1))</f>
        <v>65650.20000000001</v>
      </c>
      <c r="AD20" s="100"/>
    </row>
    <row r="21" spans="1:30" s="8" customFormat="1" ht="16.5" customHeight="1">
      <c r="A21" s="90"/>
      <c r="B21" s="303"/>
      <c r="C21" s="151">
        <v>26</v>
      </c>
      <c r="D21" s="151">
        <v>283821</v>
      </c>
      <c r="E21" s="151">
        <v>2949</v>
      </c>
      <c r="F21" s="373" t="s">
        <v>205</v>
      </c>
      <c r="G21" s="374" t="s">
        <v>206</v>
      </c>
      <c r="H21" s="375">
        <v>300</v>
      </c>
      <c r="I21" s="1098" t="s">
        <v>133</v>
      </c>
      <c r="J21" s="377">
        <f t="shared" si="0"/>
        <v>95.7</v>
      </c>
      <c r="K21" s="378">
        <v>42025.24166666667</v>
      </c>
      <c r="L21" s="378">
        <v>42025.334027777775</v>
      </c>
      <c r="M21" s="379">
        <f t="shared" si="1"/>
        <v>2.2166666665580124</v>
      </c>
      <c r="N21" s="380">
        <f t="shared" si="2"/>
        <v>133</v>
      </c>
      <c r="O21" s="381" t="s">
        <v>187</v>
      </c>
      <c r="P21" s="283" t="str">
        <f t="shared" si="3"/>
        <v>--</v>
      </c>
      <c r="Q21" s="382" t="str">
        <f aca="true" t="shared" si="14" ref="Q21:Q39">IF(F21="","",IF(O21="P","--","NO"))</f>
        <v>--</v>
      </c>
      <c r="R21" s="181" t="str">
        <f aca="true" t="shared" si="15" ref="R21:R39">IF(F21="","","NO")</f>
        <v>NO</v>
      </c>
      <c r="S21" s="383">
        <f t="shared" si="4"/>
        <v>2</v>
      </c>
      <c r="T21" s="438">
        <f t="shared" si="5"/>
        <v>424.9080000000001</v>
      </c>
      <c r="U21" s="439" t="str">
        <f t="shared" si="6"/>
        <v>--</v>
      </c>
      <c r="V21" s="386" t="str">
        <f t="shared" si="7"/>
        <v>--</v>
      </c>
      <c r="W21" s="387" t="str">
        <f t="shared" si="8"/>
        <v>--</v>
      </c>
      <c r="X21" s="388" t="str">
        <f t="shared" si="9"/>
        <v>--</v>
      </c>
      <c r="Y21" s="389" t="str">
        <f t="shared" si="10"/>
        <v>--</v>
      </c>
      <c r="Z21" s="390" t="str">
        <f t="shared" si="11"/>
        <v>--</v>
      </c>
      <c r="AA21" s="391" t="str">
        <f t="shared" si="12"/>
        <v>--</v>
      </c>
      <c r="AB21" s="455" t="s">
        <v>82</v>
      </c>
      <c r="AC21" s="456">
        <f t="shared" si="13"/>
        <v>424.9080000000001</v>
      </c>
      <c r="AD21" s="100"/>
    </row>
    <row r="22" spans="1:30" s="8" customFormat="1" ht="16.5" customHeight="1">
      <c r="A22" s="90"/>
      <c r="B22" s="303"/>
      <c r="C22" s="151">
        <v>27</v>
      </c>
      <c r="D22" s="151">
        <v>283826</v>
      </c>
      <c r="E22" s="170">
        <v>2949</v>
      </c>
      <c r="F22" s="373" t="s">
        <v>205</v>
      </c>
      <c r="G22" s="374" t="s">
        <v>206</v>
      </c>
      <c r="H22" s="375">
        <v>300</v>
      </c>
      <c r="I22" s="1098" t="s">
        <v>133</v>
      </c>
      <c r="J22" s="377">
        <f t="shared" si="0"/>
        <v>95.7</v>
      </c>
      <c r="K22" s="378">
        <v>42025.535416666666</v>
      </c>
      <c r="L22" s="378">
        <v>42025.5875</v>
      </c>
      <c r="M22" s="379">
        <f t="shared" si="1"/>
        <v>1.2500000000582077</v>
      </c>
      <c r="N22" s="380">
        <f t="shared" si="2"/>
        <v>75</v>
      </c>
      <c r="O22" s="381" t="s">
        <v>185</v>
      </c>
      <c r="P22" s="283" t="str">
        <f t="shared" si="3"/>
        <v>--</v>
      </c>
      <c r="Q22" s="382" t="str">
        <f t="shared" si="14"/>
        <v>NO</v>
      </c>
      <c r="R22" s="181" t="s">
        <v>82</v>
      </c>
      <c r="S22" s="383">
        <f t="shared" si="4"/>
        <v>200</v>
      </c>
      <c r="T22" s="438" t="str">
        <f t="shared" si="5"/>
        <v>--</v>
      </c>
      <c r="U22" s="439" t="str">
        <f t="shared" si="6"/>
        <v>--</v>
      </c>
      <c r="V22" s="386">
        <f t="shared" si="7"/>
        <v>19140</v>
      </c>
      <c r="W22" s="387">
        <f t="shared" si="8"/>
        <v>23925</v>
      </c>
      <c r="X22" s="388" t="str">
        <f t="shared" si="9"/>
        <v>--</v>
      </c>
      <c r="Y22" s="389" t="str">
        <f t="shared" si="10"/>
        <v>--</v>
      </c>
      <c r="Z22" s="390" t="str">
        <f t="shared" si="11"/>
        <v>--</v>
      </c>
      <c r="AA22" s="391" t="str">
        <f t="shared" si="12"/>
        <v>--</v>
      </c>
      <c r="AB22" s="455" t="s">
        <v>82</v>
      </c>
      <c r="AC22" s="456">
        <f t="shared" si="13"/>
        <v>43065</v>
      </c>
      <c r="AD22" s="100"/>
    </row>
    <row r="23" spans="1:30" s="8" customFormat="1" ht="16.5" customHeight="1">
      <c r="A23" s="90"/>
      <c r="B23" s="303"/>
      <c r="C23" s="151">
        <v>28</v>
      </c>
      <c r="D23" s="151">
        <v>283829</v>
      </c>
      <c r="E23" s="151">
        <v>2949</v>
      </c>
      <c r="F23" s="373" t="s">
        <v>205</v>
      </c>
      <c r="G23" s="374" t="s">
        <v>206</v>
      </c>
      <c r="H23" s="375">
        <v>300</v>
      </c>
      <c r="I23" s="1098" t="s">
        <v>133</v>
      </c>
      <c r="J23" s="377">
        <f t="shared" si="0"/>
        <v>95.7</v>
      </c>
      <c r="K23" s="378">
        <v>42025.634722222225</v>
      </c>
      <c r="L23" s="378">
        <v>42025.65555555555</v>
      </c>
      <c r="M23" s="379">
        <f t="shared" si="1"/>
        <v>0.4999999998835847</v>
      </c>
      <c r="N23" s="380">
        <f t="shared" si="2"/>
        <v>30</v>
      </c>
      <c r="O23" s="381" t="s">
        <v>185</v>
      </c>
      <c r="P23" s="283" t="str">
        <f t="shared" si="3"/>
        <v>--</v>
      </c>
      <c r="Q23" s="382" t="str">
        <f t="shared" si="14"/>
        <v>NO</v>
      </c>
      <c r="R23" s="181" t="s">
        <v>82</v>
      </c>
      <c r="S23" s="383">
        <f t="shared" si="4"/>
        <v>200</v>
      </c>
      <c r="T23" s="438" t="str">
        <f t="shared" si="5"/>
        <v>--</v>
      </c>
      <c r="U23" s="439" t="str">
        <f t="shared" si="6"/>
        <v>--</v>
      </c>
      <c r="V23" s="386">
        <f t="shared" si="7"/>
        <v>19140</v>
      </c>
      <c r="W23" s="387">
        <f t="shared" si="8"/>
        <v>9570</v>
      </c>
      <c r="X23" s="388" t="str">
        <f t="shared" si="9"/>
        <v>--</v>
      </c>
      <c r="Y23" s="389" t="str">
        <f t="shared" si="10"/>
        <v>--</v>
      </c>
      <c r="Z23" s="390" t="str">
        <f t="shared" si="11"/>
        <v>--</v>
      </c>
      <c r="AA23" s="391" t="str">
        <f t="shared" si="12"/>
        <v>--</v>
      </c>
      <c r="AB23" s="455" t="s">
        <v>82</v>
      </c>
      <c r="AC23" s="456">
        <f t="shared" si="13"/>
        <v>28710</v>
      </c>
      <c r="AD23" s="100"/>
    </row>
    <row r="24" spans="1:30" s="8" customFormat="1" ht="16.5" customHeight="1">
      <c r="A24" s="90"/>
      <c r="B24" s="303"/>
      <c r="C24" s="151"/>
      <c r="D24" s="151"/>
      <c r="E24" s="170"/>
      <c r="F24" s="373"/>
      <c r="G24" s="374"/>
      <c r="H24" s="375"/>
      <c r="I24" s="376"/>
      <c r="J24" s="377">
        <f t="shared" si="0"/>
        <v>0</v>
      </c>
      <c r="K24" s="378"/>
      <c r="L24" s="378"/>
      <c r="M24" s="379">
        <f t="shared" si="1"/>
      </c>
      <c r="N24" s="380">
        <f t="shared" si="2"/>
      </c>
      <c r="O24" s="381"/>
      <c r="P24" s="283">
        <f t="shared" si="3"/>
      </c>
      <c r="Q24" s="382">
        <f t="shared" si="14"/>
      </c>
      <c r="R24" s="181">
        <f t="shared" si="15"/>
      </c>
      <c r="S24" s="383">
        <f t="shared" si="4"/>
        <v>20</v>
      </c>
      <c r="T24" s="438" t="str">
        <f t="shared" si="5"/>
        <v>--</v>
      </c>
      <c r="U24" s="439" t="str">
        <f t="shared" si="6"/>
        <v>--</v>
      </c>
      <c r="V24" s="386" t="str">
        <f t="shared" si="7"/>
        <v>--</v>
      </c>
      <c r="W24" s="387" t="str">
        <f t="shared" si="8"/>
        <v>--</v>
      </c>
      <c r="X24" s="388" t="str">
        <f t="shared" si="9"/>
        <v>--</v>
      </c>
      <c r="Y24" s="389" t="str">
        <f t="shared" si="10"/>
        <v>--</v>
      </c>
      <c r="Z24" s="390" t="str">
        <f t="shared" si="11"/>
        <v>--</v>
      </c>
      <c r="AA24" s="391" t="str">
        <f t="shared" si="12"/>
        <v>--</v>
      </c>
      <c r="AB24" s="455">
        <f aca="true" t="shared" si="16" ref="AB24:AB39">IF(F24="","","SI")</f>
      </c>
      <c r="AC24" s="456">
        <f t="shared" si="13"/>
      </c>
      <c r="AD24" s="100"/>
    </row>
    <row r="25" spans="1:30" s="8" customFormat="1" ht="16.5" customHeight="1">
      <c r="A25" s="90"/>
      <c r="B25" s="303"/>
      <c r="C25" s="151"/>
      <c r="D25" s="151"/>
      <c r="E25" s="151"/>
      <c r="F25" s="373"/>
      <c r="G25" s="374"/>
      <c r="H25" s="375"/>
      <c r="I25" s="376"/>
      <c r="J25" s="377">
        <f t="shared" si="0"/>
        <v>0</v>
      </c>
      <c r="K25" s="378"/>
      <c r="L25" s="378"/>
      <c r="M25" s="379">
        <f t="shared" si="1"/>
      </c>
      <c r="N25" s="380">
        <f t="shared" si="2"/>
      </c>
      <c r="O25" s="381"/>
      <c r="P25" s="283">
        <f t="shared" si="3"/>
      </c>
      <c r="Q25" s="382">
        <f t="shared" si="14"/>
      </c>
      <c r="R25" s="181">
        <f t="shared" si="15"/>
      </c>
      <c r="S25" s="383">
        <f t="shared" si="4"/>
        <v>20</v>
      </c>
      <c r="T25" s="438" t="str">
        <f t="shared" si="5"/>
        <v>--</v>
      </c>
      <c r="U25" s="439" t="str">
        <f t="shared" si="6"/>
        <v>--</v>
      </c>
      <c r="V25" s="386" t="str">
        <f t="shared" si="7"/>
        <v>--</v>
      </c>
      <c r="W25" s="387" t="str">
        <f t="shared" si="8"/>
        <v>--</v>
      </c>
      <c r="X25" s="388" t="str">
        <f t="shared" si="9"/>
        <v>--</v>
      </c>
      <c r="Y25" s="389" t="str">
        <f t="shared" si="10"/>
        <v>--</v>
      </c>
      <c r="Z25" s="390" t="str">
        <f t="shared" si="11"/>
        <v>--</v>
      </c>
      <c r="AA25" s="391" t="str">
        <f t="shared" si="12"/>
        <v>--</v>
      </c>
      <c r="AB25" s="455">
        <f t="shared" si="16"/>
      </c>
      <c r="AC25" s="456">
        <f t="shared" si="13"/>
      </c>
      <c r="AD25" s="100"/>
    </row>
    <row r="26" spans="1:31" s="8" customFormat="1" ht="16.5" customHeight="1">
      <c r="A26" s="90"/>
      <c r="B26" s="303"/>
      <c r="C26" s="151"/>
      <c r="D26" s="151"/>
      <c r="E26" s="170"/>
      <c r="F26" s="373"/>
      <c r="G26" s="374"/>
      <c r="H26" s="375"/>
      <c r="I26" s="376"/>
      <c r="J26" s="377">
        <f t="shared" si="0"/>
        <v>0</v>
      </c>
      <c r="K26" s="378"/>
      <c r="L26" s="378"/>
      <c r="M26" s="379">
        <f t="shared" si="1"/>
      </c>
      <c r="N26" s="380">
        <f t="shared" si="2"/>
      </c>
      <c r="O26" s="381"/>
      <c r="P26" s="283">
        <f t="shared" si="3"/>
      </c>
      <c r="Q26" s="382">
        <f t="shared" si="14"/>
      </c>
      <c r="R26" s="181">
        <f t="shared" si="15"/>
      </c>
      <c r="S26" s="383">
        <f t="shared" si="4"/>
        <v>20</v>
      </c>
      <c r="T26" s="438" t="str">
        <f t="shared" si="5"/>
        <v>--</v>
      </c>
      <c r="U26" s="439" t="str">
        <f t="shared" si="6"/>
        <v>--</v>
      </c>
      <c r="V26" s="386" t="str">
        <f t="shared" si="7"/>
        <v>--</v>
      </c>
      <c r="W26" s="387" t="str">
        <f t="shared" si="8"/>
        <v>--</v>
      </c>
      <c r="X26" s="388" t="str">
        <f t="shared" si="9"/>
        <v>--</v>
      </c>
      <c r="Y26" s="389" t="str">
        <f t="shared" si="10"/>
        <v>--</v>
      </c>
      <c r="Z26" s="390" t="str">
        <f t="shared" si="11"/>
        <v>--</v>
      </c>
      <c r="AA26" s="391" t="str">
        <f t="shared" si="12"/>
        <v>--</v>
      </c>
      <c r="AB26" s="455">
        <f t="shared" si="16"/>
      </c>
      <c r="AC26" s="456">
        <f t="shared" si="13"/>
      </c>
      <c r="AD26" s="100"/>
      <c r="AE26" s="84"/>
    </row>
    <row r="27" spans="1:30" s="8" customFormat="1" ht="16.5" customHeight="1">
      <c r="A27" s="90"/>
      <c r="B27" s="303"/>
      <c r="C27" s="151"/>
      <c r="D27" s="151"/>
      <c r="E27" s="151"/>
      <c r="F27" s="373"/>
      <c r="G27" s="374"/>
      <c r="H27" s="375"/>
      <c r="I27" s="376"/>
      <c r="J27" s="377">
        <f t="shared" si="0"/>
        <v>0</v>
      </c>
      <c r="K27" s="378"/>
      <c r="L27" s="378"/>
      <c r="M27" s="379">
        <f t="shared" si="1"/>
      </c>
      <c r="N27" s="380">
        <f t="shared" si="2"/>
      </c>
      <c r="O27" s="381"/>
      <c r="P27" s="283">
        <f t="shared" si="3"/>
      </c>
      <c r="Q27" s="382">
        <f t="shared" si="14"/>
      </c>
      <c r="R27" s="181">
        <f t="shared" si="15"/>
      </c>
      <c r="S27" s="383">
        <f t="shared" si="4"/>
        <v>20</v>
      </c>
      <c r="T27" s="438" t="str">
        <f t="shared" si="5"/>
        <v>--</v>
      </c>
      <c r="U27" s="439" t="str">
        <f t="shared" si="6"/>
        <v>--</v>
      </c>
      <c r="V27" s="386" t="str">
        <f t="shared" si="7"/>
        <v>--</v>
      </c>
      <c r="W27" s="387" t="str">
        <f t="shared" si="8"/>
        <v>--</v>
      </c>
      <c r="X27" s="388" t="str">
        <f t="shared" si="9"/>
        <v>--</v>
      </c>
      <c r="Y27" s="389" t="str">
        <f t="shared" si="10"/>
        <v>--</v>
      </c>
      <c r="Z27" s="390" t="str">
        <f t="shared" si="11"/>
        <v>--</v>
      </c>
      <c r="AA27" s="391" t="str">
        <f t="shared" si="12"/>
        <v>--</v>
      </c>
      <c r="AB27" s="455">
        <f t="shared" si="16"/>
      </c>
      <c r="AC27" s="456">
        <f t="shared" si="13"/>
      </c>
      <c r="AD27" s="100"/>
    </row>
    <row r="28" spans="1:30" s="8" customFormat="1" ht="16.5" customHeight="1">
      <c r="A28" s="90"/>
      <c r="B28" s="303"/>
      <c r="C28" s="151"/>
      <c r="D28" s="151"/>
      <c r="E28" s="170"/>
      <c r="F28" s="373"/>
      <c r="G28" s="374"/>
      <c r="H28" s="375"/>
      <c r="I28" s="376"/>
      <c r="J28" s="377">
        <f t="shared" si="0"/>
        <v>0</v>
      </c>
      <c r="K28" s="378"/>
      <c r="L28" s="378"/>
      <c r="M28" s="379">
        <f t="shared" si="1"/>
      </c>
      <c r="N28" s="380">
        <f t="shared" si="2"/>
      </c>
      <c r="O28" s="381"/>
      <c r="P28" s="283">
        <f t="shared" si="3"/>
      </c>
      <c r="Q28" s="382">
        <f t="shared" si="14"/>
      </c>
      <c r="R28" s="181">
        <f t="shared" si="15"/>
      </c>
      <c r="S28" s="383">
        <f t="shared" si="4"/>
        <v>20</v>
      </c>
      <c r="T28" s="438" t="str">
        <f t="shared" si="5"/>
        <v>--</v>
      </c>
      <c r="U28" s="439" t="str">
        <f t="shared" si="6"/>
        <v>--</v>
      </c>
      <c r="V28" s="386" t="str">
        <f t="shared" si="7"/>
        <v>--</v>
      </c>
      <c r="W28" s="387" t="str">
        <f t="shared" si="8"/>
        <v>--</v>
      </c>
      <c r="X28" s="388" t="str">
        <f t="shared" si="9"/>
        <v>--</v>
      </c>
      <c r="Y28" s="389" t="str">
        <f t="shared" si="10"/>
        <v>--</v>
      </c>
      <c r="Z28" s="390" t="str">
        <f t="shared" si="11"/>
        <v>--</v>
      </c>
      <c r="AA28" s="391" t="str">
        <f t="shared" si="12"/>
        <v>--</v>
      </c>
      <c r="AB28" s="455">
        <f t="shared" si="16"/>
      </c>
      <c r="AC28" s="456">
        <f t="shared" si="13"/>
      </c>
      <c r="AD28" s="100"/>
    </row>
    <row r="29" spans="1:30" s="8" customFormat="1" ht="16.5" customHeight="1">
      <c r="A29" s="90"/>
      <c r="B29" s="303"/>
      <c r="C29" s="151"/>
      <c r="D29" s="151"/>
      <c r="E29" s="151"/>
      <c r="F29" s="373"/>
      <c r="G29" s="374"/>
      <c r="H29" s="375"/>
      <c r="I29" s="376"/>
      <c r="J29" s="377">
        <f t="shared" si="0"/>
        <v>0</v>
      </c>
      <c r="K29" s="378"/>
      <c r="L29" s="378"/>
      <c r="M29" s="379">
        <f t="shared" si="1"/>
      </c>
      <c r="N29" s="380">
        <f t="shared" si="2"/>
      </c>
      <c r="O29" s="381"/>
      <c r="P29" s="283">
        <f t="shared" si="3"/>
      </c>
      <c r="Q29" s="382">
        <f t="shared" si="14"/>
      </c>
      <c r="R29" s="181">
        <f t="shared" si="15"/>
      </c>
      <c r="S29" s="383">
        <f t="shared" si="4"/>
        <v>20</v>
      </c>
      <c r="T29" s="438" t="str">
        <f t="shared" si="5"/>
        <v>--</v>
      </c>
      <c r="U29" s="439" t="str">
        <f t="shared" si="6"/>
        <v>--</v>
      </c>
      <c r="V29" s="386" t="str">
        <f t="shared" si="7"/>
        <v>--</v>
      </c>
      <c r="W29" s="387" t="str">
        <f t="shared" si="8"/>
        <v>--</v>
      </c>
      <c r="X29" s="388" t="str">
        <f t="shared" si="9"/>
        <v>--</v>
      </c>
      <c r="Y29" s="389" t="str">
        <f t="shared" si="10"/>
        <v>--</v>
      </c>
      <c r="Z29" s="390" t="str">
        <f t="shared" si="11"/>
        <v>--</v>
      </c>
      <c r="AA29" s="391" t="str">
        <f t="shared" si="12"/>
        <v>--</v>
      </c>
      <c r="AB29" s="455">
        <f t="shared" si="16"/>
      </c>
      <c r="AC29" s="456">
        <f t="shared" si="13"/>
      </c>
      <c r="AD29" s="100"/>
    </row>
    <row r="30" spans="1:30" s="8" customFormat="1" ht="16.5" customHeight="1">
      <c r="A30" s="90"/>
      <c r="B30" s="303"/>
      <c r="C30" s="151"/>
      <c r="D30" s="151"/>
      <c r="E30" s="170"/>
      <c r="F30" s="373"/>
      <c r="G30" s="393"/>
      <c r="H30" s="375"/>
      <c r="I30" s="376"/>
      <c r="J30" s="377">
        <f t="shared" si="0"/>
        <v>0</v>
      </c>
      <c r="K30" s="378"/>
      <c r="L30" s="378"/>
      <c r="M30" s="379">
        <f t="shared" si="1"/>
      </c>
      <c r="N30" s="380">
        <f t="shared" si="2"/>
      </c>
      <c r="O30" s="381"/>
      <c r="P30" s="283">
        <f t="shared" si="3"/>
      </c>
      <c r="Q30" s="382">
        <f t="shared" si="14"/>
      </c>
      <c r="R30" s="181">
        <f t="shared" si="15"/>
      </c>
      <c r="S30" s="383">
        <f t="shared" si="4"/>
        <v>20</v>
      </c>
      <c r="T30" s="438" t="str">
        <f t="shared" si="5"/>
        <v>--</v>
      </c>
      <c r="U30" s="439" t="str">
        <f t="shared" si="6"/>
        <v>--</v>
      </c>
      <c r="V30" s="386" t="str">
        <f t="shared" si="7"/>
        <v>--</v>
      </c>
      <c r="W30" s="387" t="str">
        <f t="shared" si="8"/>
        <v>--</v>
      </c>
      <c r="X30" s="388" t="str">
        <f t="shared" si="9"/>
        <v>--</v>
      </c>
      <c r="Y30" s="389" t="str">
        <f t="shared" si="10"/>
        <v>--</v>
      </c>
      <c r="Z30" s="390" t="str">
        <f t="shared" si="11"/>
        <v>--</v>
      </c>
      <c r="AA30" s="391" t="str">
        <f t="shared" si="12"/>
        <v>--</v>
      </c>
      <c r="AB30" s="455">
        <f t="shared" si="16"/>
      </c>
      <c r="AC30" s="456">
        <f t="shared" si="13"/>
      </c>
      <c r="AD30" s="100"/>
    </row>
    <row r="31" spans="1:30" s="8" customFormat="1" ht="16.5" customHeight="1">
      <c r="A31" s="90"/>
      <c r="B31" s="303"/>
      <c r="C31" s="151"/>
      <c r="D31" s="151"/>
      <c r="E31" s="151"/>
      <c r="F31" s="373"/>
      <c r="G31" s="393"/>
      <c r="H31" s="375"/>
      <c r="I31" s="376"/>
      <c r="J31" s="377">
        <f t="shared" si="0"/>
        <v>0</v>
      </c>
      <c r="K31" s="378"/>
      <c r="L31" s="378"/>
      <c r="M31" s="379">
        <f t="shared" si="1"/>
      </c>
      <c r="N31" s="380">
        <f t="shared" si="2"/>
      </c>
      <c r="O31" s="381"/>
      <c r="P31" s="283">
        <f t="shared" si="3"/>
      </c>
      <c r="Q31" s="382">
        <f t="shared" si="14"/>
      </c>
      <c r="R31" s="181">
        <f t="shared" si="15"/>
      </c>
      <c r="S31" s="383">
        <f t="shared" si="4"/>
        <v>20</v>
      </c>
      <c r="T31" s="438" t="str">
        <f t="shared" si="5"/>
        <v>--</v>
      </c>
      <c r="U31" s="439" t="str">
        <f t="shared" si="6"/>
        <v>--</v>
      </c>
      <c r="V31" s="386" t="str">
        <f t="shared" si="7"/>
        <v>--</v>
      </c>
      <c r="W31" s="387" t="str">
        <f t="shared" si="8"/>
        <v>--</v>
      </c>
      <c r="X31" s="388" t="str">
        <f t="shared" si="9"/>
        <v>--</v>
      </c>
      <c r="Y31" s="389" t="str">
        <f t="shared" si="10"/>
        <v>--</v>
      </c>
      <c r="Z31" s="390" t="str">
        <f t="shared" si="11"/>
        <v>--</v>
      </c>
      <c r="AA31" s="391" t="str">
        <f t="shared" si="12"/>
        <v>--</v>
      </c>
      <c r="AB31" s="455">
        <f t="shared" si="16"/>
      </c>
      <c r="AC31" s="456">
        <f t="shared" si="13"/>
      </c>
      <c r="AD31" s="100"/>
    </row>
    <row r="32" spans="1:30" s="8" customFormat="1" ht="16.5" customHeight="1">
      <c r="A32" s="90"/>
      <c r="B32" s="303"/>
      <c r="C32" s="151"/>
      <c r="D32" s="151"/>
      <c r="E32" s="170"/>
      <c r="F32" s="373"/>
      <c r="G32" s="393"/>
      <c r="H32" s="375"/>
      <c r="I32" s="376"/>
      <c r="J32" s="377">
        <f t="shared" si="0"/>
        <v>0</v>
      </c>
      <c r="K32" s="378"/>
      <c r="L32" s="378"/>
      <c r="M32" s="379">
        <f t="shared" si="1"/>
      </c>
      <c r="N32" s="380">
        <f t="shared" si="2"/>
      </c>
      <c r="O32" s="381"/>
      <c r="P32" s="283">
        <f t="shared" si="3"/>
      </c>
      <c r="Q32" s="382">
        <f t="shared" si="14"/>
      </c>
      <c r="R32" s="181">
        <f t="shared" si="15"/>
      </c>
      <c r="S32" s="383">
        <f t="shared" si="4"/>
        <v>20</v>
      </c>
      <c r="T32" s="438" t="str">
        <f t="shared" si="5"/>
        <v>--</v>
      </c>
      <c r="U32" s="439" t="str">
        <f t="shared" si="6"/>
        <v>--</v>
      </c>
      <c r="V32" s="386" t="str">
        <f t="shared" si="7"/>
        <v>--</v>
      </c>
      <c r="W32" s="387" t="str">
        <f t="shared" si="8"/>
        <v>--</v>
      </c>
      <c r="X32" s="388" t="str">
        <f t="shared" si="9"/>
        <v>--</v>
      </c>
      <c r="Y32" s="389" t="str">
        <f t="shared" si="10"/>
        <v>--</v>
      </c>
      <c r="Z32" s="390" t="str">
        <f t="shared" si="11"/>
        <v>--</v>
      </c>
      <c r="AA32" s="391" t="str">
        <f t="shared" si="12"/>
        <v>--</v>
      </c>
      <c r="AB32" s="455">
        <f t="shared" si="16"/>
      </c>
      <c r="AC32" s="456">
        <f t="shared" si="13"/>
      </c>
      <c r="AD32" s="100"/>
    </row>
    <row r="33" spans="1:30" s="8" customFormat="1" ht="16.5" customHeight="1">
      <c r="A33" s="90"/>
      <c r="B33" s="303"/>
      <c r="C33" s="151"/>
      <c r="D33" s="151"/>
      <c r="E33" s="151"/>
      <c r="F33" s="373"/>
      <c r="G33" s="393"/>
      <c r="H33" s="375"/>
      <c r="I33" s="376"/>
      <c r="J33" s="377">
        <f t="shared" si="0"/>
        <v>0</v>
      </c>
      <c r="K33" s="378"/>
      <c r="L33" s="378"/>
      <c r="M33" s="379">
        <f t="shared" si="1"/>
      </c>
      <c r="N33" s="380">
        <f t="shared" si="2"/>
      </c>
      <c r="O33" s="381"/>
      <c r="P33" s="283">
        <f t="shared" si="3"/>
      </c>
      <c r="Q33" s="382">
        <f t="shared" si="14"/>
      </c>
      <c r="R33" s="181">
        <f t="shared" si="15"/>
      </c>
      <c r="S33" s="383">
        <f t="shared" si="4"/>
        <v>20</v>
      </c>
      <c r="T33" s="438" t="str">
        <f t="shared" si="5"/>
        <v>--</v>
      </c>
      <c r="U33" s="439" t="str">
        <f t="shared" si="6"/>
        <v>--</v>
      </c>
      <c r="V33" s="386" t="str">
        <f t="shared" si="7"/>
        <v>--</v>
      </c>
      <c r="W33" s="387" t="str">
        <f t="shared" si="8"/>
        <v>--</v>
      </c>
      <c r="X33" s="388" t="str">
        <f t="shared" si="9"/>
        <v>--</v>
      </c>
      <c r="Y33" s="389" t="str">
        <f t="shared" si="10"/>
        <v>--</v>
      </c>
      <c r="Z33" s="390" t="str">
        <f t="shared" si="11"/>
        <v>--</v>
      </c>
      <c r="AA33" s="391" t="str">
        <f t="shared" si="12"/>
        <v>--</v>
      </c>
      <c r="AB33" s="455">
        <f t="shared" si="16"/>
      </c>
      <c r="AC33" s="456">
        <f t="shared" si="13"/>
      </c>
      <c r="AD33" s="100"/>
    </row>
    <row r="34" spans="1:30" s="8" customFormat="1" ht="16.5" customHeight="1">
      <c r="A34" s="90"/>
      <c r="B34" s="303"/>
      <c r="C34" s="151"/>
      <c r="D34" s="151"/>
      <c r="E34" s="170"/>
      <c r="F34" s="373"/>
      <c r="G34" s="393"/>
      <c r="H34" s="375"/>
      <c r="I34" s="376"/>
      <c r="J34" s="377">
        <f t="shared" si="0"/>
        <v>0</v>
      </c>
      <c r="K34" s="378"/>
      <c r="L34" s="378"/>
      <c r="M34" s="379">
        <f t="shared" si="1"/>
      </c>
      <c r="N34" s="380">
        <f t="shared" si="2"/>
      </c>
      <c r="O34" s="381"/>
      <c r="P34" s="283">
        <f t="shared" si="3"/>
      </c>
      <c r="Q34" s="382">
        <f t="shared" si="14"/>
      </c>
      <c r="R34" s="181">
        <f t="shared" si="15"/>
      </c>
      <c r="S34" s="383">
        <f t="shared" si="4"/>
        <v>20</v>
      </c>
      <c r="T34" s="438" t="str">
        <f t="shared" si="5"/>
        <v>--</v>
      </c>
      <c r="U34" s="439" t="str">
        <f t="shared" si="6"/>
        <v>--</v>
      </c>
      <c r="V34" s="386" t="str">
        <f t="shared" si="7"/>
        <v>--</v>
      </c>
      <c r="W34" s="387" t="str">
        <f t="shared" si="8"/>
        <v>--</v>
      </c>
      <c r="X34" s="388" t="str">
        <f t="shared" si="9"/>
        <v>--</v>
      </c>
      <c r="Y34" s="389" t="str">
        <f t="shared" si="10"/>
        <v>--</v>
      </c>
      <c r="Z34" s="390" t="str">
        <f t="shared" si="11"/>
        <v>--</v>
      </c>
      <c r="AA34" s="391" t="str">
        <f t="shared" si="12"/>
        <v>--</v>
      </c>
      <c r="AB34" s="455">
        <f t="shared" si="16"/>
      </c>
      <c r="AC34" s="456">
        <f t="shared" si="13"/>
      </c>
      <c r="AD34" s="100"/>
    </row>
    <row r="35" spans="1:30" s="8" customFormat="1" ht="16.5" customHeight="1">
      <c r="A35" s="90"/>
      <c r="B35" s="303"/>
      <c r="C35" s="151"/>
      <c r="D35" s="151"/>
      <c r="E35" s="151"/>
      <c r="F35" s="373"/>
      <c r="G35" s="393"/>
      <c r="H35" s="375"/>
      <c r="I35" s="376"/>
      <c r="J35" s="377">
        <f t="shared" si="0"/>
        <v>0</v>
      </c>
      <c r="K35" s="378"/>
      <c r="L35" s="378"/>
      <c r="M35" s="379">
        <f t="shared" si="1"/>
      </c>
      <c r="N35" s="380">
        <f t="shared" si="2"/>
      </c>
      <c r="O35" s="381"/>
      <c r="P35" s="283">
        <f t="shared" si="3"/>
      </c>
      <c r="Q35" s="382">
        <f t="shared" si="14"/>
      </c>
      <c r="R35" s="181">
        <f t="shared" si="15"/>
      </c>
      <c r="S35" s="383">
        <f t="shared" si="4"/>
        <v>20</v>
      </c>
      <c r="T35" s="438" t="str">
        <f t="shared" si="5"/>
        <v>--</v>
      </c>
      <c r="U35" s="439" t="str">
        <f t="shared" si="6"/>
        <v>--</v>
      </c>
      <c r="V35" s="386" t="str">
        <f t="shared" si="7"/>
        <v>--</v>
      </c>
      <c r="W35" s="387" t="str">
        <f t="shared" si="8"/>
        <v>--</v>
      </c>
      <c r="X35" s="388" t="str">
        <f t="shared" si="9"/>
        <v>--</v>
      </c>
      <c r="Y35" s="389" t="str">
        <f t="shared" si="10"/>
        <v>--</v>
      </c>
      <c r="Z35" s="390" t="str">
        <f t="shared" si="11"/>
        <v>--</v>
      </c>
      <c r="AA35" s="391" t="str">
        <f t="shared" si="12"/>
        <v>--</v>
      </c>
      <c r="AB35" s="455">
        <f t="shared" si="16"/>
      </c>
      <c r="AC35" s="456">
        <f t="shared" si="13"/>
      </c>
      <c r="AD35" s="100"/>
    </row>
    <row r="36" spans="1:30" s="8" customFormat="1" ht="16.5" customHeight="1">
      <c r="A36" s="90"/>
      <c r="B36" s="303"/>
      <c r="C36" s="151"/>
      <c r="D36" s="151"/>
      <c r="E36" s="170"/>
      <c r="F36" s="373"/>
      <c r="G36" s="393"/>
      <c r="H36" s="375"/>
      <c r="I36" s="376"/>
      <c r="J36" s="377">
        <f t="shared" si="0"/>
        <v>0</v>
      </c>
      <c r="K36" s="378"/>
      <c r="L36" s="378"/>
      <c r="M36" s="379">
        <f t="shared" si="1"/>
      </c>
      <c r="N36" s="380">
        <f t="shared" si="2"/>
      </c>
      <c r="O36" s="381"/>
      <c r="P36" s="283">
        <f t="shared" si="3"/>
      </c>
      <c r="Q36" s="382">
        <f t="shared" si="14"/>
      </c>
      <c r="R36" s="181">
        <f t="shared" si="15"/>
      </c>
      <c r="S36" s="383">
        <f t="shared" si="4"/>
        <v>20</v>
      </c>
      <c r="T36" s="438" t="str">
        <f t="shared" si="5"/>
        <v>--</v>
      </c>
      <c r="U36" s="439" t="str">
        <f t="shared" si="6"/>
        <v>--</v>
      </c>
      <c r="V36" s="386" t="str">
        <f t="shared" si="7"/>
        <v>--</v>
      </c>
      <c r="W36" s="387" t="str">
        <f t="shared" si="8"/>
        <v>--</v>
      </c>
      <c r="X36" s="388" t="str">
        <f t="shared" si="9"/>
        <v>--</v>
      </c>
      <c r="Y36" s="389" t="str">
        <f t="shared" si="10"/>
        <v>--</v>
      </c>
      <c r="Z36" s="390" t="str">
        <f t="shared" si="11"/>
        <v>--</v>
      </c>
      <c r="AA36" s="391" t="str">
        <f t="shared" si="12"/>
        <v>--</v>
      </c>
      <c r="AB36" s="455">
        <f t="shared" si="16"/>
      </c>
      <c r="AC36" s="456">
        <f t="shared" si="13"/>
      </c>
      <c r="AD36" s="100"/>
    </row>
    <row r="37" spans="1:30" s="8" customFormat="1" ht="16.5" customHeight="1">
      <c r="A37" s="90"/>
      <c r="B37" s="303"/>
      <c r="C37" s="151"/>
      <c r="D37" s="151"/>
      <c r="E37" s="151"/>
      <c r="F37" s="373"/>
      <c r="G37" s="393"/>
      <c r="H37" s="375"/>
      <c r="I37" s="376"/>
      <c r="J37" s="377">
        <f t="shared" si="0"/>
        <v>0</v>
      </c>
      <c r="K37" s="378"/>
      <c r="L37" s="378"/>
      <c r="M37" s="379">
        <f t="shared" si="1"/>
      </c>
      <c r="N37" s="380">
        <f t="shared" si="2"/>
      </c>
      <c r="O37" s="381"/>
      <c r="P37" s="283">
        <f t="shared" si="3"/>
      </c>
      <c r="Q37" s="382">
        <f t="shared" si="14"/>
      </c>
      <c r="R37" s="181">
        <f t="shared" si="15"/>
      </c>
      <c r="S37" s="383">
        <f t="shared" si="4"/>
        <v>20</v>
      </c>
      <c r="T37" s="438" t="str">
        <f t="shared" si="5"/>
        <v>--</v>
      </c>
      <c r="U37" s="439" t="str">
        <f t="shared" si="6"/>
        <v>--</v>
      </c>
      <c r="V37" s="386" t="str">
        <f t="shared" si="7"/>
        <v>--</v>
      </c>
      <c r="W37" s="387" t="str">
        <f t="shared" si="8"/>
        <v>--</v>
      </c>
      <c r="X37" s="388" t="str">
        <f t="shared" si="9"/>
        <v>--</v>
      </c>
      <c r="Y37" s="389" t="str">
        <f t="shared" si="10"/>
        <v>--</v>
      </c>
      <c r="Z37" s="390" t="str">
        <f t="shared" si="11"/>
        <v>--</v>
      </c>
      <c r="AA37" s="391" t="str">
        <f t="shared" si="12"/>
        <v>--</v>
      </c>
      <c r="AB37" s="455">
        <f t="shared" si="16"/>
      </c>
      <c r="AC37" s="456">
        <f t="shared" si="13"/>
      </c>
      <c r="AD37" s="100"/>
    </row>
    <row r="38" spans="1:30" s="8" customFormat="1" ht="16.5" customHeight="1">
      <c r="A38" s="90"/>
      <c r="B38" s="303"/>
      <c r="C38" s="151"/>
      <c r="D38" s="151"/>
      <c r="E38" s="170"/>
      <c r="F38" s="373"/>
      <c r="G38" s="393"/>
      <c r="H38" s="375"/>
      <c r="I38" s="376"/>
      <c r="J38" s="377">
        <f t="shared" si="0"/>
        <v>0</v>
      </c>
      <c r="K38" s="378"/>
      <c r="L38" s="378"/>
      <c r="M38" s="379">
        <f t="shared" si="1"/>
      </c>
      <c r="N38" s="380">
        <f t="shared" si="2"/>
      </c>
      <c r="O38" s="381"/>
      <c r="P38" s="283">
        <f t="shared" si="3"/>
      </c>
      <c r="Q38" s="382">
        <f t="shared" si="14"/>
      </c>
      <c r="R38" s="181">
        <f t="shared" si="15"/>
      </c>
      <c r="S38" s="383">
        <f t="shared" si="4"/>
        <v>20</v>
      </c>
      <c r="T38" s="438" t="str">
        <f t="shared" si="5"/>
        <v>--</v>
      </c>
      <c r="U38" s="439" t="str">
        <f t="shared" si="6"/>
        <v>--</v>
      </c>
      <c r="V38" s="386" t="str">
        <f t="shared" si="7"/>
        <v>--</v>
      </c>
      <c r="W38" s="387" t="str">
        <f t="shared" si="8"/>
        <v>--</v>
      </c>
      <c r="X38" s="388" t="str">
        <f t="shared" si="9"/>
        <v>--</v>
      </c>
      <c r="Y38" s="389" t="str">
        <f t="shared" si="10"/>
        <v>--</v>
      </c>
      <c r="Z38" s="390" t="str">
        <f t="shared" si="11"/>
        <v>--</v>
      </c>
      <c r="AA38" s="391" t="str">
        <f t="shared" si="12"/>
        <v>--</v>
      </c>
      <c r="AB38" s="455">
        <f t="shared" si="16"/>
      </c>
      <c r="AC38" s="456">
        <f t="shared" si="13"/>
      </c>
      <c r="AD38" s="100"/>
    </row>
    <row r="39" spans="1:30" s="8" customFormat="1" ht="16.5" customHeight="1">
      <c r="A39" s="90"/>
      <c r="B39" s="303"/>
      <c r="C39" s="151"/>
      <c r="D39" s="151"/>
      <c r="E39" s="151"/>
      <c r="F39" s="373"/>
      <c r="G39" s="393"/>
      <c r="H39" s="375"/>
      <c r="I39" s="376"/>
      <c r="J39" s="377">
        <f t="shared" si="0"/>
        <v>0</v>
      </c>
      <c r="K39" s="378"/>
      <c r="L39" s="378"/>
      <c r="M39" s="379">
        <f t="shared" si="1"/>
      </c>
      <c r="N39" s="380">
        <f t="shared" si="2"/>
      </c>
      <c r="O39" s="381"/>
      <c r="P39" s="283">
        <f t="shared" si="3"/>
      </c>
      <c r="Q39" s="382">
        <f t="shared" si="14"/>
      </c>
      <c r="R39" s="181">
        <f t="shared" si="15"/>
      </c>
      <c r="S39" s="383">
        <f t="shared" si="4"/>
        <v>20</v>
      </c>
      <c r="T39" s="438" t="str">
        <f t="shared" si="5"/>
        <v>--</v>
      </c>
      <c r="U39" s="439" t="str">
        <f t="shared" si="6"/>
        <v>--</v>
      </c>
      <c r="V39" s="386" t="str">
        <f t="shared" si="7"/>
        <v>--</v>
      </c>
      <c r="W39" s="387" t="str">
        <f t="shared" si="8"/>
        <v>--</v>
      </c>
      <c r="X39" s="388" t="str">
        <f t="shared" si="9"/>
        <v>--</v>
      </c>
      <c r="Y39" s="389" t="str">
        <f t="shared" si="10"/>
        <v>--</v>
      </c>
      <c r="Z39" s="390" t="str">
        <f t="shared" si="11"/>
        <v>--</v>
      </c>
      <c r="AA39" s="391" t="str">
        <f t="shared" si="12"/>
        <v>--</v>
      </c>
      <c r="AB39" s="455">
        <f t="shared" si="16"/>
      </c>
      <c r="AC39" s="456">
        <f t="shared" si="13"/>
      </c>
      <c r="AD39" s="100"/>
    </row>
    <row r="40" spans="1:30" s="8" customFormat="1" ht="16.5" customHeight="1" thickBot="1">
      <c r="A40" s="90"/>
      <c r="B40" s="303"/>
      <c r="C40" s="394"/>
      <c r="D40" s="394"/>
      <c r="E40" s="394"/>
      <c r="F40" s="394"/>
      <c r="G40" s="394"/>
      <c r="H40" s="394"/>
      <c r="I40" s="396"/>
      <c r="J40" s="397"/>
      <c r="K40" s="398"/>
      <c r="L40" s="399"/>
      <c r="M40" s="400"/>
      <c r="N40" s="401"/>
      <c r="O40" s="402"/>
      <c r="P40" s="217"/>
      <c r="Q40" s="403"/>
      <c r="R40" s="402"/>
      <c r="S40" s="457"/>
      <c r="T40" s="441"/>
      <c r="U40" s="442"/>
      <c r="V40" s="443"/>
      <c r="W40" s="444"/>
      <c r="X40" s="445"/>
      <c r="Y40" s="446"/>
      <c r="Z40" s="447"/>
      <c r="AA40" s="448"/>
      <c r="AB40" s="449"/>
      <c r="AC40" s="414"/>
      <c r="AD40" s="100"/>
    </row>
    <row r="41" spans="1:30" s="8" customFormat="1" ht="16.5" customHeight="1" thickBot="1" thickTop="1">
      <c r="A41" s="90"/>
      <c r="B41" s="303"/>
      <c r="C41" s="230" t="s">
        <v>172</v>
      </c>
      <c r="D41" s="450"/>
      <c r="E41" s="230"/>
      <c r="F41" s="232"/>
      <c r="G41" s="84"/>
      <c r="H41" s="84"/>
      <c r="I41" s="84"/>
      <c r="J41" s="84"/>
      <c r="K41" s="84"/>
      <c r="L41" s="330"/>
      <c r="M41" s="84"/>
      <c r="N41" s="84"/>
      <c r="O41" s="84"/>
      <c r="P41" s="84"/>
      <c r="Q41" s="84"/>
      <c r="R41" s="84"/>
      <c r="S41" s="84"/>
      <c r="T41" s="415">
        <f aca="true" t="shared" si="17" ref="T41:AA41">SUM(T18:T40)</f>
        <v>424.9080000000001</v>
      </c>
      <c r="U41" s="416">
        <f t="shared" si="17"/>
        <v>0</v>
      </c>
      <c r="V41" s="417">
        <f t="shared" si="17"/>
        <v>57420</v>
      </c>
      <c r="W41" s="418">
        <f t="shared" si="17"/>
        <v>80005.20000000001</v>
      </c>
      <c r="X41" s="419">
        <f t="shared" si="17"/>
        <v>0</v>
      </c>
      <c r="Y41" s="420">
        <f t="shared" si="17"/>
        <v>0</v>
      </c>
      <c r="Z41" s="421">
        <f t="shared" si="17"/>
        <v>0</v>
      </c>
      <c r="AA41" s="422">
        <f t="shared" si="17"/>
        <v>0</v>
      </c>
      <c r="AB41" s="90"/>
      <c r="AC41" s="423">
        <f>ROUND(SUM(AC18:AC40),2)</f>
        <v>137850.11</v>
      </c>
      <c r="AD41" s="100"/>
    </row>
    <row r="42" spans="1:30" s="8" customFormat="1" ht="16.5" customHeight="1" thickBot="1" thickTop="1">
      <c r="A42" s="90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6"/>
    </row>
    <row r="43" spans="1:31" ht="16.5" customHeight="1" thickTop="1">
      <c r="A43" s="427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</row>
    <row r="44" spans="1:31" ht="16.5" customHeight="1">
      <c r="A44" s="427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</row>
    <row r="45" spans="1:31" ht="16.5" customHeight="1">
      <c r="A45" s="427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</row>
    <row r="46" spans="1:31" ht="16.5" customHeight="1">
      <c r="A46" s="427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</row>
    <row r="47" spans="6:31" ht="16.5" customHeight="1"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</row>
    <row r="48" spans="6:31" ht="16.5" customHeight="1"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</row>
    <row r="49" spans="6:31" ht="16.5" customHeight="1"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</row>
    <row r="50" spans="6:31" ht="16.5" customHeight="1"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</row>
    <row r="51" spans="6:31" ht="16.5" customHeight="1"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</row>
    <row r="52" spans="6:31" ht="16.5" customHeight="1"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</row>
    <row r="53" spans="6:31" ht="16.5" customHeight="1"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</row>
    <row r="54" spans="6:31" ht="16.5" customHeight="1"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</row>
    <row r="55" spans="6:31" ht="16.5" customHeight="1"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</row>
    <row r="56" spans="6:31" ht="16.5" customHeight="1"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</row>
    <row r="57" spans="6:31" ht="16.5" customHeight="1"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</row>
    <row r="58" spans="6:31" ht="16.5" customHeight="1"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</row>
    <row r="59" spans="6:31" ht="16.5" customHeight="1"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</row>
    <row r="60" spans="6:31" ht="16.5" customHeight="1"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</row>
    <row r="61" spans="6:31" ht="16.5" customHeight="1"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</row>
    <row r="62" spans="6:31" ht="16.5" customHeight="1"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</row>
    <row r="63" spans="6:31" ht="16.5" customHeight="1"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</row>
    <row r="64" spans="6:31" ht="16.5" customHeight="1"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</row>
    <row r="65" spans="6:31" ht="16.5" customHeight="1"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</row>
    <row r="66" spans="6:31" ht="16.5" customHeight="1"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</row>
    <row r="67" spans="6:31" ht="16.5" customHeight="1"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</row>
    <row r="68" spans="6:31" ht="16.5" customHeight="1"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</row>
    <row r="69" spans="6:31" ht="16.5" customHeight="1"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</row>
    <row r="70" spans="6:31" ht="16.5" customHeight="1"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</row>
    <row r="71" spans="6:31" ht="16.5" customHeight="1"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</row>
    <row r="72" spans="6:31" ht="16.5" customHeight="1"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</row>
    <row r="73" spans="6:31" ht="16.5" customHeight="1"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</row>
    <row r="74" spans="6:31" ht="16.5" customHeight="1"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</row>
    <row r="75" spans="6:31" ht="16.5" customHeight="1"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</row>
    <row r="76" spans="6:31" ht="16.5" customHeight="1"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</row>
    <row r="77" spans="6:31" ht="16.5" customHeight="1"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</row>
    <row r="78" spans="6:31" ht="16.5" customHeight="1"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</row>
    <row r="79" spans="6:31" ht="16.5" customHeight="1"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</row>
    <row r="80" spans="6:31" ht="16.5" customHeight="1"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</row>
    <row r="81" spans="6:31" ht="16.5" customHeight="1"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  <c r="AD81" s="428"/>
      <c r="AE81" s="428"/>
    </row>
    <row r="82" spans="6:31" ht="16.5" customHeight="1"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</row>
    <row r="83" spans="6:31" ht="16.5" customHeight="1"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</row>
    <row r="84" spans="6:31" ht="16.5" customHeight="1"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</row>
    <row r="85" spans="6:31" ht="16.5" customHeight="1"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</row>
    <row r="86" spans="6:31" ht="16.5" customHeight="1"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</row>
    <row r="87" spans="6:31" ht="16.5" customHeight="1"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</row>
    <row r="88" spans="6:31" ht="16.5" customHeight="1"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</row>
    <row r="89" spans="6:31" ht="16.5" customHeight="1"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  <c r="AD89" s="428"/>
      <c r="AE89" s="428"/>
    </row>
    <row r="90" spans="6:31" ht="16.5" customHeight="1"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</row>
    <row r="91" spans="6:31" ht="16.5" customHeight="1"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</row>
    <row r="92" spans="6:31" ht="16.5" customHeight="1"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</row>
    <row r="93" spans="6:31" ht="16.5" customHeight="1"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</row>
    <row r="94" spans="6:31" ht="16.5" customHeight="1"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</row>
    <row r="95" spans="6:31" ht="16.5" customHeight="1"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</row>
    <row r="96" spans="6:31" ht="16.5" customHeight="1"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</row>
    <row r="97" spans="6:31" ht="16.5" customHeight="1"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</row>
    <row r="98" spans="6:31" ht="16.5" customHeight="1"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  <c r="AB98" s="428"/>
      <c r="AC98" s="428"/>
      <c r="AD98" s="428"/>
      <c r="AE98" s="428"/>
    </row>
    <row r="99" spans="6:31" ht="16.5" customHeight="1"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</row>
    <row r="100" spans="6:31" ht="16.5" customHeight="1"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</row>
    <row r="101" spans="6:31" ht="16.5" customHeight="1"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</row>
    <row r="102" spans="6:31" ht="16.5" customHeight="1"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</row>
    <row r="103" spans="6:31" ht="16.5" customHeight="1"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</row>
    <row r="104" spans="6:31" ht="16.5" customHeight="1"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</row>
    <row r="105" spans="6:31" ht="16.5" customHeight="1"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</row>
    <row r="106" spans="6:31" ht="16.5" customHeight="1"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</row>
    <row r="107" spans="6:31" ht="16.5" customHeight="1"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</row>
    <row r="108" spans="6:31" ht="16.5" customHeight="1"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</row>
    <row r="109" spans="6:31" ht="16.5" customHeight="1"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</row>
    <row r="110" spans="6:31" ht="16.5" customHeight="1"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</row>
    <row r="111" spans="6:31" ht="16.5" customHeight="1"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</row>
    <row r="112" spans="6:31" ht="16.5" customHeight="1"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</row>
    <row r="113" spans="6:31" ht="16.5" customHeight="1"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</row>
    <row r="114" spans="6:31" ht="16.5" customHeight="1"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</row>
    <row r="115" spans="6:31" ht="16.5" customHeight="1"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</row>
    <row r="116" spans="6:31" ht="16.5" customHeight="1"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</row>
    <row r="117" spans="6:31" ht="16.5" customHeight="1"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</row>
    <row r="118" spans="6:31" ht="16.5" customHeight="1"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</row>
    <row r="119" spans="6:31" ht="16.5" customHeight="1"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</row>
    <row r="120" spans="6:31" ht="16.5" customHeight="1"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</row>
    <row r="121" spans="6:31" ht="16.5" customHeight="1"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  <c r="AB121" s="428"/>
      <c r="AC121" s="428"/>
      <c r="AD121" s="428"/>
      <c r="AE121" s="428"/>
    </row>
    <row r="122" spans="6:31" ht="16.5" customHeight="1"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8"/>
    </row>
    <row r="123" spans="6:31" ht="16.5" customHeight="1"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</row>
    <row r="124" spans="6:31" ht="16.5" customHeight="1"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8"/>
      <c r="AC124" s="428"/>
      <c r="AD124" s="428"/>
      <c r="AE124" s="428"/>
    </row>
    <row r="125" spans="6:31" ht="16.5" customHeight="1"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</row>
    <row r="126" spans="6:31" ht="16.5" customHeight="1"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</row>
    <row r="127" spans="6:31" ht="16.5" customHeight="1"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  <c r="Z127" s="428"/>
      <c r="AA127" s="428"/>
      <c r="AB127" s="428"/>
      <c r="AC127" s="428"/>
      <c r="AD127" s="428"/>
      <c r="AE127" s="428"/>
    </row>
    <row r="128" spans="6:31" ht="16.5" customHeight="1"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</row>
    <row r="129" spans="6:31" ht="16.5" customHeight="1"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  <c r="AD129" s="428"/>
      <c r="AE129" s="428"/>
    </row>
    <row r="130" spans="6:31" ht="16.5" customHeight="1"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</row>
    <row r="131" spans="6:31" ht="16.5" customHeight="1"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  <c r="AB131" s="428"/>
      <c r="AC131" s="428"/>
      <c r="AD131" s="428"/>
      <c r="AE131" s="428"/>
    </row>
    <row r="132" spans="6:31" ht="16.5" customHeight="1"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  <c r="AB132" s="428"/>
      <c r="AC132" s="428"/>
      <c r="AD132" s="428"/>
      <c r="AE132" s="428"/>
    </row>
    <row r="133" spans="6:31" ht="16.5" customHeight="1"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</row>
    <row r="134" spans="6:31" ht="16.5" customHeight="1"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  <c r="AB134" s="428"/>
      <c r="AC134" s="428"/>
      <c r="AD134" s="428"/>
      <c r="AE134" s="428"/>
    </row>
    <row r="135" spans="6:31" ht="16.5" customHeight="1"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</row>
    <row r="136" spans="6:31" ht="16.5" customHeight="1"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  <c r="AD136" s="428"/>
      <c r="AE136" s="428"/>
    </row>
    <row r="137" spans="6:31" ht="16.5" customHeight="1"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  <c r="AB137" s="428"/>
      <c r="AC137" s="428"/>
      <c r="AD137" s="428"/>
      <c r="AE137" s="428"/>
    </row>
    <row r="138" spans="6:31" ht="16.5" customHeight="1"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</row>
    <row r="139" spans="6:31" ht="16.5" customHeight="1"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8"/>
      <c r="AA139" s="428"/>
      <c r="AB139" s="428"/>
      <c r="AC139" s="428"/>
      <c r="AD139" s="428"/>
      <c r="AE139" s="428"/>
    </row>
    <row r="140" spans="6:31" ht="16.5" customHeight="1"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  <c r="Z140" s="428"/>
      <c r="AA140" s="428"/>
      <c r="AB140" s="428"/>
      <c r="AC140" s="428"/>
      <c r="AD140" s="428"/>
      <c r="AE140" s="428"/>
    </row>
    <row r="141" spans="6:31" ht="16.5" customHeight="1"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  <c r="Z141" s="428"/>
      <c r="AA141" s="428"/>
      <c r="AB141" s="428"/>
      <c r="AC141" s="428"/>
      <c r="AD141" s="428"/>
      <c r="AE141" s="428"/>
    </row>
    <row r="142" spans="6:31" ht="16.5" customHeight="1"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  <c r="AB142" s="428"/>
      <c r="AC142" s="428"/>
      <c r="AD142" s="428"/>
      <c r="AE142" s="428"/>
    </row>
    <row r="143" spans="6:31" ht="16.5" customHeight="1"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8"/>
      <c r="Z143" s="428"/>
      <c r="AA143" s="428"/>
      <c r="AB143" s="428"/>
      <c r="AC143" s="428"/>
      <c r="AD143" s="428"/>
      <c r="AE143" s="428"/>
    </row>
    <row r="144" spans="6:31" ht="16.5" customHeight="1"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8"/>
      <c r="AC144" s="428"/>
      <c r="AD144" s="428"/>
      <c r="AE144" s="428"/>
    </row>
    <row r="145" spans="6:31" ht="16.5" customHeight="1"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</row>
    <row r="146" spans="6:31" ht="16.5" customHeight="1"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  <c r="AB146" s="428"/>
      <c r="AC146" s="428"/>
      <c r="AD146" s="428"/>
      <c r="AE146" s="428"/>
    </row>
    <row r="147" spans="6:31" ht="16.5" customHeight="1"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8"/>
      <c r="AB147" s="428"/>
      <c r="AC147" s="428"/>
      <c r="AD147" s="428"/>
      <c r="AE147" s="428"/>
    </row>
    <row r="148" spans="6:31" ht="16.5" customHeight="1"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  <c r="AB148" s="428"/>
      <c r="AC148" s="428"/>
      <c r="AD148" s="428"/>
      <c r="AE148" s="428"/>
    </row>
    <row r="149" spans="6:31" ht="16.5" customHeight="1"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  <c r="Z149" s="428"/>
      <c r="AA149" s="428"/>
      <c r="AB149" s="428"/>
      <c r="AC149" s="428"/>
      <c r="AD149" s="428"/>
      <c r="AE149" s="428"/>
    </row>
    <row r="150" spans="6:31" ht="16.5" customHeight="1"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  <c r="Z150" s="428"/>
      <c r="AA150" s="428"/>
      <c r="AB150" s="428"/>
      <c r="AC150" s="428"/>
      <c r="AD150" s="428"/>
      <c r="AE150" s="428"/>
    </row>
    <row r="151" ht="16.5" customHeight="1">
      <c r="AE151" s="428"/>
    </row>
    <row r="152" ht="16.5" customHeight="1">
      <c r="AE152" s="428"/>
    </row>
    <row r="153" ht="16.5" customHeight="1">
      <c r="AE153" s="428"/>
    </row>
    <row r="154" ht="16.5" customHeight="1">
      <c r="AE154" s="428"/>
    </row>
    <row r="155" ht="16.5" customHeight="1"/>
    <row r="156" ht="16.5" customHeight="1"/>
    <row r="1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291"/>
    </row>
    <row r="2" spans="1:30" s="3" customFormat="1" ht="26.25">
      <c r="A2" s="89"/>
      <c r="B2" s="292" t="str">
        <f>+'TOT-0115'!B2</f>
        <v>ANEXO II al Memorándum D.T.E.E. N°  90 /2016</v>
      </c>
      <c r="C2" s="292"/>
      <c r="D2" s="292"/>
      <c r="E2" s="292"/>
      <c r="F2" s="292"/>
      <c r="G2" s="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</row>
    <row r="3" spans="1:30" s="8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14" customFormat="1" ht="11.25">
      <c r="A4" s="293" t="s">
        <v>53</v>
      </c>
      <c r="B4" s="294"/>
      <c r="C4" s="294"/>
      <c r="D4" s="294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</row>
    <row r="5" spans="1:30" s="14" customFormat="1" ht="11.25">
      <c r="A5" s="293" t="s">
        <v>3</v>
      </c>
      <c r="B5" s="294"/>
      <c r="C5" s="294"/>
      <c r="D5" s="294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</row>
    <row r="6" spans="1:30" s="8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8" customFormat="1" ht="13.5" thickTop="1">
      <c r="A7" s="90"/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95"/>
    </row>
    <row r="8" spans="1:30" s="18" customFormat="1" ht="20.25">
      <c r="A8" s="298"/>
      <c r="B8" s="299"/>
      <c r="C8" s="300"/>
      <c r="D8" s="300"/>
      <c r="E8" s="298"/>
      <c r="F8" s="301" t="s">
        <v>24</v>
      </c>
      <c r="G8" s="298"/>
      <c r="H8" s="298"/>
      <c r="I8" s="302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99"/>
    </row>
    <row r="9" spans="1:30" s="8" customFormat="1" ht="12.75">
      <c r="A9" s="90"/>
      <c r="B9" s="303"/>
      <c r="C9" s="84"/>
      <c r="D9" s="84"/>
      <c r="E9" s="90"/>
      <c r="F9" s="84"/>
      <c r="G9" s="304"/>
      <c r="H9" s="90"/>
      <c r="I9" s="84"/>
      <c r="J9" s="90"/>
      <c r="K9" s="90"/>
      <c r="L9" s="90"/>
      <c r="M9" s="90"/>
      <c r="N9" s="90"/>
      <c r="O9" s="90"/>
      <c r="P9" s="90"/>
      <c r="Q9" s="90"/>
      <c r="R9" s="90"/>
      <c r="S9" s="90"/>
      <c r="T9" s="84"/>
      <c r="U9" s="84"/>
      <c r="V9" s="84"/>
      <c r="W9" s="84"/>
      <c r="X9" s="84"/>
      <c r="Y9" s="84"/>
      <c r="Z9" s="84"/>
      <c r="AA9" s="84"/>
      <c r="AB9" s="84"/>
      <c r="AC9" s="84"/>
      <c r="AD9" s="100"/>
    </row>
    <row r="10" spans="1:30" s="250" customFormat="1" ht="33" customHeight="1">
      <c r="A10" s="451"/>
      <c r="B10" s="452"/>
      <c r="C10" s="453"/>
      <c r="D10" s="453"/>
      <c r="E10" s="451"/>
      <c r="F10" s="429" t="s">
        <v>54</v>
      </c>
      <c r="G10" s="451"/>
      <c r="H10" s="454"/>
      <c r="I10" s="453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254"/>
    </row>
    <row r="11" spans="1:30" s="255" customFormat="1" ht="33" customHeight="1">
      <c r="A11" s="430"/>
      <c r="B11" s="431"/>
      <c r="C11" s="432"/>
      <c r="D11" s="432"/>
      <c r="E11" s="430"/>
      <c r="F11" s="275" t="s">
        <v>246</v>
      </c>
      <c r="G11" s="432"/>
      <c r="H11" s="432"/>
      <c r="I11" s="433"/>
      <c r="J11" s="432"/>
      <c r="K11" s="432"/>
      <c r="L11" s="432"/>
      <c r="M11" s="432"/>
      <c r="N11" s="432"/>
      <c r="O11" s="430"/>
      <c r="P11" s="430"/>
      <c r="Q11" s="430"/>
      <c r="R11" s="430"/>
      <c r="S11" s="430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259"/>
    </row>
    <row r="12" spans="1:30" s="34" customFormat="1" ht="19.5">
      <c r="A12" s="320"/>
      <c r="B12" s="35" t="str">
        <f>'TOT-0115'!B14</f>
        <v>Desde el 01 al 31 de enero de 2015</v>
      </c>
      <c r="C12" s="39"/>
      <c r="D12" s="39"/>
      <c r="E12" s="321"/>
      <c r="F12" s="322"/>
      <c r="G12" s="322"/>
      <c r="H12" s="322"/>
      <c r="I12" s="322"/>
      <c r="J12" s="322"/>
      <c r="K12" s="322"/>
      <c r="L12" s="322"/>
      <c r="M12" s="322"/>
      <c r="N12" s="322"/>
      <c r="O12" s="321"/>
      <c r="P12" s="321"/>
      <c r="Q12" s="321"/>
      <c r="R12" s="321"/>
      <c r="S12" s="321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3"/>
    </row>
    <row r="13" spans="1:30" s="8" customFormat="1" ht="13.5" thickBot="1">
      <c r="A13" s="90"/>
      <c r="B13" s="303"/>
      <c r="C13" s="84"/>
      <c r="D13" s="84"/>
      <c r="E13" s="90"/>
      <c r="F13" s="84"/>
      <c r="G13" s="84"/>
      <c r="H13" s="84"/>
      <c r="I13" s="319"/>
      <c r="J13" s="84"/>
      <c r="K13" s="84"/>
      <c r="L13" s="84"/>
      <c r="M13" s="84"/>
      <c r="N13" s="84"/>
      <c r="O13" s="90"/>
      <c r="P13" s="90"/>
      <c r="Q13" s="90"/>
      <c r="R13" s="90"/>
      <c r="S13" s="90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00"/>
    </row>
    <row r="14" spans="1:30" s="8" customFormat="1" ht="16.5" customHeight="1" thickBot="1" thickTop="1">
      <c r="A14" s="90"/>
      <c r="B14" s="303"/>
      <c r="C14" s="84"/>
      <c r="D14" s="84"/>
      <c r="E14" s="90"/>
      <c r="F14" s="324" t="s">
        <v>56</v>
      </c>
      <c r="G14" s="325"/>
      <c r="H14" s="326">
        <v>0.7158</v>
      </c>
      <c r="J14" s="90"/>
      <c r="K14" s="90"/>
      <c r="L14" s="90"/>
      <c r="M14" s="90"/>
      <c r="N14" s="90"/>
      <c r="O14" s="90"/>
      <c r="P14" s="90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100"/>
    </row>
    <row r="15" spans="1:30" s="8" customFormat="1" ht="16.5" customHeight="1" thickBot="1" thickTop="1">
      <c r="A15" s="90"/>
      <c r="B15" s="303"/>
      <c r="C15" s="84"/>
      <c r="D15" s="84"/>
      <c r="E15" s="90"/>
      <c r="F15" s="327" t="s">
        <v>57</v>
      </c>
      <c r="G15" s="328"/>
      <c r="H15" s="329">
        <v>200</v>
      </c>
      <c r="I15" s="9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330"/>
      <c r="X15" s="330"/>
      <c r="Y15" s="330"/>
      <c r="Z15" s="330"/>
      <c r="AA15" s="330"/>
      <c r="AB15" s="330"/>
      <c r="AC15" s="90"/>
      <c r="AD15" s="100"/>
    </row>
    <row r="16" spans="1:30" s="8" customFormat="1" ht="16.5" customHeight="1" thickBot="1" thickTop="1">
      <c r="A16" s="90"/>
      <c r="B16" s="303"/>
      <c r="C16" s="331">
        <v>3</v>
      </c>
      <c r="D16" s="331">
        <v>4</v>
      </c>
      <c r="E16" s="331">
        <v>5</v>
      </c>
      <c r="F16" s="331">
        <v>6</v>
      </c>
      <c r="G16" s="331">
        <v>7</v>
      </c>
      <c r="H16" s="331">
        <v>8</v>
      </c>
      <c r="I16" s="331">
        <v>9</v>
      </c>
      <c r="J16" s="331">
        <v>10</v>
      </c>
      <c r="K16" s="331">
        <v>11</v>
      </c>
      <c r="L16" s="331">
        <v>12</v>
      </c>
      <c r="M16" s="331">
        <v>13</v>
      </c>
      <c r="N16" s="331">
        <v>14</v>
      </c>
      <c r="O16" s="331">
        <v>15</v>
      </c>
      <c r="P16" s="331">
        <v>16</v>
      </c>
      <c r="Q16" s="331">
        <v>17</v>
      </c>
      <c r="R16" s="331">
        <v>18</v>
      </c>
      <c r="S16" s="331">
        <v>19</v>
      </c>
      <c r="T16" s="331">
        <v>20</v>
      </c>
      <c r="U16" s="331">
        <v>21</v>
      </c>
      <c r="V16" s="331">
        <v>22</v>
      </c>
      <c r="W16" s="331">
        <v>23</v>
      </c>
      <c r="X16" s="331">
        <v>24</v>
      </c>
      <c r="Y16" s="331">
        <v>25</v>
      </c>
      <c r="Z16" s="331">
        <v>26</v>
      </c>
      <c r="AA16" s="331">
        <v>27</v>
      </c>
      <c r="AB16" s="331">
        <v>28</v>
      </c>
      <c r="AC16" s="331">
        <v>29</v>
      </c>
      <c r="AD16" s="100"/>
    </row>
    <row r="17" spans="1:30" s="8" customFormat="1" ht="33.75" customHeight="1" thickBot="1" thickTop="1">
      <c r="A17" s="90"/>
      <c r="B17" s="303"/>
      <c r="C17" s="332" t="s">
        <v>29</v>
      </c>
      <c r="D17" s="112" t="s">
        <v>30</v>
      </c>
      <c r="E17" s="112" t="s">
        <v>31</v>
      </c>
      <c r="F17" s="333" t="s">
        <v>58</v>
      </c>
      <c r="G17" s="334" t="s">
        <v>59</v>
      </c>
      <c r="H17" s="335" t="s">
        <v>60</v>
      </c>
      <c r="I17" s="336" t="s">
        <v>32</v>
      </c>
      <c r="J17" s="337" t="s">
        <v>36</v>
      </c>
      <c r="K17" s="334" t="s">
        <v>37</v>
      </c>
      <c r="L17" s="334" t="s">
        <v>38</v>
      </c>
      <c r="M17" s="333" t="s">
        <v>61</v>
      </c>
      <c r="N17" s="333" t="s">
        <v>40</v>
      </c>
      <c r="O17" s="120" t="s">
        <v>171</v>
      </c>
      <c r="P17" s="120" t="s">
        <v>41</v>
      </c>
      <c r="Q17" s="338" t="s">
        <v>43</v>
      </c>
      <c r="R17" s="334" t="s">
        <v>62</v>
      </c>
      <c r="S17" s="339" t="s">
        <v>35</v>
      </c>
      <c r="T17" s="340" t="s">
        <v>44</v>
      </c>
      <c r="U17" s="341" t="s">
        <v>45</v>
      </c>
      <c r="V17" s="123" t="s">
        <v>63</v>
      </c>
      <c r="W17" s="125"/>
      <c r="X17" s="342" t="s">
        <v>64</v>
      </c>
      <c r="Y17" s="343"/>
      <c r="Z17" s="344" t="s">
        <v>48</v>
      </c>
      <c r="AA17" s="345" t="s">
        <v>49</v>
      </c>
      <c r="AB17" s="131" t="s">
        <v>50</v>
      </c>
      <c r="AC17" s="336" t="s">
        <v>51</v>
      </c>
      <c r="AD17" s="100"/>
    </row>
    <row r="18" spans="1:30" s="8" customFormat="1" ht="16.5" customHeight="1" thickTop="1">
      <c r="A18" s="90"/>
      <c r="B18" s="303"/>
      <c r="C18" s="346"/>
      <c r="D18" s="346"/>
      <c r="E18" s="346"/>
      <c r="F18" s="346"/>
      <c r="G18" s="346"/>
      <c r="H18" s="346"/>
      <c r="I18" s="347"/>
      <c r="J18" s="348"/>
      <c r="K18" s="346"/>
      <c r="L18" s="346"/>
      <c r="M18" s="346"/>
      <c r="N18" s="346"/>
      <c r="O18" s="346"/>
      <c r="P18" s="133"/>
      <c r="Q18" s="458"/>
      <c r="R18" s="134"/>
      <c r="S18" s="459"/>
      <c r="T18" s="460"/>
      <c r="U18" s="461"/>
      <c r="V18" s="353"/>
      <c r="W18" s="354"/>
      <c r="X18" s="462"/>
      <c r="Y18" s="463"/>
      <c r="Z18" s="464"/>
      <c r="AA18" s="465"/>
      <c r="AB18" s="458"/>
      <c r="AC18" s="466"/>
      <c r="AD18" s="100"/>
    </row>
    <row r="19" spans="1:30" s="8" customFormat="1" ht="16.5" customHeight="1">
      <c r="A19" s="90"/>
      <c r="B19" s="303"/>
      <c r="C19" s="151"/>
      <c r="D19" s="151"/>
      <c r="E19" s="151"/>
      <c r="F19" s="151"/>
      <c r="G19" s="151"/>
      <c r="H19" s="151"/>
      <c r="I19" s="360"/>
      <c r="J19" s="361"/>
      <c r="K19" s="151"/>
      <c r="L19" s="151"/>
      <c r="M19" s="151"/>
      <c r="N19" s="151"/>
      <c r="O19" s="151"/>
      <c r="P19" s="467">
        <f aca="true" t="shared" si="0" ref="P19:P39">IF(F19="","","--")</f>
      </c>
      <c r="Q19" s="436">
        <f>IF(F19="","",IF(OR(O19="P",O19="RP"),"--","NO"))</f>
      </c>
      <c r="R19" s="437">
        <f aca="true" t="shared" si="1" ref="R19:R39">IF(F19="","","NO")</f>
      </c>
      <c r="S19" s="435">
        <f aca="true" t="shared" si="2" ref="S19:S39">$H$15*IF(OR(O19="P",O19="RP"),0.1,1)*IF(R19="SI",1,0.1)</f>
        <v>20</v>
      </c>
      <c r="T19" s="468" t="str">
        <f aca="true" t="shared" si="3" ref="T19:T39">IF(O19="P",J19*S19*ROUND(N19/60,2),"--")</f>
        <v>--</v>
      </c>
      <c r="U19" s="469" t="str">
        <f aca="true" t="shared" si="4" ref="U19:U39">IF(O19="RP",J19*S19*P19/100*ROUND(N19/60,2),"--")</f>
        <v>--</v>
      </c>
      <c r="V19" s="386" t="str">
        <f aca="true" t="shared" si="5" ref="V19:V39">IF(AND(O19="F",Q19="NO"),J19*S19,"--")</f>
        <v>--</v>
      </c>
      <c r="W19" s="387" t="str">
        <f aca="true" t="shared" si="6" ref="W19:W39">IF(O19="F",J19*S19*ROUND(N19/60,2),"--")</f>
        <v>--</v>
      </c>
      <c r="X19" s="388" t="str">
        <f aca="true" t="shared" si="7" ref="X19:X39">IF(AND(O19="R",Q19="NO"),J19*S19*P19/100,"--")</f>
        <v>--</v>
      </c>
      <c r="Y19" s="389" t="str">
        <f aca="true" t="shared" si="8" ref="Y19:Y39">IF(O19="R",J19*S19*P19/100*ROUND(N19/60,2),"--")</f>
        <v>--</v>
      </c>
      <c r="Z19" s="470" t="str">
        <f aca="true" t="shared" si="9" ref="Z19:Z39">IF(O19="RF",J19*S19*ROUND(N19/60,2),"--")</f>
        <v>--</v>
      </c>
      <c r="AA19" s="391" t="str">
        <f aca="true" t="shared" si="10" ref="AA19:AA39">IF(O19="RR",J19*S19*P19/100*ROUND(N19/60,2),"--")</f>
        <v>--</v>
      </c>
      <c r="AB19" s="440">
        <f aca="true" t="shared" si="11" ref="AB19:AB39">IF(F19="","","SI")</f>
      </c>
      <c r="AC19" s="372"/>
      <c r="AD19" s="100"/>
    </row>
    <row r="20" spans="1:30" s="8" customFormat="1" ht="16.5" customHeight="1">
      <c r="A20" s="90"/>
      <c r="B20" s="303"/>
      <c r="C20" s="151">
        <v>29</v>
      </c>
      <c r="D20" s="151">
        <v>283837</v>
      </c>
      <c r="E20" s="170">
        <v>5040</v>
      </c>
      <c r="F20" s="373" t="s">
        <v>242</v>
      </c>
      <c r="G20" s="374" t="s">
        <v>244</v>
      </c>
      <c r="H20" s="375">
        <v>450</v>
      </c>
      <c r="I20" s="1098" t="s">
        <v>243</v>
      </c>
      <c r="J20" s="377">
        <f aca="true" t="shared" si="12" ref="J20:J39">H20*$H$14</f>
        <v>322.11</v>
      </c>
      <c r="K20" s="378">
        <v>42029.21597222222</v>
      </c>
      <c r="L20" s="378">
        <v>42029.527083333334</v>
      </c>
      <c r="M20" s="379">
        <f aca="true" t="shared" si="13" ref="M20:M39">IF(F20="","",(L20-K20)*24)</f>
        <v>7.466666666732635</v>
      </c>
      <c r="N20" s="380">
        <f aca="true" t="shared" si="14" ref="N20:N39">IF(F20="","",ROUND((L20-K20)*24*60,0))</f>
        <v>448</v>
      </c>
      <c r="O20" s="381" t="s">
        <v>187</v>
      </c>
      <c r="P20" s="283" t="str">
        <f t="shared" si="0"/>
        <v>--</v>
      </c>
      <c r="Q20" s="382" t="str">
        <f>IF(F20="","",IF(OR(O20="P",O20="RP"),"--","NO"))</f>
        <v>--</v>
      </c>
      <c r="R20" s="181" t="str">
        <f t="shared" si="1"/>
        <v>NO</v>
      </c>
      <c r="S20" s="383">
        <f t="shared" si="2"/>
        <v>2</v>
      </c>
      <c r="T20" s="438">
        <f t="shared" si="3"/>
        <v>4812.3234</v>
      </c>
      <c r="U20" s="439" t="str">
        <f t="shared" si="4"/>
        <v>--</v>
      </c>
      <c r="V20" s="386" t="str">
        <f t="shared" si="5"/>
        <v>--</v>
      </c>
      <c r="W20" s="387" t="str">
        <f t="shared" si="6"/>
        <v>--</v>
      </c>
      <c r="X20" s="388" t="str">
        <f t="shared" si="7"/>
        <v>--</v>
      </c>
      <c r="Y20" s="389" t="str">
        <f t="shared" si="8"/>
        <v>--</v>
      </c>
      <c r="Z20" s="390" t="str">
        <f t="shared" si="9"/>
        <v>--</v>
      </c>
      <c r="AA20" s="391" t="str">
        <f t="shared" si="10"/>
        <v>--</v>
      </c>
      <c r="AB20" s="455" t="str">
        <f t="shared" si="11"/>
        <v>SI</v>
      </c>
      <c r="AC20" s="456">
        <f aca="true" t="shared" si="15" ref="AC20:AC39">IF(F20="","",SUM(T20:AA20)*IF(AB20="SI",1,2)*IF(AND(P20&lt;&gt;"--",O20="RF"),P20/100,1))</f>
        <v>4812.3234</v>
      </c>
      <c r="AD20" s="100"/>
    </row>
    <row r="21" spans="1:30" s="8" customFormat="1" ht="16.5" customHeight="1">
      <c r="A21" s="90"/>
      <c r="B21" s="303"/>
      <c r="C21" s="151"/>
      <c r="D21" s="151"/>
      <c r="E21" s="151"/>
      <c r="F21" s="373"/>
      <c r="G21" s="374"/>
      <c r="H21" s="375"/>
      <c r="I21" s="376"/>
      <c r="J21" s="377">
        <f t="shared" si="12"/>
        <v>0</v>
      </c>
      <c r="K21" s="378"/>
      <c r="L21" s="378"/>
      <c r="M21" s="379">
        <f t="shared" si="13"/>
      </c>
      <c r="N21" s="380">
        <f t="shared" si="14"/>
      </c>
      <c r="O21" s="381"/>
      <c r="P21" s="283">
        <f t="shared" si="0"/>
      </c>
      <c r="Q21" s="382">
        <f aca="true" t="shared" si="16" ref="Q21:Q39">IF(F21="","",IF(O21="P","--","NO"))</f>
      </c>
      <c r="R21" s="181">
        <f t="shared" si="1"/>
      </c>
      <c r="S21" s="383">
        <f t="shared" si="2"/>
        <v>20</v>
      </c>
      <c r="T21" s="438" t="str">
        <f t="shared" si="3"/>
        <v>--</v>
      </c>
      <c r="U21" s="439" t="str">
        <f t="shared" si="4"/>
        <v>--</v>
      </c>
      <c r="V21" s="386" t="str">
        <f t="shared" si="5"/>
        <v>--</v>
      </c>
      <c r="W21" s="387" t="str">
        <f t="shared" si="6"/>
        <v>--</v>
      </c>
      <c r="X21" s="388" t="str">
        <f t="shared" si="7"/>
        <v>--</v>
      </c>
      <c r="Y21" s="389" t="str">
        <f t="shared" si="8"/>
        <v>--</v>
      </c>
      <c r="Z21" s="390" t="str">
        <f t="shared" si="9"/>
        <v>--</v>
      </c>
      <c r="AA21" s="391" t="str">
        <f t="shared" si="10"/>
        <v>--</v>
      </c>
      <c r="AB21" s="455">
        <f t="shared" si="11"/>
      </c>
      <c r="AC21" s="456">
        <f t="shared" si="15"/>
      </c>
      <c r="AD21" s="100"/>
    </row>
    <row r="22" spans="1:30" s="8" customFormat="1" ht="16.5" customHeight="1">
      <c r="A22" s="90"/>
      <c r="B22" s="303"/>
      <c r="C22" s="151"/>
      <c r="D22" s="151"/>
      <c r="E22" s="170"/>
      <c r="F22" s="373"/>
      <c r="G22" s="374"/>
      <c r="H22" s="375"/>
      <c r="I22" s="376"/>
      <c r="J22" s="377">
        <f t="shared" si="12"/>
        <v>0</v>
      </c>
      <c r="K22" s="378"/>
      <c r="L22" s="378"/>
      <c r="M22" s="379">
        <f t="shared" si="13"/>
      </c>
      <c r="N22" s="380">
        <f t="shared" si="14"/>
      </c>
      <c r="O22" s="381"/>
      <c r="P22" s="283">
        <f t="shared" si="0"/>
      </c>
      <c r="Q22" s="382">
        <f t="shared" si="16"/>
      </c>
      <c r="R22" s="181">
        <f t="shared" si="1"/>
      </c>
      <c r="S22" s="383">
        <f t="shared" si="2"/>
        <v>20</v>
      </c>
      <c r="T22" s="438" t="str">
        <f t="shared" si="3"/>
        <v>--</v>
      </c>
      <c r="U22" s="439" t="str">
        <f t="shared" si="4"/>
        <v>--</v>
      </c>
      <c r="V22" s="386" t="str">
        <f t="shared" si="5"/>
        <v>--</v>
      </c>
      <c r="W22" s="387" t="str">
        <f t="shared" si="6"/>
        <v>--</v>
      </c>
      <c r="X22" s="388" t="str">
        <f t="shared" si="7"/>
        <v>--</v>
      </c>
      <c r="Y22" s="389" t="str">
        <f t="shared" si="8"/>
        <v>--</v>
      </c>
      <c r="Z22" s="390" t="str">
        <f t="shared" si="9"/>
        <v>--</v>
      </c>
      <c r="AA22" s="391" t="str">
        <f t="shared" si="10"/>
        <v>--</v>
      </c>
      <c r="AB22" s="455">
        <f t="shared" si="11"/>
      </c>
      <c r="AC22" s="456">
        <f t="shared" si="15"/>
      </c>
      <c r="AD22" s="100"/>
    </row>
    <row r="23" spans="1:30" s="8" customFormat="1" ht="16.5" customHeight="1">
      <c r="A23" s="90"/>
      <c r="B23" s="303"/>
      <c r="C23" s="151"/>
      <c r="D23" s="151"/>
      <c r="E23" s="151"/>
      <c r="F23" s="373"/>
      <c r="G23" s="374"/>
      <c r="H23" s="375"/>
      <c r="I23" s="376"/>
      <c r="J23" s="377">
        <f t="shared" si="12"/>
        <v>0</v>
      </c>
      <c r="K23" s="378"/>
      <c r="L23" s="378"/>
      <c r="M23" s="379">
        <f t="shared" si="13"/>
      </c>
      <c r="N23" s="380">
        <f t="shared" si="14"/>
      </c>
      <c r="O23" s="381"/>
      <c r="P23" s="283">
        <f t="shared" si="0"/>
      </c>
      <c r="Q23" s="382">
        <f t="shared" si="16"/>
      </c>
      <c r="R23" s="181">
        <f t="shared" si="1"/>
      </c>
      <c r="S23" s="383">
        <f t="shared" si="2"/>
        <v>20</v>
      </c>
      <c r="T23" s="438" t="str">
        <f t="shared" si="3"/>
        <v>--</v>
      </c>
      <c r="U23" s="439" t="str">
        <f t="shared" si="4"/>
        <v>--</v>
      </c>
      <c r="V23" s="386" t="str">
        <f t="shared" si="5"/>
        <v>--</v>
      </c>
      <c r="W23" s="387" t="str">
        <f t="shared" si="6"/>
        <v>--</v>
      </c>
      <c r="X23" s="388" t="str">
        <f t="shared" si="7"/>
        <v>--</v>
      </c>
      <c r="Y23" s="389" t="str">
        <f t="shared" si="8"/>
        <v>--</v>
      </c>
      <c r="Z23" s="390" t="str">
        <f t="shared" si="9"/>
        <v>--</v>
      </c>
      <c r="AA23" s="391" t="str">
        <f t="shared" si="10"/>
        <v>--</v>
      </c>
      <c r="AB23" s="455">
        <f t="shared" si="11"/>
      </c>
      <c r="AC23" s="456">
        <f t="shared" si="15"/>
      </c>
      <c r="AD23" s="100"/>
    </row>
    <row r="24" spans="1:30" s="8" customFormat="1" ht="16.5" customHeight="1">
      <c r="A24" s="90"/>
      <c r="B24" s="303"/>
      <c r="C24" s="151"/>
      <c r="D24" s="151"/>
      <c r="E24" s="170"/>
      <c r="F24" s="373"/>
      <c r="G24" s="374"/>
      <c r="H24" s="375"/>
      <c r="I24" s="376"/>
      <c r="J24" s="377">
        <f t="shared" si="12"/>
        <v>0</v>
      </c>
      <c r="K24" s="378"/>
      <c r="L24" s="378"/>
      <c r="M24" s="379">
        <f t="shared" si="13"/>
      </c>
      <c r="N24" s="380">
        <f t="shared" si="14"/>
      </c>
      <c r="O24" s="381"/>
      <c r="P24" s="283">
        <f t="shared" si="0"/>
      </c>
      <c r="Q24" s="382">
        <f t="shared" si="16"/>
      </c>
      <c r="R24" s="181">
        <f t="shared" si="1"/>
      </c>
      <c r="S24" s="383">
        <f t="shared" si="2"/>
        <v>20</v>
      </c>
      <c r="T24" s="438" t="str">
        <f t="shared" si="3"/>
        <v>--</v>
      </c>
      <c r="U24" s="439" t="str">
        <f t="shared" si="4"/>
        <v>--</v>
      </c>
      <c r="V24" s="386" t="str">
        <f t="shared" si="5"/>
        <v>--</v>
      </c>
      <c r="W24" s="387" t="str">
        <f t="shared" si="6"/>
        <v>--</v>
      </c>
      <c r="X24" s="388" t="str">
        <f t="shared" si="7"/>
        <v>--</v>
      </c>
      <c r="Y24" s="389" t="str">
        <f t="shared" si="8"/>
        <v>--</v>
      </c>
      <c r="Z24" s="390" t="str">
        <f t="shared" si="9"/>
        <v>--</v>
      </c>
      <c r="AA24" s="391" t="str">
        <f t="shared" si="10"/>
        <v>--</v>
      </c>
      <c r="AB24" s="455">
        <f t="shared" si="11"/>
      </c>
      <c r="AC24" s="456">
        <f t="shared" si="15"/>
      </c>
      <c r="AD24" s="100"/>
    </row>
    <row r="25" spans="1:30" s="8" customFormat="1" ht="16.5" customHeight="1">
      <c r="A25" s="90"/>
      <c r="B25" s="303"/>
      <c r="C25" s="151"/>
      <c r="D25" s="151"/>
      <c r="E25" s="151"/>
      <c r="F25" s="373"/>
      <c r="G25" s="374"/>
      <c r="H25" s="375"/>
      <c r="I25" s="376"/>
      <c r="J25" s="377">
        <f t="shared" si="12"/>
        <v>0</v>
      </c>
      <c r="K25" s="378"/>
      <c r="L25" s="378"/>
      <c r="M25" s="379">
        <f t="shared" si="13"/>
      </c>
      <c r="N25" s="380">
        <f t="shared" si="14"/>
      </c>
      <c r="O25" s="381"/>
      <c r="P25" s="283">
        <f t="shared" si="0"/>
      </c>
      <c r="Q25" s="382">
        <f t="shared" si="16"/>
      </c>
      <c r="R25" s="181">
        <f t="shared" si="1"/>
      </c>
      <c r="S25" s="383">
        <f t="shared" si="2"/>
        <v>20</v>
      </c>
      <c r="T25" s="438" t="str">
        <f t="shared" si="3"/>
        <v>--</v>
      </c>
      <c r="U25" s="439" t="str">
        <f t="shared" si="4"/>
        <v>--</v>
      </c>
      <c r="V25" s="386" t="str">
        <f t="shared" si="5"/>
        <v>--</v>
      </c>
      <c r="W25" s="387" t="str">
        <f t="shared" si="6"/>
        <v>--</v>
      </c>
      <c r="X25" s="388" t="str">
        <f t="shared" si="7"/>
        <v>--</v>
      </c>
      <c r="Y25" s="389" t="str">
        <f t="shared" si="8"/>
        <v>--</v>
      </c>
      <c r="Z25" s="390" t="str">
        <f t="shared" si="9"/>
        <v>--</v>
      </c>
      <c r="AA25" s="391" t="str">
        <f t="shared" si="10"/>
        <v>--</v>
      </c>
      <c r="AB25" s="455">
        <f t="shared" si="11"/>
      </c>
      <c r="AC25" s="456">
        <f t="shared" si="15"/>
      </c>
      <c r="AD25" s="100"/>
    </row>
    <row r="26" spans="1:31" s="8" customFormat="1" ht="16.5" customHeight="1">
      <c r="A26" s="90"/>
      <c r="B26" s="303"/>
      <c r="C26" s="151"/>
      <c r="D26" s="151"/>
      <c r="E26" s="170"/>
      <c r="F26" s="373"/>
      <c r="G26" s="374"/>
      <c r="H26" s="375"/>
      <c r="I26" s="376"/>
      <c r="J26" s="377">
        <f t="shared" si="12"/>
        <v>0</v>
      </c>
      <c r="K26" s="378"/>
      <c r="L26" s="378"/>
      <c r="M26" s="379">
        <f t="shared" si="13"/>
      </c>
      <c r="N26" s="380">
        <f t="shared" si="14"/>
      </c>
      <c r="O26" s="381"/>
      <c r="P26" s="283">
        <f t="shared" si="0"/>
      </c>
      <c r="Q26" s="382">
        <f t="shared" si="16"/>
      </c>
      <c r="R26" s="181">
        <f t="shared" si="1"/>
      </c>
      <c r="S26" s="383">
        <f t="shared" si="2"/>
        <v>20</v>
      </c>
      <c r="T26" s="438" t="str">
        <f t="shared" si="3"/>
        <v>--</v>
      </c>
      <c r="U26" s="439" t="str">
        <f t="shared" si="4"/>
        <v>--</v>
      </c>
      <c r="V26" s="386" t="str">
        <f t="shared" si="5"/>
        <v>--</v>
      </c>
      <c r="W26" s="387" t="str">
        <f t="shared" si="6"/>
        <v>--</v>
      </c>
      <c r="X26" s="388" t="str">
        <f t="shared" si="7"/>
        <v>--</v>
      </c>
      <c r="Y26" s="389" t="str">
        <f t="shared" si="8"/>
        <v>--</v>
      </c>
      <c r="Z26" s="390" t="str">
        <f t="shared" si="9"/>
        <v>--</v>
      </c>
      <c r="AA26" s="391" t="str">
        <f t="shared" si="10"/>
        <v>--</v>
      </c>
      <c r="AB26" s="455">
        <f t="shared" si="11"/>
      </c>
      <c r="AC26" s="456">
        <f t="shared" si="15"/>
      </c>
      <c r="AD26" s="100"/>
      <c r="AE26" s="84"/>
    </row>
    <row r="27" spans="1:30" s="8" customFormat="1" ht="16.5" customHeight="1">
      <c r="A27" s="90"/>
      <c r="B27" s="303"/>
      <c r="C27" s="151"/>
      <c r="D27" s="151"/>
      <c r="E27" s="151"/>
      <c r="F27" s="373"/>
      <c r="G27" s="374"/>
      <c r="H27" s="375"/>
      <c r="I27" s="376"/>
      <c r="J27" s="377">
        <f t="shared" si="12"/>
        <v>0</v>
      </c>
      <c r="K27" s="378"/>
      <c r="L27" s="378"/>
      <c r="M27" s="379">
        <f t="shared" si="13"/>
      </c>
      <c r="N27" s="380">
        <f t="shared" si="14"/>
      </c>
      <c r="O27" s="381"/>
      <c r="P27" s="283">
        <f t="shared" si="0"/>
      </c>
      <c r="Q27" s="382">
        <f t="shared" si="16"/>
      </c>
      <c r="R27" s="181">
        <f t="shared" si="1"/>
      </c>
      <c r="S27" s="383">
        <f t="shared" si="2"/>
        <v>20</v>
      </c>
      <c r="T27" s="438" t="str">
        <f t="shared" si="3"/>
        <v>--</v>
      </c>
      <c r="U27" s="439" t="str">
        <f t="shared" si="4"/>
        <v>--</v>
      </c>
      <c r="V27" s="386" t="str">
        <f t="shared" si="5"/>
        <v>--</v>
      </c>
      <c r="W27" s="387" t="str">
        <f t="shared" si="6"/>
        <v>--</v>
      </c>
      <c r="X27" s="388" t="str">
        <f t="shared" si="7"/>
        <v>--</v>
      </c>
      <c r="Y27" s="389" t="str">
        <f t="shared" si="8"/>
        <v>--</v>
      </c>
      <c r="Z27" s="390" t="str">
        <f t="shared" si="9"/>
        <v>--</v>
      </c>
      <c r="AA27" s="391" t="str">
        <f t="shared" si="10"/>
        <v>--</v>
      </c>
      <c r="AB27" s="455">
        <f t="shared" si="11"/>
      </c>
      <c r="AC27" s="456">
        <f t="shared" si="15"/>
      </c>
      <c r="AD27" s="100"/>
    </row>
    <row r="28" spans="1:30" s="8" customFormat="1" ht="16.5" customHeight="1">
      <c r="A28" s="90"/>
      <c r="B28" s="303"/>
      <c r="C28" s="151"/>
      <c r="D28" s="151"/>
      <c r="E28" s="170"/>
      <c r="F28" s="373"/>
      <c r="G28" s="374"/>
      <c r="H28" s="375"/>
      <c r="I28" s="376"/>
      <c r="J28" s="377">
        <f t="shared" si="12"/>
        <v>0</v>
      </c>
      <c r="K28" s="378"/>
      <c r="L28" s="378"/>
      <c r="M28" s="379">
        <f t="shared" si="13"/>
      </c>
      <c r="N28" s="380">
        <f t="shared" si="14"/>
      </c>
      <c r="O28" s="381"/>
      <c r="P28" s="283">
        <f t="shared" si="0"/>
      </c>
      <c r="Q28" s="382">
        <f t="shared" si="16"/>
      </c>
      <c r="R28" s="181">
        <f t="shared" si="1"/>
      </c>
      <c r="S28" s="383">
        <f t="shared" si="2"/>
        <v>20</v>
      </c>
      <c r="T28" s="438" t="str">
        <f t="shared" si="3"/>
        <v>--</v>
      </c>
      <c r="U28" s="439" t="str">
        <f t="shared" si="4"/>
        <v>--</v>
      </c>
      <c r="V28" s="386" t="str">
        <f t="shared" si="5"/>
        <v>--</v>
      </c>
      <c r="W28" s="387" t="str">
        <f t="shared" si="6"/>
        <v>--</v>
      </c>
      <c r="X28" s="388" t="str">
        <f t="shared" si="7"/>
        <v>--</v>
      </c>
      <c r="Y28" s="389" t="str">
        <f t="shared" si="8"/>
        <v>--</v>
      </c>
      <c r="Z28" s="390" t="str">
        <f t="shared" si="9"/>
        <v>--</v>
      </c>
      <c r="AA28" s="391" t="str">
        <f t="shared" si="10"/>
        <v>--</v>
      </c>
      <c r="AB28" s="455">
        <f t="shared" si="11"/>
      </c>
      <c r="AC28" s="456">
        <f t="shared" si="15"/>
      </c>
      <c r="AD28" s="100"/>
    </row>
    <row r="29" spans="1:30" s="8" customFormat="1" ht="16.5" customHeight="1">
      <c r="A29" s="90"/>
      <c r="B29" s="303"/>
      <c r="C29" s="151"/>
      <c r="D29" s="151"/>
      <c r="E29" s="151"/>
      <c r="F29" s="373"/>
      <c r="G29" s="374"/>
      <c r="H29" s="375"/>
      <c r="I29" s="376"/>
      <c r="J29" s="377">
        <f t="shared" si="12"/>
        <v>0</v>
      </c>
      <c r="K29" s="378"/>
      <c r="L29" s="378"/>
      <c r="M29" s="379">
        <f t="shared" si="13"/>
      </c>
      <c r="N29" s="380">
        <f t="shared" si="14"/>
      </c>
      <c r="O29" s="381"/>
      <c r="P29" s="283">
        <f t="shared" si="0"/>
      </c>
      <c r="Q29" s="382">
        <f t="shared" si="16"/>
      </c>
      <c r="R29" s="181">
        <f t="shared" si="1"/>
      </c>
      <c r="S29" s="383">
        <f t="shared" si="2"/>
        <v>20</v>
      </c>
      <c r="T29" s="438" t="str">
        <f t="shared" si="3"/>
        <v>--</v>
      </c>
      <c r="U29" s="439" t="str">
        <f t="shared" si="4"/>
        <v>--</v>
      </c>
      <c r="V29" s="386" t="str">
        <f t="shared" si="5"/>
        <v>--</v>
      </c>
      <c r="W29" s="387" t="str">
        <f t="shared" si="6"/>
        <v>--</v>
      </c>
      <c r="X29" s="388" t="str">
        <f t="shared" si="7"/>
        <v>--</v>
      </c>
      <c r="Y29" s="389" t="str">
        <f t="shared" si="8"/>
        <v>--</v>
      </c>
      <c r="Z29" s="390" t="str">
        <f t="shared" si="9"/>
        <v>--</v>
      </c>
      <c r="AA29" s="391" t="str">
        <f t="shared" si="10"/>
        <v>--</v>
      </c>
      <c r="AB29" s="455">
        <f t="shared" si="11"/>
      </c>
      <c r="AC29" s="456">
        <f t="shared" si="15"/>
      </c>
      <c r="AD29" s="100"/>
    </row>
    <row r="30" spans="1:30" s="8" customFormat="1" ht="16.5" customHeight="1">
      <c r="A30" s="90"/>
      <c r="B30" s="303"/>
      <c r="C30" s="151"/>
      <c r="D30" s="151"/>
      <c r="E30" s="170"/>
      <c r="F30" s="373"/>
      <c r="G30" s="393"/>
      <c r="H30" s="375"/>
      <c r="I30" s="376"/>
      <c r="J30" s="377">
        <f t="shared" si="12"/>
        <v>0</v>
      </c>
      <c r="K30" s="378"/>
      <c r="L30" s="378"/>
      <c r="M30" s="379">
        <f t="shared" si="13"/>
      </c>
      <c r="N30" s="380">
        <f t="shared" si="14"/>
      </c>
      <c r="O30" s="381"/>
      <c r="P30" s="283">
        <f t="shared" si="0"/>
      </c>
      <c r="Q30" s="382">
        <f t="shared" si="16"/>
      </c>
      <c r="R30" s="181">
        <f t="shared" si="1"/>
      </c>
      <c r="S30" s="383">
        <f t="shared" si="2"/>
        <v>20</v>
      </c>
      <c r="T30" s="438" t="str">
        <f t="shared" si="3"/>
        <v>--</v>
      </c>
      <c r="U30" s="439" t="str">
        <f t="shared" si="4"/>
        <v>--</v>
      </c>
      <c r="V30" s="386" t="str">
        <f t="shared" si="5"/>
        <v>--</v>
      </c>
      <c r="W30" s="387" t="str">
        <f t="shared" si="6"/>
        <v>--</v>
      </c>
      <c r="X30" s="388" t="str">
        <f t="shared" si="7"/>
        <v>--</v>
      </c>
      <c r="Y30" s="389" t="str">
        <f t="shared" si="8"/>
        <v>--</v>
      </c>
      <c r="Z30" s="390" t="str">
        <f t="shared" si="9"/>
        <v>--</v>
      </c>
      <c r="AA30" s="391" t="str">
        <f t="shared" si="10"/>
        <v>--</v>
      </c>
      <c r="AB30" s="455">
        <f t="shared" si="11"/>
      </c>
      <c r="AC30" s="456">
        <f t="shared" si="15"/>
      </c>
      <c r="AD30" s="100"/>
    </row>
    <row r="31" spans="1:30" s="8" customFormat="1" ht="16.5" customHeight="1">
      <c r="A31" s="90"/>
      <c r="B31" s="303"/>
      <c r="C31" s="151"/>
      <c r="D31" s="151"/>
      <c r="E31" s="151"/>
      <c r="F31" s="373"/>
      <c r="G31" s="393"/>
      <c r="H31" s="375"/>
      <c r="I31" s="376"/>
      <c r="J31" s="377">
        <f t="shared" si="12"/>
        <v>0</v>
      </c>
      <c r="K31" s="378"/>
      <c r="L31" s="378"/>
      <c r="M31" s="379">
        <f t="shared" si="13"/>
      </c>
      <c r="N31" s="380">
        <f t="shared" si="14"/>
      </c>
      <c r="O31" s="381"/>
      <c r="P31" s="283">
        <f t="shared" si="0"/>
      </c>
      <c r="Q31" s="382">
        <f t="shared" si="16"/>
      </c>
      <c r="R31" s="181">
        <f t="shared" si="1"/>
      </c>
      <c r="S31" s="383">
        <f t="shared" si="2"/>
        <v>20</v>
      </c>
      <c r="T31" s="438" t="str">
        <f t="shared" si="3"/>
        <v>--</v>
      </c>
      <c r="U31" s="439" t="str">
        <f t="shared" si="4"/>
        <v>--</v>
      </c>
      <c r="V31" s="386" t="str">
        <f t="shared" si="5"/>
        <v>--</v>
      </c>
      <c r="W31" s="387" t="str">
        <f t="shared" si="6"/>
        <v>--</v>
      </c>
      <c r="X31" s="388" t="str">
        <f t="shared" si="7"/>
        <v>--</v>
      </c>
      <c r="Y31" s="389" t="str">
        <f t="shared" si="8"/>
        <v>--</v>
      </c>
      <c r="Z31" s="390" t="str">
        <f t="shared" si="9"/>
        <v>--</v>
      </c>
      <c r="AA31" s="391" t="str">
        <f t="shared" si="10"/>
        <v>--</v>
      </c>
      <c r="AB31" s="455">
        <f t="shared" si="11"/>
      </c>
      <c r="AC31" s="456">
        <f t="shared" si="15"/>
      </c>
      <c r="AD31" s="100"/>
    </row>
    <row r="32" spans="1:30" s="8" customFormat="1" ht="16.5" customHeight="1">
      <c r="A32" s="90"/>
      <c r="B32" s="303"/>
      <c r="C32" s="151"/>
      <c r="D32" s="151"/>
      <c r="E32" s="170"/>
      <c r="F32" s="373"/>
      <c r="G32" s="393"/>
      <c r="H32" s="375"/>
      <c r="I32" s="376"/>
      <c r="J32" s="377">
        <f t="shared" si="12"/>
        <v>0</v>
      </c>
      <c r="K32" s="378"/>
      <c r="L32" s="378"/>
      <c r="M32" s="379">
        <f t="shared" si="13"/>
      </c>
      <c r="N32" s="380">
        <f t="shared" si="14"/>
      </c>
      <c r="O32" s="381"/>
      <c r="P32" s="283">
        <f t="shared" si="0"/>
      </c>
      <c r="Q32" s="382">
        <f t="shared" si="16"/>
      </c>
      <c r="R32" s="181">
        <f t="shared" si="1"/>
      </c>
      <c r="S32" s="383">
        <f t="shared" si="2"/>
        <v>20</v>
      </c>
      <c r="T32" s="438" t="str">
        <f t="shared" si="3"/>
        <v>--</v>
      </c>
      <c r="U32" s="439" t="str">
        <f t="shared" si="4"/>
        <v>--</v>
      </c>
      <c r="V32" s="386" t="str">
        <f t="shared" si="5"/>
        <v>--</v>
      </c>
      <c r="W32" s="387" t="str">
        <f t="shared" si="6"/>
        <v>--</v>
      </c>
      <c r="X32" s="388" t="str">
        <f t="shared" si="7"/>
        <v>--</v>
      </c>
      <c r="Y32" s="389" t="str">
        <f t="shared" si="8"/>
        <v>--</v>
      </c>
      <c r="Z32" s="390" t="str">
        <f t="shared" si="9"/>
        <v>--</v>
      </c>
      <c r="AA32" s="391" t="str">
        <f t="shared" si="10"/>
        <v>--</v>
      </c>
      <c r="AB32" s="455">
        <f t="shared" si="11"/>
      </c>
      <c r="AC32" s="456">
        <f t="shared" si="15"/>
      </c>
      <c r="AD32" s="100"/>
    </row>
    <row r="33" spans="1:30" s="8" customFormat="1" ht="16.5" customHeight="1">
      <c r="A33" s="90"/>
      <c r="B33" s="303"/>
      <c r="C33" s="151"/>
      <c r="D33" s="151"/>
      <c r="E33" s="151"/>
      <c r="F33" s="373"/>
      <c r="G33" s="393"/>
      <c r="H33" s="375"/>
      <c r="I33" s="376"/>
      <c r="J33" s="377">
        <f t="shared" si="12"/>
        <v>0</v>
      </c>
      <c r="K33" s="378"/>
      <c r="L33" s="378"/>
      <c r="M33" s="379">
        <f t="shared" si="13"/>
      </c>
      <c r="N33" s="380">
        <f t="shared" si="14"/>
      </c>
      <c r="O33" s="381"/>
      <c r="P33" s="283">
        <f t="shared" si="0"/>
      </c>
      <c r="Q33" s="382">
        <f t="shared" si="16"/>
      </c>
      <c r="R33" s="181">
        <f t="shared" si="1"/>
      </c>
      <c r="S33" s="383">
        <f t="shared" si="2"/>
        <v>20</v>
      </c>
      <c r="T33" s="438" t="str">
        <f t="shared" si="3"/>
        <v>--</v>
      </c>
      <c r="U33" s="439" t="str">
        <f t="shared" si="4"/>
        <v>--</v>
      </c>
      <c r="V33" s="386" t="str">
        <f t="shared" si="5"/>
        <v>--</v>
      </c>
      <c r="W33" s="387" t="str">
        <f t="shared" si="6"/>
        <v>--</v>
      </c>
      <c r="X33" s="388" t="str">
        <f t="shared" si="7"/>
        <v>--</v>
      </c>
      <c r="Y33" s="389" t="str">
        <f t="shared" si="8"/>
        <v>--</v>
      </c>
      <c r="Z33" s="390" t="str">
        <f t="shared" si="9"/>
        <v>--</v>
      </c>
      <c r="AA33" s="391" t="str">
        <f t="shared" si="10"/>
        <v>--</v>
      </c>
      <c r="AB33" s="455">
        <f t="shared" si="11"/>
      </c>
      <c r="AC33" s="456">
        <f t="shared" si="15"/>
      </c>
      <c r="AD33" s="100"/>
    </row>
    <row r="34" spans="1:30" s="8" customFormat="1" ht="16.5" customHeight="1">
      <c r="A34" s="90"/>
      <c r="B34" s="303"/>
      <c r="C34" s="151"/>
      <c r="D34" s="151"/>
      <c r="E34" s="170"/>
      <c r="F34" s="373"/>
      <c r="G34" s="393"/>
      <c r="H34" s="375"/>
      <c r="I34" s="376"/>
      <c r="J34" s="377">
        <f t="shared" si="12"/>
        <v>0</v>
      </c>
      <c r="K34" s="378"/>
      <c r="L34" s="378"/>
      <c r="M34" s="379">
        <f t="shared" si="13"/>
      </c>
      <c r="N34" s="380">
        <f t="shared" si="14"/>
      </c>
      <c r="O34" s="381"/>
      <c r="P34" s="283">
        <f t="shared" si="0"/>
      </c>
      <c r="Q34" s="382">
        <f t="shared" si="16"/>
      </c>
      <c r="R34" s="181">
        <f t="shared" si="1"/>
      </c>
      <c r="S34" s="383">
        <f t="shared" si="2"/>
        <v>20</v>
      </c>
      <c r="T34" s="438" t="str">
        <f t="shared" si="3"/>
        <v>--</v>
      </c>
      <c r="U34" s="439" t="str">
        <f t="shared" si="4"/>
        <v>--</v>
      </c>
      <c r="V34" s="386" t="str">
        <f t="shared" si="5"/>
        <v>--</v>
      </c>
      <c r="W34" s="387" t="str">
        <f t="shared" si="6"/>
        <v>--</v>
      </c>
      <c r="X34" s="388" t="str">
        <f t="shared" si="7"/>
        <v>--</v>
      </c>
      <c r="Y34" s="389" t="str">
        <f t="shared" si="8"/>
        <v>--</v>
      </c>
      <c r="Z34" s="390" t="str">
        <f t="shared" si="9"/>
        <v>--</v>
      </c>
      <c r="AA34" s="391" t="str">
        <f t="shared" si="10"/>
        <v>--</v>
      </c>
      <c r="AB34" s="455">
        <f t="shared" si="11"/>
      </c>
      <c r="AC34" s="456">
        <f t="shared" si="15"/>
      </c>
      <c r="AD34" s="100"/>
    </row>
    <row r="35" spans="1:30" s="8" customFormat="1" ht="16.5" customHeight="1">
      <c r="A35" s="90"/>
      <c r="B35" s="303"/>
      <c r="C35" s="151"/>
      <c r="D35" s="151"/>
      <c r="E35" s="151"/>
      <c r="F35" s="373"/>
      <c r="G35" s="393"/>
      <c r="H35" s="375"/>
      <c r="I35" s="376"/>
      <c r="J35" s="377">
        <f t="shared" si="12"/>
        <v>0</v>
      </c>
      <c r="K35" s="378"/>
      <c r="L35" s="378"/>
      <c r="M35" s="379">
        <f t="shared" si="13"/>
      </c>
      <c r="N35" s="380">
        <f t="shared" si="14"/>
      </c>
      <c r="O35" s="381"/>
      <c r="P35" s="283">
        <f t="shared" si="0"/>
      </c>
      <c r="Q35" s="382">
        <f t="shared" si="16"/>
      </c>
      <c r="R35" s="181">
        <f t="shared" si="1"/>
      </c>
      <c r="S35" s="383">
        <f t="shared" si="2"/>
        <v>20</v>
      </c>
      <c r="T35" s="438" t="str">
        <f t="shared" si="3"/>
        <v>--</v>
      </c>
      <c r="U35" s="439" t="str">
        <f t="shared" si="4"/>
        <v>--</v>
      </c>
      <c r="V35" s="386" t="str">
        <f t="shared" si="5"/>
        <v>--</v>
      </c>
      <c r="W35" s="387" t="str">
        <f t="shared" si="6"/>
        <v>--</v>
      </c>
      <c r="X35" s="388" t="str">
        <f t="shared" si="7"/>
        <v>--</v>
      </c>
      <c r="Y35" s="389" t="str">
        <f t="shared" si="8"/>
        <v>--</v>
      </c>
      <c r="Z35" s="390" t="str">
        <f t="shared" si="9"/>
        <v>--</v>
      </c>
      <c r="AA35" s="391" t="str">
        <f t="shared" si="10"/>
        <v>--</v>
      </c>
      <c r="AB35" s="455">
        <f t="shared" si="11"/>
      </c>
      <c r="AC35" s="456">
        <f t="shared" si="15"/>
      </c>
      <c r="AD35" s="100"/>
    </row>
    <row r="36" spans="1:30" s="8" customFormat="1" ht="16.5" customHeight="1">
      <c r="A36" s="90"/>
      <c r="B36" s="303"/>
      <c r="C36" s="151"/>
      <c r="D36" s="151"/>
      <c r="E36" s="170"/>
      <c r="F36" s="373"/>
      <c r="G36" s="393"/>
      <c r="H36" s="375"/>
      <c r="I36" s="376"/>
      <c r="J36" s="377">
        <f t="shared" si="12"/>
        <v>0</v>
      </c>
      <c r="K36" s="378"/>
      <c r="L36" s="378"/>
      <c r="M36" s="379">
        <f t="shared" si="13"/>
      </c>
      <c r="N36" s="380">
        <f t="shared" si="14"/>
      </c>
      <c r="O36" s="381"/>
      <c r="P36" s="283">
        <f t="shared" si="0"/>
      </c>
      <c r="Q36" s="382">
        <f t="shared" si="16"/>
      </c>
      <c r="R36" s="181">
        <f t="shared" si="1"/>
      </c>
      <c r="S36" s="383">
        <f t="shared" si="2"/>
        <v>20</v>
      </c>
      <c r="T36" s="438" t="str">
        <f t="shared" si="3"/>
        <v>--</v>
      </c>
      <c r="U36" s="439" t="str">
        <f t="shared" si="4"/>
        <v>--</v>
      </c>
      <c r="V36" s="386" t="str">
        <f t="shared" si="5"/>
        <v>--</v>
      </c>
      <c r="W36" s="387" t="str">
        <f t="shared" si="6"/>
        <v>--</v>
      </c>
      <c r="X36" s="388" t="str">
        <f t="shared" si="7"/>
        <v>--</v>
      </c>
      <c r="Y36" s="389" t="str">
        <f t="shared" si="8"/>
        <v>--</v>
      </c>
      <c r="Z36" s="390" t="str">
        <f t="shared" si="9"/>
        <v>--</v>
      </c>
      <c r="AA36" s="391" t="str">
        <f t="shared" si="10"/>
        <v>--</v>
      </c>
      <c r="AB36" s="455">
        <f t="shared" si="11"/>
      </c>
      <c r="AC36" s="456">
        <f t="shared" si="15"/>
      </c>
      <c r="AD36" s="100"/>
    </row>
    <row r="37" spans="1:30" s="8" customFormat="1" ht="16.5" customHeight="1">
      <c r="A37" s="90"/>
      <c r="B37" s="303"/>
      <c r="C37" s="151"/>
      <c r="D37" s="151"/>
      <c r="E37" s="151"/>
      <c r="F37" s="373"/>
      <c r="G37" s="393"/>
      <c r="H37" s="375"/>
      <c r="I37" s="376"/>
      <c r="J37" s="377">
        <f t="shared" si="12"/>
        <v>0</v>
      </c>
      <c r="K37" s="378"/>
      <c r="L37" s="378"/>
      <c r="M37" s="379">
        <f t="shared" si="13"/>
      </c>
      <c r="N37" s="380">
        <f t="shared" si="14"/>
      </c>
      <c r="O37" s="381"/>
      <c r="P37" s="283">
        <f t="shared" si="0"/>
      </c>
      <c r="Q37" s="382">
        <f t="shared" si="16"/>
      </c>
      <c r="R37" s="181">
        <f t="shared" si="1"/>
      </c>
      <c r="S37" s="383">
        <f t="shared" si="2"/>
        <v>20</v>
      </c>
      <c r="T37" s="438" t="str">
        <f t="shared" si="3"/>
        <v>--</v>
      </c>
      <c r="U37" s="439" t="str">
        <f t="shared" si="4"/>
        <v>--</v>
      </c>
      <c r="V37" s="386" t="str">
        <f t="shared" si="5"/>
        <v>--</v>
      </c>
      <c r="W37" s="387" t="str">
        <f t="shared" si="6"/>
        <v>--</v>
      </c>
      <c r="X37" s="388" t="str">
        <f t="shared" si="7"/>
        <v>--</v>
      </c>
      <c r="Y37" s="389" t="str">
        <f t="shared" si="8"/>
        <v>--</v>
      </c>
      <c r="Z37" s="390" t="str">
        <f t="shared" si="9"/>
        <v>--</v>
      </c>
      <c r="AA37" s="391" t="str">
        <f t="shared" si="10"/>
        <v>--</v>
      </c>
      <c r="AB37" s="455">
        <f t="shared" si="11"/>
      </c>
      <c r="AC37" s="456">
        <f t="shared" si="15"/>
      </c>
      <c r="AD37" s="100"/>
    </row>
    <row r="38" spans="1:30" s="8" customFormat="1" ht="16.5" customHeight="1">
      <c r="A38" s="90"/>
      <c r="B38" s="303"/>
      <c r="C38" s="151"/>
      <c r="D38" s="151"/>
      <c r="E38" s="170"/>
      <c r="F38" s="373"/>
      <c r="G38" s="393"/>
      <c r="H38" s="375"/>
      <c r="I38" s="376"/>
      <c r="J38" s="377">
        <f t="shared" si="12"/>
        <v>0</v>
      </c>
      <c r="K38" s="378"/>
      <c r="L38" s="378"/>
      <c r="M38" s="379">
        <f t="shared" si="13"/>
      </c>
      <c r="N38" s="380">
        <f t="shared" si="14"/>
      </c>
      <c r="O38" s="381"/>
      <c r="P38" s="283">
        <f t="shared" si="0"/>
      </c>
      <c r="Q38" s="382">
        <f t="shared" si="16"/>
      </c>
      <c r="R38" s="181">
        <f t="shared" si="1"/>
      </c>
      <c r="S38" s="383">
        <f t="shared" si="2"/>
        <v>20</v>
      </c>
      <c r="T38" s="438" t="str">
        <f t="shared" si="3"/>
        <v>--</v>
      </c>
      <c r="U38" s="439" t="str">
        <f t="shared" si="4"/>
        <v>--</v>
      </c>
      <c r="V38" s="386" t="str">
        <f t="shared" si="5"/>
        <v>--</v>
      </c>
      <c r="W38" s="387" t="str">
        <f t="shared" si="6"/>
        <v>--</v>
      </c>
      <c r="X38" s="388" t="str">
        <f t="shared" si="7"/>
        <v>--</v>
      </c>
      <c r="Y38" s="389" t="str">
        <f t="shared" si="8"/>
        <v>--</v>
      </c>
      <c r="Z38" s="390" t="str">
        <f t="shared" si="9"/>
        <v>--</v>
      </c>
      <c r="AA38" s="391" t="str">
        <f t="shared" si="10"/>
        <v>--</v>
      </c>
      <c r="AB38" s="455">
        <f t="shared" si="11"/>
      </c>
      <c r="AC38" s="456">
        <f t="shared" si="15"/>
      </c>
      <c r="AD38" s="100"/>
    </row>
    <row r="39" spans="1:30" s="8" customFormat="1" ht="16.5" customHeight="1">
      <c r="A39" s="90"/>
      <c r="B39" s="303"/>
      <c r="C39" s="151"/>
      <c r="D39" s="151"/>
      <c r="E39" s="151"/>
      <c r="F39" s="373"/>
      <c r="G39" s="393"/>
      <c r="H39" s="375"/>
      <c r="I39" s="376"/>
      <c r="J39" s="377">
        <f t="shared" si="12"/>
        <v>0</v>
      </c>
      <c r="K39" s="378"/>
      <c r="L39" s="378"/>
      <c r="M39" s="379">
        <f t="shared" si="13"/>
      </c>
      <c r="N39" s="380">
        <f t="shared" si="14"/>
      </c>
      <c r="O39" s="381"/>
      <c r="P39" s="283">
        <f t="shared" si="0"/>
      </c>
      <c r="Q39" s="382">
        <f t="shared" si="16"/>
      </c>
      <c r="R39" s="181">
        <f t="shared" si="1"/>
      </c>
      <c r="S39" s="383">
        <f t="shared" si="2"/>
        <v>20</v>
      </c>
      <c r="T39" s="438" t="str">
        <f t="shared" si="3"/>
        <v>--</v>
      </c>
      <c r="U39" s="439" t="str">
        <f t="shared" si="4"/>
        <v>--</v>
      </c>
      <c r="V39" s="386" t="str">
        <f t="shared" si="5"/>
        <v>--</v>
      </c>
      <c r="W39" s="387" t="str">
        <f t="shared" si="6"/>
        <v>--</v>
      </c>
      <c r="X39" s="388" t="str">
        <f t="shared" si="7"/>
        <v>--</v>
      </c>
      <c r="Y39" s="389" t="str">
        <f t="shared" si="8"/>
        <v>--</v>
      </c>
      <c r="Z39" s="390" t="str">
        <f t="shared" si="9"/>
        <v>--</v>
      </c>
      <c r="AA39" s="391" t="str">
        <f t="shared" si="10"/>
        <v>--</v>
      </c>
      <c r="AB39" s="455">
        <f t="shared" si="11"/>
      </c>
      <c r="AC39" s="456">
        <f t="shared" si="15"/>
      </c>
      <c r="AD39" s="100"/>
    </row>
    <row r="40" spans="1:30" s="8" customFormat="1" ht="16.5" customHeight="1" thickBot="1">
      <c r="A40" s="90"/>
      <c r="B40" s="303"/>
      <c r="C40" s="394"/>
      <c r="D40" s="394"/>
      <c r="E40" s="394"/>
      <c r="F40" s="394"/>
      <c r="G40" s="394"/>
      <c r="H40" s="394"/>
      <c r="I40" s="396"/>
      <c r="J40" s="397"/>
      <c r="K40" s="398"/>
      <c r="L40" s="399"/>
      <c r="M40" s="400"/>
      <c r="N40" s="401"/>
      <c r="O40" s="402"/>
      <c r="P40" s="217"/>
      <c r="Q40" s="403"/>
      <c r="R40" s="402"/>
      <c r="S40" s="457"/>
      <c r="T40" s="441"/>
      <c r="U40" s="442"/>
      <c r="V40" s="443"/>
      <c r="W40" s="444"/>
      <c r="X40" s="445"/>
      <c r="Y40" s="446"/>
      <c r="Z40" s="447"/>
      <c r="AA40" s="448"/>
      <c r="AB40" s="449"/>
      <c r="AC40" s="414"/>
      <c r="AD40" s="100"/>
    </row>
    <row r="41" spans="1:30" s="8" customFormat="1" ht="16.5" customHeight="1" thickBot="1" thickTop="1">
      <c r="A41" s="90"/>
      <c r="B41" s="303"/>
      <c r="C41" s="230" t="s">
        <v>172</v>
      </c>
      <c r="D41" s="232"/>
      <c r="E41" s="230"/>
      <c r="F41" s="232"/>
      <c r="G41" s="84"/>
      <c r="H41" s="84"/>
      <c r="I41" s="84"/>
      <c r="J41" s="84"/>
      <c r="K41" s="84"/>
      <c r="L41" s="330"/>
      <c r="M41" s="84"/>
      <c r="N41" s="84"/>
      <c r="O41" s="84"/>
      <c r="P41" s="84"/>
      <c r="Q41" s="84"/>
      <c r="R41" s="84"/>
      <c r="S41" s="84"/>
      <c r="T41" s="415">
        <f aca="true" t="shared" si="17" ref="T41:AA41">SUM(T18:T40)</f>
        <v>4812.3234</v>
      </c>
      <c r="U41" s="416">
        <f t="shared" si="17"/>
        <v>0</v>
      </c>
      <c r="V41" s="417">
        <f t="shared" si="17"/>
        <v>0</v>
      </c>
      <c r="W41" s="418">
        <f t="shared" si="17"/>
        <v>0</v>
      </c>
      <c r="X41" s="419">
        <f t="shared" si="17"/>
        <v>0</v>
      </c>
      <c r="Y41" s="420">
        <f t="shared" si="17"/>
        <v>0</v>
      </c>
      <c r="Z41" s="421">
        <f t="shared" si="17"/>
        <v>0</v>
      </c>
      <c r="AA41" s="422">
        <f t="shared" si="17"/>
        <v>0</v>
      </c>
      <c r="AB41" s="90"/>
      <c r="AC41" s="423">
        <f>ROUND(SUM(AC18:AC40),2)</f>
        <v>4812.32</v>
      </c>
      <c r="AD41" s="100"/>
    </row>
    <row r="42" spans="1:30" s="8" customFormat="1" ht="16.5" customHeight="1" thickBot="1" thickTop="1">
      <c r="A42" s="90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6"/>
    </row>
    <row r="43" spans="1:31" ht="16.5" customHeight="1" thickTop="1">
      <c r="A43" s="427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</row>
    <row r="44" spans="1:31" ht="16.5" customHeight="1">
      <c r="A44" s="427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</row>
    <row r="45" spans="1:31" ht="16.5" customHeight="1">
      <c r="A45" s="427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</row>
    <row r="46" spans="1:31" ht="16.5" customHeight="1">
      <c r="A46" s="427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</row>
    <row r="47" spans="6:31" ht="16.5" customHeight="1"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</row>
    <row r="48" spans="6:31" ht="16.5" customHeight="1"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</row>
    <row r="49" spans="6:31" ht="16.5" customHeight="1"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</row>
    <row r="50" spans="6:31" ht="16.5" customHeight="1"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</row>
    <row r="51" spans="6:31" ht="16.5" customHeight="1"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</row>
    <row r="52" spans="6:31" ht="16.5" customHeight="1"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</row>
    <row r="53" spans="6:31" ht="16.5" customHeight="1"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</row>
    <row r="54" spans="6:31" ht="16.5" customHeight="1"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</row>
    <row r="55" spans="6:31" ht="16.5" customHeight="1"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</row>
    <row r="56" spans="6:31" ht="16.5" customHeight="1"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</row>
    <row r="57" spans="6:31" ht="16.5" customHeight="1"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</row>
    <row r="58" spans="6:31" ht="16.5" customHeight="1"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</row>
    <row r="59" spans="6:31" ht="16.5" customHeight="1"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</row>
    <row r="60" spans="6:31" ht="16.5" customHeight="1"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</row>
    <row r="61" spans="6:31" ht="16.5" customHeight="1"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</row>
    <row r="62" spans="6:31" ht="16.5" customHeight="1"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</row>
    <row r="63" spans="6:31" ht="16.5" customHeight="1"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</row>
    <row r="64" spans="6:31" ht="16.5" customHeight="1"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</row>
    <row r="65" spans="6:31" ht="16.5" customHeight="1"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</row>
    <row r="66" spans="6:31" ht="16.5" customHeight="1"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</row>
    <row r="67" spans="6:31" ht="16.5" customHeight="1"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</row>
    <row r="68" spans="6:31" ht="16.5" customHeight="1"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</row>
    <row r="69" spans="6:31" ht="16.5" customHeight="1"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</row>
    <row r="70" spans="6:31" ht="16.5" customHeight="1"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</row>
    <row r="71" spans="6:31" ht="16.5" customHeight="1"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</row>
    <row r="72" spans="6:31" ht="16.5" customHeight="1"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</row>
    <row r="73" spans="6:31" ht="16.5" customHeight="1"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</row>
    <row r="74" spans="6:31" ht="16.5" customHeight="1"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</row>
    <row r="75" spans="6:31" ht="16.5" customHeight="1"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</row>
    <row r="76" spans="6:31" ht="16.5" customHeight="1"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</row>
    <row r="77" spans="6:31" ht="16.5" customHeight="1"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</row>
    <row r="78" spans="6:31" ht="16.5" customHeight="1"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</row>
    <row r="79" spans="6:31" ht="16.5" customHeight="1"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</row>
    <row r="80" spans="6:31" ht="16.5" customHeight="1"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</row>
    <row r="81" spans="6:31" ht="16.5" customHeight="1"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  <c r="AD81" s="428"/>
      <c r="AE81" s="428"/>
    </row>
    <row r="82" spans="6:31" ht="16.5" customHeight="1"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</row>
    <row r="83" spans="6:31" ht="16.5" customHeight="1"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</row>
    <row r="84" spans="6:31" ht="16.5" customHeight="1"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</row>
    <row r="85" spans="6:31" ht="16.5" customHeight="1"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</row>
    <row r="86" spans="6:31" ht="16.5" customHeight="1"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</row>
    <row r="87" spans="6:31" ht="16.5" customHeight="1"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</row>
    <row r="88" spans="6:31" ht="16.5" customHeight="1"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</row>
    <row r="89" spans="6:31" ht="16.5" customHeight="1"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  <c r="AD89" s="428"/>
      <c r="AE89" s="428"/>
    </row>
    <row r="90" spans="6:31" ht="16.5" customHeight="1"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</row>
    <row r="91" spans="6:31" ht="16.5" customHeight="1"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</row>
    <row r="92" spans="6:31" ht="16.5" customHeight="1"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</row>
    <row r="93" spans="6:31" ht="16.5" customHeight="1"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</row>
    <row r="94" spans="6:31" ht="16.5" customHeight="1"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</row>
    <row r="95" spans="6:31" ht="16.5" customHeight="1"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</row>
    <row r="96" spans="6:31" ht="16.5" customHeight="1"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</row>
    <row r="97" spans="6:31" ht="16.5" customHeight="1"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</row>
    <row r="98" spans="6:31" ht="16.5" customHeight="1"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  <c r="AB98" s="428"/>
      <c r="AC98" s="428"/>
      <c r="AD98" s="428"/>
      <c r="AE98" s="428"/>
    </row>
    <row r="99" spans="6:31" ht="16.5" customHeight="1"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</row>
    <row r="100" spans="6:31" ht="16.5" customHeight="1"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</row>
    <row r="101" spans="6:31" ht="16.5" customHeight="1"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</row>
    <row r="102" spans="6:31" ht="16.5" customHeight="1"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</row>
    <row r="103" spans="6:31" ht="16.5" customHeight="1"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</row>
    <row r="104" spans="6:31" ht="16.5" customHeight="1"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</row>
    <row r="105" spans="6:31" ht="16.5" customHeight="1"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</row>
    <row r="106" spans="6:31" ht="16.5" customHeight="1"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</row>
    <row r="107" spans="6:31" ht="16.5" customHeight="1"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</row>
    <row r="108" spans="6:31" ht="16.5" customHeight="1"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</row>
    <row r="109" spans="6:31" ht="16.5" customHeight="1"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</row>
    <row r="110" spans="6:31" ht="16.5" customHeight="1"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</row>
    <row r="111" spans="6:31" ht="16.5" customHeight="1"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</row>
    <row r="112" spans="6:31" ht="16.5" customHeight="1"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</row>
    <row r="113" spans="6:31" ht="16.5" customHeight="1"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</row>
    <row r="114" spans="6:31" ht="16.5" customHeight="1"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</row>
    <row r="115" spans="6:31" ht="16.5" customHeight="1"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</row>
    <row r="116" spans="6:31" ht="16.5" customHeight="1"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</row>
    <row r="117" spans="6:31" ht="16.5" customHeight="1"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</row>
    <row r="118" spans="6:31" ht="16.5" customHeight="1"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</row>
    <row r="119" spans="6:31" ht="16.5" customHeight="1"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</row>
    <row r="120" spans="6:31" ht="16.5" customHeight="1"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</row>
    <row r="121" spans="6:31" ht="16.5" customHeight="1"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  <c r="AB121" s="428"/>
      <c r="AC121" s="428"/>
      <c r="AD121" s="428"/>
      <c r="AE121" s="428"/>
    </row>
    <row r="122" spans="6:31" ht="16.5" customHeight="1"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8"/>
    </row>
    <row r="123" spans="6:31" ht="16.5" customHeight="1"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</row>
    <row r="124" spans="6:31" ht="16.5" customHeight="1"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8"/>
      <c r="AC124" s="428"/>
      <c r="AD124" s="428"/>
      <c r="AE124" s="428"/>
    </row>
    <row r="125" spans="6:31" ht="16.5" customHeight="1"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</row>
    <row r="126" spans="6:31" ht="16.5" customHeight="1"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</row>
    <row r="127" spans="6:31" ht="16.5" customHeight="1"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  <c r="Z127" s="428"/>
      <c r="AA127" s="428"/>
      <c r="AB127" s="428"/>
      <c r="AC127" s="428"/>
      <c r="AD127" s="428"/>
      <c r="AE127" s="428"/>
    </row>
    <row r="128" spans="6:31" ht="16.5" customHeight="1"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</row>
    <row r="129" spans="6:31" ht="16.5" customHeight="1"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  <c r="AD129" s="428"/>
      <c r="AE129" s="428"/>
    </row>
    <row r="130" spans="6:31" ht="16.5" customHeight="1"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</row>
    <row r="131" spans="6:31" ht="16.5" customHeight="1"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  <c r="AB131" s="428"/>
      <c r="AC131" s="428"/>
      <c r="AD131" s="428"/>
      <c r="AE131" s="428"/>
    </row>
    <row r="132" spans="6:31" ht="16.5" customHeight="1"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  <c r="AB132" s="428"/>
      <c r="AC132" s="428"/>
      <c r="AD132" s="428"/>
      <c r="AE132" s="428"/>
    </row>
    <row r="133" spans="6:31" ht="16.5" customHeight="1"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</row>
    <row r="134" spans="6:31" ht="16.5" customHeight="1"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  <c r="AB134" s="428"/>
      <c r="AC134" s="428"/>
      <c r="AD134" s="428"/>
      <c r="AE134" s="428"/>
    </row>
    <row r="135" spans="6:31" ht="16.5" customHeight="1"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</row>
    <row r="136" spans="6:31" ht="16.5" customHeight="1"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  <c r="AD136" s="428"/>
      <c r="AE136" s="428"/>
    </row>
    <row r="137" spans="6:31" ht="16.5" customHeight="1"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  <c r="AB137" s="428"/>
      <c r="AC137" s="428"/>
      <c r="AD137" s="428"/>
      <c r="AE137" s="428"/>
    </row>
    <row r="138" spans="6:31" ht="16.5" customHeight="1"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</row>
    <row r="139" spans="6:31" ht="16.5" customHeight="1"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8"/>
      <c r="AA139" s="428"/>
      <c r="AB139" s="428"/>
      <c r="AC139" s="428"/>
      <c r="AD139" s="428"/>
      <c r="AE139" s="428"/>
    </row>
    <row r="140" spans="6:31" ht="16.5" customHeight="1"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  <c r="R140" s="428"/>
      <c r="S140" s="428"/>
      <c r="T140" s="428"/>
      <c r="U140" s="428"/>
      <c r="V140" s="428"/>
      <c r="W140" s="428"/>
      <c r="X140" s="428"/>
      <c r="Y140" s="428"/>
      <c r="Z140" s="428"/>
      <c r="AA140" s="428"/>
      <c r="AB140" s="428"/>
      <c r="AC140" s="428"/>
      <c r="AD140" s="428"/>
      <c r="AE140" s="428"/>
    </row>
    <row r="141" spans="6:31" ht="16.5" customHeight="1"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  <c r="Z141" s="428"/>
      <c r="AA141" s="428"/>
      <c r="AB141" s="428"/>
      <c r="AC141" s="428"/>
      <c r="AD141" s="428"/>
      <c r="AE141" s="428"/>
    </row>
    <row r="142" spans="6:31" ht="16.5" customHeight="1"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  <c r="AB142" s="428"/>
      <c r="AC142" s="428"/>
      <c r="AD142" s="428"/>
      <c r="AE142" s="428"/>
    </row>
    <row r="143" spans="6:31" ht="16.5" customHeight="1"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8"/>
      <c r="Z143" s="428"/>
      <c r="AA143" s="428"/>
      <c r="AB143" s="428"/>
      <c r="AC143" s="428"/>
      <c r="AD143" s="428"/>
      <c r="AE143" s="428"/>
    </row>
    <row r="144" spans="6:31" ht="16.5" customHeight="1"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8"/>
      <c r="AC144" s="428"/>
      <c r="AD144" s="428"/>
      <c r="AE144" s="428"/>
    </row>
    <row r="145" spans="6:31" ht="16.5" customHeight="1"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</row>
    <row r="146" spans="6:31" ht="16.5" customHeight="1"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  <c r="AB146" s="428"/>
      <c r="AC146" s="428"/>
      <c r="AD146" s="428"/>
      <c r="AE146" s="428"/>
    </row>
    <row r="147" spans="6:31" ht="16.5" customHeight="1"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8"/>
      <c r="AB147" s="428"/>
      <c r="AC147" s="428"/>
      <c r="AD147" s="428"/>
      <c r="AE147" s="428"/>
    </row>
    <row r="148" spans="6:31" ht="16.5" customHeight="1"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  <c r="AB148" s="428"/>
      <c r="AC148" s="428"/>
      <c r="AD148" s="428"/>
      <c r="AE148" s="428"/>
    </row>
    <row r="149" spans="6:31" ht="16.5" customHeight="1"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  <c r="Z149" s="428"/>
      <c r="AA149" s="428"/>
      <c r="AB149" s="428"/>
      <c r="AC149" s="428"/>
      <c r="AD149" s="428"/>
      <c r="AE149" s="428"/>
    </row>
    <row r="150" spans="6:31" ht="16.5" customHeight="1"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  <c r="Z150" s="428"/>
      <c r="AA150" s="428"/>
      <c r="AB150" s="428"/>
      <c r="AC150" s="428"/>
      <c r="AD150" s="428"/>
      <c r="AE150" s="428"/>
    </row>
    <row r="151" ht="16.5" customHeight="1">
      <c r="AE151" s="428"/>
    </row>
    <row r="152" ht="16.5" customHeight="1">
      <c r="AE152" s="428"/>
    </row>
    <row r="153" ht="16.5" customHeight="1">
      <c r="AE153" s="428"/>
    </row>
    <row r="154" ht="16.5" customHeight="1">
      <c r="AE154" s="428"/>
    </row>
    <row r="155" ht="16.5" customHeight="1"/>
    <row r="156" ht="16.5" customHeight="1"/>
    <row r="1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Gabriela Oyola</cp:lastModifiedBy>
  <cp:lastPrinted>2016-01-13T15:32:05Z</cp:lastPrinted>
  <dcterms:created xsi:type="dcterms:W3CDTF">2011-08-01T18:34:41Z</dcterms:created>
  <dcterms:modified xsi:type="dcterms:W3CDTF">2016-11-03T14:29:38Z</dcterms:modified>
  <cp:category/>
  <cp:version/>
  <cp:contentType/>
  <cp:contentStatus/>
</cp:coreProperties>
</file>