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905" activeTab="0"/>
  </bookViews>
  <sheets>
    <sheet name="TOT-1214" sheetId="1" r:id="rId1"/>
    <sheet name="LI-12 (1)" sheetId="2" r:id="rId2"/>
    <sheet name="LI-YACY-12 (1)" sheetId="3" r:id="rId3"/>
    <sheet name="LI-LICCSA (1)" sheetId="4" r:id="rId4"/>
    <sheet name="LI-IV-12 (1)" sheetId="5" r:id="rId5"/>
    <sheet name="LI-INTESA4-10 (1)" sheetId="6" r:id="rId6"/>
    <sheet name="Incendio INTESAR 4" sheetId="7" r:id="rId7"/>
    <sheet name="LI-LINSA-04 (1)" sheetId="8" r:id="rId8"/>
    <sheet name="TR-12 (1)" sheetId="9" r:id="rId9"/>
    <sheet name="TR-LITSA SG-07 (1)" sheetId="10" r:id="rId10"/>
    <sheet name="TR-TIBA-12 (1)" sheetId="11" r:id="rId11"/>
    <sheet name="SA-12 (1)" sheetId="12" r:id="rId12"/>
    <sheet name="SA-TIBA-12 (1)" sheetId="13" r:id="rId13"/>
    <sheet name="SA-LICCSA-03 (1)" sheetId="14" r:id="rId14"/>
    <sheet name="SA-TRANSPORTEL-10 (1)" sheetId="15" r:id="rId15"/>
    <sheet name="RE-12 (1)" sheetId="16" r:id="rId16"/>
    <sheet name="RE-YACY-11 (1)" sheetId="17" r:id="rId17"/>
    <sheet name="RE-LINSA- (1)" sheetId="18" r:id="rId18"/>
    <sheet name="SUP-YACYLEC (2)" sheetId="19" r:id="rId19"/>
    <sheet name="SUP-LITSA" sheetId="20" r:id="rId20"/>
    <sheet name="SUP-TIBA " sheetId="21" r:id="rId21"/>
    <sheet name="SUP-LINSA" sheetId="22" r:id="rId22"/>
    <sheet name="DAG" sheetId="23" r:id="rId23"/>
    <sheet name="Tasa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20">'SUP-TIBA '!$A$1:$X$82</definedName>
    <definedName name="_xlnm.Print_Area" localSheetId="18">'SUP-YACYLEC (2)'!$A$1:$AE$73</definedName>
    <definedName name="_xlnm.Print_Area" localSheetId="23">'Tasa'!$A$1:$V$105</definedName>
    <definedName name="_xlnm.Print_Area" localSheetId="0">'TOT-1214'!$A$1:$J$53</definedName>
    <definedName name="DD" localSheetId="5">'LI-INTESA4-10 (1)'!DD</definedName>
    <definedName name="DD" localSheetId="3">'LI-LICCSA (1)'!DD</definedName>
    <definedName name="DD" localSheetId="7">'LI-LINSA-04 (1)'!DD</definedName>
    <definedName name="DD" localSheetId="17">'RE-LINSA- (1)'!DD</definedName>
    <definedName name="DD" localSheetId="16">'RE-YACY-11 (1)'!DD</definedName>
    <definedName name="DD" localSheetId="13">'SA-LICCSA-03 (1)'!DD</definedName>
    <definedName name="DD" localSheetId="14">'SA-TRANSPORTEL-10 (1)'!DD</definedName>
    <definedName name="DD" localSheetId="21">'SUP-LINSA'!DD</definedName>
    <definedName name="DD" localSheetId="20">'SUP-TIBA '!DD</definedName>
    <definedName name="DD" localSheetId="18">'SUP-YACYLEC (2)'!DD</definedName>
    <definedName name="DD" localSheetId="9">'TR-LITSA SG-07 (1)'!DD</definedName>
    <definedName name="DD">[0]!DD</definedName>
    <definedName name="DDD" localSheetId="5">'LI-INTESA4-10 (1)'!DDD</definedName>
    <definedName name="DDD" localSheetId="3">'LI-LICCSA (1)'!DDD</definedName>
    <definedName name="DDD" localSheetId="7">'LI-LINSA-04 (1)'!DDD</definedName>
    <definedName name="DDD" localSheetId="17">'RE-LINSA- (1)'!DDD</definedName>
    <definedName name="DDD" localSheetId="16">'RE-YACY-11 (1)'!DDD</definedName>
    <definedName name="DDD" localSheetId="13">'SA-LICCSA-03 (1)'!DDD</definedName>
    <definedName name="DDD" localSheetId="14">'SA-TRANSPORTEL-10 (1)'!DDD</definedName>
    <definedName name="DDD" localSheetId="21">'SUP-LINSA'!DDD</definedName>
    <definedName name="DDD" localSheetId="20">'SUP-TIBA '!DDD</definedName>
    <definedName name="DDD" localSheetId="18">'SUP-YACYLEC (2)'!DDD</definedName>
    <definedName name="DDD" localSheetId="9">'TR-LITSA SG-07 (1)'!DDD</definedName>
    <definedName name="DDD">[0]!DDD</definedName>
    <definedName name="DISTROCUYO" localSheetId="5">'LI-INTESA4-10 (1)'!DISTROCUYO</definedName>
    <definedName name="DISTROCUYO" localSheetId="3">'LI-LICCSA (1)'!DISTROCUYO</definedName>
    <definedName name="DISTROCUYO" localSheetId="7">'LI-LINSA-04 (1)'!DISTROCUYO</definedName>
    <definedName name="DISTROCUYO" localSheetId="17">'RE-LINSA- (1)'!DISTROCUYO</definedName>
    <definedName name="DISTROCUYO" localSheetId="16">'RE-YACY-11 (1)'!DISTROCUYO</definedName>
    <definedName name="DISTROCUYO" localSheetId="13">'SA-LICCSA-03 (1)'!DISTROCUYO</definedName>
    <definedName name="DISTROCUYO" localSheetId="14">'SA-TRANSPORTEL-10 (1)'!DISTROCUYO</definedName>
    <definedName name="DISTROCUYO" localSheetId="21">'SUP-LINSA'!DISTROCUYO</definedName>
    <definedName name="DISTROCUYO" localSheetId="20">'SUP-TIBA '!DISTROCUYO</definedName>
    <definedName name="DISTROCUYO" localSheetId="18">'SUP-YACYLEC (2)'!DISTROCUYO</definedName>
    <definedName name="DISTROCUYO" localSheetId="9">'TR-LITSA SG-07 (1)'!DISTROCUYO</definedName>
    <definedName name="DISTROCUYO">[0]!DISTROCUYO</definedName>
    <definedName name="FER" localSheetId="5">'LI-INTESA4-10 (1)'!FER</definedName>
    <definedName name="FER" localSheetId="3">'LI-LICCSA (1)'!FER</definedName>
    <definedName name="FER" localSheetId="7">'LI-LINSA-04 (1)'!FER</definedName>
    <definedName name="FER" localSheetId="17">'RE-LINSA- (1)'!FER</definedName>
    <definedName name="FER" localSheetId="16">'RE-YACY-11 (1)'!FER</definedName>
    <definedName name="FER" localSheetId="13">'SA-LICCSA-03 (1)'!FER</definedName>
    <definedName name="FER" localSheetId="14">'SA-TRANSPORTEL-10 (1)'!FER</definedName>
    <definedName name="FER" localSheetId="21">'SUP-LINSA'!FER</definedName>
    <definedName name="FER" localSheetId="20">'SUP-TIBA '!FER</definedName>
    <definedName name="FER" localSheetId="18">'SUP-YACYLEC (2)'!FER</definedName>
    <definedName name="FER" localSheetId="9">'TR-LITSA SG-07 (1)'!FER</definedName>
    <definedName name="FER">[0]!FER</definedName>
    <definedName name="INICIO" localSheetId="5">'LI-INTESA4-10 (1)'!INICIO</definedName>
    <definedName name="INICIO" localSheetId="3">'LI-LICCSA (1)'!INICIO</definedName>
    <definedName name="INICIO" localSheetId="7">'LI-LINSA-04 (1)'!INICIO</definedName>
    <definedName name="INICIO" localSheetId="17">'RE-LINSA- (1)'!INICIO</definedName>
    <definedName name="INICIO" localSheetId="16">'RE-YACY-11 (1)'!INICIO</definedName>
    <definedName name="INICIO" localSheetId="13">'SA-LICCSA-03 (1)'!INICIO</definedName>
    <definedName name="INICIO" localSheetId="14">'SA-TRANSPORTEL-10 (1)'!INICIO</definedName>
    <definedName name="INICIO" localSheetId="21">'SUP-LINSA'!INICIO</definedName>
    <definedName name="INICIO" localSheetId="20">'SUP-TIBA '!INICIO</definedName>
    <definedName name="INICIO" localSheetId="18">'SUP-YACYLEC (2)'!INICIO</definedName>
    <definedName name="INICIO" localSheetId="9">'TR-LITSA SG-07 (1)'!INICIO</definedName>
    <definedName name="INICIO">[0]!INICIO</definedName>
    <definedName name="INICIOTI" localSheetId="5">'LI-INTESA4-10 (1)'!INICIOTI</definedName>
    <definedName name="INICIOTI" localSheetId="3">'LI-LICCSA (1)'!INICIOTI</definedName>
    <definedName name="INICIOTI" localSheetId="7">'LI-LINSA-04 (1)'!INICIOTI</definedName>
    <definedName name="INICIOTI" localSheetId="17">'RE-LINSA- (1)'!INICIOTI</definedName>
    <definedName name="INICIOTI" localSheetId="16">'RE-YACY-11 (1)'!INICIOTI</definedName>
    <definedName name="INICIOTI" localSheetId="13">'SA-LICCSA-03 (1)'!INICIOTI</definedName>
    <definedName name="INICIOTI" localSheetId="14">'SA-TRANSPORTEL-10 (1)'!INICIOTI</definedName>
    <definedName name="INICIOTI" localSheetId="21">'SUP-LINSA'!INICIOTI</definedName>
    <definedName name="INICIOTI" localSheetId="20">'SUP-TIBA '!INICIOTI</definedName>
    <definedName name="INICIOTI" localSheetId="18">'SUP-YACYLEC (2)'!INICIOTI</definedName>
    <definedName name="INICIOTI" localSheetId="9">'TR-LITSA SG-07 (1)'!INICIOTI</definedName>
    <definedName name="INICIOTI">[0]!INICIOTI</definedName>
    <definedName name="LINEAS" localSheetId="5">'LI-INTESA4-10 (1)'!LINEAS</definedName>
    <definedName name="LINEAS" localSheetId="3">'LI-LICCSA (1)'!LINEAS</definedName>
    <definedName name="LINEAS" localSheetId="7">'LI-LINSA-04 (1)'!LINEAS</definedName>
    <definedName name="LINEAS" localSheetId="17">'RE-LINSA- (1)'!LINEAS</definedName>
    <definedName name="LINEAS" localSheetId="16">'RE-YACY-11 (1)'!LINEAS</definedName>
    <definedName name="LINEAS" localSheetId="13">'SA-LICCSA-03 (1)'!LINEAS</definedName>
    <definedName name="LINEAS" localSheetId="14">'SA-TRANSPORTEL-10 (1)'!LINEAS</definedName>
    <definedName name="LINEAS" localSheetId="21">'SUP-LINSA'!LINEAS</definedName>
    <definedName name="LINEAS" localSheetId="20">'SUP-TIBA '!LINEAS</definedName>
    <definedName name="LINEAS" localSheetId="18">'SUP-YACYLEC (2)'!LINEAS</definedName>
    <definedName name="LINEAS" localSheetId="9">'TR-LITSA SG-07 (1)'!LINEAS</definedName>
    <definedName name="LINEAS">[0]!LINEAS</definedName>
    <definedName name="LINEASTI" localSheetId="5">'LI-INTESA4-10 (1)'!LINEASTI</definedName>
    <definedName name="LINEASTI" localSheetId="3">'LI-LICCSA (1)'!LINEASTI</definedName>
    <definedName name="LINEASTI" localSheetId="7">'LI-LINSA-04 (1)'!LINEASTI</definedName>
    <definedName name="LINEASTI" localSheetId="17">'RE-LINSA- (1)'!LINEASTI</definedName>
    <definedName name="LINEASTI" localSheetId="16">'RE-YACY-11 (1)'!LINEASTI</definedName>
    <definedName name="LINEASTI" localSheetId="13">'SA-LICCSA-03 (1)'!LINEASTI</definedName>
    <definedName name="LINEASTI" localSheetId="14">'SA-TRANSPORTEL-10 (1)'!LINEASTI</definedName>
    <definedName name="LINEASTI" localSheetId="21">'SUP-LINSA'!LINEASTI</definedName>
    <definedName name="LINEASTI" localSheetId="20">'SUP-TIBA '!LINEASTI</definedName>
    <definedName name="LINEASTI" localSheetId="18">'SUP-YACYLEC (2)'!LINEASTI</definedName>
    <definedName name="LINEASTI" localSheetId="9">'TR-LITSA SG-07 (1)'!LINEASTI</definedName>
    <definedName name="LINEASTI">[0]!LINEASTI</definedName>
    <definedName name="NAME_L" localSheetId="5">'LI-INTESA4-10 (1)'!NAME_L</definedName>
    <definedName name="NAME_L" localSheetId="3">'LI-LICCSA (1)'!NAME_L</definedName>
    <definedName name="NAME_L" localSheetId="7">'LI-LINSA-04 (1)'!NAME_L</definedName>
    <definedName name="NAME_L" localSheetId="17">'RE-LINSA- (1)'!NAME_L</definedName>
    <definedName name="NAME_L" localSheetId="16">'RE-YACY-11 (1)'!NAME_L</definedName>
    <definedName name="NAME_L" localSheetId="13">'SA-LICCSA-03 (1)'!NAME_L</definedName>
    <definedName name="NAME_L" localSheetId="14">'SA-TRANSPORTEL-10 (1)'!NAME_L</definedName>
    <definedName name="NAME_L" localSheetId="21">'SUP-LINSA'!NAME_L</definedName>
    <definedName name="NAME_L" localSheetId="20">'SUP-TIBA '!NAME_L</definedName>
    <definedName name="NAME_L" localSheetId="18">'SUP-YACYLEC (2)'!NAME_L</definedName>
    <definedName name="NAME_L" localSheetId="9">'TR-LITSA SG-07 (1)'!NAME_L</definedName>
    <definedName name="NAME_L">[0]!NAME_L</definedName>
    <definedName name="NAME_L_TI" localSheetId="5">'LI-INTESA4-10 (1)'!NAME_L_TI</definedName>
    <definedName name="NAME_L_TI" localSheetId="3">'LI-LICCSA (1)'!NAME_L_TI</definedName>
    <definedName name="NAME_L_TI" localSheetId="7">'LI-LINSA-04 (1)'!NAME_L_TI</definedName>
    <definedName name="NAME_L_TI" localSheetId="17">'RE-LINSA- (1)'!NAME_L_TI</definedName>
    <definedName name="NAME_L_TI" localSheetId="16">'RE-YACY-11 (1)'!NAME_L_TI</definedName>
    <definedName name="NAME_L_TI" localSheetId="13">'SA-LICCSA-03 (1)'!NAME_L_TI</definedName>
    <definedName name="NAME_L_TI" localSheetId="14">'SA-TRANSPORTEL-10 (1)'!NAME_L_TI</definedName>
    <definedName name="NAME_L_TI" localSheetId="21">'SUP-LINSA'!NAME_L_TI</definedName>
    <definedName name="NAME_L_TI" localSheetId="20">'SUP-TIBA '!NAME_L_TI</definedName>
    <definedName name="NAME_L_TI" localSheetId="18">'SUP-YACYLEC (2)'!NAME_L_TI</definedName>
    <definedName name="NAME_L_TI" localSheetId="9">'TR-LITSA SG-07 (1)'!NAME_L_TI</definedName>
    <definedName name="NAME_L_TI">[0]!NAME_L_TI</definedName>
    <definedName name="TRAN" localSheetId="5">'LI-INTESA4-10 (1)'!TRAN</definedName>
    <definedName name="TRAN" localSheetId="3">'LI-LICCSA (1)'!TRAN</definedName>
    <definedName name="TRAN" localSheetId="7">'LI-LINSA-04 (1)'!TRAN</definedName>
    <definedName name="TRAN" localSheetId="17">'RE-LINSA- (1)'!TRAN</definedName>
    <definedName name="TRAN" localSheetId="16">'RE-YACY-11 (1)'!TRAN</definedName>
    <definedName name="TRAN" localSheetId="13">'SA-LICCSA-03 (1)'!TRAN</definedName>
    <definedName name="TRAN" localSheetId="14">'SA-TRANSPORTEL-10 (1)'!TRAN</definedName>
    <definedName name="TRAN" localSheetId="21">'SUP-LINSA'!TRAN</definedName>
    <definedName name="TRAN" localSheetId="20">'SUP-TIBA '!TRAN</definedName>
    <definedName name="TRAN" localSheetId="18">'SUP-YACYLEC (2)'!TRAN</definedName>
    <definedName name="TRAN" localSheetId="9">'TR-LITSA SG-07 (1)'!TRAN</definedName>
    <definedName name="TRAN">[0]!TRAN</definedName>
    <definedName name="TRANSNOA" localSheetId="5">'LI-INTESA4-10 (1)'!TRANSNOA</definedName>
    <definedName name="TRANSNOA" localSheetId="3">'LI-LICCSA (1)'!TRANSNOA</definedName>
    <definedName name="TRANSNOA" localSheetId="7">'LI-LINSA-04 (1)'!TRANSNOA</definedName>
    <definedName name="TRANSNOA" localSheetId="17">'RE-LINSA- (1)'!TRANSNOA</definedName>
    <definedName name="TRANSNOA" localSheetId="16">'RE-YACY-11 (1)'!TRANSNOA</definedName>
    <definedName name="TRANSNOA" localSheetId="13">'SA-LICCSA-03 (1)'!TRANSNOA</definedName>
    <definedName name="TRANSNOA" localSheetId="14">'SA-TRANSPORTEL-10 (1)'!TRANSNOA</definedName>
    <definedName name="TRANSNOA" localSheetId="21">'SUP-LINSA'!TRANSNOA</definedName>
    <definedName name="TRANSNOA" localSheetId="20">'SUP-TIBA '!TRANSNOA</definedName>
    <definedName name="TRANSNOA" localSheetId="18">'SUP-YACYLEC (2)'!TRANSNOA</definedName>
    <definedName name="TRANSNOA" localSheetId="9">'TR-LITSA SG-07 (1)'!TRANSNOA</definedName>
    <definedName name="TRANSNOA">[0]!TRANSNOA</definedName>
    <definedName name="TRANSPA" localSheetId="5">'LI-INTESA4-10 (1)'!TRANSPA</definedName>
    <definedName name="TRANSPA" localSheetId="3">'LI-LICCSA (1)'!TRANSPA</definedName>
    <definedName name="TRANSPA" localSheetId="7">'LI-LINSA-04 (1)'!TRANSPA</definedName>
    <definedName name="TRANSPA" localSheetId="17">'RE-LINSA- (1)'!TRANSPA</definedName>
    <definedName name="TRANSPA" localSheetId="16">'RE-YACY-11 (1)'!TRANSPA</definedName>
    <definedName name="TRANSPA" localSheetId="13">'SA-LICCSA-03 (1)'!TRANSPA</definedName>
    <definedName name="TRANSPA" localSheetId="14">'SA-TRANSPORTEL-10 (1)'!TRANSPA</definedName>
    <definedName name="TRANSPA" localSheetId="21">'SUP-LINSA'!TRANSPA</definedName>
    <definedName name="TRANSPA" localSheetId="20">'SUP-TIBA '!TRANSPA</definedName>
    <definedName name="TRANSPA" localSheetId="18">'SUP-YACYLEC (2)'!TRANSPA</definedName>
    <definedName name="TRANSPA" localSheetId="9">'TR-LITSA SG-07 (1)'!TRANSPA</definedName>
    <definedName name="TRANSPA">[0]!TRANSPA</definedName>
    <definedName name="x" localSheetId="5">'LI-INTESA4-10 (1)'!x</definedName>
    <definedName name="x" localSheetId="3">'LI-LICCSA (1)'!x</definedName>
    <definedName name="x" localSheetId="7">'LI-LINSA-04 (1)'!x</definedName>
    <definedName name="x" localSheetId="17">'RE-LINSA- (1)'!x</definedName>
    <definedName name="x" localSheetId="16">'RE-YACY-11 (1)'!x</definedName>
    <definedName name="x" localSheetId="13">'SA-LICCSA-03 (1)'!x</definedName>
    <definedName name="x" localSheetId="14">'SA-TRANSPORTEL-10 (1)'!x</definedName>
    <definedName name="x" localSheetId="21">'SUP-LINSA'!x</definedName>
    <definedName name="x" localSheetId="20">'SUP-TIBA '!x</definedName>
    <definedName name="x" localSheetId="18">'SUP-YACYLEC (2)'!x</definedName>
    <definedName name="x" localSheetId="9">'TR-LITSA SG-07 (1)'!x</definedName>
    <definedName name="x">[0]!x</definedName>
    <definedName name="XX" localSheetId="5">'LI-INTESA4-10 (1)'!XX</definedName>
    <definedName name="XX" localSheetId="3">'LI-LICCSA (1)'!XX</definedName>
    <definedName name="XX" localSheetId="7">'LI-LINSA-04 (1)'!XX</definedName>
    <definedName name="XX" localSheetId="17">'RE-LINSA- (1)'!XX</definedName>
    <definedName name="XX" localSheetId="16">'RE-YACY-11 (1)'!XX</definedName>
    <definedName name="XX" localSheetId="13">'SA-LICCSA-03 (1)'!XX</definedName>
    <definedName name="XX" localSheetId="14">'SA-TRANSPORTEL-10 (1)'!XX</definedName>
    <definedName name="XX" localSheetId="21">'SUP-LINSA'!XX</definedName>
    <definedName name="XX" localSheetId="20">'SUP-TIBA '!XX</definedName>
    <definedName name="XX" localSheetId="18">'SUP-YACYLEC (2)'!XX</definedName>
    <definedName name="XX" localSheetId="9">'TR-LITSA SG-07 (1)'!XX</definedName>
    <definedName name="XX">[0]!XX</definedName>
  </definedNames>
  <calcPr fullCalcOnLoad="1"/>
</workbook>
</file>

<file path=xl/comments12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4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39,254</t>
        </r>
      </text>
    </comment>
  </commentList>
</comments>
</file>

<file path=xl/comments20.xml><?xml version="1.0" encoding="utf-8"?>
<comments xmlns="http://schemas.openxmlformats.org/spreadsheetml/2006/main">
  <authors>
    <author>Ing. Juan Messina</author>
  </authors>
  <commentList>
    <comment ref="M62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3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6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67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22.xml><?xml version="1.0" encoding="utf-8"?>
<comments xmlns="http://schemas.openxmlformats.org/spreadsheetml/2006/main">
  <authors>
    <author>Ing. Juan Messina</author>
  </authors>
  <commentList>
    <comment ref="M67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68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69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2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3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comments23.xml><?xml version="1.0" encoding="utf-8"?>
<comments xmlns="http://schemas.openxmlformats.org/spreadsheetml/2006/main">
  <authors>
    <author>gmir</author>
  </authors>
  <commentList>
    <comment ref="N1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  <comment ref="N39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</commentList>
</comments>
</file>

<file path=xl/sharedStrings.xml><?xml version="1.0" encoding="utf-8"?>
<sst xmlns="http://schemas.openxmlformats.org/spreadsheetml/2006/main" count="1611" uniqueCount="387">
  <si>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</si>
  <si>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</si>
  <si>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</si>
  <si>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</si>
  <si>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</si>
  <si>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</si>
  <si>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</si>
  <si>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</si>
  <si>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L.I.N.S.A.</t>
  </si>
  <si>
    <t>IV LINEA</t>
  </si>
  <si>
    <t>2.-</t>
  </si>
  <si>
    <t>CONEXIÓN</t>
  </si>
  <si>
    <t>Transformación</t>
  </si>
  <si>
    <t>Transportista Independiente TIBA S.A.</t>
  </si>
  <si>
    <t>Salidas</t>
  </si>
  <si>
    <t>3.-</t>
  </si>
  <si>
    <t>POTENCIA REACTIVA</t>
  </si>
  <si>
    <t>4.-</t>
  </si>
  <si>
    <t>SUPERVISIÓN</t>
  </si>
  <si>
    <t>Transportista Independiente LINSA</t>
  </si>
  <si>
    <t>5.-</t>
  </si>
  <si>
    <t>D.A.G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</si>
  <si>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</si>
  <si>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</si>
  <si>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</si>
  <si>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</si>
  <si>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</si>
  <si>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</si>
  <si>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</si>
  <si>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</si>
  <si>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</si>
  <si>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</si>
  <si>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</si>
  <si>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</si>
  <si>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</si>
  <si>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</si>
  <si>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</si>
  <si>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</si>
  <si>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</si>
  <si>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</si>
  <si>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</si>
  <si>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</si>
  <si>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</si>
  <si>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</si>
  <si>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</si>
  <si>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</si>
  <si>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</si>
  <si>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</si>
  <si>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</si>
  <si>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</si>
  <si>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</si>
  <si>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1.2.-  Líneas de la Transportista Independiente YACYLEC S.A.</t>
  </si>
  <si>
    <t>PENALIZACION FORZADA
Por Salida      1ras 5 hs.     hs. Restantes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</si>
  <si>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</si>
  <si>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</si>
  <si>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</si>
  <si>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</si>
  <si>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</si>
  <si>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</si>
  <si>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</si>
  <si>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</si>
  <si>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</si>
  <si>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</si>
  <si>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</si>
  <si>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</si>
  <si>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</si>
  <si>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</si>
  <si>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</si>
  <si>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</si>
  <si>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</si>
  <si>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</si>
  <si>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</si>
  <si>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</si>
  <si>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 xml:space="preserve"> 2.2.2.- Transportista Independiente TIBA S.A.</t>
  </si>
  <si>
    <t>-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</si>
  <si>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</si>
  <si>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</si>
  <si>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</si>
  <si>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</si>
  <si>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</si>
  <si>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</si>
  <si>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SI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</si>
  <si>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</si>
  <si>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</si>
  <si>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</si>
  <si>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</si>
  <si>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</si>
  <si>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</si>
  <si>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</si>
  <si>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</si>
  <si>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</si>
  <si>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</si>
  <si>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</si>
  <si>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</si>
  <si>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</si>
  <si>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</si>
  <si>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</si>
  <si>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</si>
  <si>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REDUCC.
RESTANTE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</si>
  <si>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</si>
  <si>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</si>
  <si>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</si>
  <si>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</si>
  <si>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</si>
  <si>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</si>
  <si>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</si>
  <si>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</si>
  <si>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</si>
  <si>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</si>
  <si>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</si>
  <si>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</si>
  <si>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</si>
  <si>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</si>
  <si>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Tipo 
Sal.</t>
  </si>
  <si>
    <t>Rest %</t>
  </si>
  <si>
    <t>K (P;ENS)</t>
  </si>
  <si>
    <t>PENALIZAC. FORZADA
Por Salida    hs. Restantes</t>
  </si>
  <si>
    <t>REDUC PROGR</t>
  </si>
  <si>
    <t>SM =</t>
  </si>
  <si>
    <t>d)</t>
  </si>
  <si>
    <t>LONG.</t>
  </si>
  <si>
    <t>U [kV]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</si>
  <si>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</si>
  <si>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</si>
  <si>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</si>
  <si>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</si>
  <si>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</si>
  <si>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</t>
  </si>
  <si>
    <t>SANCIÓN =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</si>
  <si>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</si>
  <si>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</si>
  <si>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</si>
  <si>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</si>
  <si>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</si>
  <si>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</si>
  <si>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</si>
  <si>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</si>
  <si>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</si>
  <si>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</si>
  <si>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</si>
  <si>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E.T.</t>
  </si>
  <si>
    <t>SALIDA</t>
  </si>
  <si>
    <t>Rincón</t>
  </si>
  <si>
    <t>Ituzaingó, Ita Ibate, Virasoro</t>
  </si>
  <si>
    <t>Salto Grande</t>
  </si>
  <si>
    <t>Trafo 2 500/132 kV</t>
  </si>
  <si>
    <t>TOTAL A PENALIZAR A TRANSENER S.A POR SUPERVISIÓN A LITSA</t>
  </si>
  <si>
    <t>500/132/33</t>
  </si>
  <si>
    <t xml:space="preserve">Salida en 500 kV en $/h </t>
  </si>
  <si>
    <t xml:space="preserve">Cargo por Transformador por MVA =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</si>
  <si>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</si>
  <si>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</si>
  <si>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</si>
  <si>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</si>
  <si>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</si>
  <si>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</si>
  <si>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</si>
  <si>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</si>
  <si>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</si>
  <si>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</si>
  <si>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 =</t>
  </si>
  <si>
    <t>TOTAL A PENALIZAR A TRANSENER S.A POR SUPERVISIÓN A TIBA</t>
  </si>
  <si>
    <t>500/132/13,2</t>
  </si>
  <si>
    <t>5.- DESCONEXIÓN AUTOMÁTICA DE GENERACIÓN (DAG)</t>
  </si>
  <si>
    <t>5.1.-  Equipamiento Propio</t>
  </si>
  <si>
    <t>Remuneración mensual (ENRE 121/01)</t>
  </si>
  <si>
    <t>OBS.</t>
  </si>
  <si>
    <t>indisp &gt; 24hs (K=2 o K=1)</t>
  </si>
  <si>
    <t>PENALIZACIÓN FORZADA Computable       NO Computable</t>
  </si>
  <si>
    <t>FORZADA INDISPONIBLE</t>
  </si>
  <si>
    <t>PROGRAMADA</t>
  </si>
  <si>
    <t>5.2.- Sanción Adicional por Cantidad Actuaciones Incorrectas</t>
  </si>
  <si>
    <t xml:space="preserve">Remuneración Anual </t>
  </si>
  <si>
    <t>NUMERO DE ACTUACIONES INCORRECTAS EN EL TRANSCURSO DEL AÑO MOVIL [N° actuaciones incorrectas/año]:</t>
  </si>
  <si>
    <t>Sanción Adicional por Actuaciones Incorrectas</t>
  </si>
  <si>
    <t xml:space="preserve">P - PROGRAMADA [Sanción = 1 % Remuneración Mesual]           F - FORZADA (Estando en servicio no actuó o actuó mal) [Sanción =  10 % Remuneración Mesual]                </t>
  </si>
  <si>
    <t>FC - FORZADA COMPUTABLE (Además de ser FORZADA, cumple las condiciones para ser COMPUTABLE p/cálculo de tasa de falla)  [Sanción = 10 % Remuneración Mesual y se computa p/ cálculo tasa de falla]</t>
  </si>
  <si>
    <t>FI - FORZADA INDISPONIBLE (INDISPONIBLE en forma no programada)   [Sanción = 5 % Remuneración Mesual]</t>
  </si>
  <si>
    <t>DAG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</si>
  <si>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</si>
  <si>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</si>
  <si>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</si>
  <si>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</si>
  <si>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</si>
  <si>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</si>
  <si>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</si>
  <si>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</si>
  <si>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</si>
  <si>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</si>
  <si>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</si>
  <si>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</si>
  <si>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Desde el 01 al 31 de diciembre de 2014</t>
  </si>
  <si>
    <t>VILLA LIA - ATUCHA 1</t>
  </si>
  <si>
    <t>C</t>
  </si>
  <si>
    <t>F</t>
  </si>
  <si>
    <t>EZEIZA - HENDERSON 1</t>
  </si>
  <si>
    <t>A</t>
  </si>
  <si>
    <t>CHOCON - C.H. CHOCON 1</t>
  </si>
  <si>
    <t>P</t>
  </si>
  <si>
    <t>OLAVARRIA - BAHIA BLANCA 1</t>
  </si>
  <si>
    <t>EZEIZA - ABASTO 2</t>
  </si>
  <si>
    <t>RIO GRANDE - EMBALSE</t>
  </si>
  <si>
    <t>CHOCON OESTE - CHOCON 2</t>
  </si>
  <si>
    <t>COLONIA ELIA - CAMPANA</t>
  </si>
  <si>
    <t xml:space="preserve">P. DE LA PATRIA  RINCON        </t>
  </si>
  <si>
    <t>OLAVARRIA - BAHIA BLANCA 2</t>
  </si>
  <si>
    <t>EL CHOCON</t>
  </si>
  <si>
    <t>TRAFO T2</t>
  </si>
  <si>
    <t>EZEIZA</t>
  </si>
  <si>
    <t>TRAFO 1</t>
  </si>
  <si>
    <t>500/220/132</t>
  </si>
  <si>
    <t>PLANICIE BANDERITA</t>
  </si>
  <si>
    <t>AUTOTRAFO</t>
  </si>
  <si>
    <t>TRAFO 4</t>
  </si>
  <si>
    <t>SANTO TOME</t>
  </si>
  <si>
    <t>SALIDA LINEA STA. FE NORTE</t>
  </si>
  <si>
    <t>B. BLANCA</t>
  </si>
  <si>
    <t>SALIDA ACOPLAMIENTO A-C</t>
  </si>
  <si>
    <t>LUJAN</t>
  </si>
  <si>
    <t>SALIDA SAN LUIS I</t>
  </si>
  <si>
    <t>PUELCHES</t>
  </si>
  <si>
    <t>SALIDA LINEA GRAL. ACHA</t>
  </si>
  <si>
    <t>SALIDA LINEA ESPERANZA</t>
  </si>
  <si>
    <t>EL BRACHO</t>
  </si>
  <si>
    <t>SALIDA LÍNEA A C.T. TUCUMÁN maq 2</t>
  </si>
  <si>
    <t>SALIDA LINEA CEVIL POZO</t>
  </si>
  <si>
    <t>ALMAFUERTE</t>
  </si>
  <si>
    <t>SALIDA LINEA PILAR 1</t>
  </si>
  <si>
    <t>CAMPANA 500</t>
  </si>
  <si>
    <t>SALIDA ACOP. BARRAS A,C</t>
  </si>
  <si>
    <t>SALIDA ACOP. BARRAS B,D</t>
  </si>
  <si>
    <t>GRAN MENDOZA</t>
  </si>
  <si>
    <t>SALIDA LINEA GRAL. SAN MARTIN</t>
  </si>
  <si>
    <t>MALVINAS ARGENTINAS</t>
  </si>
  <si>
    <t>SALIDA TRAFO MONTECRISTO</t>
  </si>
  <si>
    <t>SALIDA LINEA R. DEL BUSTO</t>
  </si>
  <si>
    <t>P. BANDERITA</t>
  </si>
  <si>
    <t>SALIDA LINEA A PLAYA BANDERITA</t>
  </si>
  <si>
    <t>SALIDA LINEA C. N. EMBALSE</t>
  </si>
  <si>
    <t>ROMANG</t>
  </si>
  <si>
    <t>SALIDA LINEA CALCHAQUI</t>
  </si>
  <si>
    <t>SALIDA LINEA A CRUZ DE PIEDRA 2</t>
  </si>
  <si>
    <t xml:space="preserve">BAHIA BLANCA </t>
  </si>
  <si>
    <t>SALIDA LINEA PBUENA 2</t>
  </si>
  <si>
    <t>SALIDA A PETROQUIMICA</t>
  </si>
  <si>
    <t>SALIDA A COOP. P. ALTA</t>
  </si>
  <si>
    <t>OLAVARRIA</t>
  </si>
  <si>
    <t>SALIDA A HENDERSON</t>
  </si>
  <si>
    <t>SALIDA PETROQUIMICA 3</t>
  </si>
  <si>
    <t>SALIDA A L. NEGRA</t>
  </si>
  <si>
    <t>SALIDA A G. CHAVES</t>
  </si>
  <si>
    <t xml:space="preserve">OLAVARRIA </t>
  </si>
  <si>
    <t>SALIDA BARKER</t>
  </si>
  <si>
    <t>BAHIA BLANCA</t>
  </si>
  <si>
    <t>SALIDA A PRINGLES</t>
  </si>
  <si>
    <t xml:space="preserve">CAMPANA </t>
  </si>
  <si>
    <t>SALIDA PRAXAIR</t>
  </si>
  <si>
    <t>0,000</t>
  </si>
  <si>
    <t>R1B5PU</t>
  </si>
  <si>
    <t>R3A RL</t>
  </si>
  <si>
    <t>R4L5PU</t>
  </si>
  <si>
    <t>R1B5BB</t>
  </si>
  <si>
    <t xml:space="preserve">EZEIZA </t>
  </si>
  <si>
    <t>CS4</t>
  </si>
  <si>
    <t>CS3</t>
  </si>
  <si>
    <t>CS6</t>
  </si>
  <si>
    <t>CS2</t>
  </si>
  <si>
    <t>500/132/13.2</t>
  </si>
  <si>
    <t>T2RM</t>
  </si>
  <si>
    <t>ROMANG (RES.SE1/03)</t>
  </si>
  <si>
    <t xml:space="preserve">ATUCHA II  </t>
  </si>
  <si>
    <t>5TGAT1</t>
  </si>
  <si>
    <t>SALIDA A VILLA MARIA</t>
  </si>
  <si>
    <t>ARRO. CABRAL</t>
  </si>
  <si>
    <t xml:space="preserve">ALMAFUERTE </t>
  </si>
  <si>
    <t>R1L5AM</t>
  </si>
  <si>
    <t>R2L5RO</t>
  </si>
  <si>
    <t>ROSARIO OESTE</t>
  </si>
  <si>
    <t xml:space="preserve"> - </t>
  </si>
  <si>
    <t xml:space="preserve">COBOS - MONTE QUEMADO </t>
  </si>
  <si>
    <t>(¤)</t>
  </si>
  <si>
    <t>P - PROGRAMADA</t>
  </si>
  <si>
    <t xml:space="preserve">EL BRACHO - COBOS </t>
  </si>
  <si>
    <t>RIO DIAMANTE</t>
  </si>
  <si>
    <t>SALIDA LOS REYUNOS</t>
  </si>
  <si>
    <t>RIO DIAMANTE  GRAN MZA</t>
  </si>
  <si>
    <t>Transportista Independiente LICCSA</t>
  </si>
  <si>
    <t xml:space="preserve">P - PROGRAMADA 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</si>
  <si>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</si>
  <si>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MONTE QUEMADO  CHACO</t>
  </si>
  <si>
    <t>3.3.-  Transportista Independiente LINSA</t>
  </si>
  <si>
    <t>M.QUEM-CHACO D1</t>
  </si>
  <si>
    <t>MQUEM-CHACO O1</t>
  </si>
  <si>
    <t>Por Transformador por cada MVA  $   =</t>
  </si>
  <si>
    <t>Res . ENRE Nº 016/2009</t>
  </si>
  <si>
    <t>TOTAL
PENALIZ.</t>
  </si>
  <si>
    <t>SALTO GRANDE</t>
  </si>
  <si>
    <t>TRAFO 2</t>
  </si>
  <si>
    <t>NO</t>
  </si>
  <si>
    <t>B.BLANCA</t>
  </si>
  <si>
    <t>TR1</t>
  </si>
  <si>
    <t>T2</t>
  </si>
  <si>
    <t>NUEVA CAMPANA</t>
  </si>
  <si>
    <t xml:space="preserve"> -</t>
  </si>
  <si>
    <t>LA RIOJA SUR</t>
  </si>
  <si>
    <t>SALIDA LA RIOJA</t>
  </si>
  <si>
    <t xml:space="preserve"> </t>
  </si>
  <si>
    <t>RINCON</t>
  </si>
  <si>
    <t>F - FORZADA</t>
  </si>
  <si>
    <t>R9L5RI</t>
  </si>
  <si>
    <t>R6L5RS</t>
  </si>
  <si>
    <t>RESISTENCIA</t>
  </si>
  <si>
    <t>DAG COMAHUE</t>
  </si>
  <si>
    <t>1.3.- Transportista Independiente LICCSA -</t>
  </si>
  <si>
    <t>1.4.- IV LINEA</t>
  </si>
  <si>
    <t>1.5.- Transportista Independiente INTESAR S.A. 4 (Bracho - Cobos - Mte. Quemado)</t>
  </si>
  <si>
    <t>1.6.- Transportista Independiente LINSA (G. Formosa - Resistencia- Mte. Quemado)</t>
  </si>
  <si>
    <t>2.1.2.- Transportista Independiente LITSA -TRANSF. SALTO GRANDE</t>
  </si>
  <si>
    <t>2.1.3.- Transportista Independiente TIBA S.A.</t>
  </si>
  <si>
    <t xml:space="preserve"> 2.2.3.- Transportista Independiente LICCSA</t>
  </si>
  <si>
    <t>3.2.-  Transportista Independiente YACYLEC S.A.</t>
  </si>
  <si>
    <t>Coeficiente de penalización forzada=</t>
  </si>
  <si>
    <t>RM * =</t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</si>
  <si>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</si>
  <si>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</si>
  <si>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t>(DTE 1214)</t>
  </si>
  <si>
    <t>RM: Por Capacitores ET  B. Blanca:</t>
  </si>
  <si>
    <t>100 MVAr</t>
  </si>
  <si>
    <t>RM *  =</t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</si>
  <si>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</si>
  <si>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R1L5MQ</t>
  </si>
  <si>
    <t>R1L5CHA</t>
  </si>
  <si>
    <t>TOTAL DE PENALIZACIONES A APLICAR</t>
  </si>
  <si>
    <t>RF</t>
  </si>
  <si>
    <t>Valores remuneratorios según Convenio de Renovación - Nota ENRE Nº 116149</t>
  </si>
  <si>
    <t xml:space="preserve"> --</t>
  </si>
  <si>
    <t>1.5.1</t>
  </si>
  <si>
    <t>1.5.1.- Incendio de Campos - INTESAR S.A. 4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</si>
  <si>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</si>
  <si>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</si>
  <si>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</si>
  <si>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</si>
  <si>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</si>
  <si>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</si>
  <si>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</si>
  <si>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100Km</t>
  </si>
  <si>
    <t>Correspondiente al mes de Diciembre de 2014</t>
  </si>
  <si>
    <t xml:space="preserve">  ENTE NACIONAL REGULADOR </t>
  </si>
  <si>
    <t xml:space="preserve"> 2.2.4.- Transportista Independiente TRANSPORTEL La Rioja Sur (TRANSPORTEL MINERA II S.A.)</t>
  </si>
  <si>
    <t>Transportista Independiente INTESAR 4</t>
  </si>
  <si>
    <t>4.1.- Transportista Independiente YACYLEC S.A.</t>
  </si>
  <si>
    <t>4.3.- Transportista Independiente  TIBA S.A.</t>
  </si>
  <si>
    <t>Transp. Indep. TRANSPORTEL MINERA II S.A.</t>
  </si>
  <si>
    <t>Incendio Transportista Indep. INTESAR 4</t>
  </si>
  <si>
    <t>p</t>
  </si>
  <si>
    <t>MQUEMADO</t>
  </si>
  <si>
    <t xml:space="preserve"> Resistencia - Gran Formosa</t>
  </si>
  <si>
    <t>Chaco - Resistencia</t>
  </si>
  <si>
    <t>Monte Quemado - Chaco</t>
  </si>
  <si>
    <t>G.Formosa - Trafo 1</t>
  </si>
  <si>
    <t>Chaco - Trafo 1</t>
  </si>
  <si>
    <t>Monte Quemado</t>
  </si>
  <si>
    <t>Gran Formosa</t>
  </si>
  <si>
    <t>Pirane</t>
  </si>
  <si>
    <t>Clorinda 1</t>
  </si>
  <si>
    <t>Clorinda 2</t>
  </si>
  <si>
    <t>Formosa 1</t>
  </si>
  <si>
    <t>Formosa 2</t>
  </si>
  <si>
    <t>Chaco</t>
  </si>
  <si>
    <t>Charata</t>
  </si>
  <si>
    <t>Presidencia R.S. Peña</t>
  </si>
  <si>
    <t>Copo</t>
  </si>
  <si>
    <t>REACTOR ET</t>
  </si>
  <si>
    <t>CODIGO</t>
  </si>
  <si>
    <t>RM</t>
  </si>
  <si>
    <t>R1L5GFO</t>
  </si>
  <si>
    <t>R2L5CHA</t>
  </si>
  <si>
    <t>R3B5MQ</t>
  </si>
  <si>
    <t>RM  =</t>
  </si>
  <si>
    <r>
      <t xml:space="preserve">RM * </t>
    </r>
    <r>
      <rPr>
        <sz val="14"/>
        <rFont val="Times New Roman"/>
        <family val="1"/>
      </rPr>
      <t xml:space="preserve">= VALOR EMPLEADO PARA CALCULAR </t>
    </r>
    <r>
      <rPr>
        <b/>
        <sz val="14"/>
        <rFont val="Times New Roman"/>
        <family val="1"/>
      </rPr>
      <t>CS</t>
    </r>
  </si>
  <si>
    <t>4.4.- Transportista Independiente LINSA  (Chaco - Resistencia  - Gran Formosa)</t>
  </si>
  <si>
    <t>P - PROGRAMADA  ; F - FORZADA  ; RF - RESTANTE FORZADA, PROVENIENTE DEL MES ANTERIOR.</t>
  </si>
  <si>
    <t>Transportista Independiente L.I.T.S.A. TRANSF. SALTO GRANDE</t>
  </si>
  <si>
    <t>4.2.- Transportista Independiente L.I.T.S.A. TRANSF. SALTO GRANDE</t>
  </si>
  <si>
    <t>Transportista Independiente LITSA TRANSF. SALTO GRANDE</t>
  </si>
  <si>
    <t xml:space="preserve">                                 </t>
  </si>
  <si>
    <t>ANEXO I al Memorándum D.T.E.E. N° 90 /2016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</si>
</sst>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_)"/>
    <numFmt numFmtId="167" formatCode="0.0"/>
    <numFmt numFmtId="168" formatCode="0.000_)"/>
    <numFmt numFmtId="169" formatCode="0.000"/>
    <numFmt numFmtId="170" formatCode="#&quot;.&quot;#&quot;.-&quot;"/>
    <numFmt numFmtId="171" formatCode="#&quot;.&quot;#&quot;.&quot;#&quot;.-&quot;"/>
    <numFmt numFmtId="172" formatCode="&quot;$&quot;#,##0.00;&quot;$&quot;\-#,##0.00"/>
    <numFmt numFmtId="173" formatCode="0.0000"/>
  </numFmts>
  <fonts count="1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0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0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0"/>
    </font>
    <font>
      <sz val="11"/>
      <color indexed="13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sz val="12"/>
      <color indexed="8"/>
      <name val="Times New Roman"/>
      <family val="1"/>
    </font>
    <font>
      <sz val="12"/>
      <name val="MS Sans Serif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name val="MS Sans Serif"/>
      <family val="0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MS Sans Serif"/>
      <family val="2"/>
    </font>
    <font>
      <sz val="9"/>
      <name val="Cambria"/>
      <family val="1"/>
    </font>
    <font>
      <sz val="9"/>
      <name val="Times New Roman"/>
      <family val="1"/>
    </font>
    <font>
      <sz val="8"/>
      <name val="Arial"/>
      <family val="0"/>
    </font>
    <font>
      <sz val="9"/>
      <name val="Wingdings"/>
      <family val="0"/>
    </font>
    <font>
      <sz val="9"/>
      <name val="Courier New"/>
      <family val="3"/>
    </font>
    <font>
      <b/>
      <sz val="11"/>
      <name val="Times New Roman"/>
      <family val="1"/>
    </font>
    <font>
      <sz val="14"/>
      <color indexed="8"/>
      <name val="Times New Roman"/>
      <family val="0"/>
    </font>
    <font>
      <b/>
      <i/>
      <u val="single"/>
      <sz val="14"/>
      <color indexed="8"/>
      <name val="Times New Roman"/>
      <family val="0"/>
    </font>
    <font>
      <b/>
      <i/>
      <u val="single"/>
      <sz val="10"/>
      <color indexed="8"/>
      <name val="Times New Roman"/>
      <family val="0"/>
    </font>
    <font>
      <b/>
      <sz val="15"/>
      <color indexed="56"/>
      <name val="Calibri"/>
      <family val="2"/>
    </font>
    <font>
      <b/>
      <sz val="7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5" fillId="19" borderId="0" applyNumberFormat="0" applyBorder="0" applyAlignment="0" applyProtection="0"/>
    <xf numFmtId="0" fontId="146" fillId="20" borderId="1" applyNumberFormat="0" applyAlignment="0" applyProtection="0"/>
    <xf numFmtId="0" fontId="147" fillId="21" borderId="2" applyNumberFormat="0" applyAlignment="0" applyProtection="0"/>
    <xf numFmtId="0" fontId="148" fillId="0" borderId="3" applyNumberFormat="0" applyFill="0" applyAlignment="0" applyProtection="0"/>
    <xf numFmtId="0" fontId="120" fillId="0" borderId="4" applyNumberFormat="0" applyFill="0" applyAlignment="0" applyProtection="0"/>
    <xf numFmtId="0" fontId="149" fillId="0" borderId="0" applyNumberFormat="0" applyFill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144" fillId="26" borderId="0" applyNumberFormat="0" applyBorder="0" applyAlignment="0" applyProtection="0"/>
    <xf numFmtId="0" fontId="144" fillId="27" borderId="0" applyNumberFormat="0" applyBorder="0" applyAlignment="0" applyProtection="0"/>
    <xf numFmtId="0" fontId="15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5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153" fillId="20" borderId="6" applyNumberFormat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7" applyNumberFormat="0" applyFill="0" applyAlignment="0" applyProtection="0"/>
    <xf numFmtId="0" fontId="158" fillId="0" borderId="8" applyNumberFormat="0" applyFill="0" applyAlignment="0" applyProtection="0"/>
    <xf numFmtId="0" fontId="149" fillId="0" borderId="9" applyNumberFormat="0" applyFill="0" applyAlignment="0" applyProtection="0"/>
    <xf numFmtId="0" fontId="159" fillId="0" borderId="10" applyNumberFormat="0" applyFill="0" applyAlignment="0" applyProtection="0"/>
  </cellStyleXfs>
  <cellXfs count="2590">
    <xf numFmtId="0" fontId="0" fillId="0" borderId="0" xfId="0" applyAlignment="1">
      <alignment/>
    </xf>
    <xf numFmtId="0" fontId="8" fillId="0" borderId="0" xfId="70" applyFont="1" quotePrefix="1">
      <alignment/>
      <protection/>
    </xf>
    <xf numFmtId="0" fontId="9" fillId="0" borderId="0" xfId="70" applyFont="1" applyAlignment="1">
      <alignment horizontal="centerContinuous"/>
      <protection/>
    </xf>
    <xf numFmtId="0" fontId="8" fillId="0" borderId="0" xfId="70" applyFont="1">
      <alignment/>
      <protection/>
    </xf>
    <xf numFmtId="0" fontId="10" fillId="0" borderId="0" xfId="70" applyFont="1" applyBorder="1">
      <alignment/>
      <protection/>
    </xf>
    <xf numFmtId="0" fontId="11" fillId="0" borderId="0" xfId="70" applyFont="1" applyAlignment="1">
      <alignment horizontal="right" vertical="top"/>
      <protection/>
    </xf>
    <xf numFmtId="0" fontId="12" fillId="0" borderId="0" xfId="70" applyFont="1" applyAlignment="1">
      <alignment horizontal="centerContinuous"/>
      <protection/>
    </xf>
    <xf numFmtId="0" fontId="8" fillId="0" borderId="0" xfId="70" applyFont="1" applyAlignment="1">
      <alignment horizontal="centerContinuous"/>
      <protection/>
    </xf>
    <xf numFmtId="0" fontId="13" fillId="0" borderId="0" xfId="70" applyFont="1">
      <alignment/>
      <protection/>
    </xf>
    <xf numFmtId="0" fontId="3" fillId="0" borderId="0" xfId="70">
      <alignment/>
      <protection/>
    </xf>
    <xf numFmtId="0" fontId="13" fillId="0" borderId="0" xfId="70" applyFont="1" applyAlignment="1">
      <alignment horizontal="centerContinuous"/>
      <protection/>
    </xf>
    <xf numFmtId="0" fontId="13" fillId="0" borderId="0" xfId="70" applyFont="1" applyBorder="1">
      <alignment/>
      <protection/>
    </xf>
    <xf numFmtId="0" fontId="6" fillId="0" borderId="0" xfId="70" applyFont="1" applyFill="1" applyBorder="1" applyAlignment="1" applyProtection="1">
      <alignment horizontal="centerContinuous"/>
      <protection/>
    </xf>
    <xf numFmtId="0" fontId="14" fillId="0" borderId="0" xfId="70" applyNumberFormat="1" applyFont="1" applyAlignment="1">
      <alignment horizontal="left"/>
      <protection/>
    </xf>
    <xf numFmtId="0" fontId="14" fillId="0" borderId="0" xfId="70" applyFont="1">
      <alignment/>
      <protection/>
    </xf>
    <xf numFmtId="0" fontId="14" fillId="0" borderId="0" xfId="70" applyFont="1" applyBorder="1">
      <alignment/>
      <protection/>
    </xf>
    <xf numFmtId="0" fontId="15" fillId="0" borderId="0" xfId="70" applyFont="1" applyFill="1" applyBorder="1" applyAlignment="1" applyProtection="1">
      <alignment horizontal="left"/>
      <protection/>
    </xf>
    <xf numFmtId="0" fontId="8" fillId="0" borderId="0" xfId="70" applyFont="1" applyBorder="1">
      <alignment/>
      <protection/>
    </xf>
    <xf numFmtId="0" fontId="16" fillId="0" borderId="0" xfId="70" applyFont="1">
      <alignment/>
      <protection/>
    </xf>
    <xf numFmtId="0" fontId="17" fillId="0" borderId="0" xfId="70" applyFont="1" applyBorder="1" applyAlignment="1">
      <alignment horizontal="centerContinuous"/>
      <protection/>
    </xf>
    <xf numFmtId="0" fontId="18" fillId="0" borderId="0" xfId="70" applyFont="1" applyAlignment="1">
      <alignment horizontal="centerContinuous"/>
      <protection/>
    </xf>
    <xf numFmtId="0" fontId="16" fillId="0" borderId="0" xfId="70" applyFont="1" applyAlignment="1">
      <alignment horizontal="centerContinuous"/>
      <protection/>
    </xf>
    <xf numFmtId="0" fontId="16" fillId="0" borderId="0" xfId="70" applyFont="1" applyBorder="1" applyAlignment="1">
      <alignment horizontal="centerContinuous"/>
      <protection/>
    </xf>
    <xf numFmtId="0" fontId="16" fillId="0" borderId="0" xfId="70" applyFont="1" applyBorder="1">
      <alignment/>
      <protection/>
    </xf>
    <xf numFmtId="0" fontId="19" fillId="0" borderId="0" xfId="70" applyFont="1">
      <alignment/>
      <protection/>
    </xf>
    <xf numFmtId="0" fontId="3" fillId="0" borderId="0" xfId="70" applyAlignment="1">
      <alignment horizontal="centerContinuous"/>
      <protection/>
    </xf>
    <xf numFmtId="0" fontId="20" fillId="0" borderId="0" xfId="70" applyFont="1" applyAlignment="1">
      <alignment horizontal="centerContinuous"/>
      <protection/>
    </xf>
    <xf numFmtId="0" fontId="21" fillId="0" borderId="0" xfId="70" applyFont="1">
      <alignment/>
      <protection/>
    </xf>
    <xf numFmtId="0" fontId="22" fillId="0" borderId="0" xfId="70" applyFont="1" applyBorder="1">
      <alignment/>
      <protection/>
    </xf>
    <xf numFmtId="0" fontId="21" fillId="0" borderId="0" xfId="70" applyFont="1" applyBorder="1">
      <alignment/>
      <protection/>
    </xf>
    <xf numFmtId="0" fontId="21" fillId="0" borderId="11" xfId="70" applyFont="1" applyBorder="1">
      <alignment/>
      <protection/>
    </xf>
    <xf numFmtId="0" fontId="21" fillId="0" borderId="12" xfId="70" applyFont="1" applyBorder="1">
      <alignment/>
      <protection/>
    </xf>
    <xf numFmtId="171" fontId="21" fillId="0" borderId="12" xfId="70" applyNumberFormat="1" applyFont="1" applyBorder="1">
      <alignment/>
      <protection/>
    </xf>
    <xf numFmtId="0" fontId="21" fillId="0" borderId="13" xfId="70" applyFont="1" applyBorder="1">
      <alignment/>
      <protection/>
    </xf>
    <xf numFmtId="0" fontId="23" fillId="0" borderId="0" xfId="70" applyFont="1">
      <alignment/>
      <protection/>
    </xf>
    <xf numFmtId="0" fontId="24" fillId="0" borderId="14" xfId="70" applyFont="1" applyBorder="1" applyAlignment="1">
      <alignment horizontal="centerContinuous"/>
      <protection/>
    </xf>
    <xf numFmtId="0" fontId="3" fillId="0" borderId="0" xfId="70" applyNumberFormat="1" applyAlignment="1">
      <alignment horizontal="centerContinuous"/>
      <protection/>
    </xf>
    <xf numFmtId="0" fontId="23" fillId="0" borderId="0" xfId="70" applyNumberFormat="1" applyFont="1" applyAlignment="1">
      <alignment horizontal="centerContinuous"/>
      <protection/>
    </xf>
    <xf numFmtId="171" fontId="24" fillId="0" borderId="0" xfId="70" applyNumberFormat="1" applyFont="1" applyBorder="1" applyAlignment="1">
      <alignment horizontal="centerContinuous"/>
      <protection/>
    </xf>
    <xf numFmtId="0" fontId="24" fillId="0" borderId="0" xfId="70" applyFont="1" applyBorder="1" applyAlignment="1">
      <alignment horizontal="centerContinuous"/>
      <protection/>
    </xf>
    <xf numFmtId="0" fontId="23" fillId="0" borderId="0" xfId="70" applyFont="1" applyBorder="1" applyAlignment="1">
      <alignment horizontal="centerContinuous"/>
      <protection/>
    </xf>
    <xf numFmtId="0" fontId="23" fillId="0" borderId="15" xfId="70" applyFont="1" applyBorder="1" applyAlignment="1">
      <alignment horizontal="centerContinuous"/>
      <protection/>
    </xf>
    <xf numFmtId="0" fontId="23" fillId="0" borderId="0" xfId="70" applyFont="1" applyBorder="1">
      <alignment/>
      <protection/>
    </xf>
    <xf numFmtId="0" fontId="23" fillId="0" borderId="14" xfId="70" applyFont="1" applyBorder="1">
      <alignment/>
      <protection/>
    </xf>
    <xf numFmtId="0" fontId="10" fillId="0" borderId="0" xfId="70" applyNumberFormat="1" applyFont="1" applyBorder="1" applyAlignment="1">
      <alignment horizontal="right"/>
      <protection/>
    </xf>
    <xf numFmtId="170" fontId="10" fillId="0" borderId="0" xfId="70" applyNumberFormat="1" applyFont="1" applyBorder="1" applyAlignment="1">
      <alignment horizontal="right"/>
      <protection/>
    </xf>
    <xf numFmtId="171" fontId="23" fillId="0" borderId="0" xfId="70" applyNumberFormat="1" applyFont="1" applyBorder="1">
      <alignment/>
      <protection/>
    </xf>
    <xf numFmtId="0" fontId="24" fillId="0" borderId="0" xfId="70" applyFont="1" applyBorder="1">
      <alignment/>
      <protection/>
    </xf>
    <xf numFmtId="0" fontId="23" fillId="0" borderId="15" xfId="70" applyFont="1" applyBorder="1">
      <alignment/>
      <protection/>
    </xf>
    <xf numFmtId="0" fontId="10" fillId="0" borderId="0" xfId="70" applyNumberFormat="1" applyFont="1" applyBorder="1" applyAlignment="1">
      <alignment horizontal="right"/>
      <protection/>
    </xf>
    <xf numFmtId="7" fontId="10" fillId="0" borderId="0" xfId="70" applyNumberFormat="1" applyFont="1" applyBorder="1" applyAlignment="1">
      <alignment horizontal="right"/>
      <protection/>
    </xf>
    <xf numFmtId="171" fontId="10" fillId="0" borderId="0" xfId="70" applyNumberFormat="1" applyFont="1" applyBorder="1">
      <alignment/>
      <protection/>
    </xf>
    <xf numFmtId="7" fontId="10" fillId="0" borderId="0" xfId="70" applyNumberFormat="1" applyFont="1" applyBorder="1" applyAlignment="1">
      <alignment horizontal="right"/>
      <protection/>
    </xf>
    <xf numFmtId="0" fontId="13" fillId="0" borderId="14" xfId="70" applyFont="1" applyBorder="1">
      <alignment/>
      <protection/>
    </xf>
    <xf numFmtId="7" fontId="5" fillId="0" borderId="0" xfId="70" applyNumberFormat="1" applyFont="1" applyBorder="1" applyAlignment="1">
      <alignment horizontal="right"/>
      <protection/>
    </xf>
    <xf numFmtId="0" fontId="13" fillId="0" borderId="15" xfId="70" applyFont="1" applyBorder="1">
      <alignment/>
      <protection/>
    </xf>
    <xf numFmtId="170" fontId="10" fillId="0" borderId="0" xfId="70" applyNumberFormat="1" applyFont="1" applyBorder="1" applyAlignment="1">
      <alignment horizontal="left"/>
      <protection/>
    </xf>
    <xf numFmtId="0" fontId="25" fillId="0" borderId="0" xfId="70" applyFont="1" applyBorder="1">
      <alignment/>
      <protection/>
    </xf>
    <xf numFmtId="7" fontId="5" fillId="0" borderId="0" xfId="70" applyNumberFormat="1" applyFont="1" applyBorder="1" applyAlignment="1">
      <alignment horizontal="right"/>
      <protection/>
    </xf>
    <xf numFmtId="0" fontId="26" fillId="0" borderId="0" xfId="70" applyFont="1" applyBorder="1">
      <alignment/>
      <protection/>
    </xf>
    <xf numFmtId="0" fontId="10" fillId="0" borderId="16" xfId="70" applyFont="1" applyBorder="1" applyAlignment="1">
      <alignment horizontal="center"/>
      <protection/>
    </xf>
    <xf numFmtId="7" fontId="10" fillId="0" borderId="17" xfId="70" applyNumberFormat="1" applyFont="1" applyBorder="1" applyAlignment="1">
      <alignment horizontal="center"/>
      <protection/>
    </xf>
    <xf numFmtId="7" fontId="10" fillId="0" borderId="0" xfId="70" applyNumberFormat="1" applyFont="1" applyBorder="1" applyAlignment="1">
      <alignment horizontal="center"/>
      <protection/>
    </xf>
    <xf numFmtId="0" fontId="10" fillId="0" borderId="0" xfId="70" applyFont="1" applyBorder="1" applyAlignment="1">
      <alignment horizontal="center"/>
      <protection/>
    </xf>
    <xf numFmtId="0" fontId="28" fillId="0" borderId="0" xfId="70" applyFont="1">
      <alignment/>
      <protection/>
    </xf>
    <xf numFmtId="0" fontId="21" fillId="0" borderId="18" xfId="70" applyFont="1" applyBorder="1">
      <alignment/>
      <protection/>
    </xf>
    <xf numFmtId="0" fontId="21" fillId="0" borderId="19" xfId="70" applyNumberFormat="1" applyFont="1" applyBorder="1">
      <alignment/>
      <protection/>
    </xf>
    <xf numFmtId="0" fontId="21" fillId="0" borderId="19" xfId="70" applyFont="1" applyBorder="1">
      <alignment/>
      <protection/>
    </xf>
    <xf numFmtId="0" fontId="21" fillId="0" borderId="20" xfId="70" applyFont="1" applyBorder="1">
      <alignment/>
      <protection/>
    </xf>
    <xf numFmtId="0" fontId="21" fillId="0" borderId="0" xfId="70" applyFont="1" applyFill="1" applyBorder="1">
      <alignment/>
      <protection/>
    </xf>
    <xf numFmtId="4" fontId="21" fillId="0" borderId="0" xfId="70" applyNumberFormat="1" applyFont="1" applyFill="1" applyBorder="1">
      <alignment/>
      <protection/>
    </xf>
    <xf numFmtId="7" fontId="21" fillId="0" borderId="0" xfId="70" applyNumberFormat="1" applyFont="1" applyBorder="1">
      <alignment/>
      <protection/>
    </xf>
    <xf numFmtId="166" fontId="21" fillId="0" borderId="0" xfId="70" applyNumberFormat="1" applyFont="1" applyBorder="1" applyAlignment="1">
      <alignment horizontal="center"/>
      <protection/>
    </xf>
    <xf numFmtId="0" fontId="13" fillId="0" borderId="0" xfId="70" applyFont="1" applyFill="1" applyBorder="1">
      <alignment/>
      <protection/>
    </xf>
    <xf numFmtId="4" fontId="13" fillId="0" borderId="0" xfId="70" applyNumberFormat="1" applyFont="1" applyFill="1" applyBorder="1">
      <alignment/>
      <protection/>
    </xf>
    <xf numFmtId="0" fontId="13" fillId="0" borderId="0" xfId="70" applyFont="1" applyBorder="1" applyAlignment="1">
      <alignment horizontal="center"/>
      <protection/>
    </xf>
    <xf numFmtId="4" fontId="13" fillId="0" borderId="0" xfId="70" applyNumberFormat="1" applyFont="1" applyBorder="1">
      <alignment/>
      <protection/>
    </xf>
    <xf numFmtId="4" fontId="5" fillId="0" borderId="0" xfId="70" applyNumberFormat="1" applyFont="1" applyBorder="1" applyAlignment="1">
      <alignment horizontal="center"/>
      <protection/>
    </xf>
    <xf numFmtId="0" fontId="8" fillId="0" borderId="0" xfId="70" applyFont="1" applyFill="1">
      <alignment/>
      <protection/>
    </xf>
    <xf numFmtId="0" fontId="13" fillId="0" borderId="0" xfId="70" applyFont="1" applyFill="1">
      <alignment/>
      <protection/>
    </xf>
    <xf numFmtId="0" fontId="14" fillId="0" borderId="0" xfId="70" applyFont="1" applyAlignment="1">
      <alignment horizontal="centerContinuous"/>
      <protection/>
    </xf>
    <xf numFmtId="0" fontId="13" fillId="0" borderId="11" xfId="70" applyFont="1" applyBorder="1">
      <alignment/>
      <protection/>
    </xf>
    <xf numFmtId="0" fontId="13" fillId="0" borderId="12" xfId="70" applyFont="1" applyBorder="1">
      <alignment/>
      <protection/>
    </xf>
    <xf numFmtId="0" fontId="13" fillId="0" borderId="12" xfId="70" applyFont="1" applyBorder="1" applyAlignment="1" applyProtection="1">
      <alignment horizontal="left"/>
      <protection/>
    </xf>
    <xf numFmtId="0" fontId="13" fillId="0" borderId="13" xfId="70" applyFont="1" applyFill="1" applyBorder="1">
      <alignment/>
      <protection/>
    </xf>
    <xf numFmtId="0" fontId="16" fillId="0" borderId="14" xfId="70" applyFont="1" applyBorder="1">
      <alignment/>
      <protection/>
    </xf>
    <xf numFmtId="0" fontId="20" fillId="0" borderId="0" xfId="70" applyFont="1" applyBorder="1" applyAlignment="1">
      <alignment horizontal="left"/>
      <protection/>
    </xf>
    <xf numFmtId="0" fontId="20" fillId="0" borderId="0" xfId="70" applyFont="1" applyBorder="1">
      <alignment/>
      <protection/>
    </xf>
    <xf numFmtId="0" fontId="16" fillId="0" borderId="15" xfId="70" applyFont="1" applyFill="1" applyBorder="1">
      <alignment/>
      <protection/>
    </xf>
    <xf numFmtId="0" fontId="13" fillId="0" borderId="15" xfId="70" applyFont="1" applyFill="1" applyBorder="1">
      <alignment/>
      <protection/>
    </xf>
    <xf numFmtId="0" fontId="13" fillId="0" borderId="0" xfId="70" applyFont="1" applyBorder="1" applyProtection="1">
      <alignment/>
      <protection/>
    </xf>
    <xf numFmtId="0" fontId="24" fillId="0" borderId="0" xfId="70" applyFont="1" applyAlignment="1">
      <alignment horizontal="centerContinuous"/>
      <protection/>
    </xf>
    <xf numFmtId="0" fontId="24" fillId="0" borderId="15" xfId="70" applyFont="1" applyFill="1" applyBorder="1" applyAlignment="1">
      <alignment horizontal="centerContinuous"/>
      <protection/>
    </xf>
    <xf numFmtId="0" fontId="25" fillId="0" borderId="0" xfId="70" applyFont="1" applyBorder="1" applyAlignment="1">
      <alignment horizontal="left"/>
      <protection/>
    </xf>
    <xf numFmtId="0" fontId="3" fillId="0" borderId="16" xfId="70" applyFont="1" applyBorder="1" applyAlignment="1" applyProtection="1">
      <alignment horizontal="center"/>
      <protection/>
    </xf>
    <xf numFmtId="169" fontId="0" fillId="0" borderId="16" xfId="70" applyNumberFormat="1" applyFont="1" applyBorder="1" applyAlignment="1">
      <alignment horizontal="centerContinuous"/>
      <protection/>
    </xf>
    <xf numFmtId="0" fontId="3" fillId="0" borderId="17" xfId="70" applyBorder="1" applyAlignment="1">
      <alignment horizontal="centerContinuous"/>
      <protection/>
    </xf>
    <xf numFmtId="0" fontId="3" fillId="0" borderId="0" xfId="70" applyFont="1" applyBorder="1" applyAlignment="1" applyProtection="1">
      <alignment horizontal="center"/>
      <protection/>
    </xf>
    <xf numFmtId="169" fontId="3" fillId="0" borderId="0" xfId="70" applyNumberFormat="1" applyFont="1" applyBorder="1" applyAlignment="1">
      <alignment horizontal="centerContinuous"/>
      <protection/>
    </xf>
    <xf numFmtId="22" fontId="13" fillId="0" borderId="0" xfId="70" applyNumberFormat="1" applyFont="1" applyBorder="1">
      <alignment/>
      <protection/>
    </xf>
    <xf numFmtId="0" fontId="29" fillId="0" borderId="0" xfId="70" applyFont="1" applyBorder="1">
      <alignment/>
      <protection/>
    </xf>
    <xf numFmtId="0" fontId="30" fillId="0" borderId="21" xfId="70" applyFont="1" applyBorder="1" applyAlignment="1">
      <alignment horizontal="center" vertical="center"/>
      <protection/>
    </xf>
    <xf numFmtId="0" fontId="30" fillId="0" borderId="21" xfId="70" applyFont="1" applyBorder="1" applyAlignment="1" applyProtection="1">
      <alignment horizontal="center" vertical="center"/>
      <protection/>
    </xf>
    <xf numFmtId="164" fontId="30" fillId="0" borderId="21" xfId="70" applyNumberFormat="1" applyFont="1" applyBorder="1" applyAlignment="1" applyProtection="1">
      <alignment horizontal="center" vertical="center" wrapText="1"/>
      <protection/>
    </xf>
    <xf numFmtId="0" fontId="30" fillId="0" borderId="21" xfId="70" applyFont="1" applyBorder="1" applyAlignment="1" applyProtection="1">
      <alignment horizontal="center" vertical="center" wrapText="1"/>
      <protection/>
    </xf>
    <xf numFmtId="166" fontId="30" fillId="0" borderId="21" xfId="70" applyNumberFormat="1" applyFont="1" applyBorder="1" applyAlignment="1" applyProtection="1">
      <alignment horizontal="center" vertical="center"/>
      <protection/>
    </xf>
    <xf numFmtId="166" fontId="31" fillId="32" borderId="21" xfId="70" applyNumberFormat="1" applyFont="1" applyFill="1" applyBorder="1" applyAlignment="1" applyProtection="1">
      <alignment horizontal="center" vertical="center"/>
      <protection/>
    </xf>
    <xf numFmtId="0" fontId="32" fillId="33" borderId="21" xfId="70" applyFont="1" applyFill="1" applyBorder="1" applyAlignment="1" applyProtection="1">
      <alignment horizontal="center" vertical="center"/>
      <protection/>
    </xf>
    <xf numFmtId="0" fontId="30" fillId="0" borderId="16" xfId="70" applyFont="1" applyBorder="1" applyAlignment="1" applyProtection="1">
      <alignment horizontal="center" vertical="center"/>
      <protection/>
    </xf>
    <xf numFmtId="0" fontId="30" fillId="0" borderId="16" xfId="70" applyFont="1" applyBorder="1" applyAlignment="1" applyProtection="1">
      <alignment horizontal="center" vertical="center" wrapText="1"/>
      <protection/>
    </xf>
    <xf numFmtId="0" fontId="34" fillId="34" borderId="21" xfId="70" applyFont="1" applyFill="1" applyBorder="1" applyAlignment="1">
      <alignment horizontal="center" vertical="center" wrapText="1"/>
      <protection/>
    </xf>
    <xf numFmtId="0" fontId="35" fillId="35" borderId="21" xfId="70" applyFont="1" applyFill="1" applyBorder="1" applyAlignment="1">
      <alignment horizontal="center" vertical="center" wrapText="1"/>
      <protection/>
    </xf>
    <xf numFmtId="0" fontId="36" fillId="36" borderId="16" xfId="70" applyFont="1" applyFill="1" applyBorder="1" applyAlignment="1" applyProtection="1">
      <alignment horizontal="centerContinuous" vertical="center" wrapText="1"/>
      <protection/>
    </xf>
    <xf numFmtId="0" fontId="7" fillId="36" borderId="22" xfId="70" applyFont="1" applyFill="1" applyBorder="1" applyAlignment="1">
      <alignment horizontal="centerContinuous"/>
      <protection/>
    </xf>
    <xf numFmtId="0" fontId="36" fillId="36" borderId="17" xfId="70" applyFont="1" applyFill="1" applyBorder="1" applyAlignment="1">
      <alignment horizontal="centerContinuous" vertical="center"/>
      <protection/>
    </xf>
    <xf numFmtId="0" fontId="37" fillId="2" borderId="16" xfId="70" applyFont="1" applyFill="1" applyBorder="1" applyAlignment="1">
      <alignment horizontal="centerContinuous" vertical="center" wrapText="1"/>
      <protection/>
    </xf>
    <xf numFmtId="0" fontId="38" fillId="2" borderId="22" xfId="70" applyFont="1" applyFill="1" applyBorder="1" applyAlignment="1">
      <alignment horizontal="centerContinuous"/>
      <protection/>
    </xf>
    <xf numFmtId="0" fontId="37" fillId="2" borderId="17" xfId="70" applyFont="1" applyFill="1" applyBorder="1" applyAlignment="1">
      <alignment horizontal="centerContinuous" vertical="center"/>
      <protection/>
    </xf>
    <xf numFmtId="0" fontId="39" fillId="3" borderId="21" xfId="70" applyFont="1" applyFill="1" applyBorder="1" applyAlignment="1">
      <alignment horizontal="center" vertical="center" wrapText="1"/>
      <protection/>
    </xf>
    <xf numFmtId="0" fontId="40" fillId="37" borderId="21" xfId="70" applyFont="1" applyFill="1" applyBorder="1" applyAlignment="1">
      <alignment horizontal="center" vertical="center" wrapText="1"/>
      <protection/>
    </xf>
    <xf numFmtId="0" fontId="30" fillId="0" borderId="21" xfId="70" applyFont="1" applyBorder="1" applyAlignment="1">
      <alignment horizontal="center" vertical="center" wrapText="1"/>
      <protection/>
    </xf>
    <xf numFmtId="0" fontId="13" fillId="0" borderId="15" xfId="70" applyFont="1" applyFill="1" applyBorder="1" applyAlignment="1">
      <alignment horizontal="center"/>
      <protection/>
    </xf>
    <xf numFmtId="0" fontId="13" fillId="0" borderId="23" xfId="70" applyFont="1" applyBorder="1">
      <alignment/>
      <protection/>
    </xf>
    <xf numFmtId="0" fontId="13" fillId="0" borderId="23" xfId="70" applyFont="1" applyFill="1" applyBorder="1" applyAlignment="1">
      <alignment horizontal="center"/>
      <protection/>
    </xf>
    <xf numFmtId="167" fontId="13" fillId="0" borderId="23" xfId="70" applyNumberFormat="1" applyFont="1" applyFill="1" applyBorder="1">
      <alignment/>
      <protection/>
    </xf>
    <xf numFmtId="0" fontId="13" fillId="0" borderId="23" xfId="70" applyFont="1" applyFill="1" applyBorder="1">
      <alignment/>
      <protection/>
    </xf>
    <xf numFmtId="0" fontId="41" fillId="0" borderId="23" xfId="70" applyFont="1" applyFill="1" applyBorder="1">
      <alignment/>
      <protection/>
    </xf>
    <xf numFmtId="0" fontId="42" fillId="0" borderId="23" xfId="70" applyFont="1" applyFill="1" applyBorder="1">
      <alignment/>
      <protection/>
    </xf>
    <xf numFmtId="22" fontId="13" fillId="0" borderId="23" xfId="70" applyNumberFormat="1" applyFont="1" applyFill="1" applyBorder="1">
      <alignment/>
      <protection/>
    </xf>
    <xf numFmtId="0" fontId="43" fillId="0" borderId="23" xfId="70" applyFont="1" applyFill="1" applyBorder="1">
      <alignment/>
      <protection/>
    </xf>
    <xf numFmtId="0" fontId="44" fillId="0" borderId="23" xfId="70" applyFont="1" applyFill="1" applyBorder="1">
      <alignment/>
      <protection/>
    </xf>
    <xf numFmtId="0" fontId="13" fillId="0" borderId="24" xfId="70" applyFont="1" applyFill="1" applyBorder="1">
      <alignment/>
      <protection/>
    </xf>
    <xf numFmtId="0" fontId="13" fillId="0" borderId="25" xfId="70" applyFont="1" applyFill="1" applyBorder="1">
      <alignment/>
      <protection/>
    </xf>
    <xf numFmtId="0" fontId="13" fillId="0" borderId="26" xfId="70" applyFont="1" applyFill="1" applyBorder="1">
      <alignment/>
      <protection/>
    </xf>
    <xf numFmtId="0" fontId="45" fillId="0" borderId="24" xfId="70" applyFont="1" applyFill="1" applyBorder="1">
      <alignment/>
      <protection/>
    </xf>
    <xf numFmtId="0" fontId="45" fillId="0" borderId="25" xfId="70" applyFont="1" applyFill="1" applyBorder="1">
      <alignment/>
      <protection/>
    </xf>
    <xf numFmtId="0" fontId="45" fillId="0" borderId="26" xfId="70" applyFont="1" applyFill="1" applyBorder="1">
      <alignment/>
      <protection/>
    </xf>
    <xf numFmtId="0" fontId="46" fillId="0" borderId="23" xfId="70" applyFont="1" applyFill="1" applyBorder="1">
      <alignment/>
      <protection/>
    </xf>
    <xf numFmtId="0" fontId="47" fillId="0" borderId="23" xfId="70" applyFont="1" applyFill="1" applyBorder="1">
      <alignment/>
      <protection/>
    </xf>
    <xf numFmtId="7" fontId="48" fillId="0" borderId="23" xfId="70" applyNumberFormat="1" applyFont="1" applyBorder="1" applyAlignment="1">
      <alignment/>
      <protection/>
    </xf>
    <xf numFmtId="0" fontId="13" fillId="0" borderId="27" xfId="70" applyFont="1" applyFill="1" applyBorder="1" applyAlignment="1">
      <alignment horizontal="center"/>
      <protection/>
    </xf>
    <xf numFmtId="0" fontId="13" fillId="0" borderId="28" xfId="70" applyFont="1" applyBorder="1">
      <alignment/>
      <protection/>
    </xf>
    <xf numFmtId="0" fontId="13" fillId="0" borderId="28" xfId="70" applyFont="1" applyBorder="1" applyAlignment="1">
      <alignment horizontal="center"/>
      <protection/>
    </xf>
    <xf numFmtId="167" fontId="13" fillId="0" borderId="28" xfId="70" applyNumberFormat="1" applyFont="1" applyBorder="1">
      <alignment/>
      <protection/>
    </xf>
    <xf numFmtId="0" fontId="41" fillId="32" borderId="28" xfId="70" applyFont="1" applyFill="1" applyBorder="1">
      <alignment/>
      <protection/>
    </xf>
    <xf numFmtId="0" fontId="42" fillId="33" borderId="28" xfId="70" applyFont="1" applyFill="1" applyBorder="1">
      <alignment/>
      <protection/>
    </xf>
    <xf numFmtId="22" fontId="13" fillId="0" borderId="29" xfId="70" applyNumberFormat="1" applyFont="1" applyBorder="1" applyAlignment="1">
      <alignment horizontal="center"/>
      <protection/>
    </xf>
    <xf numFmtId="0" fontId="13" fillId="0" borderId="29" xfId="70" applyFont="1" applyBorder="1">
      <alignment/>
      <protection/>
    </xf>
    <xf numFmtId="0" fontId="43" fillId="34" borderId="28" xfId="70" applyFont="1" applyFill="1" applyBorder="1">
      <alignment/>
      <protection/>
    </xf>
    <xf numFmtId="0" fontId="44" fillId="35" borderId="29" xfId="70" applyFont="1" applyFill="1" applyBorder="1">
      <alignment/>
      <protection/>
    </xf>
    <xf numFmtId="166" fontId="49" fillId="36" borderId="30" xfId="70" applyNumberFormat="1" applyFont="1" applyFill="1" applyBorder="1" applyAlignment="1" applyProtection="1" quotePrefix="1">
      <alignment horizontal="center"/>
      <protection/>
    </xf>
    <xf numFmtId="166" fontId="49" fillId="36" borderId="31" xfId="70" applyNumberFormat="1" applyFont="1" applyFill="1" applyBorder="1" applyAlignment="1" applyProtection="1" quotePrefix="1">
      <alignment horizontal="center"/>
      <protection/>
    </xf>
    <xf numFmtId="4" fontId="49" fillId="36" borderId="29" xfId="70" applyNumberFormat="1" applyFont="1" applyFill="1" applyBorder="1" applyAlignment="1" applyProtection="1">
      <alignment horizontal="center"/>
      <protection/>
    </xf>
    <xf numFmtId="166" fontId="45" fillId="2" borderId="30" xfId="70" applyNumberFormat="1" applyFont="1" applyFill="1" applyBorder="1" applyAlignment="1" applyProtection="1" quotePrefix="1">
      <alignment horizontal="center"/>
      <protection/>
    </xf>
    <xf numFmtId="166" fontId="45" fillId="2" borderId="31" xfId="70" applyNumberFormat="1" applyFont="1" applyFill="1" applyBorder="1" applyAlignment="1" applyProtection="1" quotePrefix="1">
      <alignment horizontal="center"/>
      <protection/>
    </xf>
    <xf numFmtId="4" fontId="45" fillId="2" borderId="29" xfId="70" applyNumberFormat="1" applyFont="1" applyFill="1" applyBorder="1" applyAlignment="1" applyProtection="1">
      <alignment horizontal="center"/>
      <protection/>
    </xf>
    <xf numFmtId="4" fontId="46" fillId="3" borderId="28" xfId="70" applyNumberFormat="1" applyFont="1" applyFill="1" applyBorder="1" applyAlignment="1" applyProtection="1">
      <alignment horizontal="center"/>
      <protection/>
    </xf>
    <xf numFmtId="4" fontId="47" fillId="37" borderId="28" xfId="70" applyNumberFormat="1" applyFont="1" applyFill="1" applyBorder="1" applyAlignment="1" applyProtection="1">
      <alignment horizontal="center"/>
      <protection/>
    </xf>
    <xf numFmtId="0" fontId="48" fillId="0" borderId="29" xfId="70" applyFont="1" applyBorder="1">
      <alignment/>
      <protection/>
    </xf>
    <xf numFmtId="0" fontId="13" fillId="0" borderId="28" xfId="70" applyFont="1" applyFill="1" applyBorder="1" applyAlignment="1" applyProtection="1">
      <alignment horizontal="center"/>
      <protection locked="0"/>
    </xf>
    <xf numFmtId="164" fontId="13" fillId="0" borderId="28" xfId="70" applyNumberFormat="1" applyFont="1" applyFill="1" applyBorder="1" applyAlignment="1" applyProtection="1">
      <alignment horizontal="center"/>
      <protection locked="0"/>
    </xf>
    <xf numFmtId="167" fontId="13" fillId="0" borderId="28" xfId="70" applyNumberFormat="1" applyFont="1" applyFill="1" applyBorder="1" applyAlignment="1" applyProtection="1">
      <alignment horizontal="center"/>
      <protection locked="0"/>
    </xf>
    <xf numFmtId="0" fontId="41" fillId="32" borderId="28" xfId="70" applyFont="1" applyFill="1" applyBorder="1" applyAlignment="1" applyProtection="1">
      <alignment horizontal="center"/>
      <protection/>
    </xf>
    <xf numFmtId="169" fontId="42" fillId="33" borderId="28" xfId="70" applyNumberFormat="1" applyFont="1" applyFill="1" applyBorder="1" applyAlignment="1" applyProtection="1">
      <alignment horizontal="center"/>
      <protection/>
    </xf>
    <xf numFmtId="22" fontId="13" fillId="0" borderId="29" xfId="70" applyNumberFormat="1" applyFont="1" applyFill="1" applyBorder="1" applyAlignment="1" applyProtection="1">
      <alignment horizontal="center"/>
      <protection locked="0"/>
    </xf>
    <xf numFmtId="22" fontId="13" fillId="0" borderId="32" xfId="70" applyNumberFormat="1" applyFont="1" applyFill="1" applyBorder="1" applyAlignment="1" applyProtection="1">
      <alignment horizontal="center"/>
      <protection locked="0"/>
    </xf>
    <xf numFmtId="4" fontId="13" fillId="38" borderId="28" xfId="70" applyNumberFormat="1" applyFont="1" applyFill="1" applyBorder="1" applyAlignment="1" applyProtection="1" quotePrefix="1">
      <alignment horizontal="center"/>
      <protection/>
    </xf>
    <xf numFmtId="164" fontId="13" fillId="38" borderId="28" xfId="70" applyNumberFormat="1" applyFont="1" applyFill="1" applyBorder="1" applyAlignment="1" applyProtection="1" quotePrefix="1">
      <alignment horizontal="center"/>
      <protection/>
    </xf>
    <xf numFmtId="166" fontId="13" fillId="0" borderId="29" xfId="70" applyNumberFormat="1" applyFont="1" applyBorder="1" applyAlignment="1" applyProtection="1">
      <alignment horizontal="center"/>
      <protection locked="0"/>
    </xf>
    <xf numFmtId="168" fontId="13" fillId="0" borderId="28" xfId="70" applyNumberFormat="1" applyFont="1" applyBorder="1" applyAlignment="1" applyProtection="1" quotePrefix="1">
      <alignment horizontal="center"/>
      <protection/>
    </xf>
    <xf numFmtId="166" fontId="13" fillId="0" borderId="28" xfId="70" applyNumberFormat="1" applyFont="1" applyBorder="1" applyAlignment="1" applyProtection="1">
      <alignment horizontal="center"/>
      <protection/>
    </xf>
    <xf numFmtId="2" fontId="50" fillId="34" borderId="28" xfId="70" applyNumberFormat="1" applyFont="1" applyFill="1" applyBorder="1" applyAlignment="1" applyProtection="1">
      <alignment horizontal="center"/>
      <protection locked="0"/>
    </xf>
    <xf numFmtId="2" fontId="51" fillId="35" borderId="29" xfId="70" applyNumberFormat="1" applyFont="1" applyFill="1" applyBorder="1" applyAlignment="1" applyProtection="1">
      <alignment horizontal="center"/>
      <protection locked="0"/>
    </xf>
    <xf numFmtId="166" fontId="52" fillId="36" borderId="30" xfId="70" applyNumberFormat="1" applyFont="1" applyFill="1" applyBorder="1" applyAlignment="1" applyProtection="1" quotePrefix="1">
      <alignment horizontal="center"/>
      <protection locked="0"/>
    </xf>
    <xf numFmtId="166" fontId="52" fillId="36" borderId="31" xfId="70" applyNumberFormat="1" applyFont="1" applyFill="1" applyBorder="1" applyAlignment="1" applyProtection="1" quotePrefix="1">
      <alignment horizontal="center"/>
      <protection locked="0"/>
    </xf>
    <xf numFmtId="4" fontId="52" fillId="36" borderId="29" xfId="70" applyNumberFormat="1" applyFont="1" applyFill="1" applyBorder="1" applyAlignment="1" applyProtection="1">
      <alignment horizontal="center"/>
      <protection locked="0"/>
    </xf>
    <xf numFmtId="166" fontId="53" fillId="2" borderId="30" xfId="70" applyNumberFormat="1" applyFont="1" applyFill="1" applyBorder="1" applyAlignment="1" applyProtection="1" quotePrefix="1">
      <alignment horizontal="center"/>
      <protection locked="0"/>
    </xf>
    <xf numFmtId="166" fontId="53" fillId="2" borderId="31" xfId="70" applyNumberFormat="1" applyFont="1" applyFill="1" applyBorder="1" applyAlignment="1" applyProtection="1" quotePrefix="1">
      <alignment horizontal="center"/>
      <protection locked="0"/>
    </xf>
    <xf numFmtId="4" fontId="53" fillId="2" borderId="29" xfId="70" applyNumberFormat="1" applyFont="1" applyFill="1" applyBorder="1" applyAlignment="1" applyProtection="1">
      <alignment horizontal="center"/>
      <protection locked="0"/>
    </xf>
    <xf numFmtId="4" fontId="54" fillId="3" borderId="28" xfId="70" applyNumberFormat="1" applyFont="1" applyFill="1" applyBorder="1" applyAlignment="1" applyProtection="1">
      <alignment horizontal="center"/>
      <protection locked="0"/>
    </xf>
    <xf numFmtId="4" fontId="55" fillId="37" borderId="28" xfId="70" applyNumberFormat="1" applyFont="1" applyFill="1" applyBorder="1" applyAlignment="1" applyProtection="1">
      <alignment horizontal="center"/>
      <protection locked="0"/>
    </xf>
    <xf numFmtId="4" fontId="49" fillId="0" borderId="28" xfId="70" applyNumberFormat="1" applyFont="1" applyBorder="1" applyAlignment="1" applyProtection="1">
      <alignment horizontal="center"/>
      <protection/>
    </xf>
    <xf numFmtId="4" fontId="48" fillId="0" borderId="29" xfId="70" applyNumberFormat="1" applyFont="1" applyFill="1" applyBorder="1" applyAlignment="1">
      <alignment horizontal="right"/>
      <protection/>
    </xf>
    <xf numFmtId="2" fontId="13" fillId="0" borderId="15" xfId="70" applyNumberFormat="1" applyFont="1" applyFill="1" applyBorder="1" applyAlignment="1">
      <alignment horizontal="center"/>
      <protection/>
    </xf>
    <xf numFmtId="0" fontId="13" fillId="0" borderId="28" xfId="67" applyFont="1" applyFill="1" applyBorder="1" applyAlignment="1" applyProtection="1">
      <alignment horizontal="center"/>
      <protection locked="0"/>
    </xf>
    <xf numFmtId="164" fontId="13" fillId="0" borderId="28" xfId="67" applyNumberFormat="1" applyFont="1" applyFill="1" applyBorder="1" applyAlignment="1" applyProtection="1">
      <alignment horizontal="center"/>
      <protection locked="0"/>
    </xf>
    <xf numFmtId="167" fontId="13" fillId="0" borderId="28" xfId="67" applyNumberFormat="1" applyFont="1" applyFill="1" applyBorder="1" applyAlignment="1" applyProtection="1">
      <alignment horizontal="center"/>
      <protection locked="0"/>
    </xf>
    <xf numFmtId="22" fontId="13" fillId="0" borderId="29" xfId="67" applyNumberFormat="1" applyFont="1" applyFill="1" applyBorder="1" applyAlignment="1" applyProtection="1">
      <alignment horizontal="center"/>
      <protection locked="0"/>
    </xf>
    <xf numFmtId="22" fontId="13" fillId="0" borderId="33" xfId="67" applyNumberFormat="1" applyFont="1" applyFill="1" applyBorder="1" applyAlignment="1" applyProtection="1">
      <alignment horizontal="center"/>
      <protection locked="0"/>
    </xf>
    <xf numFmtId="0" fontId="13" fillId="0" borderId="28" xfId="70" applyFont="1" applyBorder="1" applyAlignment="1" applyProtection="1">
      <alignment horizontal="center"/>
      <protection locked="0"/>
    </xf>
    <xf numFmtId="164" fontId="13" fillId="0" borderId="28" xfId="70" applyNumberFormat="1" applyFont="1" applyBorder="1" applyAlignment="1" applyProtection="1">
      <alignment horizontal="center"/>
      <protection locked="0"/>
    </xf>
    <xf numFmtId="167" fontId="13" fillId="0" borderId="28" xfId="70" applyNumberFormat="1" applyFont="1" applyBorder="1" applyAlignment="1" applyProtection="1">
      <alignment horizontal="center"/>
      <protection locked="0"/>
    </xf>
    <xf numFmtId="22" fontId="13" fillId="0" borderId="29" xfId="70" applyNumberFormat="1" applyFont="1" applyBorder="1" applyAlignment="1" applyProtection="1">
      <alignment horizontal="center"/>
      <protection locked="0"/>
    </xf>
    <xf numFmtId="22" fontId="13" fillId="0" borderId="32" xfId="70" applyNumberFormat="1" applyFont="1" applyBorder="1" applyAlignment="1" applyProtection="1">
      <alignment horizontal="center"/>
      <protection locked="0"/>
    </xf>
    <xf numFmtId="22" fontId="13" fillId="0" borderId="33" xfId="70" applyNumberFormat="1" applyFont="1" applyBorder="1" applyAlignment="1" applyProtection="1">
      <alignment horizontal="center"/>
      <protection locked="0"/>
    </xf>
    <xf numFmtId="0" fontId="13" fillId="0" borderId="34" xfId="70" applyFont="1" applyFill="1" applyBorder="1" applyAlignment="1" applyProtection="1">
      <alignment horizontal="center"/>
      <protection locked="0"/>
    </xf>
    <xf numFmtId="0" fontId="13" fillId="0" borderId="35" xfId="70" applyFont="1" applyFill="1" applyBorder="1" applyAlignment="1" applyProtection="1">
      <alignment horizontal="center"/>
      <protection locked="0"/>
    </xf>
    <xf numFmtId="0" fontId="13" fillId="0" borderId="36" xfId="70" applyFont="1" applyBorder="1" applyAlignment="1" applyProtection="1">
      <alignment horizontal="center"/>
      <protection locked="0"/>
    </xf>
    <xf numFmtId="164" fontId="49" fillId="0" borderId="36" xfId="70" applyNumberFormat="1" applyFont="1" applyBorder="1" applyAlignment="1" applyProtection="1">
      <alignment horizontal="center"/>
      <protection locked="0"/>
    </xf>
    <xf numFmtId="167" fontId="13" fillId="0" borderId="36" xfId="70" applyNumberFormat="1" applyFont="1" applyBorder="1" applyAlignment="1" applyProtection="1">
      <alignment horizontal="center"/>
      <protection locked="0"/>
    </xf>
    <xf numFmtId="165" fontId="13" fillId="0" borderId="36" xfId="70" applyNumberFormat="1" applyFont="1" applyBorder="1" applyAlignment="1" applyProtection="1">
      <alignment horizontal="center"/>
      <protection locked="0"/>
    </xf>
    <xf numFmtId="0" fontId="41" fillId="32" borderId="36" xfId="70" applyFont="1" applyFill="1" applyBorder="1" applyAlignment="1" applyProtection="1">
      <alignment horizontal="center"/>
      <protection/>
    </xf>
    <xf numFmtId="169" fontId="42" fillId="33" borderId="36" xfId="70" applyNumberFormat="1" applyFont="1" applyFill="1" applyBorder="1" applyAlignment="1" applyProtection="1">
      <alignment horizontal="center"/>
      <protection/>
    </xf>
    <xf numFmtId="22" fontId="13" fillId="0" borderId="36" xfId="70" applyNumberFormat="1" applyFont="1" applyBorder="1" applyAlignment="1" applyProtection="1">
      <alignment horizontal="center"/>
      <protection locked="0"/>
    </xf>
    <xf numFmtId="166" fontId="13" fillId="0" borderId="36" xfId="70" applyNumberFormat="1" applyFont="1" applyBorder="1" applyAlignment="1" applyProtection="1">
      <alignment horizontal="center"/>
      <protection/>
    </xf>
    <xf numFmtId="166" fontId="13" fillId="0" borderId="36" xfId="70" applyNumberFormat="1" applyFont="1" applyBorder="1" applyAlignment="1" applyProtection="1">
      <alignment horizontal="center"/>
      <protection locked="0"/>
    </xf>
    <xf numFmtId="168" fontId="13" fillId="0" borderId="36" xfId="70" applyNumberFormat="1" applyFont="1" applyBorder="1" applyAlignment="1" applyProtection="1" quotePrefix="1">
      <alignment horizontal="center"/>
      <protection locked="0"/>
    </xf>
    <xf numFmtId="2" fontId="43" fillId="34" borderId="36" xfId="70" applyNumberFormat="1" applyFont="1" applyFill="1" applyBorder="1" applyAlignment="1" applyProtection="1">
      <alignment horizontal="center"/>
      <protection locked="0"/>
    </xf>
    <xf numFmtId="2" fontId="51" fillId="35" borderId="36" xfId="70" applyNumberFormat="1" applyFont="1" applyFill="1" applyBorder="1" applyAlignment="1" applyProtection="1">
      <alignment horizontal="center"/>
      <protection locked="0"/>
    </xf>
    <xf numFmtId="166" fontId="52" fillId="36" borderId="37" xfId="70" applyNumberFormat="1" applyFont="1" applyFill="1" applyBorder="1" applyAlignment="1" applyProtection="1" quotePrefix="1">
      <alignment horizontal="center"/>
      <protection locked="0"/>
    </xf>
    <xf numFmtId="166" fontId="52" fillId="36" borderId="38" xfId="70" applyNumberFormat="1" applyFont="1" applyFill="1" applyBorder="1" applyAlignment="1" applyProtection="1" quotePrefix="1">
      <alignment horizontal="center"/>
      <protection locked="0"/>
    </xf>
    <xf numFmtId="4" fontId="52" fillId="36" borderId="39" xfId="70" applyNumberFormat="1" applyFont="1" applyFill="1" applyBorder="1" applyAlignment="1" applyProtection="1">
      <alignment horizontal="center"/>
      <protection locked="0"/>
    </xf>
    <xf numFmtId="166" fontId="53" fillId="2" borderId="37" xfId="70" applyNumberFormat="1" applyFont="1" applyFill="1" applyBorder="1" applyAlignment="1" applyProtection="1" quotePrefix="1">
      <alignment horizontal="center"/>
      <protection locked="0"/>
    </xf>
    <xf numFmtId="166" fontId="53" fillId="2" borderId="38" xfId="70" applyNumberFormat="1" applyFont="1" applyFill="1" applyBorder="1" applyAlignment="1" applyProtection="1" quotePrefix="1">
      <alignment horizontal="center"/>
      <protection locked="0"/>
    </xf>
    <xf numFmtId="4" fontId="53" fillId="2" borderId="39" xfId="70" applyNumberFormat="1" applyFont="1" applyFill="1" applyBorder="1" applyAlignment="1" applyProtection="1">
      <alignment horizontal="center"/>
      <protection locked="0"/>
    </xf>
    <xf numFmtId="4" fontId="54" fillId="3" borderId="36" xfId="70" applyNumberFormat="1" applyFont="1" applyFill="1" applyBorder="1" applyAlignment="1" applyProtection="1">
      <alignment horizontal="center"/>
      <protection locked="0"/>
    </xf>
    <xf numFmtId="4" fontId="55" fillId="37" borderId="36" xfId="70" applyNumberFormat="1" applyFont="1" applyFill="1" applyBorder="1" applyAlignment="1" applyProtection="1">
      <alignment horizontal="center"/>
      <protection locked="0"/>
    </xf>
    <xf numFmtId="4" fontId="49" fillId="0" borderId="36" xfId="70" applyNumberFormat="1" applyFont="1" applyBorder="1" applyAlignment="1" applyProtection="1">
      <alignment horizontal="center"/>
      <protection locked="0"/>
    </xf>
    <xf numFmtId="2" fontId="48" fillId="0" borderId="40" xfId="70" applyNumberFormat="1" applyFont="1" applyFill="1" applyBorder="1" applyAlignment="1">
      <alignment horizontal="right"/>
      <protection/>
    </xf>
    <xf numFmtId="0" fontId="57" fillId="0" borderId="41" xfId="70" applyFont="1" applyBorder="1" applyAlignment="1">
      <alignment horizontal="center"/>
      <protection/>
    </xf>
    <xf numFmtId="0" fontId="57" fillId="0" borderId="41" xfId="70" applyFont="1" applyBorder="1" applyAlignment="1">
      <alignment horizontal="left"/>
      <protection/>
    </xf>
    <xf numFmtId="0" fontId="58" fillId="0" borderId="0" xfId="70" applyFont="1" applyBorder="1" applyAlignment="1" applyProtection="1">
      <alignment horizontal="left"/>
      <protection/>
    </xf>
    <xf numFmtId="164" fontId="49" fillId="0" borderId="0" xfId="70" applyNumberFormat="1" applyFont="1" applyBorder="1" applyAlignment="1" applyProtection="1">
      <alignment horizontal="center"/>
      <protection/>
    </xf>
    <xf numFmtId="0" fontId="13" fillId="0" borderId="0" xfId="70" applyFont="1" applyBorder="1" applyAlignment="1" applyProtection="1">
      <alignment horizontal="center"/>
      <protection/>
    </xf>
    <xf numFmtId="165" fontId="13" fillId="0" borderId="0" xfId="70" applyNumberFormat="1" applyFont="1" applyBorder="1" applyAlignment="1" applyProtection="1">
      <alignment horizontal="center"/>
      <protection/>
    </xf>
    <xf numFmtId="166" fontId="13" fillId="0" borderId="0" xfId="70" applyNumberFormat="1" applyFont="1" applyBorder="1" applyAlignment="1" applyProtection="1">
      <alignment horizontal="center"/>
      <protection/>
    </xf>
    <xf numFmtId="168" fontId="13" fillId="0" borderId="0" xfId="70" applyNumberFormat="1" applyFont="1" applyBorder="1" applyAlignment="1" applyProtection="1" quotePrefix="1">
      <alignment horizontal="center"/>
      <protection/>
    </xf>
    <xf numFmtId="2" fontId="50" fillId="34" borderId="21" xfId="70" applyNumberFormat="1" applyFont="1" applyFill="1" applyBorder="1" applyAlignment="1" applyProtection="1">
      <alignment horizontal="center"/>
      <protection/>
    </xf>
    <xf numFmtId="2" fontId="51" fillId="35" borderId="21" xfId="70" applyNumberFormat="1" applyFont="1" applyFill="1" applyBorder="1" applyAlignment="1" applyProtection="1">
      <alignment horizontal="center"/>
      <protection/>
    </xf>
    <xf numFmtId="2" fontId="52" fillId="36" borderId="21" xfId="70" applyNumberFormat="1" applyFont="1" applyFill="1" applyBorder="1" applyAlignment="1" applyProtection="1">
      <alignment horizontal="center"/>
      <protection/>
    </xf>
    <xf numFmtId="2" fontId="53" fillId="2" borderId="21" xfId="70" applyNumberFormat="1" applyFont="1" applyFill="1" applyBorder="1" applyAlignment="1" applyProtection="1">
      <alignment horizontal="center"/>
      <protection/>
    </xf>
    <xf numFmtId="2" fontId="54" fillId="3" borderId="21" xfId="70" applyNumberFormat="1" applyFont="1" applyFill="1" applyBorder="1" applyAlignment="1" applyProtection="1">
      <alignment horizontal="center"/>
      <protection/>
    </xf>
    <xf numFmtId="2" fontId="55" fillId="37" borderId="21" xfId="70" applyNumberFormat="1" applyFont="1" applyFill="1" applyBorder="1" applyAlignment="1" applyProtection="1">
      <alignment horizontal="center"/>
      <protection/>
    </xf>
    <xf numFmtId="2" fontId="59" fillId="0" borderId="42" xfId="70" applyNumberFormat="1" applyFont="1" applyBorder="1" applyAlignment="1" applyProtection="1">
      <alignment horizontal="center"/>
      <protection/>
    </xf>
    <xf numFmtId="7" fontId="4" fillId="0" borderId="21" xfId="70" applyNumberFormat="1" applyFont="1" applyFill="1" applyBorder="1" applyAlignment="1" applyProtection="1">
      <alignment horizontal="right"/>
      <protection/>
    </xf>
    <xf numFmtId="0" fontId="13" fillId="0" borderId="18" xfId="70" applyFont="1" applyBorder="1">
      <alignment/>
      <protection/>
    </xf>
    <xf numFmtId="0" fontId="13" fillId="0" borderId="19" xfId="70" applyFont="1" applyBorder="1">
      <alignment/>
      <protection/>
    </xf>
    <xf numFmtId="0" fontId="13" fillId="0" borderId="20" xfId="70" applyFont="1" applyBorder="1">
      <alignment/>
      <protection/>
    </xf>
    <xf numFmtId="0" fontId="3" fillId="0" borderId="0" xfId="70" applyBorder="1">
      <alignment/>
      <protection/>
    </xf>
    <xf numFmtId="0" fontId="16" fillId="0" borderId="0" xfId="70" applyFont="1" applyAlignment="1">
      <alignment vertical="top"/>
      <protection/>
    </xf>
    <xf numFmtId="0" fontId="16" fillId="0" borderId="14" xfId="70" applyFont="1" applyBorder="1" applyAlignment="1">
      <alignment vertical="top"/>
      <protection/>
    </xf>
    <xf numFmtId="0" fontId="16" fillId="0" borderId="0" xfId="70" applyFont="1" applyBorder="1" applyAlignment="1">
      <alignment vertical="top"/>
      <protection/>
    </xf>
    <xf numFmtId="0" fontId="20" fillId="0" borderId="0" xfId="70" applyFont="1" applyBorder="1" applyAlignment="1">
      <alignment vertical="top"/>
      <protection/>
    </xf>
    <xf numFmtId="0" fontId="16" fillId="0" borderId="15" xfId="70" applyFont="1" applyFill="1" applyBorder="1" applyAlignment="1">
      <alignment vertical="top"/>
      <protection/>
    </xf>
    <xf numFmtId="0" fontId="13" fillId="0" borderId="0" xfId="70" applyFont="1" applyAlignment="1">
      <alignment vertical="top"/>
      <protection/>
    </xf>
    <xf numFmtId="0" fontId="13" fillId="0" borderId="14" xfId="70" applyFont="1" applyBorder="1" applyAlignment="1">
      <alignment vertical="top"/>
      <protection/>
    </xf>
    <xf numFmtId="0" fontId="13" fillId="0" borderId="0" xfId="70" applyFont="1" applyBorder="1" applyAlignment="1">
      <alignment vertical="top"/>
      <protection/>
    </xf>
    <xf numFmtId="0" fontId="13" fillId="0" borderId="0" xfId="70" applyFont="1" applyBorder="1" applyAlignment="1" applyProtection="1">
      <alignment vertical="top"/>
      <protection/>
    </xf>
    <xf numFmtId="0" fontId="13" fillId="0" borderId="15" xfId="70" applyFont="1" applyFill="1" applyBorder="1" applyAlignment="1">
      <alignment vertical="top"/>
      <protection/>
    </xf>
    <xf numFmtId="0" fontId="13" fillId="0" borderId="28" xfId="70" applyFont="1" applyFill="1" applyBorder="1" applyAlignment="1">
      <alignment horizontal="center"/>
      <protection/>
    </xf>
    <xf numFmtId="2" fontId="50" fillId="34" borderId="28" xfId="70" applyNumberFormat="1" applyFont="1" applyFill="1" applyBorder="1" applyAlignment="1" applyProtection="1">
      <alignment horizontal="center"/>
      <protection/>
    </xf>
    <xf numFmtId="2" fontId="51" fillId="35" borderId="29" xfId="70" applyNumberFormat="1" applyFont="1" applyFill="1" applyBorder="1" applyAlignment="1" applyProtection="1">
      <alignment horizontal="center"/>
      <protection/>
    </xf>
    <xf numFmtId="166" fontId="52" fillId="36" borderId="30" xfId="70" applyNumberFormat="1" applyFont="1" applyFill="1" applyBorder="1" applyAlignment="1" applyProtection="1" quotePrefix="1">
      <alignment horizontal="center"/>
      <protection/>
    </xf>
    <xf numFmtId="166" fontId="52" fillId="36" borderId="31" xfId="70" applyNumberFormat="1" applyFont="1" applyFill="1" applyBorder="1" applyAlignment="1" applyProtection="1" quotePrefix="1">
      <alignment horizontal="center"/>
      <protection/>
    </xf>
    <xf numFmtId="4" fontId="52" fillId="36" borderId="29" xfId="70" applyNumberFormat="1" applyFont="1" applyFill="1" applyBorder="1" applyAlignment="1" applyProtection="1">
      <alignment horizontal="center"/>
      <protection/>
    </xf>
    <xf numFmtId="166" fontId="53" fillId="2" borderId="30" xfId="70" applyNumberFormat="1" applyFont="1" applyFill="1" applyBorder="1" applyAlignment="1" applyProtection="1" quotePrefix="1">
      <alignment horizontal="center"/>
      <protection/>
    </xf>
    <xf numFmtId="166" fontId="53" fillId="2" borderId="31" xfId="70" applyNumberFormat="1" applyFont="1" applyFill="1" applyBorder="1" applyAlignment="1" applyProtection="1" quotePrefix="1">
      <alignment horizontal="center"/>
      <protection/>
    </xf>
    <xf numFmtId="4" fontId="53" fillId="2" borderId="29" xfId="70" applyNumberFormat="1" applyFont="1" applyFill="1" applyBorder="1" applyAlignment="1" applyProtection="1">
      <alignment horizontal="center"/>
      <protection/>
    </xf>
    <xf numFmtId="4" fontId="54" fillId="3" borderId="28" xfId="70" applyNumberFormat="1" applyFont="1" applyFill="1" applyBorder="1" applyAlignment="1" applyProtection="1">
      <alignment horizontal="center"/>
      <protection/>
    </xf>
    <xf numFmtId="4" fontId="55" fillId="37" borderId="28" xfId="70" applyNumberFormat="1" applyFont="1" applyFill="1" applyBorder="1" applyAlignment="1" applyProtection="1">
      <alignment horizontal="center"/>
      <protection/>
    </xf>
    <xf numFmtId="4" fontId="13" fillId="0" borderId="28" xfId="70" applyNumberFormat="1" applyFont="1" applyBorder="1" applyAlignment="1" applyProtection="1">
      <alignment horizontal="center"/>
      <protection/>
    </xf>
    <xf numFmtId="0" fontId="13" fillId="0" borderId="0" xfId="70" applyFont="1" applyBorder="1" applyAlignment="1">
      <alignment horizontal="left"/>
      <protection/>
    </xf>
    <xf numFmtId="0" fontId="17" fillId="0" borderId="0" xfId="70" applyFont="1" applyBorder="1">
      <alignment/>
      <protection/>
    </xf>
    <xf numFmtId="0" fontId="23" fillId="0" borderId="15" xfId="70" applyFont="1" applyFill="1" applyBorder="1">
      <alignment/>
      <protection/>
    </xf>
    <xf numFmtId="0" fontId="20" fillId="0" borderId="0" xfId="70" applyFont="1" applyBorder="1" applyAlignment="1">
      <alignment horizontal="left" vertical="top"/>
      <protection/>
    </xf>
    <xf numFmtId="0" fontId="30" fillId="0" borderId="21" xfId="59" applyFont="1" applyBorder="1" applyAlignment="1">
      <alignment horizontal="center" vertical="center"/>
      <protection/>
    </xf>
    <xf numFmtId="164" fontId="30" fillId="0" borderId="17" xfId="70" applyNumberFormat="1" applyFont="1" applyBorder="1" applyAlignment="1" applyProtection="1">
      <alignment horizontal="center" vertical="center" wrapText="1"/>
      <protection/>
    </xf>
    <xf numFmtId="0" fontId="30" fillId="0" borderId="22" xfId="70" applyFont="1" applyBorder="1" applyAlignment="1" applyProtection="1">
      <alignment horizontal="center" vertical="center" wrapText="1"/>
      <protection/>
    </xf>
    <xf numFmtId="166" fontId="60" fillId="36" borderId="21" xfId="70" applyNumberFormat="1" applyFont="1" applyFill="1" applyBorder="1" applyAlignment="1" applyProtection="1">
      <alignment horizontal="center" vertical="center"/>
      <protection/>
    </xf>
    <xf numFmtId="0" fontId="13" fillId="0" borderId="23" xfId="70" applyFont="1" applyBorder="1" applyAlignment="1">
      <alignment horizontal="center"/>
      <protection/>
    </xf>
    <xf numFmtId="0" fontId="13" fillId="0" borderId="29" xfId="70" applyFont="1" applyBorder="1" applyAlignment="1">
      <alignment horizontal="center"/>
      <protection/>
    </xf>
    <xf numFmtId="0" fontId="63" fillId="36" borderId="28" xfId="70" applyFont="1" applyFill="1" applyBorder="1" applyAlignment="1" applyProtection="1">
      <alignment horizontal="center"/>
      <protection/>
    </xf>
    <xf numFmtId="168" fontId="13" fillId="0" borderId="29" xfId="70" applyNumberFormat="1" applyFont="1" applyBorder="1" applyAlignment="1" applyProtection="1" quotePrefix="1">
      <alignment horizontal="center"/>
      <protection/>
    </xf>
    <xf numFmtId="4" fontId="13" fillId="0" borderId="15" xfId="70" applyNumberFormat="1" applyFont="1" applyFill="1" applyBorder="1" applyAlignment="1">
      <alignment horizontal="center"/>
      <protection/>
    </xf>
    <xf numFmtId="0" fontId="6" fillId="0" borderId="0" xfId="70" applyFont="1" applyFill="1" applyBorder="1" applyAlignment="1" applyProtection="1">
      <alignment horizontal="left"/>
      <protection/>
    </xf>
    <xf numFmtId="0" fontId="3" fillId="0" borderId="41" xfId="70" applyFont="1" applyBorder="1" applyAlignment="1" applyProtection="1">
      <alignment horizontal="center"/>
      <protection/>
    </xf>
    <xf numFmtId="0" fontId="11" fillId="0" borderId="0" xfId="70" applyFont="1" applyFill="1" applyAlignment="1">
      <alignment horizontal="right" vertical="top"/>
      <protection/>
    </xf>
    <xf numFmtId="0" fontId="9" fillId="0" borderId="0" xfId="70" applyFont="1" applyFill="1" applyAlignment="1">
      <alignment horizontal="centerContinuous"/>
      <protection/>
    </xf>
    <xf numFmtId="0" fontId="6" fillId="0" borderId="0" xfId="70" applyFont="1" applyFill="1" applyAlignment="1">
      <alignment horizontal="centerContinuous"/>
      <protection/>
    </xf>
    <xf numFmtId="0" fontId="14" fillId="0" borderId="0" xfId="70" applyFont="1" applyFill="1" applyAlignment="1">
      <alignment horizontal="centerContinuous"/>
      <protection/>
    </xf>
    <xf numFmtId="0" fontId="14" fillId="0" borderId="0" xfId="70" applyFont="1" applyFill="1">
      <alignment/>
      <protection/>
    </xf>
    <xf numFmtId="0" fontId="13" fillId="0" borderId="11" xfId="70" applyFont="1" applyFill="1" applyBorder="1">
      <alignment/>
      <protection/>
    </xf>
    <xf numFmtId="0" fontId="13" fillId="0" borderId="12" xfId="70" applyFont="1" applyFill="1" applyBorder="1">
      <alignment/>
      <protection/>
    </xf>
    <xf numFmtId="0" fontId="16" fillId="0" borderId="0" xfId="70" applyFont="1" applyFill="1">
      <alignment/>
      <protection/>
    </xf>
    <xf numFmtId="0" fontId="16" fillId="0" borderId="14" xfId="70" applyFont="1" applyFill="1" applyBorder="1">
      <alignment/>
      <protection/>
    </xf>
    <xf numFmtId="0" fontId="16" fillId="0" borderId="0" xfId="70" applyFont="1" applyFill="1" applyBorder="1">
      <alignment/>
      <protection/>
    </xf>
    <xf numFmtId="0" fontId="20" fillId="0" borderId="0" xfId="70" applyFont="1" applyFill="1" applyBorder="1" applyAlignment="1">
      <alignment horizontal="left"/>
      <protection/>
    </xf>
    <xf numFmtId="0" fontId="16" fillId="0" borderId="0" xfId="70" applyFont="1" applyFill="1" applyBorder="1" applyAlignment="1" applyProtection="1">
      <alignment horizontal="left"/>
      <protection/>
    </xf>
    <xf numFmtId="0" fontId="13" fillId="0" borderId="14" xfId="70" applyFont="1" applyFill="1" applyBorder="1">
      <alignment/>
      <protection/>
    </xf>
    <xf numFmtId="0" fontId="5" fillId="0" borderId="0" xfId="70" applyFont="1" applyFill="1" applyBorder="1" applyAlignment="1">
      <alignment horizontal="left"/>
      <protection/>
    </xf>
    <xf numFmtId="0" fontId="16" fillId="0" borderId="0" xfId="70" applyFont="1" applyFill="1" applyAlignment="1">
      <alignment vertical="center"/>
      <protection/>
    </xf>
    <xf numFmtId="0" fontId="16" fillId="0" borderId="14" xfId="70" applyFont="1" applyFill="1" applyBorder="1" applyAlignment="1">
      <alignment vertical="center"/>
      <protection/>
    </xf>
    <xf numFmtId="0" fontId="16" fillId="0" borderId="0" xfId="70" applyFont="1" applyFill="1" applyBorder="1" applyAlignment="1">
      <alignment vertical="center"/>
      <protection/>
    </xf>
    <xf numFmtId="0" fontId="20" fillId="0" borderId="0" xfId="70" applyFont="1" applyFill="1" applyBorder="1" applyAlignment="1">
      <alignment horizontal="left" vertical="center"/>
      <protection/>
    </xf>
    <xf numFmtId="0" fontId="20" fillId="0" borderId="0" xfId="70" applyFont="1" applyFill="1" applyBorder="1" applyAlignment="1">
      <alignment vertical="center"/>
      <protection/>
    </xf>
    <xf numFmtId="0" fontId="16" fillId="0" borderId="15" xfId="70" applyFont="1" applyFill="1" applyBorder="1" applyAlignment="1">
      <alignment vertical="center"/>
      <protection/>
    </xf>
    <xf numFmtId="0" fontId="16" fillId="0" borderId="0" xfId="70" applyFont="1" applyAlignment="1">
      <alignment vertical="center"/>
      <protection/>
    </xf>
    <xf numFmtId="0" fontId="13" fillId="0" borderId="0" xfId="70" applyFont="1" applyFill="1" applyAlignment="1">
      <alignment vertical="center"/>
      <protection/>
    </xf>
    <xf numFmtId="0" fontId="13" fillId="0" borderId="14" xfId="70" applyFont="1" applyFill="1" applyBorder="1" applyAlignment="1">
      <alignment vertical="center"/>
      <protection/>
    </xf>
    <xf numFmtId="0" fontId="13" fillId="0" borderId="0" xfId="70" applyFont="1" applyFill="1" applyBorder="1" applyAlignment="1">
      <alignment vertical="center"/>
      <protection/>
    </xf>
    <xf numFmtId="0" fontId="13" fillId="0" borderId="0" xfId="70" applyFont="1" applyAlignment="1">
      <alignment vertical="center"/>
      <protection/>
    </xf>
    <xf numFmtId="0" fontId="13" fillId="0" borderId="15" xfId="70" applyFont="1" applyFill="1" applyBorder="1" applyAlignment="1">
      <alignment vertical="center"/>
      <protection/>
    </xf>
    <xf numFmtId="0" fontId="20" fillId="0" borderId="0" xfId="70" applyFont="1" applyFill="1" applyAlignment="1">
      <alignment vertical="center"/>
      <protection/>
    </xf>
    <xf numFmtId="0" fontId="25" fillId="0" borderId="0" xfId="70" applyFont="1" applyFill="1" applyBorder="1" applyAlignment="1">
      <alignment vertical="center"/>
      <protection/>
    </xf>
    <xf numFmtId="0" fontId="13" fillId="0" borderId="0" xfId="70" applyFont="1" applyFill="1" applyBorder="1" applyAlignment="1">
      <alignment horizontal="center"/>
      <protection/>
    </xf>
    <xf numFmtId="0" fontId="23" fillId="0" borderId="0" xfId="70" applyFont="1" applyFill="1">
      <alignment/>
      <protection/>
    </xf>
    <xf numFmtId="0" fontId="24" fillId="0" borderId="0" xfId="70" applyFont="1" applyFill="1" applyAlignment="1">
      <alignment horizontal="centerContinuous"/>
      <protection/>
    </xf>
    <xf numFmtId="0" fontId="24" fillId="0" borderId="0" xfId="70" applyFont="1" applyFill="1" applyBorder="1" applyAlignment="1">
      <alignment horizontal="centerContinuous"/>
      <protection/>
    </xf>
    <xf numFmtId="0" fontId="26" fillId="0" borderId="15" xfId="70" applyFont="1" applyFill="1" applyBorder="1" applyAlignment="1">
      <alignment horizontal="centerContinuous"/>
      <protection/>
    </xf>
    <xf numFmtId="0" fontId="13" fillId="0" borderId="16" xfId="70" applyFont="1" applyFill="1" applyBorder="1" applyAlignment="1" applyProtection="1">
      <alignment horizontal="left"/>
      <protection/>
    </xf>
    <xf numFmtId="0" fontId="13" fillId="0" borderId="41" xfId="70" applyFont="1" applyFill="1" applyBorder="1" applyAlignment="1" applyProtection="1">
      <alignment horizontal="center"/>
      <protection/>
    </xf>
    <xf numFmtId="0" fontId="13" fillId="0" borderId="21" xfId="70" applyFont="1" applyFill="1" applyBorder="1" applyAlignment="1">
      <alignment horizontal="center"/>
      <protection/>
    </xf>
    <xf numFmtId="0" fontId="3" fillId="0" borderId="16" xfId="70" applyFont="1" applyFill="1" applyBorder="1" applyAlignment="1" applyProtection="1" quotePrefix="1">
      <alignment horizontal="left"/>
      <protection/>
    </xf>
    <xf numFmtId="0" fontId="3" fillId="0" borderId="22" xfId="70" applyFont="1" applyFill="1" applyBorder="1" applyAlignment="1" applyProtection="1">
      <alignment horizontal="center"/>
      <protection/>
    </xf>
    <xf numFmtId="164" fontId="3" fillId="0" borderId="21" xfId="70" applyNumberFormat="1" applyFont="1" applyFill="1" applyBorder="1" applyAlignment="1" applyProtection="1">
      <alignment horizontal="center"/>
      <protection/>
    </xf>
    <xf numFmtId="22" fontId="13" fillId="0" borderId="0" xfId="70" applyNumberFormat="1" applyFont="1" applyFill="1" applyBorder="1">
      <alignment/>
      <protection/>
    </xf>
    <xf numFmtId="0" fontId="29" fillId="0" borderId="0" xfId="70" applyFont="1" applyFill="1" applyBorder="1">
      <alignment/>
      <protection/>
    </xf>
    <xf numFmtId="0" fontId="30" fillId="0" borderId="21" xfId="70" applyFont="1" applyFill="1" applyBorder="1" applyAlignment="1">
      <alignment horizontal="center" vertical="center"/>
      <protection/>
    </xf>
    <xf numFmtId="0" fontId="30" fillId="0" borderId="21" xfId="70" applyFont="1" applyFill="1" applyBorder="1" applyAlignment="1" applyProtection="1">
      <alignment horizontal="center" vertical="center" wrapText="1"/>
      <protection/>
    </xf>
    <xf numFmtId="0" fontId="30" fillId="0" borderId="21" xfId="70" applyFont="1" applyFill="1" applyBorder="1" applyAlignment="1" applyProtection="1">
      <alignment horizontal="center" vertical="center"/>
      <protection/>
    </xf>
    <xf numFmtId="0" fontId="30" fillId="0" borderId="21" xfId="70" applyFont="1" applyFill="1" applyBorder="1" applyAlignment="1" applyProtection="1" quotePrefix="1">
      <alignment horizontal="center" vertical="center" wrapText="1"/>
      <protection/>
    </xf>
    <xf numFmtId="0" fontId="30" fillId="0" borderId="21" xfId="70" applyFont="1" applyFill="1" applyBorder="1" applyAlignment="1">
      <alignment horizontal="center" vertical="center" wrapText="1"/>
      <protection/>
    </xf>
    <xf numFmtId="0" fontId="60" fillId="36" borderId="21" xfId="70" applyFont="1" applyFill="1" applyBorder="1" applyAlignment="1" applyProtection="1">
      <alignment horizontal="center" vertical="center"/>
      <protection/>
    </xf>
    <xf numFmtId="0" fontId="30" fillId="0" borderId="16" xfId="70" applyFont="1" applyFill="1" applyBorder="1" applyAlignment="1" applyProtection="1">
      <alignment horizontal="center" vertical="center"/>
      <protection/>
    </xf>
    <xf numFmtId="0" fontId="62" fillId="39" borderId="21" xfId="70" applyFont="1" applyFill="1" applyBorder="1" applyAlignment="1" applyProtection="1">
      <alignment horizontal="center" vertical="center"/>
      <protection/>
    </xf>
    <xf numFmtId="0" fontId="67" fillId="3" borderId="21" xfId="70" applyFont="1" applyFill="1" applyBorder="1" applyAlignment="1">
      <alignment horizontal="center" vertical="center" wrapText="1"/>
      <protection/>
    </xf>
    <xf numFmtId="0" fontId="68" fillId="35" borderId="21" xfId="70" applyFont="1" applyFill="1" applyBorder="1" applyAlignment="1">
      <alignment horizontal="center" vertical="center" wrapText="1"/>
      <protection/>
    </xf>
    <xf numFmtId="0" fontId="69" fillId="40" borderId="16" xfId="70" applyFont="1" applyFill="1" applyBorder="1" applyAlignment="1" applyProtection="1">
      <alignment horizontal="centerContinuous" vertical="center" wrapText="1"/>
      <protection/>
    </xf>
    <xf numFmtId="0" fontId="69" fillId="40" borderId="17" xfId="70" applyFont="1" applyFill="1" applyBorder="1" applyAlignment="1">
      <alignment horizontal="centerContinuous" vertical="center"/>
      <protection/>
    </xf>
    <xf numFmtId="0" fontId="34" fillId="41" borderId="21" xfId="70" applyFont="1" applyFill="1" applyBorder="1" applyAlignment="1">
      <alignment horizontal="center" vertical="center" wrapText="1"/>
      <protection/>
    </xf>
    <xf numFmtId="0" fontId="70" fillId="3" borderId="21" xfId="70" applyFont="1" applyFill="1" applyBorder="1" applyAlignment="1">
      <alignment horizontal="center" vertical="center" wrapText="1"/>
      <protection/>
    </xf>
    <xf numFmtId="0" fontId="13" fillId="0" borderId="43" xfId="70" applyFont="1" applyFill="1" applyBorder="1" applyAlignment="1">
      <alignment horizontal="center"/>
      <protection/>
    </xf>
    <xf numFmtId="164" fontId="13" fillId="0" borderId="43" xfId="70" applyNumberFormat="1" applyFont="1" applyFill="1" applyBorder="1" applyAlignment="1" applyProtection="1">
      <alignment horizontal="center"/>
      <protection/>
    </xf>
    <xf numFmtId="0" fontId="63" fillId="36" borderId="43" xfId="70" applyFont="1" applyFill="1" applyBorder="1" applyAlignment="1">
      <alignment horizontal="center"/>
      <protection/>
    </xf>
    <xf numFmtId="0" fontId="13" fillId="0" borderId="44" xfId="70" applyFont="1" applyFill="1" applyBorder="1" applyAlignment="1">
      <alignment horizontal="center"/>
      <protection/>
    </xf>
    <xf numFmtId="0" fontId="29" fillId="39" borderId="43" xfId="70" applyFont="1" applyFill="1" applyBorder="1" applyAlignment="1">
      <alignment horizontal="center"/>
      <protection/>
    </xf>
    <xf numFmtId="0" fontId="71" fillId="3" borderId="43" xfId="70" applyFont="1" applyFill="1" applyBorder="1" applyAlignment="1">
      <alignment horizontal="center"/>
      <protection/>
    </xf>
    <xf numFmtId="0" fontId="72" fillId="35" borderId="43" xfId="70" applyFont="1" applyFill="1" applyBorder="1" applyAlignment="1">
      <alignment horizontal="center"/>
      <protection/>
    </xf>
    <xf numFmtId="0" fontId="52" fillId="36" borderId="24" xfId="70" applyFont="1" applyFill="1" applyBorder="1" applyAlignment="1">
      <alignment horizontal="center"/>
      <protection/>
    </xf>
    <xf numFmtId="0" fontId="52" fillId="36" borderId="26" xfId="70" applyFont="1" applyFill="1" applyBorder="1" applyAlignment="1">
      <alignment horizontal="center"/>
      <protection/>
    </xf>
    <xf numFmtId="0" fontId="73" fillId="40" borderId="45" xfId="70" applyFont="1" applyFill="1" applyBorder="1" applyAlignment="1">
      <alignment horizontal="center"/>
      <protection/>
    </xf>
    <xf numFmtId="0" fontId="73" fillId="40" borderId="46" xfId="70" applyFont="1" applyFill="1" applyBorder="1" applyAlignment="1">
      <alignment horizontal="center"/>
      <protection/>
    </xf>
    <xf numFmtId="0" fontId="50" fillId="41" borderId="43" xfId="70" applyFont="1" applyFill="1" applyBorder="1" applyAlignment="1">
      <alignment horizontal="center"/>
      <protection/>
    </xf>
    <xf numFmtId="0" fontId="74" fillId="3" borderId="43" xfId="70" applyFont="1" applyFill="1" applyBorder="1" applyAlignment="1">
      <alignment horizontal="center"/>
      <protection/>
    </xf>
    <xf numFmtId="7" fontId="48" fillId="0" borderId="44" xfId="70" applyNumberFormat="1" applyFont="1" applyFill="1" applyBorder="1" applyAlignment="1">
      <alignment/>
      <protection/>
    </xf>
    <xf numFmtId="164" fontId="13" fillId="0" borderId="27" xfId="70" applyNumberFormat="1" applyFont="1" applyFill="1" applyBorder="1" applyAlignment="1" applyProtection="1">
      <alignment horizontal="center"/>
      <protection/>
    </xf>
    <xf numFmtId="0" fontId="63" fillId="36" borderId="27" xfId="70" applyFont="1" applyFill="1" applyBorder="1" applyAlignment="1">
      <alignment horizontal="center"/>
      <protection/>
    </xf>
    <xf numFmtId="0" fontId="13" fillId="0" borderId="47" xfId="70" applyFont="1" applyFill="1" applyBorder="1" applyAlignment="1">
      <alignment horizontal="center"/>
      <protection/>
    </xf>
    <xf numFmtId="0" fontId="29" fillId="39" borderId="27" xfId="70" applyFont="1" applyFill="1" applyBorder="1" applyAlignment="1">
      <alignment horizontal="center"/>
      <protection/>
    </xf>
    <xf numFmtId="0" fontId="71" fillId="3" borderId="27" xfId="70" applyFont="1" applyFill="1" applyBorder="1" applyAlignment="1">
      <alignment horizontal="center"/>
      <protection/>
    </xf>
    <xf numFmtId="0" fontId="72" fillId="35" borderId="27" xfId="70" applyFont="1" applyFill="1" applyBorder="1" applyAlignment="1">
      <alignment horizontal="center"/>
      <protection/>
    </xf>
    <xf numFmtId="0" fontId="52" fillId="36" borderId="48" xfId="70" applyFont="1" applyFill="1" applyBorder="1" applyAlignment="1">
      <alignment horizontal="center"/>
      <protection/>
    </xf>
    <xf numFmtId="0" fontId="52" fillId="36" borderId="49" xfId="70" applyFont="1" applyFill="1" applyBorder="1" applyAlignment="1">
      <alignment horizontal="center"/>
      <protection/>
    </xf>
    <xf numFmtId="0" fontId="73" fillId="40" borderId="48" xfId="70" applyFont="1" applyFill="1" applyBorder="1" applyAlignment="1">
      <alignment horizontal="center"/>
      <protection/>
    </xf>
    <xf numFmtId="0" fontId="73" fillId="40" borderId="49" xfId="70" applyFont="1" applyFill="1" applyBorder="1" applyAlignment="1">
      <alignment horizontal="center"/>
      <protection/>
    </xf>
    <xf numFmtId="0" fontId="50" fillId="41" borderId="27" xfId="70" applyFont="1" applyFill="1" applyBorder="1" applyAlignment="1">
      <alignment horizontal="center"/>
      <protection/>
    </xf>
    <xf numFmtId="0" fontId="74" fillId="3" borderId="27" xfId="70" applyFont="1" applyFill="1" applyBorder="1" applyAlignment="1">
      <alignment horizontal="center"/>
      <protection/>
    </xf>
    <xf numFmtId="0" fontId="48" fillId="0" borderId="47" xfId="70" applyFont="1" applyFill="1" applyBorder="1" applyAlignment="1">
      <alignment horizontal="center"/>
      <protection/>
    </xf>
    <xf numFmtId="0" fontId="13" fillId="0" borderId="27" xfId="70" applyFont="1" applyBorder="1" applyAlignment="1" applyProtection="1">
      <alignment horizontal="center"/>
      <protection locked="0"/>
    </xf>
    <xf numFmtId="0" fontId="13" fillId="0" borderId="32" xfId="70" applyFont="1" applyBorder="1" applyAlignment="1" applyProtection="1">
      <alignment horizontal="center"/>
      <protection locked="0"/>
    </xf>
    <xf numFmtId="164" fontId="13" fillId="0" borderId="27" xfId="70" applyNumberFormat="1" applyFont="1" applyBorder="1" applyAlignment="1" applyProtection="1">
      <alignment horizontal="center"/>
      <protection locked="0"/>
    </xf>
    <xf numFmtId="1" fontId="13" fillId="0" borderId="49" xfId="70" applyNumberFormat="1" applyFont="1" applyBorder="1" applyAlignment="1" applyProtection="1" quotePrefix="1">
      <alignment horizontal="center"/>
      <protection locked="0"/>
    </xf>
    <xf numFmtId="169" fontId="63" fillId="36" borderId="28" xfId="70" applyNumberFormat="1" applyFont="1" applyFill="1" applyBorder="1" applyAlignment="1" applyProtection="1">
      <alignment horizontal="center"/>
      <protection/>
    </xf>
    <xf numFmtId="22" fontId="13" fillId="0" borderId="28" xfId="70" applyNumberFormat="1" applyFont="1" applyFill="1" applyBorder="1" applyAlignment="1" applyProtection="1">
      <alignment horizontal="center"/>
      <protection locked="0"/>
    </xf>
    <xf numFmtId="4" fontId="13" fillId="0" borderId="28" xfId="70" applyNumberFormat="1" applyFont="1" applyFill="1" applyBorder="1" applyAlignment="1" applyProtection="1">
      <alignment horizontal="center"/>
      <protection/>
    </xf>
    <xf numFmtId="3" fontId="13" fillId="0" borderId="28" xfId="70" applyNumberFormat="1" applyFont="1" applyFill="1" applyBorder="1" applyAlignment="1" applyProtection="1">
      <alignment horizontal="center"/>
      <protection/>
    </xf>
    <xf numFmtId="166" fontId="13" fillId="0" borderId="28" xfId="70" applyNumberFormat="1" applyFont="1" applyFill="1" applyBorder="1" applyAlignment="1" applyProtection="1">
      <alignment horizontal="center"/>
      <protection locked="0"/>
    </xf>
    <xf numFmtId="166" fontId="13" fillId="0" borderId="28" xfId="70" applyNumberFormat="1" applyFont="1" applyBorder="1" applyAlignment="1" applyProtection="1" quotePrefix="1">
      <alignment horizontal="center"/>
      <protection/>
    </xf>
    <xf numFmtId="164" fontId="29" fillId="39" borderId="28" xfId="70" applyNumberFormat="1" applyFont="1" applyFill="1" applyBorder="1" applyAlignment="1" applyProtection="1">
      <alignment horizontal="center"/>
      <protection/>
    </xf>
    <xf numFmtId="2" fontId="71" fillId="3" borderId="28" xfId="70" applyNumberFormat="1" applyFont="1" applyFill="1" applyBorder="1" applyAlignment="1">
      <alignment horizontal="center"/>
      <protection/>
    </xf>
    <xf numFmtId="2" fontId="72" fillId="35" borderId="28" xfId="70" applyNumberFormat="1" applyFont="1" applyFill="1" applyBorder="1" applyAlignment="1">
      <alignment horizontal="center"/>
      <protection/>
    </xf>
    <xf numFmtId="166" fontId="52" fillId="36" borderId="48" xfId="70" applyNumberFormat="1" applyFont="1" applyFill="1" applyBorder="1" applyAlignment="1" applyProtection="1" quotePrefix="1">
      <alignment horizontal="center"/>
      <protection/>
    </xf>
    <xf numFmtId="166" fontId="52" fillId="36" borderId="49" xfId="70" applyNumberFormat="1" applyFont="1" applyFill="1" applyBorder="1" applyAlignment="1" applyProtection="1" quotePrefix="1">
      <alignment horizontal="center"/>
      <protection/>
    </xf>
    <xf numFmtId="166" fontId="73" fillId="40" borderId="48" xfId="70" applyNumberFormat="1" applyFont="1" applyFill="1" applyBorder="1" applyAlignment="1" applyProtection="1" quotePrefix="1">
      <alignment horizontal="center"/>
      <protection/>
    </xf>
    <xf numFmtId="166" fontId="73" fillId="40" borderId="49" xfId="70" applyNumberFormat="1" applyFont="1" applyFill="1" applyBorder="1" applyAlignment="1" applyProtection="1" quotePrefix="1">
      <alignment horizontal="center"/>
      <protection/>
    </xf>
    <xf numFmtId="166" fontId="50" fillId="41" borderId="28" xfId="70" applyNumberFormat="1" applyFont="1" applyFill="1" applyBorder="1" applyAlignment="1" applyProtection="1" quotePrefix="1">
      <alignment horizontal="center"/>
      <protection/>
    </xf>
    <xf numFmtId="166" fontId="74" fillId="3" borderId="27" xfId="70" applyNumberFormat="1" applyFont="1" applyFill="1" applyBorder="1" applyAlignment="1" applyProtection="1" quotePrefix="1">
      <alignment horizontal="center"/>
      <protection/>
    </xf>
    <xf numFmtId="166" fontId="13" fillId="0" borderId="29" xfId="70" applyNumberFormat="1" applyFont="1" applyFill="1" applyBorder="1" applyAlignment="1">
      <alignment horizontal="center"/>
      <protection/>
    </xf>
    <xf numFmtId="0" fontId="13" fillId="0" borderId="47" xfId="70" applyFont="1" applyBorder="1" applyAlignment="1" applyProtection="1">
      <alignment horizontal="center"/>
      <protection locked="0"/>
    </xf>
    <xf numFmtId="0" fontId="75" fillId="0" borderId="36" xfId="70" applyFont="1" applyFill="1" applyBorder="1" applyAlignment="1" applyProtection="1">
      <alignment horizontal="center"/>
      <protection locked="0"/>
    </xf>
    <xf numFmtId="0" fontId="75" fillId="0" borderId="36" xfId="70" applyFont="1" applyFill="1" applyBorder="1" applyAlignment="1" applyProtection="1" quotePrefix="1">
      <alignment horizontal="center"/>
      <protection locked="0"/>
    </xf>
    <xf numFmtId="164" fontId="49" fillId="0" borderId="34" xfId="70" applyNumberFormat="1" applyFont="1" applyFill="1" applyBorder="1" applyAlignment="1" applyProtection="1">
      <alignment horizontal="center"/>
      <protection locked="0"/>
    </xf>
    <xf numFmtId="166" fontId="63" fillId="36" borderId="36" xfId="70" applyNumberFormat="1" applyFont="1" applyFill="1" applyBorder="1" applyAlignment="1" applyProtection="1">
      <alignment horizontal="center"/>
      <protection/>
    </xf>
    <xf numFmtId="0" fontId="13" fillId="0" borderId="36" xfId="70" applyFont="1" applyFill="1" applyBorder="1" applyAlignment="1" applyProtection="1">
      <alignment horizontal="center"/>
      <protection locked="0"/>
    </xf>
    <xf numFmtId="38" fontId="13" fillId="0" borderId="36" xfId="70" applyNumberFormat="1" applyFont="1" applyFill="1" applyBorder="1" applyAlignment="1" applyProtection="1">
      <alignment horizontal="center"/>
      <protection locked="0"/>
    </xf>
    <xf numFmtId="38" fontId="13" fillId="0" borderId="36" xfId="70" applyNumberFormat="1" applyFont="1" applyFill="1" applyBorder="1" applyAlignment="1" applyProtection="1">
      <alignment horizontal="center"/>
      <protection/>
    </xf>
    <xf numFmtId="164" fontId="13" fillId="0" borderId="36" xfId="70" applyNumberFormat="1" applyFont="1" applyFill="1" applyBorder="1" applyAlignment="1" applyProtection="1" quotePrefix="1">
      <alignment horizontal="center"/>
      <protection/>
    </xf>
    <xf numFmtId="166" fontId="13" fillId="0" borderId="36" xfId="70" applyNumberFormat="1" applyFont="1" applyFill="1" applyBorder="1" applyAlignment="1" applyProtection="1">
      <alignment horizontal="center"/>
      <protection locked="0"/>
    </xf>
    <xf numFmtId="166" fontId="13" fillId="0" borderId="50" xfId="70" applyNumberFormat="1" applyFont="1" applyFill="1" applyBorder="1" applyAlignment="1" applyProtection="1">
      <alignment horizontal="center"/>
      <protection locked="0"/>
    </xf>
    <xf numFmtId="164" fontId="29" fillId="39" borderId="36" xfId="70" applyNumberFormat="1" applyFont="1" applyFill="1" applyBorder="1" applyAlignment="1" applyProtection="1">
      <alignment horizontal="center"/>
      <protection/>
    </xf>
    <xf numFmtId="2" fontId="71" fillId="3" borderId="36" xfId="70" applyNumberFormat="1" applyFont="1" applyFill="1" applyBorder="1" applyAlignment="1">
      <alignment horizontal="center"/>
      <protection/>
    </xf>
    <xf numFmtId="2" fontId="72" fillId="35" borderId="36" xfId="70" applyNumberFormat="1" applyFont="1" applyFill="1" applyBorder="1" applyAlignment="1">
      <alignment horizontal="center"/>
      <protection/>
    </xf>
    <xf numFmtId="166" fontId="52" fillId="36" borderId="51" xfId="70" applyNumberFormat="1" applyFont="1" applyFill="1" applyBorder="1" applyAlignment="1" applyProtection="1" quotePrefix="1">
      <alignment horizontal="center"/>
      <protection/>
    </xf>
    <xf numFmtId="166" fontId="52" fillId="36" borderId="52" xfId="70" applyNumberFormat="1" applyFont="1" applyFill="1" applyBorder="1" applyAlignment="1" applyProtection="1" quotePrefix="1">
      <alignment horizontal="center"/>
      <protection/>
    </xf>
    <xf numFmtId="166" fontId="73" fillId="40" borderId="37" xfId="70" applyNumberFormat="1" applyFont="1" applyFill="1" applyBorder="1" applyAlignment="1" applyProtection="1" quotePrefix="1">
      <alignment horizontal="center"/>
      <protection/>
    </xf>
    <xf numFmtId="166" fontId="73" fillId="40" borderId="39" xfId="70" applyNumberFormat="1" applyFont="1" applyFill="1" applyBorder="1" applyAlignment="1" applyProtection="1" quotePrefix="1">
      <alignment horizontal="center"/>
      <protection/>
    </xf>
    <xf numFmtId="166" fontId="50" fillId="41" borderId="36" xfId="70" applyNumberFormat="1" applyFont="1" applyFill="1" applyBorder="1" applyAlignment="1" applyProtection="1" quotePrefix="1">
      <alignment horizontal="center"/>
      <protection/>
    </xf>
    <xf numFmtId="166" fontId="74" fillId="3" borderId="36" xfId="70" applyNumberFormat="1" applyFont="1" applyFill="1" applyBorder="1" applyAlignment="1" applyProtection="1" quotePrefix="1">
      <alignment horizontal="center"/>
      <protection/>
    </xf>
    <xf numFmtId="166" fontId="76" fillId="0" borderId="50" xfId="70" applyNumberFormat="1" applyFont="1" applyFill="1" applyBorder="1" applyAlignment="1">
      <alignment horizontal="center"/>
      <protection/>
    </xf>
    <xf numFmtId="166" fontId="66" fillId="0" borderId="53" xfId="70" applyNumberFormat="1" applyFont="1" applyFill="1" applyBorder="1" applyAlignment="1">
      <alignment horizontal="center"/>
      <protection/>
    </xf>
    <xf numFmtId="4" fontId="71" fillId="3" borderId="21" xfId="70" applyNumberFormat="1" applyFont="1" applyFill="1" applyBorder="1" applyAlignment="1">
      <alignment horizontal="center"/>
      <protection/>
    </xf>
    <xf numFmtId="4" fontId="72" fillId="35" borderId="21" xfId="70" applyNumberFormat="1" applyFont="1" applyFill="1" applyBorder="1" applyAlignment="1">
      <alignment horizontal="center"/>
      <protection/>
    </xf>
    <xf numFmtId="4" fontId="52" fillId="36" borderId="54" xfId="70" applyNumberFormat="1" applyFont="1" applyFill="1" applyBorder="1" applyAlignment="1">
      <alignment horizontal="center"/>
      <protection/>
    </xf>
    <xf numFmtId="4" fontId="52" fillId="36" borderId="17" xfId="70" applyNumberFormat="1" applyFont="1" applyFill="1" applyBorder="1" applyAlignment="1">
      <alignment horizontal="center"/>
      <protection/>
    </xf>
    <xf numFmtId="4" fontId="73" fillId="40" borderId="54" xfId="70" applyNumberFormat="1" applyFont="1" applyFill="1" applyBorder="1" applyAlignment="1">
      <alignment horizontal="center"/>
      <protection/>
    </xf>
    <xf numFmtId="4" fontId="73" fillId="40" borderId="55" xfId="70" applyNumberFormat="1" applyFont="1" applyFill="1" applyBorder="1" applyAlignment="1">
      <alignment horizontal="center"/>
      <protection/>
    </xf>
    <xf numFmtId="4" fontId="50" fillId="41" borderId="21" xfId="70" applyNumberFormat="1" applyFont="1" applyFill="1" applyBorder="1" applyAlignment="1">
      <alignment horizontal="center"/>
      <protection/>
    </xf>
    <xf numFmtId="4" fontId="74" fillId="3" borderId="21" xfId="70" applyNumberFormat="1" applyFont="1" applyFill="1" applyBorder="1" applyAlignment="1">
      <alignment horizontal="center"/>
      <protection/>
    </xf>
    <xf numFmtId="7" fontId="77" fillId="0" borderId="21" xfId="70" applyNumberFormat="1" applyFont="1" applyFill="1" applyBorder="1" applyAlignment="1">
      <alignment horizontal="right"/>
      <protection/>
    </xf>
    <xf numFmtId="0" fontId="13" fillId="0" borderId="18" xfId="70" applyFont="1" applyFill="1" applyBorder="1">
      <alignment/>
      <protection/>
    </xf>
    <xf numFmtId="0" fontId="13" fillId="0" borderId="19" xfId="70" applyFont="1" applyFill="1" applyBorder="1">
      <alignment/>
      <protection/>
    </xf>
    <xf numFmtId="0" fontId="13" fillId="0" borderId="20" xfId="70" applyFont="1" applyFill="1" applyBorder="1">
      <alignment/>
      <protection/>
    </xf>
    <xf numFmtId="0" fontId="3" fillId="0" borderId="0" xfId="70" applyFill="1">
      <alignment/>
      <protection/>
    </xf>
    <xf numFmtId="0" fontId="0" fillId="0" borderId="0" xfId="70" applyFont="1">
      <alignment/>
      <protection/>
    </xf>
    <xf numFmtId="0" fontId="20" fillId="0" borderId="0" xfId="70" applyFont="1" applyFill="1" applyBorder="1" applyAlignment="1">
      <alignment horizontal="left" vertical="top"/>
      <protection/>
    </xf>
    <xf numFmtId="0" fontId="13" fillId="0" borderId="0" xfId="70" applyFont="1" applyFill="1" applyAlignment="1">
      <alignment vertical="top"/>
      <protection/>
    </xf>
    <xf numFmtId="0" fontId="13" fillId="0" borderId="14" xfId="70" applyFont="1" applyFill="1" applyBorder="1" applyAlignment="1">
      <alignment vertical="top"/>
      <protection/>
    </xf>
    <xf numFmtId="0" fontId="13" fillId="0" borderId="0" xfId="70" applyFont="1" applyFill="1" applyBorder="1" applyAlignment="1">
      <alignment vertical="top"/>
      <protection/>
    </xf>
    <xf numFmtId="0" fontId="13" fillId="0" borderId="0" xfId="70" applyFont="1" applyFill="1" applyBorder="1" applyAlignment="1">
      <alignment horizontal="center" vertical="top"/>
      <protection/>
    </xf>
    <xf numFmtId="0" fontId="63" fillId="36" borderId="35" xfId="70" applyFont="1" applyFill="1" applyBorder="1" applyAlignment="1">
      <alignment horizontal="center"/>
      <protection/>
    </xf>
    <xf numFmtId="166" fontId="13" fillId="0" borderId="27" xfId="70" applyNumberFormat="1" applyFont="1" applyBorder="1" applyAlignment="1" applyProtection="1">
      <alignment horizontal="center"/>
      <protection/>
    </xf>
    <xf numFmtId="2" fontId="71" fillId="3" borderId="28" xfId="70" applyNumberFormat="1" applyFont="1" applyFill="1" applyBorder="1" applyAlignment="1" applyProtection="1">
      <alignment horizontal="center"/>
      <protection/>
    </xf>
    <xf numFmtId="2" fontId="72" fillId="35" borderId="28" xfId="70" applyNumberFormat="1" applyFont="1" applyFill="1" applyBorder="1" applyAlignment="1" applyProtection="1">
      <alignment horizontal="center"/>
      <protection/>
    </xf>
    <xf numFmtId="2" fontId="71" fillId="3" borderId="36" xfId="70" applyNumberFormat="1" applyFont="1" applyFill="1" applyBorder="1" applyAlignment="1" applyProtection="1">
      <alignment horizontal="center"/>
      <protection locked="0"/>
    </xf>
    <xf numFmtId="2" fontId="72" fillId="35" borderId="36" xfId="70" applyNumberFormat="1" applyFont="1" applyFill="1" applyBorder="1" applyAlignment="1" applyProtection="1">
      <alignment horizontal="center"/>
      <protection locked="0"/>
    </xf>
    <xf numFmtId="166" fontId="52" fillId="36" borderId="51" xfId="70" applyNumberFormat="1" applyFont="1" applyFill="1" applyBorder="1" applyAlignment="1" applyProtection="1" quotePrefix="1">
      <alignment horizontal="center"/>
      <protection locked="0"/>
    </xf>
    <xf numFmtId="166" fontId="52" fillId="36" borderId="52" xfId="70" applyNumberFormat="1" applyFont="1" applyFill="1" applyBorder="1" applyAlignment="1" applyProtection="1" quotePrefix="1">
      <alignment horizontal="center"/>
      <protection locked="0"/>
    </xf>
    <xf numFmtId="166" fontId="73" fillId="40" borderId="37" xfId="70" applyNumberFormat="1" applyFont="1" applyFill="1" applyBorder="1" applyAlignment="1" applyProtection="1" quotePrefix="1">
      <alignment horizontal="center"/>
      <protection locked="0"/>
    </xf>
    <xf numFmtId="166" fontId="73" fillId="40" borderId="39" xfId="70" applyNumberFormat="1" applyFont="1" applyFill="1" applyBorder="1" applyAlignment="1" applyProtection="1" quotePrefix="1">
      <alignment horizontal="center"/>
      <protection locked="0"/>
    </xf>
    <xf numFmtId="166" fontId="50" fillId="41" borderId="36" xfId="70" applyNumberFormat="1" applyFont="1" applyFill="1" applyBorder="1" applyAlignment="1" applyProtection="1" quotePrefix="1">
      <alignment horizontal="center"/>
      <protection locked="0"/>
    </xf>
    <xf numFmtId="166" fontId="74" fillId="3" borderId="36" xfId="70" applyNumberFormat="1" applyFont="1" applyFill="1" applyBorder="1" applyAlignment="1" applyProtection="1" quotePrefix="1">
      <alignment horizontal="center"/>
      <protection locked="0"/>
    </xf>
    <xf numFmtId="166" fontId="76" fillId="0" borderId="50" xfId="70" applyNumberFormat="1" applyFont="1" applyFill="1" applyBorder="1" applyAlignment="1" applyProtection="1">
      <alignment horizontal="center"/>
      <protection locked="0"/>
    </xf>
    <xf numFmtId="0" fontId="13" fillId="0" borderId="0" xfId="70" applyFont="1" applyFill="1" applyBorder="1" applyAlignment="1">
      <alignment horizontal="left"/>
      <protection/>
    </xf>
    <xf numFmtId="0" fontId="16" fillId="0" borderId="0" xfId="70" applyFont="1" applyFill="1" applyAlignment="1">
      <alignment vertical="top"/>
      <protection/>
    </xf>
    <xf numFmtId="0" fontId="16" fillId="0" borderId="14" xfId="70" applyFont="1" applyFill="1" applyBorder="1" applyAlignment="1">
      <alignment vertical="top"/>
      <protection/>
    </xf>
    <xf numFmtId="0" fontId="16" fillId="0" borderId="0" xfId="70" applyFont="1" applyFill="1" applyBorder="1" applyAlignment="1">
      <alignment vertical="top"/>
      <protection/>
    </xf>
    <xf numFmtId="0" fontId="20" fillId="0" borderId="0" xfId="70" applyFont="1" applyFill="1" applyBorder="1" applyAlignment="1">
      <alignment vertical="top"/>
      <protection/>
    </xf>
    <xf numFmtId="166" fontId="13" fillId="0" borderId="29" xfId="70" applyNumberFormat="1" applyFont="1" applyFill="1" applyBorder="1" applyAlignment="1" applyProtection="1">
      <alignment horizontal="center"/>
      <protection/>
    </xf>
    <xf numFmtId="4" fontId="78" fillId="0" borderId="29" xfId="70" applyNumberFormat="1" applyFont="1" applyFill="1" applyBorder="1" applyAlignment="1">
      <alignment horizontal="right"/>
      <protection/>
    </xf>
    <xf numFmtId="164" fontId="29" fillId="39" borderId="36" xfId="70" applyNumberFormat="1" applyFont="1" applyFill="1" applyBorder="1" applyAlignment="1" applyProtection="1">
      <alignment horizontal="center"/>
      <protection locked="0"/>
    </xf>
    <xf numFmtId="0" fontId="13" fillId="0" borderId="13" xfId="70" applyFont="1" applyBorder="1">
      <alignment/>
      <protection/>
    </xf>
    <xf numFmtId="0" fontId="20" fillId="0" borderId="0" xfId="70" applyFont="1" applyFill="1" applyBorder="1">
      <alignment/>
      <protection/>
    </xf>
    <xf numFmtId="0" fontId="16" fillId="0" borderId="15" xfId="70" applyFont="1" applyBorder="1">
      <alignment/>
      <protection/>
    </xf>
    <xf numFmtId="0" fontId="20" fillId="0" borderId="0" xfId="70" applyFont="1" applyFill="1">
      <alignment/>
      <protection/>
    </xf>
    <xf numFmtId="0" fontId="79" fillId="0" borderId="0" xfId="70" applyFont="1" applyFill="1">
      <alignment/>
      <protection/>
    </xf>
    <xf numFmtId="0" fontId="16" fillId="0" borderId="0" xfId="70" applyFont="1" applyFill="1" applyBorder="1" applyProtection="1">
      <alignment/>
      <protection/>
    </xf>
    <xf numFmtId="0" fontId="5" fillId="0" borderId="0" xfId="70" applyFont="1" applyFill="1">
      <alignment/>
      <protection/>
    </xf>
    <xf numFmtId="0" fontId="13" fillId="0" borderId="0" xfId="70" applyFont="1" applyFill="1" applyBorder="1" applyProtection="1">
      <alignment/>
      <protection/>
    </xf>
    <xf numFmtId="0" fontId="24" fillId="0" borderId="0" xfId="70" applyFont="1" applyBorder="1" applyAlignment="1" applyProtection="1">
      <alignment horizontal="centerContinuous"/>
      <protection/>
    </xf>
    <xf numFmtId="0" fontId="24" fillId="0" borderId="15" xfId="70" applyFont="1" applyBorder="1" applyAlignment="1">
      <alignment horizontal="centerContinuous"/>
      <protection/>
    </xf>
    <xf numFmtId="0" fontId="25" fillId="0" borderId="14" xfId="70" applyFont="1" applyBorder="1" applyAlignment="1">
      <alignment horizontal="centerContinuous"/>
      <protection/>
    </xf>
    <xf numFmtId="0" fontId="25" fillId="0" borderId="0" xfId="70" applyFont="1" applyBorder="1" applyAlignment="1">
      <alignment horizontal="centerContinuous"/>
      <protection/>
    </xf>
    <xf numFmtId="0" fontId="25" fillId="0" borderId="0" xfId="70" applyFont="1" applyBorder="1" applyAlignment="1" applyProtection="1">
      <alignment horizontal="centerContinuous"/>
      <protection/>
    </xf>
    <xf numFmtId="0" fontId="25" fillId="0" borderId="15" xfId="70" applyFont="1" applyBorder="1" applyAlignment="1">
      <alignment horizontal="centerContinuous"/>
      <protection/>
    </xf>
    <xf numFmtId="0" fontId="3" fillId="0" borderId="0" xfId="70" applyFont="1" applyBorder="1">
      <alignment/>
      <protection/>
    </xf>
    <xf numFmtId="0" fontId="3" fillId="0" borderId="21" xfId="70" applyFont="1" applyBorder="1" applyAlignment="1">
      <alignment horizontal="center"/>
      <protection/>
    </xf>
    <xf numFmtId="0" fontId="3" fillId="0" borderId="16" xfId="70" applyFont="1" applyBorder="1" applyAlignment="1" applyProtection="1">
      <alignment horizontal="left" vertical="center"/>
      <protection/>
    </xf>
    <xf numFmtId="169" fontId="3" fillId="0" borderId="17" xfId="70" applyNumberFormat="1" applyFont="1" applyBorder="1" applyAlignment="1" applyProtection="1">
      <alignment horizontal="center" vertical="center"/>
      <protection/>
    </xf>
    <xf numFmtId="0" fontId="3" fillId="0" borderId="21" xfId="70" applyFont="1" applyBorder="1" applyAlignment="1">
      <alignment horizontal="center" vertical="center"/>
      <protection/>
    </xf>
    <xf numFmtId="0" fontId="3" fillId="0" borderId="16" xfId="70" applyFont="1" applyBorder="1" applyAlignment="1">
      <alignment vertical="center"/>
      <protection/>
    </xf>
    <xf numFmtId="169" fontId="3" fillId="0" borderId="17" xfId="70" applyNumberFormat="1" applyFont="1" applyBorder="1" applyAlignment="1">
      <alignment horizontal="center" vertical="center"/>
      <protection/>
    </xf>
    <xf numFmtId="0" fontId="3" fillId="0" borderId="16" xfId="70" applyFont="1" applyBorder="1" applyAlignment="1">
      <alignment horizontal="left" vertical="center"/>
      <protection/>
    </xf>
    <xf numFmtId="0" fontId="30" fillId="0" borderId="17" xfId="70" applyFont="1" applyBorder="1" applyAlignment="1" applyProtection="1">
      <alignment horizontal="center" vertical="center"/>
      <protection/>
    </xf>
    <xf numFmtId="0" fontId="30" fillId="0" borderId="22" xfId="70" applyFont="1" applyBorder="1" applyAlignment="1">
      <alignment horizontal="center" vertical="center" wrapText="1"/>
      <protection/>
    </xf>
    <xf numFmtId="0" fontId="30" fillId="0" borderId="17" xfId="70" applyFont="1" applyBorder="1" applyAlignment="1" applyProtection="1">
      <alignment horizontal="center" vertical="center" wrapText="1"/>
      <protection/>
    </xf>
    <xf numFmtId="0" fontId="62" fillId="33" borderId="21" xfId="70" applyFont="1" applyFill="1" applyBorder="1" applyAlignment="1" applyProtection="1">
      <alignment horizontal="center" vertical="center"/>
      <protection/>
    </xf>
    <xf numFmtId="0" fontId="69" fillId="40" borderId="21" xfId="70" applyFont="1" applyFill="1" applyBorder="1" applyAlignment="1">
      <alignment horizontal="center" vertical="center" wrapText="1"/>
      <protection/>
    </xf>
    <xf numFmtId="0" fontId="35" fillId="35" borderId="16" xfId="70" applyFont="1" applyFill="1" applyBorder="1" applyAlignment="1" applyProtection="1">
      <alignment horizontal="centerContinuous" vertical="center" wrapText="1"/>
      <protection/>
    </xf>
    <xf numFmtId="0" fontId="35" fillId="35" borderId="17" xfId="70" applyFont="1" applyFill="1" applyBorder="1" applyAlignment="1">
      <alignment horizontal="centerContinuous" vertical="center"/>
      <protection/>
    </xf>
    <xf numFmtId="0" fontId="62" fillId="34" borderId="21" xfId="70" applyFont="1" applyFill="1" applyBorder="1" applyAlignment="1">
      <alignment horizontal="center" vertical="center" wrapText="1"/>
      <protection/>
    </xf>
    <xf numFmtId="0" fontId="75" fillId="0" borderId="28" xfId="70" applyFont="1" applyBorder="1" applyAlignment="1" applyProtection="1">
      <alignment horizontal="center"/>
      <protection/>
    </xf>
    <xf numFmtId="0" fontId="29" fillId="33" borderId="23" xfId="70" applyFont="1" applyFill="1" applyBorder="1" applyAlignment="1" applyProtection="1">
      <alignment horizontal="center"/>
      <protection/>
    </xf>
    <xf numFmtId="0" fontId="73" fillId="40" borderId="23" xfId="70" applyFont="1" applyFill="1" applyBorder="1" applyAlignment="1" applyProtection="1">
      <alignment horizontal="center"/>
      <protection/>
    </xf>
    <xf numFmtId="166" fontId="51" fillId="35" borderId="24" xfId="70" applyNumberFormat="1" applyFont="1" applyFill="1" applyBorder="1" applyAlignment="1" applyProtection="1" quotePrefix="1">
      <alignment horizontal="center"/>
      <protection/>
    </xf>
    <xf numFmtId="166" fontId="51" fillId="35" borderId="26" xfId="70" applyNumberFormat="1" applyFont="1" applyFill="1" applyBorder="1" applyAlignment="1" applyProtection="1" quotePrefix="1">
      <alignment horizontal="center"/>
      <protection/>
    </xf>
    <xf numFmtId="166" fontId="65" fillId="34" borderId="23" xfId="70" applyNumberFormat="1" applyFont="1" applyFill="1" applyBorder="1" applyAlignment="1" applyProtection="1" quotePrefix="1">
      <alignment horizontal="center"/>
      <protection/>
    </xf>
    <xf numFmtId="7" fontId="80" fillId="0" borderId="28" xfId="70" applyNumberFormat="1" applyFont="1" applyBorder="1" applyAlignment="1" applyProtection="1">
      <alignment/>
      <protection/>
    </xf>
    <xf numFmtId="0" fontId="75" fillId="0" borderId="33" xfId="70" applyFont="1" applyBorder="1" applyAlignment="1" applyProtection="1">
      <alignment horizontal="center"/>
      <protection/>
    </xf>
    <xf numFmtId="0" fontId="63" fillId="36" borderId="33" xfId="70" applyFont="1" applyFill="1" applyBorder="1" applyAlignment="1" applyProtection="1">
      <alignment horizontal="center"/>
      <protection/>
    </xf>
    <xf numFmtId="0" fontId="29" fillId="33" borderId="28" xfId="70" applyFont="1" applyFill="1" applyBorder="1" applyAlignment="1" applyProtection="1">
      <alignment horizontal="center"/>
      <protection/>
    </xf>
    <xf numFmtId="0" fontId="73" fillId="40" borderId="28" xfId="70" applyFont="1" applyFill="1" applyBorder="1" applyAlignment="1" applyProtection="1">
      <alignment horizontal="center"/>
      <protection/>
    </xf>
    <xf numFmtId="166" fontId="51" fillId="35" borderId="30" xfId="70" applyNumberFormat="1" applyFont="1" applyFill="1" applyBorder="1" applyAlignment="1" applyProtection="1" quotePrefix="1">
      <alignment horizontal="center"/>
      <protection/>
    </xf>
    <xf numFmtId="166" fontId="51" fillId="35" borderId="56" xfId="70" applyNumberFormat="1" applyFont="1" applyFill="1" applyBorder="1" applyAlignment="1" applyProtection="1" quotePrefix="1">
      <alignment horizontal="center"/>
      <protection/>
    </xf>
    <xf numFmtId="166" fontId="65" fillId="34" borderId="28" xfId="70" applyNumberFormat="1" applyFont="1" applyFill="1" applyBorder="1" applyAlignment="1" applyProtection="1" quotePrefix="1">
      <alignment horizontal="center"/>
      <protection/>
    </xf>
    <xf numFmtId="166" fontId="78" fillId="0" borderId="28" xfId="70" applyNumberFormat="1" applyFont="1" applyFill="1" applyBorder="1" applyAlignment="1">
      <alignment horizontal="center"/>
      <protection/>
    </xf>
    <xf numFmtId="0" fontId="75" fillId="0" borderId="33" xfId="70" applyFont="1" applyBorder="1" applyAlignment="1" applyProtection="1">
      <alignment horizontal="center"/>
      <protection locked="0"/>
    </xf>
    <xf numFmtId="164" fontId="49" fillId="0" borderId="28" xfId="70" applyNumberFormat="1" applyFont="1" applyBorder="1" applyAlignment="1" applyProtection="1" quotePrefix="1">
      <alignment horizontal="center"/>
      <protection locked="0"/>
    </xf>
    <xf numFmtId="166" fontId="63" fillId="36" borderId="28" xfId="70" applyNumberFormat="1" applyFont="1" applyFill="1" applyBorder="1" applyAlignment="1" applyProtection="1">
      <alignment horizontal="center"/>
      <protection/>
    </xf>
    <xf numFmtId="22" fontId="13" fillId="0" borderId="30" xfId="70" applyNumberFormat="1" applyFont="1" applyBorder="1" applyAlignment="1" applyProtection="1">
      <alignment horizontal="center"/>
      <protection locked="0"/>
    </xf>
    <xf numFmtId="22" fontId="13" fillId="0" borderId="28" xfId="70" applyNumberFormat="1" applyFont="1" applyBorder="1" applyAlignment="1" applyProtection="1">
      <alignment horizontal="center"/>
      <protection locked="0"/>
    </xf>
    <xf numFmtId="2" fontId="13" fillId="0" borderId="28" xfId="70" applyNumberFormat="1" applyFont="1" applyFill="1" applyBorder="1" applyAlignment="1" applyProtection="1" quotePrefix="1">
      <alignment horizontal="center"/>
      <protection/>
    </xf>
    <xf numFmtId="164" fontId="13" fillId="0" borderId="28" xfId="70" applyNumberFormat="1" applyFont="1" applyFill="1" applyBorder="1" applyAlignment="1" applyProtection="1" quotePrefix="1">
      <alignment horizontal="center"/>
      <protection/>
    </xf>
    <xf numFmtId="164" fontId="29" fillId="33" borderId="28" xfId="70" applyNumberFormat="1" applyFont="1" applyFill="1" applyBorder="1" applyAlignment="1" applyProtection="1">
      <alignment horizontal="center"/>
      <protection/>
    </xf>
    <xf numFmtId="2" fontId="73" fillId="40" borderId="28" xfId="70" applyNumberFormat="1" applyFont="1" applyFill="1" applyBorder="1" applyAlignment="1" applyProtection="1">
      <alignment horizontal="center"/>
      <protection/>
    </xf>
    <xf numFmtId="4" fontId="78" fillId="0" borderId="28" xfId="70" applyNumberFormat="1" applyFont="1" applyFill="1" applyBorder="1" applyAlignment="1">
      <alignment horizontal="right"/>
      <protection/>
    </xf>
    <xf numFmtId="166" fontId="13" fillId="0" borderId="50" xfId="70" applyNumberFormat="1" applyFont="1" applyBorder="1" applyAlignment="1" applyProtection="1">
      <alignment horizontal="center"/>
      <protection locked="0"/>
    </xf>
    <xf numFmtId="166" fontId="13" fillId="0" borderId="50" xfId="70" applyNumberFormat="1" applyFont="1" applyBorder="1" applyAlignment="1" applyProtection="1">
      <alignment horizontal="center"/>
      <protection/>
    </xf>
    <xf numFmtId="164" fontId="29" fillId="33" borderId="36" xfId="70" applyNumberFormat="1" applyFont="1" applyFill="1" applyBorder="1" applyAlignment="1" applyProtection="1">
      <alignment horizontal="center"/>
      <protection locked="0"/>
    </xf>
    <xf numFmtId="2" fontId="73" fillId="40" borderId="36" xfId="70" applyNumberFormat="1" applyFont="1" applyFill="1" applyBorder="1" applyAlignment="1" applyProtection="1">
      <alignment horizontal="center"/>
      <protection locked="0"/>
    </xf>
    <xf numFmtId="166" fontId="51" fillId="35" borderId="37" xfId="70" applyNumberFormat="1" applyFont="1" applyFill="1" applyBorder="1" applyAlignment="1" applyProtection="1" quotePrefix="1">
      <alignment horizontal="center"/>
      <protection locked="0"/>
    </xf>
    <xf numFmtId="166" fontId="51" fillId="35" borderId="39" xfId="70" applyNumberFormat="1" applyFont="1" applyFill="1" applyBorder="1" applyAlignment="1" applyProtection="1" quotePrefix="1">
      <alignment horizontal="center"/>
      <protection locked="0"/>
    </xf>
    <xf numFmtId="166" fontId="65" fillId="34" borderId="36" xfId="70" applyNumberFormat="1" applyFont="1" applyFill="1" applyBorder="1" applyAlignment="1" applyProtection="1" quotePrefix="1">
      <alignment horizontal="center"/>
      <protection locked="0"/>
    </xf>
    <xf numFmtId="7" fontId="66" fillId="0" borderId="40" xfId="70" applyNumberFormat="1" applyFont="1" applyFill="1" applyBorder="1" applyAlignment="1">
      <alignment horizontal="right"/>
      <protection/>
    </xf>
    <xf numFmtId="4" fontId="73" fillId="40" borderId="21" xfId="70" applyNumberFormat="1" applyFont="1" applyFill="1" applyBorder="1" applyAlignment="1">
      <alignment horizontal="center"/>
      <protection/>
    </xf>
    <xf numFmtId="4" fontId="51" fillId="35" borderId="54" xfId="70" applyNumberFormat="1" applyFont="1" applyFill="1" applyBorder="1" applyAlignment="1">
      <alignment horizontal="center"/>
      <protection/>
    </xf>
    <xf numFmtId="4" fontId="51" fillId="35" borderId="55" xfId="70" applyNumberFormat="1" applyFont="1" applyFill="1" applyBorder="1" applyAlignment="1">
      <alignment horizontal="center"/>
      <protection/>
    </xf>
    <xf numFmtId="4" fontId="65" fillId="34" borderId="21" xfId="70" applyNumberFormat="1" applyFont="1" applyFill="1" applyBorder="1" applyAlignment="1">
      <alignment horizontal="center"/>
      <protection/>
    </xf>
    <xf numFmtId="4" fontId="19" fillId="0" borderId="0" xfId="70" applyNumberFormat="1" applyFont="1" applyFill="1" applyBorder="1" applyAlignment="1">
      <alignment horizontal="center"/>
      <protection/>
    </xf>
    <xf numFmtId="7" fontId="4" fillId="0" borderId="21" xfId="70" applyNumberFormat="1" applyFont="1" applyFill="1" applyBorder="1" applyAlignment="1">
      <alignment horizontal="right"/>
      <protection/>
    </xf>
    <xf numFmtId="0" fontId="20" fillId="0" borderId="0" xfId="70" applyFont="1" applyFill="1" applyAlignment="1">
      <alignment vertical="top"/>
      <protection/>
    </xf>
    <xf numFmtId="0" fontId="79" fillId="0" borderId="0" xfId="70" applyFont="1" applyFill="1" applyAlignment="1">
      <alignment vertical="top"/>
      <protection/>
    </xf>
    <xf numFmtId="0" fontId="16" fillId="0" borderId="0" xfId="70" applyFont="1" applyFill="1" applyBorder="1" applyAlignment="1" applyProtection="1">
      <alignment vertical="top"/>
      <protection/>
    </xf>
    <xf numFmtId="0" fontId="16" fillId="0" borderId="15" xfId="70" applyFont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13" fillId="0" borderId="0" xfId="70" applyFont="1" applyFill="1" applyBorder="1" applyAlignment="1" applyProtection="1">
      <alignment vertical="top"/>
      <protection/>
    </xf>
    <xf numFmtId="0" fontId="25" fillId="0" borderId="0" xfId="70" applyFont="1" applyBorder="1" applyAlignment="1">
      <alignment vertical="top"/>
      <protection/>
    </xf>
    <xf numFmtId="0" fontId="13" fillId="0" borderId="15" xfId="70" applyFont="1" applyBorder="1" applyAlignment="1">
      <alignment vertical="top"/>
      <protection/>
    </xf>
    <xf numFmtId="0" fontId="75" fillId="0" borderId="57" xfId="70" applyFont="1" applyBorder="1" applyAlignment="1" applyProtection="1">
      <alignment horizontal="center"/>
      <protection locked="0"/>
    </xf>
    <xf numFmtId="0" fontId="9" fillId="0" borderId="0" xfId="70" applyFont="1" applyAlignment="1">
      <alignment horizontal="centerContinuous"/>
      <protection/>
    </xf>
    <xf numFmtId="0" fontId="20" fillId="0" borderId="0" xfId="70" applyFont="1" applyBorder="1" applyAlignment="1">
      <alignment horizontal="centerContinuous"/>
      <protection/>
    </xf>
    <xf numFmtId="0" fontId="16" fillId="0" borderId="15" xfId="70" applyFont="1" applyBorder="1" applyAlignment="1">
      <alignment horizontal="centerContinuous"/>
      <protection/>
    </xf>
    <xf numFmtId="0" fontId="20" fillId="0" borderId="0" xfId="70" applyFont="1">
      <alignment/>
      <protection/>
    </xf>
    <xf numFmtId="0" fontId="16" fillId="0" borderId="0" xfId="70" applyFont="1" applyBorder="1" applyProtection="1">
      <alignment/>
      <protection/>
    </xf>
    <xf numFmtId="0" fontId="5" fillId="0" borderId="0" xfId="70" applyFont="1" applyBorder="1">
      <alignment/>
      <protection/>
    </xf>
    <xf numFmtId="0" fontId="24" fillId="0" borderId="0" xfId="70" applyFont="1" applyBorder="1" applyAlignment="1">
      <alignment horizontal="centerContinuous"/>
      <protection/>
    </xf>
    <xf numFmtId="0" fontId="24" fillId="0" borderId="0" xfId="70" applyFont="1" applyBorder="1" applyAlignment="1" applyProtection="1">
      <alignment horizontal="centerContinuous"/>
      <protection/>
    </xf>
    <xf numFmtId="0" fontId="24" fillId="0" borderId="15" xfId="70" applyFont="1" applyBorder="1" applyAlignment="1">
      <alignment horizontal="centerContinuous"/>
      <protection/>
    </xf>
    <xf numFmtId="0" fontId="3" fillId="0" borderId="16" xfId="70" applyFont="1" applyBorder="1" applyAlignment="1" applyProtection="1">
      <alignment horizontal="left"/>
      <protection/>
    </xf>
    <xf numFmtId="0" fontId="3" fillId="0" borderId="16" xfId="70" applyFont="1" applyBorder="1" applyAlignment="1" applyProtection="1" quotePrefix="1">
      <alignment horizontal="left"/>
      <protection/>
    </xf>
    <xf numFmtId="0" fontId="3" fillId="0" borderId="22" xfId="70" applyFont="1" applyBorder="1" applyAlignment="1" applyProtection="1">
      <alignment horizontal="center"/>
      <protection/>
    </xf>
    <xf numFmtId="164" fontId="3" fillId="0" borderId="21" xfId="70" applyNumberFormat="1" applyFont="1" applyBorder="1" applyAlignment="1" applyProtection="1">
      <alignment horizontal="center"/>
      <protection/>
    </xf>
    <xf numFmtId="0" fontId="30" fillId="0" borderId="21" xfId="70" applyFont="1" applyBorder="1" applyAlignment="1" applyProtection="1" quotePrefix="1">
      <alignment horizontal="center" vertical="center" wrapText="1"/>
      <protection/>
    </xf>
    <xf numFmtId="0" fontId="61" fillId="3" borderId="21" xfId="70" applyFont="1" applyFill="1" applyBorder="1" applyAlignment="1">
      <alignment horizontal="center" vertical="center" wrapText="1"/>
      <protection/>
    </xf>
    <xf numFmtId="0" fontId="34" fillId="42" borderId="16" xfId="70" applyFont="1" applyFill="1" applyBorder="1" applyAlignment="1" applyProtection="1">
      <alignment horizontal="centerContinuous" vertical="center" wrapText="1"/>
      <protection/>
    </xf>
    <xf numFmtId="0" fontId="34" fillId="42" borderId="17" xfId="70" applyFont="1" applyFill="1" applyBorder="1" applyAlignment="1">
      <alignment horizontal="centerContinuous" vertical="center"/>
      <protection/>
    </xf>
    <xf numFmtId="0" fontId="37" fillId="35" borderId="21" xfId="70" applyFont="1" applyFill="1" applyBorder="1" applyAlignment="1">
      <alignment horizontal="center" vertical="center" wrapText="1"/>
      <protection/>
    </xf>
    <xf numFmtId="0" fontId="61" fillId="0" borderId="21" xfId="70" applyFont="1" applyFill="1" applyBorder="1" applyAlignment="1">
      <alignment horizontal="center" vertical="center" wrapText="1"/>
      <protection/>
    </xf>
    <xf numFmtId="0" fontId="13" fillId="0" borderId="58" xfId="70" applyFont="1" applyBorder="1" applyAlignment="1">
      <alignment horizontal="center"/>
      <protection/>
    </xf>
    <xf numFmtId="0" fontId="13" fillId="0" borderId="59" xfId="70" applyFont="1" applyBorder="1" applyAlignment="1">
      <alignment horizontal="center"/>
      <protection/>
    </xf>
    <xf numFmtId="0" fontId="13" fillId="0" borderId="35" xfId="70" applyFont="1" applyBorder="1" applyAlignment="1">
      <alignment horizontal="center"/>
      <protection/>
    </xf>
    <xf numFmtId="0" fontId="63" fillId="36" borderId="0" xfId="70" applyFont="1" applyFill="1" applyBorder="1" applyAlignment="1">
      <alignment horizontal="center"/>
      <protection/>
    </xf>
    <xf numFmtId="0" fontId="81" fillId="3" borderId="43" xfId="70" applyFont="1" applyFill="1" applyBorder="1" applyAlignment="1">
      <alignment horizontal="center"/>
      <protection/>
    </xf>
    <xf numFmtId="0" fontId="50" fillId="42" borderId="24" xfId="70" applyFont="1" applyFill="1" applyBorder="1" applyAlignment="1">
      <alignment horizontal="center"/>
      <protection/>
    </xf>
    <xf numFmtId="0" fontId="50" fillId="42" borderId="26" xfId="70" applyFont="1" applyFill="1" applyBorder="1" applyAlignment="1">
      <alignment horizontal="center"/>
      <protection/>
    </xf>
    <xf numFmtId="0" fontId="53" fillId="35" borderId="43" xfId="70" applyFont="1" applyFill="1" applyBorder="1" applyAlignment="1">
      <alignment horizontal="center"/>
      <protection/>
    </xf>
    <xf numFmtId="0" fontId="13" fillId="0" borderId="43" xfId="70" applyFont="1" applyBorder="1" applyAlignment="1">
      <alignment horizontal="center"/>
      <protection/>
    </xf>
    <xf numFmtId="7" fontId="78" fillId="0" borderId="43" xfId="70" applyNumberFormat="1" applyFont="1" applyFill="1" applyBorder="1" applyAlignment="1">
      <alignment horizontal="center"/>
      <protection/>
    </xf>
    <xf numFmtId="0" fontId="75" fillId="0" borderId="32" xfId="70" applyFont="1" applyBorder="1" applyAlignment="1" applyProtection="1">
      <alignment horizontal="center"/>
      <protection/>
    </xf>
    <xf numFmtId="0" fontId="75" fillId="0" borderId="60" xfId="70" applyFont="1" applyBorder="1" applyAlignment="1" applyProtection="1">
      <alignment horizontal="center"/>
      <protection/>
    </xf>
    <xf numFmtId="0" fontId="75" fillId="0" borderId="27" xfId="70" applyFont="1" applyBorder="1" applyAlignment="1" applyProtection="1">
      <alignment horizontal="center"/>
      <protection/>
    </xf>
    <xf numFmtId="166" fontId="63" fillId="36" borderId="27" xfId="70" applyNumberFormat="1" applyFont="1" applyFill="1" applyBorder="1" applyAlignment="1" applyProtection="1">
      <alignment horizontal="center"/>
      <protection/>
    </xf>
    <xf numFmtId="22" fontId="13" fillId="0" borderId="48" xfId="70" applyNumberFormat="1" applyFont="1" applyBorder="1" applyAlignment="1">
      <alignment horizontal="center"/>
      <protection/>
    </xf>
    <xf numFmtId="22" fontId="13" fillId="0" borderId="60" xfId="70" applyNumberFormat="1" applyFont="1" applyBorder="1" applyAlignment="1" applyProtection="1">
      <alignment horizontal="center"/>
      <protection/>
    </xf>
    <xf numFmtId="2" fontId="13" fillId="0" borderId="27" xfId="70" applyNumberFormat="1" applyFont="1" applyFill="1" applyBorder="1" applyAlignment="1" applyProtection="1" quotePrefix="1">
      <alignment horizontal="center"/>
      <protection/>
    </xf>
    <xf numFmtId="164" fontId="13" fillId="0" borderId="27" xfId="70" applyNumberFormat="1" applyFont="1" applyFill="1" applyBorder="1" applyAlignment="1" applyProtection="1" quotePrefix="1">
      <alignment horizontal="center"/>
      <protection/>
    </xf>
    <xf numFmtId="166" fontId="13" fillId="0" borderId="47" xfId="70" applyNumberFormat="1" applyFont="1" applyBorder="1" applyAlignment="1" applyProtection="1">
      <alignment horizontal="center"/>
      <protection/>
    </xf>
    <xf numFmtId="164" fontId="63" fillId="36" borderId="32" xfId="70" applyNumberFormat="1" applyFont="1" applyFill="1" applyBorder="1" applyAlignment="1" applyProtection="1">
      <alignment horizontal="center"/>
      <protection/>
    </xf>
    <xf numFmtId="2" fontId="81" fillId="3" borderId="27" xfId="70" applyNumberFormat="1" applyFont="1" applyFill="1" applyBorder="1" applyAlignment="1">
      <alignment horizontal="center"/>
      <protection/>
    </xf>
    <xf numFmtId="166" fontId="50" fillId="42" borderId="48" xfId="70" applyNumberFormat="1" applyFont="1" applyFill="1" applyBorder="1" applyAlignment="1" applyProtection="1" quotePrefix="1">
      <alignment horizontal="center"/>
      <protection/>
    </xf>
    <xf numFmtId="166" fontId="50" fillId="42" borderId="49" xfId="70" applyNumberFormat="1" applyFont="1" applyFill="1" applyBorder="1" applyAlignment="1" applyProtection="1" quotePrefix="1">
      <alignment horizontal="center"/>
      <protection/>
    </xf>
    <xf numFmtId="166" fontId="53" fillId="35" borderId="27" xfId="70" applyNumberFormat="1" applyFont="1" applyFill="1" applyBorder="1" applyAlignment="1" applyProtection="1" quotePrefix="1">
      <alignment horizontal="center"/>
      <protection/>
    </xf>
    <xf numFmtId="166" fontId="78" fillId="0" borderId="27" xfId="70" applyNumberFormat="1" applyFont="1" applyFill="1" applyBorder="1" applyAlignment="1">
      <alignment horizontal="center"/>
      <protection/>
    </xf>
    <xf numFmtId="0" fontId="75" fillId="0" borderId="61" xfId="70" applyFont="1" applyBorder="1" applyAlignment="1" applyProtection="1">
      <alignment horizontal="center"/>
      <protection locked="0"/>
    </xf>
    <xf numFmtId="0" fontId="75" fillId="0" borderId="28" xfId="70" applyFont="1" applyBorder="1" applyAlignment="1" applyProtection="1">
      <alignment horizontal="center"/>
      <protection locked="0"/>
    </xf>
    <xf numFmtId="164" fontId="63" fillId="36" borderId="61" xfId="70" applyNumberFormat="1" applyFont="1" applyFill="1" applyBorder="1" applyAlignment="1" applyProtection="1">
      <alignment horizontal="center"/>
      <protection/>
    </xf>
    <xf numFmtId="2" fontId="81" fillId="3" borderId="28" xfId="70" applyNumberFormat="1" applyFont="1" applyFill="1" applyBorder="1" applyAlignment="1" applyProtection="1">
      <alignment horizontal="center"/>
      <protection/>
    </xf>
    <xf numFmtId="2" fontId="13" fillId="0" borderId="62" xfId="70" applyNumberFormat="1" applyFont="1" applyFill="1" applyBorder="1" applyAlignment="1" applyProtection="1" quotePrefix="1">
      <alignment horizontal="center"/>
      <protection/>
    </xf>
    <xf numFmtId="0" fontId="75" fillId="0" borderId="36" xfId="70" applyFont="1" applyBorder="1" applyAlignment="1" applyProtection="1">
      <alignment horizontal="center"/>
      <protection locked="0"/>
    </xf>
    <xf numFmtId="164" fontId="63" fillId="36" borderId="63" xfId="70" applyNumberFormat="1" applyFont="1" applyFill="1" applyBorder="1" applyAlignment="1" applyProtection="1">
      <alignment horizontal="center"/>
      <protection locked="0"/>
    </xf>
    <xf numFmtId="2" fontId="81" fillId="3" borderId="36" xfId="70" applyNumberFormat="1" applyFont="1" applyFill="1" applyBorder="1" applyAlignment="1" applyProtection="1">
      <alignment horizontal="center"/>
      <protection locked="0"/>
    </xf>
    <xf numFmtId="166" fontId="50" fillId="42" borderId="51" xfId="70" applyNumberFormat="1" applyFont="1" applyFill="1" applyBorder="1" applyAlignment="1" applyProtection="1" quotePrefix="1">
      <alignment horizontal="center"/>
      <protection locked="0"/>
    </xf>
    <xf numFmtId="166" fontId="50" fillId="42" borderId="52" xfId="70" applyNumberFormat="1" applyFont="1" applyFill="1" applyBorder="1" applyAlignment="1" applyProtection="1" quotePrefix="1">
      <alignment horizontal="center"/>
      <protection locked="0"/>
    </xf>
    <xf numFmtId="166" fontId="53" fillId="35" borderId="36" xfId="70" applyNumberFormat="1" applyFont="1" applyFill="1" applyBorder="1" applyAlignment="1" applyProtection="1" quotePrefix="1">
      <alignment horizontal="center"/>
      <protection locked="0"/>
    </xf>
    <xf numFmtId="166" fontId="78" fillId="0" borderId="40" xfId="70" applyNumberFormat="1" applyFont="1" applyFill="1" applyBorder="1" applyAlignment="1">
      <alignment horizontal="center"/>
      <protection/>
    </xf>
    <xf numFmtId="4" fontId="81" fillId="3" borderId="21" xfId="70" applyNumberFormat="1" applyFont="1" applyFill="1" applyBorder="1" applyAlignment="1">
      <alignment horizontal="center"/>
      <protection/>
    </xf>
    <xf numFmtId="4" fontId="50" fillId="42" borderId="54" xfId="70" applyNumberFormat="1" applyFont="1" applyFill="1" applyBorder="1" applyAlignment="1">
      <alignment horizontal="center"/>
      <protection/>
    </xf>
    <xf numFmtId="4" fontId="50" fillId="42" borderId="17" xfId="70" applyNumberFormat="1" applyFont="1" applyFill="1" applyBorder="1" applyAlignment="1">
      <alignment horizontal="center"/>
      <protection/>
    </xf>
    <xf numFmtId="4" fontId="53" fillId="35" borderId="21" xfId="70" applyNumberFormat="1" applyFont="1" applyFill="1" applyBorder="1" applyAlignment="1">
      <alignment horizontal="center"/>
      <protection/>
    </xf>
    <xf numFmtId="0" fontId="13" fillId="0" borderId="64" xfId="70" applyFont="1" applyBorder="1">
      <alignment/>
      <protection/>
    </xf>
    <xf numFmtId="0" fontId="0" fillId="0" borderId="0" xfId="70" applyFont="1" applyBorder="1">
      <alignment/>
      <protection/>
    </xf>
    <xf numFmtId="164" fontId="63" fillId="36" borderId="28" xfId="70" applyNumberFormat="1" applyFont="1" applyFill="1" applyBorder="1" applyAlignment="1" applyProtection="1">
      <alignment horizontal="center"/>
      <protection/>
    </xf>
    <xf numFmtId="0" fontId="82" fillId="0" borderId="0" xfId="70" applyFont="1" applyFill="1">
      <alignment/>
      <protection/>
    </xf>
    <xf numFmtId="0" fontId="83" fillId="0" borderId="0" xfId="70" applyFont="1" applyAlignment="1">
      <alignment horizontal="centerContinuous"/>
      <protection/>
    </xf>
    <xf numFmtId="0" fontId="82" fillId="0" borderId="0" xfId="70" applyFont="1" applyAlignment="1">
      <alignment horizontal="centerContinuous"/>
      <protection/>
    </xf>
    <xf numFmtId="0" fontId="82" fillId="0" borderId="0" xfId="70" applyFont="1">
      <alignment/>
      <protection/>
    </xf>
    <xf numFmtId="0" fontId="3" fillId="0" borderId="12" xfId="70" applyBorder="1">
      <alignment/>
      <protection/>
    </xf>
    <xf numFmtId="0" fontId="19" fillId="0" borderId="0" xfId="70" applyFont="1" applyBorder="1">
      <alignment/>
      <protection/>
    </xf>
    <xf numFmtId="0" fontId="23" fillId="0" borderId="0" xfId="70" applyFont="1" applyAlignment="1">
      <alignment horizontal="centerContinuous"/>
      <protection/>
    </xf>
    <xf numFmtId="0" fontId="23" fillId="0" borderId="0" xfId="70" applyFont="1" applyAlignment="1">
      <alignment/>
      <protection/>
    </xf>
    <xf numFmtId="0" fontId="84" fillId="0" borderId="0" xfId="70" applyFont="1" applyBorder="1" applyAlignment="1" quotePrefix="1">
      <alignment horizontal="left"/>
      <protection/>
    </xf>
    <xf numFmtId="166" fontId="48" fillId="0" borderId="0" xfId="70" applyNumberFormat="1" applyFont="1" applyBorder="1" applyAlignment="1" applyProtection="1">
      <alignment horizontal="left"/>
      <protection/>
    </xf>
    <xf numFmtId="0" fontId="21" fillId="0" borderId="14" xfId="70" applyFont="1" applyBorder="1">
      <alignment/>
      <protection/>
    </xf>
    <xf numFmtId="0" fontId="21" fillId="0" borderId="0" xfId="70" applyFont="1" applyBorder="1" applyAlignment="1">
      <alignment horizontal="right"/>
      <protection/>
    </xf>
    <xf numFmtId="7" fontId="21" fillId="0" borderId="0" xfId="70" applyNumberFormat="1" applyFont="1" applyBorder="1" applyAlignment="1">
      <alignment horizontal="center"/>
      <protection/>
    </xf>
    <xf numFmtId="0" fontId="21" fillId="0" borderId="0" xfId="70" applyFont="1" applyBorder="1" applyAlignment="1">
      <alignment horizontal="center"/>
      <protection/>
    </xf>
    <xf numFmtId="0" fontId="85" fillId="0" borderId="0" xfId="70" applyFont="1" applyBorder="1" applyAlignment="1" quotePrefix="1">
      <alignment horizontal="left"/>
      <protection/>
    </xf>
    <xf numFmtId="0" fontId="21" fillId="0" borderId="15" xfId="70" applyFont="1" applyFill="1" applyBorder="1">
      <alignment/>
      <protection/>
    </xf>
    <xf numFmtId="0" fontId="21" fillId="0" borderId="0" xfId="70" applyFont="1" applyBorder="1" applyAlignment="1" applyProtection="1">
      <alignment horizontal="left"/>
      <protection/>
    </xf>
    <xf numFmtId="169" fontId="21" fillId="0" borderId="0" xfId="70" applyNumberFormat="1" applyFont="1" applyBorder="1" applyAlignment="1">
      <alignment horizontal="center"/>
      <protection/>
    </xf>
    <xf numFmtId="166" fontId="21" fillId="0" borderId="0" xfId="70" applyNumberFormat="1" applyFont="1" applyBorder="1" applyAlignment="1" applyProtection="1">
      <alignment horizontal="left"/>
      <protection/>
    </xf>
    <xf numFmtId="0" fontId="21" fillId="0" borderId="0" xfId="70" applyFont="1" applyAlignment="1">
      <alignment horizontal="right"/>
      <protection/>
    </xf>
    <xf numFmtId="10" fontId="21" fillId="0" borderId="0" xfId="70" applyNumberFormat="1" applyFont="1" applyBorder="1" applyAlignment="1" applyProtection="1">
      <alignment horizontal="right"/>
      <protection/>
    </xf>
    <xf numFmtId="7" fontId="21" fillId="0" borderId="0" xfId="70" applyNumberFormat="1" applyFont="1" applyBorder="1" applyAlignment="1">
      <alignment horizontal="centerContinuous"/>
      <protection/>
    </xf>
    <xf numFmtId="0" fontId="21" fillId="0" borderId="0" xfId="70" applyFont="1" applyBorder="1" applyAlignment="1" applyProtection="1">
      <alignment horizontal="center"/>
      <protection/>
    </xf>
    <xf numFmtId="166" fontId="4" fillId="0" borderId="16" xfId="70" applyNumberFormat="1" applyFont="1" applyBorder="1" applyAlignment="1" applyProtection="1">
      <alignment horizontal="center"/>
      <protection/>
    </xf>
    <xf numFmtId="172" fontId="21" fillId="0" borderId="17" xfId="70" applyNumberFormat="1" applyFont="1" applyBorder="1" applyAlignment="1" applyProtection="1">
      <alignment horizontal="centerContinuous"/>
      <protection/>
    </xf>
    <xf numFmtId="0" fontId="62" fillId="39" borderId="21" xfId="70" applyFont="1" applyFill="1" applyBorder="1" applyAlignment="1">
      <alignment horizontal="center" vertical="center" wrapText="1"/>
      <protection/>
    </xf>
    <xf numFmtId="0" fontId="61" fillId="43" borderId="21" xfId="70" applyFont="1" applyFill="1" applyBorder="1" applyAlignment="1">
      <alignment horizontal="center" vertical="center" wrapText="1"/>
      <protection/>
    </xf>
    <xf numFmtId="0" fontId="86" fillId="34" borderId="16" xfId="70" applyFont="1" applyFill="1" applyBorder="1" applyAlignment="1" applyProtection="1">
      <alignment horizontal="centerContinuous" vertical="center" wrapText="1"/>
      <protection/>
    </xf>
    <xf numFmtId="0" fontId="87" fillId="34" borderId="22" xfId="70" applyFont="1" applyFill="1" applyBorder="1" applyAlignment="1">
      <alignment horizontal="centerContinuous"/>
      <protection/>
    </xf>
    <xf numFmtId="0" fontId="86" fillId="34" borderId="17" xfId="70" applyFont="1" applyFill="1" applyBorder="1" applyAlignment="1">
      <alignment horizontal="centerContinuous" vertical="center"/>
      <protection/>
    </xf>
    <xf numFmtId="0" fontId="62" fillId="44" borderId="16" xfId="70" applyFont="1" applyFill="1" applyBorder="1" applyAlignment="1">
      <alignment horizontal="centerContinuous" vertical="center" wrapText="1"/>
      <protection/>
    </xf>
    <xf numFmtId="0" fontId="88" fillId="44" borderId="22" xfId="70" applyFont="1" applyFill="1" applyBorder="1" applyAlignment="1">
      <alignment horizontal="centerContinuous"/>
      <protection/>
    </xf>
    <xf numFmtId="0" fontId="62" fillId="44" borderId="17" xfId="70" applyFont="1" applyFill="1" applyBorder="1" applyAlignment="1">
      <alignment horizontal="centerContinuous" vertical="center"/>
      <protection/>
    </xf>
    <xf numFmtId="0" fontId="62" fillId="3" borderId="21" xfId="70" applyFont="1" applyFill="1" applyBorder="1" applyAlignment="1">
      <alignment horizontal="centerContinuous" vertical="center" wrapText="1"/>
      <protection/>
    </xf>
    <xf numFmtId="0" fontId="62" fillId="45" borderId="21" xfId="70" applyFont="1" applyFill="1" applyBorder="1" applyAlignment="1">
      <alignment horizontal="centerContinuous" vertical="center" wrapText="1"/>
      <protection/>
    </xf>
    <xf numFmtId="0" fontId="30" fillId="0" borderId="17" xfId="70" applyFont="1" applyBorder="1" applyAlignment="1">
      <alignment horizontal="center" vertical="center" wrapText="1"/>
      <protection/>
    </xf>
    <xf numFmtId="0" fontId="21" fillId="0" borderId="28" xfId="70" applyFont="1" applyBorder="1">
      <alignment/>
      <protection/>
    </xf>
    <xf numFmtId="164" fontId="21" fillId="0" borderId="29" xfId="70" applyNumberFormat="1" applyFont="1" applyBorder="1" applyProtection="1">
      <alignment/>
      <protection/>
    </xf>
    <xf numFmtId="164" fontId="21" fillId="0" borderId="28" xfId="70" applyNumberFormat="1" applyFont="1" applyBorder="1" applyAlignment="1" applyProtection="1">
      <alignment horizontal="center"/>
      <protection/>
    </xf>
    <xf numFmtId="164" fontId="21" fillId="0" borderId="23" xfId="70" applyNumberFormat="1" applyFont="1" applyBorder="1" applyAlignment="1" applyProtection="1">
      <alignment horizontal="center"/>
      <protection/>
    </xf>
    <xf numFmtId="164" fontId="89" fillId="36" borderId="23" xfId="70" applyNumberFormat="1" applyFont="1" applyFill="1" applyBorder="1" applyAlignment="1" applyProtection="1">
      <alignment horizontal="center"/>
      <protection/>
    </xf>
    <xf numFmtId="0" fontId="90" fillId="33" borderId="23" xfId="70" applyFont="1" applyFill="1" applyBorder="1" applyAlignment="1">
      <alignment horizontal="center"/>
      <protection/>
    </xf>
    <xf numFmtId="0" fontId="21" fillId="0" borderId="23" xfId="70" applyFont="1" applyBorder="1" applyAlignment="1">
      <alignment horizontal="center"/>
      <protection/>
    </xf>
    <xf numFmtId="0" fontId="21" fillId="0" borderId="65" xfId="70" applyFont="1" applyBorder="1" applyAlignment="1">
      <alignment horizontal="center"/>
      <protection/>
    </xf>
    <xf numFmtId="0" fontId="65" fillId="39" borderId="23" xfId="70" applyFont="1" applyFill="1" applyBorder="1" applyAlignment="1">
      <alignment horizontal="center"/>
      <protection/>
    </xf>
    <xf numFmtId="0" fontId="81" fillId="43" borderId="23" xfId="70" applyFont="1" applyFill="1" applyBorder="1" applyAlignment="1">
      <alignment horizontal="center"/>
      <protection/>
    </xf>
    <xf numFmtId="166" fontId="91" fillId="34" borderId="24" xfId="70" applyNumberFormat="1" applyFont="1" applyFill="1" applyBorder="1" applyAlignment="1" applyProtection="1" quotePrefix="1">
      <alignment horizontal="center"/>
      <protection/>
    </xf>
    <xf numFmtId="166" fontId="91" fillId="34" borderId="66" xfId="70" applyNumberFormat="1" applyFont="1" applyFill="1" applyBorder="1" applyAlignment="1" applyProtection="1" quotePrefix="1">
      <alignment horizontal="center"/>
      <protection/>
    </xf>
    <xf numFmtId="4" fontId="91" fillId="34" borderId="67" xfId="70" applyNumberFormat="1" applyFont="1" applyFill="1" applyBorder="1" applyAlignment="1" applyProtection="1">
      <alignment horizontal="center"/>
      <protection/>
    </xf>
    <xf numFmtId="166" fontId="65" fillId="44" borderId="24" xfId="70" applyNumberFormat="1" applyFont="1" applyFill="1" applyBorder="1" applyAlignment="1" applyProtection="1" quotePrefix="1">
      <alignment horizontal="center"/>
      <protection/>
    </xf>
    <xf numFmtId="166" fontId="65" fillId="44" borderId="66" xfId="70" applyNumberFormat="1" applyFont="1" applyFill="1" applyBorder="1" applyAlignment="1" applyProtection="1" quotePrefix="1">
      <alignment horizontal="center"/>
      <protection/>
    </xf>
    <xf numFmtId="4" fontId="65" fillId="44" borderId="67" xfId="70" applyNumberFormat="1" applyFont="1" applyFill="1" applyBorder="1" applyAlignment="1" applyProtection="1">
      <alignment horizontal="center"/>
      <protection/>
    </xf>
    <xf numFmtId="4" fontId="65" fillId="3" borderId="23" xfId="70" applyNumberFormat="1" applyFont="1" applyFill="1" applyBorder="1" applyAlignment="1" applyProtection="1">
      <alignment horizontal="center"/>
      <protection/>
    </xf>
    <xf numFmtId="4" fontId="65" fillId="45" borderId="23" xfId="70" applyNumberFormat="1" applyFont="1" applyFill="1" applyBorder="1" applyAlignment="1" applyProtection="1">
      <alignment horizontal="center"/>
      <protection/>
    </xf>
    <xf numFmtId="0" fontId="13" fillId="0" borderId="67" xfId="70" applyFont="1" applyBorder="1" applyAlignment="1">
      <alignment horizontal="left"/>
      <protection/>
    </xf>
    <xf numFmtId="0" fontId="48" fillId="0" borderId="67" xfId="70" applyFont="1" applyBorder="1" applyAlignment="1">
      <alignment horizontal="center"/>
      <protection/>
    </xf>
    <xf numFmtId="0" fontId="13" fillId="0" borderId="28" xfId="57" applyFont="1" applyBorder="1" applyAlignment="1" applyProtection="1">
      <alignment horizontal="center"/>
      <protection locked="0"/>
    </xf>
    <xf numFmtId="164" fontId="13" fillId="0" borderId="29" xfId="70" applyNumberFormat="1" applyFont="1" applyBorder="1" applyAlignment="1" applyProtection="1">
      <alignment horizontal="center"/>
      <protection/>
    </xf>
    <xf numFmtId="165" fontId="13" fillId="0" borderId="28" xfId="70" applyNumberFormat="1" applyFont="1" applyBorder="1" applyAlignment="1" applyProtection="1">
      <alignment horizontal="center"/>
      <protection/>
    </xf>
    <xf numFmtId="164" fontId="13" fillId="0" borderId="28" xfId="70" applyNumberFormat="1" applyFont="1" applyBorder="1" applyAlignment="1" applyProtection="1">
      <alignment horizontal="center"/>
      <protection/>
    </xf>
    <xf numFmtId="0" fontId="89" fillId="36" borderId="28" xfId="70" applyFont="1" applyFill="1" applyBorder="1" applyAlignment="1" applyProtection="1">
      <alignment horizontal="center"/>
      <protection/>
    </xf>
    <xf numFmtId="166" fontId="90" fillId="33" borderId="28" xfId="70" applyNumberFormat="1" applyFont="1" applyFill="1" applyBorder="1" applyAlignment="1" applyProtection="1">
      <alignment horizontal="center"/>
      <protection/>
    </xf>
    <xf numFmtId="22" fontId="13" fillId="0" borderId="28" xfId="70" applyNumberFormat="1" applyFont="1" applyBorder="1" applyAlignment="1">
      <alignment horizontal="center"/>
      <protection/>
    </xf>
    <xf numFmtId="22" fontId="13" fillId="0" borderId="32" xfId="70" applyNumberFormat="1" applyFont="1" applyBorder="1" applyAlignment="1">
      <alignment horizontal="center"/>
      <protection/>
    </xf>
    <xf numFmtId="4" fontId="13" fillId="0" borderId="28" xfId="70" applyNumberFormat="1" applyFont="1" applyFill="1" applyBorder="1" applyAlignment="1" applyProtection="1" quotePrefix="1">
      <alignment horizontal="center"/>
      <protection/>
    </xf>
    <xf numFmtId="166" fontId="13" fillId="0" borderId="29" xfId="70" applyNumberFormat="1" applyFont="1" applyBorder="1" applyAlignment="1" applyProtection="1">
      <alignment horizontal="center"/>
      <protection/>
    </xf>
    <xf numFmtId="2" fontId="65" fillId="39" borderId="28" xfId="70" applyNumberFormat="1" applyFont="1" applyFill="1" applyBorder="1" applyAlignment="1" applyProtection="1">
      <alignment horizontal="center"/>
      <protection/>
    </xf>
    <xf numFmtId="2" fontId="81" fillId="43" borderId="28" xfId="70" applyNumberFormat="1" applyFont="1" applyFill="1" applyBorder="1" applyAlignment="1" applyProtection="1">
      <alignment horizontal="center"/>
      <protection/>
    </xf>
    <xf numFmtId="166" fontId="91" fillId="34" borderId="30" xfId="70" applyNumberFormat="1" applyFont="1" applyFill="1" applyBorder="1" applyAlignment="1" applyProtection="1" quotePrefix="1">
      <alignment horizontal="center"/>
      <protection/>
    </xf>
    <xf numFmtId="166" fontId="91" fillId="34" borderId="31" xfId="70" applyNumberFormat="1" applyFont="1" applyFill="1" applyBorder="1" applyAlignment="1" applyProtection="1" quotePrefix="1">
      <alignment horizontal="center"/>
      <protection/>
    </xf>
    <xf numFmtId="4" fontId="91" fillId="34" borderId="29" xfId="70" applyNumberFormat="1" applyFont="1" applyFill="1" applyBorder="1" applyAlignment="1" applyProtection="1">
      <alignment horizontal="center"/>
      <protection/>
    </xf>
    <xf numFmtId="166" fontId="65" fillId="44" borderId="30" xfId="70" applyNumberFormat="1" applyFont="1" applyFill="1" applyBorder="1" applyAlignment="1" applyProtection="1" quotePrefix="1">
      <alignment horizontal="center"/>
      <protection/>
    </xf>
    <xf numFmtId="166" fontId="65" fillId="44" borderId="31" xfId="70" applyNumberFormat="1" applyFont="1" applyFill="1" applyBorder="1" applyAlignment="1" applyProtection="1" quotePrefix="1">
      <alignment horizontal="center"/>
      <protection/>
    </xf>
    <xf numFmtId="4" fontId="65" fillId="44" borderId="29" xfId="70" applyNumberFormat="1" applyFont="1" applyFill="1" applyBorder="1" applyAlignment="1" applyProtection="1">
      <alignment horizontal="center"/>
      <protection/>
    </xf>
    <xf numFmtId="4" fontId="65" fillId="3" borderId="28" xfId="70" applyNumberFormat="1" applyFont="1" applyFill="1" applyBorder="1" applyAlignment="1" applyProtection="1">
      <alignment horizontal="center"/>
      <protection/>
    </xf>
    <xf numFmtId="4" fontId="65" fillId="45" borderId="28" xfId="70" applyNumberFormat="1" applyFont="1" applyFill="1" applyBorder="1" applyAlignment="1" applyProtection="1">
      <alignment horizontal="center"/>
      <protection/>
    </xf>
    <xf numFmtId="4" fontId="13" fillId="0" borderId="29" xfId="70" applyNumberFormat="1" applyFont="1" applyBorder="1" applyAlignment="1" applyProtection="1">
      <alignment horizontal="center"/>
      <protection/>
    </xf>
    <xf numFmtId="0" fontId="21" fillId="0" borderId="36" xfId="70" applyFont="1" applyBorder="1" applyAlignment="1">
      <alignment horizontal="center"/>
      <protection/>
    </xf>
    <xf numFmtId="164" fontId="92" fillId="0" borderId="36" xfId="70" applyNumberFormat="1" applyFont="1" applyBorder="1" applyAlignment="1" applyProtection="1">
      <alignment horizontal="center"/>
      <protection/>
    </xf>
    <xf numFmtId="0" fontId="21" fillId="0" borderId="36" xfId="70" applyFont="1" applyBorder="1" applyAlignment="1" applyProtection="1">
      <alignment horizontal="center"/>
      <protection/>
    </xf>
    <xf numFmtId="165" fontId="21" fillId="0" borderId="36" xfId="70" applyNumberFormat="1" applyFont="1" applyBorder="1" applyAlignment="1" applyProtection="1">
      <alignment horizontal="center"/>
      <protection/>
    </xf>
    <xf numFmtId="165" fontId="89" fillId="36" borderId="36" xfId="70" applyNumberFormat="1" applyFont="1" applyFill="1" applyBorder="1" applyAlignment="1" applyProtection="1">
      <alignment horizontal="center"/>
      <protection/>
    </xf>
    <xf numFmtId="166" fontId="90" fillId="33" borderId="36" xfId="70" applyNumberFormat="1" applyFont="1" applyFill="1" applyBorder="1" applyAlignment="1" applyProtection="1">
      <alignment horizontal="center"/>
      <protection/>
    </xf>
    <xf numFmtId="166" fontId="21" fillId="0" borderId="36" xfId="70" applyNumberFormat="1" applyFont="1" applyBorder="1" applyAlignment="1" applyProtection="1">
      <alignment horizontal="center"/>
      <protection/>
    </xf>
    <xf numFmtId="168" fontId="13" fillId="0" borderId="36" xfId="70" applyNumberFormat="1" applyFont="1" applyBorder="1" applyAlignment="1" applyProtection="1" quotePrefix="1">
      <alignment horizontal="center"/>
      <protection/>
    </xf>
    <xf numFmtId="2" fontId="65" fillId="39" borderId="36" xfId="70" applyNumberFormat="1" applyFont="1" applyFill="1" applyBorder="1" applyAlignment="1" applyProtection="1">
      <alignment horizontal="center"/>
      <protection/>
    </xf>
    <xf numFmtId="2" fontId="81" fillId="43" borderId="36" xfId="70" applyNumberFormat="1" applyFont="1" applyFill="1" applyBorder="1" applyAlignment="1" applyProtection="1">
      <alignment horizontal="center"/>
      <protection/>
    </xf>
    <xf numFmtId="166" fontId="91" fillId="34" borderId="37" xfId="70" applyNumberFormat="1" applyFont="1" applyFill="1" applyBorder="1" applyAlignment="1" applyProtection="1" quotePrefix="1">
      <alignment horizontal="center"/>
      <protection/>
    </xf>
    <xf numFmtId="166" fontId="91" fillId="34" borderId="68" xfId="70" applyNumberFormat="1" applyFont="1" applyFill="1" applyBorder="1" applyAlignment="1" applyProtection="1" quotePrefix="1">
      <alignment horizontal="center"/>
      <protection/>
    </xf>
    <xf numFmtId="4" fontId="91" fillId="34" borderId="50" xfId="70" applyNumberFormat="1" applyFont="1" applyFill="1" applyBorder="1" applyAlignment="1" applyProtection="1">
      <alignment horizontal="center"/>
      <protection/>
    </xf>
    <xf numFmtId="166" fontId="65" fillId="44" borderId="37" xfId="70" applyNumberFormat="1" applyFont="1" applyFill="1" applyBorder="1" applyAlignment="1" applyProtection="1" quotePrefix="1">
      <alignment horizontal="center"/>
      <protection/>
    </xf>
    <xf numFmtId="166" fontId="65" fillId="44" borderId="68" xfId="70" applyNumberFormat="1" applyFont="1" applyFill="1" applyBorder="1" applyAlignment="1" applyProtection="1" quotePrefix="1">
      <alignment horizontal="center"/>
      <protection/>
    </xf>
    <xf numFmtId="4" fontId="65" fillId="44" borderId="50" xfId="70" applyNumberFormat="1" applyFont="1" applyFill="1" applyBorder="1" applyAlignment="1" applyProtection="1">
      <alignment horizontal="center"/>
      <protection/>
    </xf>
    <xf numFmtId="4" fontId="65" fillId="3" borderId="36" xfId="70" applyNumberFormat="1" applyFont="1" applyFill="1" applyBorder="1" applyAlignment="1" applyProtection="1">
      <alignment horizontal="center"/>
      <protection/>
    </xf>
    <xf numFmtId="4" fontId="65" fillId="45" borderId="36" xfId="70" applyNumberFormat="1" applyFont="1" applyFill="1" applyBorder="1" applyAlignment="1" applyProtection="1">
      <alignment horizontal="center"/>
      <protection/>
    </xf>
    <xf numFmtId="4" fontId="49" fillId="0" borderId="36" xfId="70" applyNumberFormat="1" applyFont="1" applyBorder="1" applyAlignment="1" applyProtection="1">
      <alignment horizontal="center"/>
      <protection/>
    </xf>
    <xf numFmtId="166" fontId="66" fillId="0" borderId="36" xfId="70" applyNumberFormat="1" applyFont="1" applyFill="1" applyBorder="1" applyAlignment="1">
      <alignment horizontal="center"/>
      <protection/>
    </xf>
    <xf numFmtId="164" fontId="92" fillId="0" borderId="0" xfId="70" applyNumberFormat="1" applyFont="1" applyBorder="1" applyAlignment="1" applyProtection="1">
      <alignment horizontal="center"/>
      <protection/>
    </xf>
    <xf numFmtId="165" fontId="21" fillId="0" borderId="0" xfId="70" applyNumberFormat="1" applyFont="1" applyBorder="1" applyAlignment="1" applyProtection="1">
      <alignment horizontal="center"/>
      <protection/>
    </xf>
    <xf numFmtId="166" fontId="21" fillId="0" borderId="0" xfId="70" applyNumberFormat="1" applyFont="1" applyBorder="1" applyAlignment="1" applyProtection="1">
      <alignment horizontal="center"/>
      <protection/>
    </xf>
    <xf numFmtId="168" fontId="21" fillId="0" borderId="0" xfId="70" applyNumberFormat="1" applyFont="1" applyBorder="1" applyAlignment="1" applyProtection="1" quotePrefix="1">
      <alignment horizontal="center"/>
      <protection/>
    </xf>
    <xf numFmtId="2" fontId="90" fillId="39" borderId="21" xfId="70" applyNumberFormat="1" applyFont="1" applyFill="1" applyBorder="1" applyAlignment="1" applyProtection="1">
      <alignment horizontal="center"/>
      <protection/>
    </xf>
    <xf numFmtId="2" fontId="77" fillId="43" borderId="21" xfId="70" applyNumberFormat="1" applyFont="1" applyFill="1" applyBorder="1" applyAlignment="1" applyProtection="1">
      <alignment horizontal="center"/>
      <protection/>
    </xf>
    <xf numFmtId="2" fontId="93" fillId="34" borderId="21" xfId="70" applyNumberFormat="1" applyFont="1" applyFill="1" applyBorder="1" applyAlignment="1" applyProtection="1">
      <alignment horizontal="center"/>
      <protection/>
    </xf>
    <xf numFmtId="2" fontId="90" fillId="44" borderId="21" xfId="70" applyNumberFormat="1" applyFont="1" applyFill="1" applyBorder="1" applyAlignment="1" applyProtection="1">
      <alignment horizontal="center"/>
      <protection/>
    </xf>
    <xf numFmtId="2" fontId="90" fillId="3" borderId="21" xfId="70" applyNumberFormat="1" applyFont="1" applyFill="1" applyBorder="1" applyAlignment="1" applyProtection="1">
      <alignment horizontal="center"/>
      <protection/>
    </xf>
    <xf numFmtId="2" fontId="90" fillId="45" borderId="21" xfId="70" applyNumberFormat="1" applyFont="1" applyFill="1" applyBorder="1" applyAlignment="1" applyProtection="1">
      <alignment horizontal="center"/>
      <protection/>
    </xf>
    <xf numFmtId="2" fontId="21" fillId="0" borderId="44" xfId="70" applyNumberFormat="1" applyFont="1" applyBorder="1" applyAlignment="1" applyProtection="1">
      <alignment horizontal="center"/>
      <protection/>
    </xf>
    <xf numFmtId="7" fontId="48" fillId="0" borderId="21" xfId="70" applyNumberFormat="1" applyFont="1" applyBorder="1" applyAlignment="1" applyProtection="1">
      <alignment horizontal="right"/>
      <protection/>
    </xf>
    <xf numFmtId="2" fontId="90" fillId="0" borderId="22" xfId="70" applyNumberFormat="1" applyFont="1" applyFill="1" applyBorder="1" applyAlignment="1" applyProtection="1">
      <alignment horizontal="center"/>
      <protection/>
    </xf>
    <xf numFmtId="2" fontId="77" fillId="0" borderId="22" xfId="70" applyNumberFormat="1" applyFont="1" applyFill="1" applyBorder="1" applyAlignment="1" applyProtection="1">
      <alignment horizontal="center"/>
      <protection/>
    </xf>
    <xf numFmtId="2" fontId="93" fillId="0" borderId="22" xfId="70" applyNumberFormat="1" applyFont="1" applyFill="1" applyBorder="1" applyAlignment="1" applyProtection="1">
      <alignment horizontal="center"/>
      <protection/>
    </xf>
    <xf numFmtId="2" fontId="21" fillId="0" borderId="0" xfId="70" applyNumberFormat="1" applyFont="1" applyBorder="1" applyAlignment="1" applyProtection="1">
      <alignment horizontal="center"/>
      <protection/>
    </xf>
    <xf numFmtId="7" fontId="21" fillId="0" borderId="0" xfId="70" applyNumberFormat="1" applyFont="1" applyBorder="1" applyAlignment="1" applyProtection="1">
      <alignment horizontal="center"/>
      <protection/>
    </xf>
    <xf numFmtId="0" fontId="60" fillId="46" borderId="21" xfId="70" applyFont="1" applyFill="1" applyBorder="1" applyAlignment="1" applyProtection="1">
      <alignment horizontal="center" vertical="center"/>
      <protection/>
    </xf>
    <xf numFmtId="0" fontId="62" fillId="47" borderId="21" xfId="70" applyFont="1" applyFill="1" applyBorder="1" applyAlignment="1">
      <alignment horizontal="center" vertical="center" wrapText="1"/>
      <protection/>
    </xf>
    <xf numFmtId="0" fontId="62" fillId="48" borderId="16" xfId="70" applyFont="1" applyFill="1" applyBorder="1" applyAlignment="1" applyProtection="1">
      <alignment horizontal="centerContinuous" vertical="center" wrapText="1"/>
      <protection/>
    </xf>
    <xf numFmtId="0" fontId="62" fillId="48" borderId="17" xfId="70" applyFont="1" applyFill="1" applyBorder="1" applyAlignment="1">
      <alignment horizontal="centerContinuous" vertical="center"/>
      <protection/>
    </xf>
    <xf numFmtId="0" fontId="62" fillId="34" borderId="21" xfId="70" applyFont="1" applyFill="1" applyBorder="1" applyAlignment="1">
      <alignment horizontal="centerContinuous" vertical="center" wrapText="1"/>
      <protection/>
    </xf>
    <xf numFmtId="0" fontId="62" fillId="46" borderId="41" xfId="70" applyFont="1" applyFill="1" applyBorder="1" applyAlignment="1">
      <alignment vertical="center" wrapText="1"/>
      <protection/>
    </xf>
    <xf numFmtId="0" fontId="62" fillId="46" borderId="44" xfId="70" applyFont="1" applyFill="1" applyBorder="1" applyAlignment="1">
      <alignment vertical="center" wrapText="1"/>
      <protection/>
    </xf>
    <xf numFmtId="0" fontId="94" fillId="46" borderId="28" xfId="70" applyFont="1" applyFill="1" applyBorder="1" applyAlignment="1">
      <alignment horizontal="center"/>
      <protection/>
    </xf>
    <xf numFmtId="0" fontId="13" fillId="0" borderId="29" xfId="70" applyFont="1" applyFill="1" applyBorder="1" applyAlignment="1">
      <alignment horizontal="center"/>
      <protection/>
    </xf>
    <xf numFmtId="0" fontId="29" fillId="46" borderId="0" xfId="70" applyFont="1" applyFill="1" applyBorder="1" applyAlignment="1">
      <alignment horizontal="left"/>
      <protection/>
    </xf>
    <xf numFmtId="0" fontId="29" fillId="46" borderId="58" xfId="70" applyFont="1" applyFill="1" applyBorder="1" applyAlignment="1">
      <alignment horizontal="left"/>
      <protection/>
    </xf>
    <xf numFmtId="0" fontId="48" fillId="0" borderId="29" xfId="70" applyFont="1" applyFill="1" applyBorder="1" applyAlignment="1">
      <alignment horizontal="center"/>
      <protection/>
    </xf>
    <xf numFmtId="0" fontId="13" fillId="0" borderId="27" xfId="70" applyFont="1" applyBorder="1" applyAlignment="1" applyProtection="1">
      <alignment horizontal="center"/>
      <protection/>
    </xf>
    <xf numFmtId="0" fontId="13" fillId="0" borderId="32" xfId="70" applyFont="1" applyBorder="1" applyAlignment="1" applyProtection="1">
      <alignment horizontal="center"/>
      <protection/>
    </xf>
    <xf numFmtId="166" fontId="94" fillId="36" borderId="28" xfId="70" applyNumberFormat="1" applyFont="1" applyFill="1" applyBorder="1" applyAlignment="1" applyProtection="1">
      <alignment horizontal="center"/>
      <protection/>
    </xf>
    <xf numFmtId="166" fontId="94" fillId="46" borderId="28" xfId="70" applyNumberFormat="1" applyFont="1" applyFill="1" applyBorder="1" applyAlignment="1" applyProtection="1">
      <alignment horizontal="center"/>
      <protection/>
    </xf>
    <xf numFmtId="166" fontId="13" fillId="0" borderId="28" xfId="70" applyNumberFormat="1" applyFont="1" applyFill="1" applyBorder="1" applyAlignment="1" applyProtection="1">
      <alignment horizontal="center"/>
      <protection/>
    </xf>
    <xf numFmtId="2" fontId="65" fillId="47" borderId="28" xfId="70" applyNumberFormat="1" applyFont="1" applyFill="1" applyBorder="1" applyAlignment="1">
      <alignment horizontal="center"/>
      <protection/>
    </xf>
    <xf numFmtId="166" fontId="65" fillId="48" borderId="48" xfId="70" applyNumberFormat="1" applyFont="1" applyFill="1" applyBorder="1" applyAlignment="1" applyProtection="1" quotePrefix="1">
      <alignment horizontal="center"/>
      <protection/>
    </xf>
    <xf numFmtId="166" fontId="65" fillId="48" borderId="49" xfId="70" applyNumberFormat="1" applyFont="1" applyFill="1" applyBorder="1" applyAlignment="1" applyProtection="1" quotePrefix="1">
      <alignment horizontal="center"/>
      <protection/>
    </xf>
    <xf numFmtId="166" fontId="65" fillId="46" borderId="0" xfId="70" applyNumberFormat="1" applyFont="1" applyFill="1" applyBorder="1" applyAlignment="1" applyProtection="1" quotePrefix="1">
      <alignment horizontal="center"/>
      <protection/>
    </xf>
    <xf numFmtId="166" fontId="65" fillId="46" borderId="58" xfId="70" applyNumberFormat="1" applyFont="1" applyFill="1" applyBorder="1" applyAlignment="1" applyProtection="1" quotePrefix="1">
      <alignment horizontal="center"/>
      <protection/>
    </xf>
    <xf numFmtId="22" fontId="13" fillId="0" borderId="28" xfId="70" applyNumberFormat="1" applyFont="1" applyFill="1" applyBorder="1" applyAlignment="1" applyProtection="1">
      <alignment horizontal="center"/>
      <protection/>
    </xf>
    <xf numFmtId="0" fontId="13" fillId="0" borderId="36" xfId="70" applyFont="1" applyFill="1" applyBorder="1" applyAlignment="1">
      <alignment horizontal="center"/>
      <protection/>
    </xf>
    <xf numFmtId="0" fontId="13" fillId="0" borderId="34" xfId="70" applyFont="1" applyBorder="1" applyAlignment="1" applyProtection="1">
      <alignment horizontal="center"/>
      <protection/>
    </xf>
    <xf numFmtId="0" fontId="13" fillId="0" borderId="69" xfId="70" applyFont="1" applyBorder="1" applyAlignment="1" applyProtection="1">
      <alignment horizontal="center"/>
      <protection/>
    </xf>
    <xf numFmtId="166" fontId="94" fillId="46" borderId="36" xfId="70" applyNumberFormat="1" applyFont="1" applyFill="1" applyBorder="1" applyAlignment="1" applyProtection="1">
      <alignment horizontal="center"/>
      <protection/>
    </xf>
    <xf numFmtId="22" fontId="13" fillId="0" borderId="36" xfId="70" applyNumberFormat="1" applyFont="1" applyFill="1" applyBorder="1" applyAlignment="1">
      <alignment horizontal="center"/>
      <protection/>
    </xf>
    <xf numFmtId="22" fontId="13" fillId="0" borderId="36" xfId="70" applyNumberFormat="1" applyFont="1" applyFill="1" applyBorder="1" applyAlignment="1" applyProtection="1">
      <alignment horizontal="center"/>
      <protection/>
    </xf>
    <xf numFmtId="4" fontId="13" fillId="0" borderId="36" xfId="70" applyNumberFormat="1" applyFont="1" applyFill="1" applyBorder="1" applyAlignment="1" applyProtection="1">
      <alignment horizontal="center"/>
      <protection/>
    </xf>
    <xf numFmtId="3" fontId="13" fillId="0" borderId="36" xfId="70" applyNumberFormat="1" applyFont="1" applyFill="1" applyBorder="1" applyAlignment="1" applyProtection="1">
      <alignment horizontal="center"/>
      <protection/>
    </xf>
    <xf numFmtId="166" fontId="13" fillId="0" borderId="36" xfId="70" applyNumberFormat="1" applyFont="1" applyFill="1" applyBorder="1" applyAlignment="1" applyProtection="1">
      <alignment horizontal="center"/>
      <protection/>
    </xf>
    <xf numFmtId="166" fontId="29" fillId="46" borderId="63" xfId="70" applyNumberFormat="1" applyFont="1" applyFill="1" applyBorder="1" applyAlignment="1" applyProtection="1" quotePrefix="1">
      <alignment horizontal="center"/>
      <protection/>
    </xf>
    <xf numFmtId="166" fontId="29" fillId="46" borderId="50" xfId="70" applyNumberFormat="1" applyFont="1" applyFill="1" applyBorder="1" applyAlignment="1" applyProtection="1" quotePrefix="1">
      <alignment horizontal="center"/>
      <protection/>
    </xf>
    <xf numFmtId="166" fontId="13" fillId="0" borderId="50" xfId="70" applyNumberFormat="1" applyFont="1" applyFill="1" applyBorder="1" applyAlignment="1">
      <alignment horizontal="center"/>
      <protection/>
    </xf>
    <xf numFmtId="4" fontId="78" fillId="0" borderId="50" xfId="70" applyNumberFormat="1" applyFont="1" applyFill="1" applyBorder="1" applyAlignment="1">
      <alignment horizontal="right"/>
      <protection/>
    </xf>
    <xf numFmtId="164" fontId="13" fillId="0" borderId="0" xfId="70" applyNumberFormat="1" applyFont="1" applyBorder="1" applyAlignment="1" applyProtection="1">
      <alignment horizontal="center"/>
      <protection/>
    </xf>
    <xf numFmtId="1" fontId="13" fillId="0" borderId="0" xfId="70" applyNumberFormat="1" applyFont="1" applyBorder="1" applyAlignment="1" applyProtection="1" quotePrefix="1">
      <alignment horizontal="center"/>
      <protection/>
    </xf>
    <xf numFmtId="166" fontId="13" fillId="0" borderId="0" xfId="70" applyNumberFormat="1" applyFont="1" applyFill="1" applyBorder="1" applyAlignment="1" applyProtection="1">
      <alignment horizontal="center"/>
      <protection/>
    </xf>
    <xf numFmtId="22" fontId="13" fillId="0" borderId="0" xfId="70" applyNumberFormat="1" applyFont="1" applyFill="1" applyBorder="1" applyAlignment="1">
      <alignment horizontal="center"/>
      <protection/>
    </xf>
    <xf numFmtId="22" fontId="13" fillId="0" borderId="0" xfId="70" applyNumberFormat="1" applyFont="1" applyFill="1" applyBorder="1" applyAlignment="1" applyProtection="1">
      <alignment horizontal="center"/>
      <protection/>
    </xf>
    <xf numFmtId="4" fontId="13" fillId="0" borderId="0" xfId="70" applyNumberFormat="1" applyFont="1" applyFill="1" applyBorder="1" applyAlignment="1" applyProtection="1">
      <alignment horizontal="center"/>
      <protection/>
    </xf>
    <xf numFmtId="3" fontId="13" fillId="0" borderId="0" xfId="70" applyNumberFormat="1" applyFont="1" applyFill="1" applyBorder="1" applyAlignment="1" applyProtection="1">
      <alignment horizontal="center"/>
      <protection/>
    </xf>
    <xf numFmtId="166" fontId="13" fillId="0" borderId="0" xfId="70" applyNumberFormat="1" applyFont="1" applyBorder="1" applyAlignment="1" applyProtection="1" quotePrefix="1">
      <alignment horizontal="center"/>
      <protection/>
    </xf>
    <xf numFmtId="164" fontId="13" fillId="0" borderId="0" xfId="70" applyNumberFormat="1" applyFont="1" applyFill="1" applyBorder="1" applyAlignment="1" applyProtection="1">
      <alignment horizontal="center"/>
      <protection/>
    </xf>
    <xf numFmtId="2" fontId="59" fillId="0" borderId="41" xfId="70" applyNumberFormat="1" applyFont="1" applyFill="1" applyBorder="1" applyAlignment="1">
      <alignment horizontal="center"/>
      <protection/>
    </xf>
    <xf numFmtId="166" fontId="49" fillId="0" borderId="41" xfId="70" applyNumberFormat="1" applyFont="1" applyFill="1" applyBorder="1" applyAlignment="1" applyProtection="1" quotePrefix="1">
      <alignment horizontal="center"/>
      <protection/>
    </xf>
    <xf numFmtId="166" fontId="13" fillId="0" borderId="41" xfId="70" applyNumberFormat="1" applyFont="1" applyFill="1" applyBorder="1" applyAlignment="1">
      <alignment horizontal="center"/>
      <protection/>
    </xf>
    <xf numFmtId="166" fontId="29" fillId="46" borderId="0" xfId="70" applyNumberFormat="1" applyFont="1" applyFill="1" applyBorder="1" applyAlignment="1" applyProtection="1" quotePrefix="1">
      <alignment horizontal="center"/>
      <protection/>
    </xf>
    <xf numFmtId="0" fontId="60" fillId="36" borderId="17" xfId="70" applyFont="1" applyFill="1" applyBorder="1" applyAlignment="1" applyProtection="1">
      <alignment horizontal="center" vertical="center"/>
      <protection/>
    </xf>
    <xf numFmtId="4" fontId="21" fillId="0" borderId="15" xfId="70" applyNumberFormat="1" applyFont="1" applyFill="1" applyBorder="1" applyAlignment="1">
      <alignment horizontal="center"/>
      <protection/>
    </xf>
    <xf numFmtId="2" fontId="59" fillId="0" borderId="0" xfId="70" applyNumberFormat="1" applyFont="1" applyFill="1" applyBorder="1" applyAlignment="1">
      <alignment horizontal="center"/>
      <protection/>
    </xf>
    <xf numFmtId="166" fontId="13" fillId="0" borderId="0" xfId="70" applyNumberFormat="1" applyFont="1" applyFill="1" applyBorder="1" applyAlignment="1">
      <alignment horizontal="center"/>
      <protection/>
    </xf>
    <xf numFmtId="166" fontId="13" fillId="0" borderId="0" xfId="70" applyNumberFormat="1" applyFont="1" applyBorder="1" applyAlignment="1" applyProtection="1" quotePrefix="1">
      <alignment horizontal="centerContinuous"/>
      <protection/>
    </xf>
    <xf numFmtId="166" fontId="13" fillId="0" borderId="0" xfId="70" applyNumberFormat="1" applyFont="1" applyBorder="1" applyAlignment="1" applyProtection="1">
      <alignment horizontal="centerContinuous"/>
      <protection/>
    </xf>
    <xf numFmtId="166" fontId="49" fillId="0" borderId="0" xfId="70" applyNumberFormat="1" applyFont="1" applyFill="1" applyBorder="1" applyAlignment="1" applyProtection="1" quotePrefix="1">
      <alignment horizontal="center"/>
      <protection/>
    </xf>
    <xf numFmtId="4" fontId="78" fillId="0" borderId="0" xfId="70" applyNumberFormat="1" applyFont="1" applyFill="1" applyBorder="1" applyAlignment="1">
      <alignment horizontal="right"/>
      <protection/>
    </xf>
    <xf numFmtId="2" fontId="95" fillId="0" borderId="0" xfId="70" applyNumberFormat="1" applyFont="1" applyBorder="1" applyAlignment="1" applyProtection="1">
      <alignment horizontal="left"/>
      <protection/>
    </xf>
    <xf numFmtId="166" fontId="95" fillId="0" borderId="0" xfId="70" applyNumberFormat="1" applyFont="1" applyBorder="1" applyAlignment="1" applyProtection="1">
      <alignment horizontal="center"/>
      <protection/>
    </xf>
    <xf numFmtId="0" fontId="95" fillId="0" borderId="0" xfId="70" applyFont="1" applyBorder="1" applyAlignment="1" applyProtection="1">
      <alignment horizontal="center"/>
      <protection/>
    </xf>
    <xf numFmtId="165" fontId="95" fillId="0" borderId="0" xfId="70" applyNumberFormat="1" applyFont="1" applyBorder="1" applyAlignment="1" applyProtection="1">
      <alignment horizontal="center"/>
      <protection/>
    </xf>
    <xf numFmtId="0" fontId="96" fillId="0" borderId="0" xfId="70" applyFont="1">
      <alignment/>
      <protection/>
    </xf>
    <xf numFmtId="168" fontId="95" fillId="0" borderId="0" xfId="70" applyNumberFormat="1" applyFont="1" applyBorder="1" applyAlignment="1" applyProtection="1" quotePrefix="1">
      <alignment horizontal="center"/>
      <protection/>
    </xf>
    <xf numFmtId="0" fontId="95" fillId="0" borderId="0" xfId="70" applyFont="1">
      <alignment/>
      <protection/>
    </xf>
    <xf numFmtId="2" fontId="95" fillId="0" borderId="0" xfId="70" applyNumberFormat="1" applyFont="1" applyBorder="1" applyAlignment="1" applyProtection="1">
      <alignment horizontal="center"/>
      <protection/>
    </xf>
    <xf numFmtId="166" fontId="95" fillId="0" borderId="0" xfId="70" applyNumberFormat="1" applyFont="1" applyBorder="1" applyAlignment="1" applyProtection="1" quotePrefix="1">
      <alignment horizontal="center"/>
      <protection/>
    </xf>
    <xf numFmtId="0" fontId="4" fillId="0" borderId="0" xfId="70" applyFont="1" applyBorder="1" applyAlignment="1">
      <alignment horizontal="center"/>
      <protection/>
    </xf>
    <xf numFmtId="2" fontId="97" fillId="0" borderId="0" xfId="70" applyNumberFormat="1" applyFont="1" applyBorder="1" applyAlignment="1" applyProtection="1">
      <alignment horizontal="left"/>
      <protection/>
    </xf>
    <xf numFmtId="0" fontId="21" fillId="0" borderId="0" xfId="70" applyFont="1" applyAlignment="1">
      <alignment horizontal="center"/>
      <protection/>
    </xf>
    <xf numFmtId="168" fontId="4" fillId="0" borderId="0" xfId="70" applyNumberFormat="1" applyFont="1" applyBorder="1" applyAlignment="1" applyProtection="1">
      <alignment horizontal="left"/>
      <protection/>
    </xf>
    <xf numFmtId="166" fontId="4" fillId="0" borderId="0" xfId="70" applyNumberFormat="1" applyFont="1" applyBorder="1" applyAlignment="1" applyProtection="1">
      <alignment horizontal="left"/>
      <protection/>
    </xf>
    <xf numFmtId="2" fontId="98" fillId="0" borderId="0" xfId="70" applyNumberFormat="1" applyFont="1" applyBorder="1" applyAlignment="1" applyProtection="1">
      <alignment horizontal="center"/>
      <protection/>
    </xf>
    <xf numFmtId="166" fontId="92" fillId="0" borderId="0" xfId="70" applyNumberFormat="1" applyFont="1" applyBorder="1" applyAlignment="1" applyProtection="1" quotePrefix="1">
      <alignment horizontal="center"/>
      <protection/>
    </xf>
    <xf numFmtId="4" fontId="92" fillId="0" borderId="0" xfId="70" applyNumberFormat="1" applyFont="1" applyBorder="1" applyAlignment="1" applyProtection="1">
      <alignment horizontal="center"/>
      <protection/>
    </xf>
    <xf numFmtId="7" fontId="4" fillId="0" borderId="0" xfId="70" applyNumberFormat="1" applyFont="1" applyBorder="1" applyAlignment="1">
      <alignment horizontal="centerContinuous"/>
      <protection/>
    </xf>
    <xf numFmtId="1" fontId="21" fillId="0" borderId="0" xfId="70" applyNumberFormat="1" applyFont="1" applyBorder="1" applyAlignment="1" applyProtection="1">
      <alignment horizontal="center"/>
      <protection/>
    </xf>
    <xf numFmtId="172" fontId="21" fillId="0" borderId="0" xfId="70" applyNumberFormat="1" applyFont="1" applyBorder="1" applyAlignment="1" applyProtection="1">
      <alignment horizontal="centerContinuous"/>
      <protection/>
    </xf>
    <xf numFmtId="172" fontId="95" fillId="0" borderId="0" xfId="70" applyNumberFormat="1" applyFont="1" applyBorder="1" applyAlignment="1" applyProtection="1">
      <alignment horizontal="centerContinuous"/>
      <protection/>
    </xf>
    <xf numFmtId="166" fontId="95" fillId="0" borderId="0" xfId="70" applyNumberFormat="1" applyFont="1" applyBorder="1" applyAlignment="1" applyProtection="1" quotePrefix="1">
      <alignment horizontal="left"/>
      <protection/>
    </xf>
    <xf numFmtId="166" fontId="21" fillId="0" borderId="0" xfId="70" applyNumberFormat="1" applyFont="1" applyBorder="1">
      <alignment/>
      <protection/>
    </xf>
    <xf numFmtId="0" fontId="21" fillId="0" borderId="0" xfId="70" applyFont="1" applyAlignment="1">
      <alignment horizontal="centerContinuous"/>
      <protection/>
    </xf>
    <xf numFmtId="166" fontId="21" fillId="0" borderId="0" xfId="70" applyNumberFormat="1" applyFont="1" applyBorder="1" applyAlignment="1" applyProtection="1">
      <alignment horizontal="centerContinuous"/>
      <protection/>
    </xf>
    <xf numFmtId="166" fontId="95" fillId="0" borderId="0" xfId="70" applyNumberFormat="1" applyFont="1" applyBorder="1" applyAlignment="1" applyProtection="1" quotePrefix="1">
      <alignment horizontal="right"/>
      <protection/>
    </xf>
    <xf numFmtId="7" fontId="21" fillId="0" borderId="0" xfId="70" applyNumberFormat="1" applyFont="1" applyBorder="1" applyAlignment="1">
      <alignment horizontal="right"/>
      <protection/>
    </xf>
    <xf numFmtId="166" fontId="22" fillId="0" borderId="0" xfId="70" applyNumberFormat="1" applyFont="1" applyBorder="1" applyAlignment="1" applyProtection="1">
      <alignment horizontal="left"/>
      <protection/>
    </xf>
    <xf numFmtId="10" fontId="21" fillId="0" borderId="0" xfId="70" applyNumberFormat="1" applyFont="1" applyBorder="1" applyAlignment="1" applyProtection="1">
      <alignment horizontal="center"/>
      <protection/>
    </xf>
    <xf numFmtId="7" fontId="21" fillId="0" borderId="0" xfId="70" applyNumberFormat="1" applyFont="1" applyAlignment="1">
      <alignment horizontal="right"/>
      <protection/>
    </xf>
    <xf numFmtId="0" fontId="21" fillId="0" borderId="0" xfId="70" applyFont="1" quotePrefix="1">
      <alignment/>
      <protection/>
    </xf>
    <xf numFmtId="166" fontId="21" fillId="0" borderId="0" xfId="70" applyNumberFormat="1" applyFont="1" applyBorder="1" applyAlignment="1" applyProtection="1" quotePrefix="1">
      <alignment horizontal="center"/>
      <protection/>
    </xf>
    <xf numFmtId="7" fontId="21" fillId="0" borderId="0" xfId="70" applyNumberFormat="1" applyFont="1" applyBorder="1" applyAlignment="1" applyProtection="1">
      <alignment horizontal="left"/>
      <protection/>
    </xf>
    <xf numFmtId="0" fontId="96" fillId="0" borderId="0" xfId="70" applyFont="1" quotePrefix="1">
      <alignment/>
      <protection/>
    </xf>
    <xf numFmtId="0" fontId="99" fillId="0" borderId="0" xfId="70" applyFont="1" applyAlignment="1">
      <alignment vertical="center"/>
      <protection/>
    </xf>
    <xf numFmtId="0" fontId="23" fillId="0" borderId="14" xfId="70" applyFont="1" applyBorder="1" applyAlignment="1">
      <alignment vertical="center"/>
      <protection/>
    </xf>
    <xf numFmtId="0" fontId="23" fillId="0" borderId="0" xfId="70" applyFont="1" applyBorder="1" applyAlignment="1">
      <alignment horizontal="center" vertical="center"/>
      <protection/>
    </xf>
    <xf numFmtId="166" fontId="23" fillId="0" borderId="0" xfId="70" applyNumberFormat="1" applyFont="1" applyBorder="1" applyAlignment="1" applyProtection="1">
      <alignment horizontal="left" vertical="center"/>
      <protection/>
    </xf>
    <xf numFmtId="0" fontId="99" fillId="0" borderId="0" xfId="70" applyFont="1" applyAlignment="1" quotePrefix="1">
      <alignment vertical="center"/>
      <protection/>
    </xf>
    <xf numFmtId="0" fontId="23" fillId="0" borderId="0" xfId="70" applyFont="1" applyBorder="1" applyAlignment="1" applyProtection="1">
      <alignment horizontal="center" vertical="center"/>
      <protection/>
    </xf>
    <xf numFmtId="165" fontId="23" fillId="0" borderId="0" xfId="70" applyNumberFormat="1" applyFont="1" applyBorder="1" applyAlignment="1" applyProtection="1">
      <alignment horizontal="center" vertical="center"/>
      <protection/>
    </xf>
    <xf numFmtId="4" fontId="10" fillId="0" borderId="16" xfId="70" applyNumberFormat="1" applyFont="1" applyBorder="1" applyAlignment="1" applyProtection="1">
      <alignment horizontal="center" vertical="center"/>
      <protection/>
    </xf>
    <xf numFmtId="7" fontId="100" fillId="0" borderId="17" xfId="70" applyNumberFormat="1" applyFont="1" applyFill="1" applyBorder="1" applyAlignment="1">
      <alignment horizontal="center" vertical="center"/>
      <protection/>
    </xf>
    <xf numFmtId="166" fontId="23" fillId="0" borderId="0" xfId="70" applyNumberFormat="1" applyFont="1" applyBorder="1" applyAlignment="1" applyProtection="1">
      <alignment horizontal="center" vertical="center"/>
      <protection/>
    </xf>
    <xf numFmtId="168" fontId="23" fillId="0" borderId="0" xfId="70" applyNumberFormat="1" applyFont="1" applyBorder="1" applyAlignment="1" applyProtection="1" quotePrefix="1">
      <alignment horizontal="center" vertical="center"/>
      <protection/>
    </xf>
    <xf numFmtId="2" fontId="101" fillId="0" borderId="0" xfId="70" applyNumberFormat="1" applyFont="1" applyBorder="1" applyAlignment="1" applyProtection="1">
      <alignment horizontal="center" vertical="center"/>
      <protection/>
    </xf>
    <xf numFmtId="166" fontId="102" fillId="0" borderId="0" xfId="70" applyNumberFormat="1" applyFont="1" applyBorder="1" applyAlignment="1" applyProtection="1" quotePrefix="1">
      <alignment horizontal="center" vertical="center"/>
      <protection/>
    </xf>
    <xf numFmtId="4" fontId="23" fillId="0" borderId="15" xfId="70" applyNumberFormat="1" applyFont="1" applyFill="1" applyBorder="1" applyAlignment="1">
      <alignment horizontal="center" vertical="center"/>
      <protection/>
    </xf>
    <xf numFmtId="0" fontId="3" fillId="0" borderId="19" xfId="70" applyBorder="1">
      <alignment/>
      <protection/>
    </xf>
    <xf numFmtId="0" fontId="21" fillId="0" borderId="20" xfId="70" applyFont="1" applyFill="1" applyBorder="1">
      <alignment/>
      <protection/>
    </xf>
    <xf numFmtId="0" fontId="6" fillId="0" borderId="0" xfId="70" applyFont="1" applyFill="1" applyBorder="1" applyAlignment="1" applyProtection="1">
      <alignment horizontal="center"/>
      <protection/>
    </xf>
    <xf numFmtId="172" fontId="21" fillId="0" borderId="0" xfId="70" applyNumberFormat="1" applyFont="1" applyBorder="1">
      <alignment/>
      <protection/>
    </xf>
    <xf numFmtId="0" fontId="30" fillId="0" borderId="16" xfId="70" applyFont="1" applyFill="1" applyBorder="1" applyAlignment="1" applyProtection="1">
      <alignment horizontal="centerContinuous" vertical="center"/>
      <protection/>
    </xf>
    <xf numFmtId="0" fontId="30" fillId="0" borderId="22" xfId="70" applyFont="1" applyFill="1" applyBorder="1" applyAlignment="1" applyProtection="1">
      <alignment horizontal="centerContinuous" vertical="center"/>
      <protection/>
    </xf>
    <xf numFmtId="0" fontId="62" fillId="46" borderId="70" xfId="70" applyFont="1" applyFill="1" applyBorder="1" applyAlignment="1">
      <alignment vertical="center" wrapText="1"/>
      <protection/>
    </xf>
    <xf numFmtId="164" fontId="13" fillId="0" borderId="28" xfId="70" applyNumberFormat="1" applyFont="1" applyFill="1" applyBorder="1" applyAlignment="1" applyProtection="1">
      <alignment horizontal="center"/>
      <protection/>
    </xf>
    <xf numFmtId="0" fontId="94" fillId="36" borderId="28" xfId="70" applyFont="1" applyFill="1" applyBorder="1" applyAlignment="1">
      <alignment horizontal="center"/>
      <protection/>
    </xf>
    <xf numFmtId="0" fontId="63" fillId="36" borderId="23" xfId="70" applyFont="1" applyFill="1" applyBorder="1" applyAlignment="1">
      <alignment horizontal="center"/>
      <protection/>
    </xf>
    <xf numFmtId="0" fontId="29" fillId="47" borderId="23" xfId="70" applyFont="1" applyFill="1" applyBorder="1" applyAlignment="1">
      <alignment horizontal="center"/>
      <protection/>
    </xf>
    <xf numFmtId="0" fontId="29" fillId="48" borderId="24" xfId="70" applyFont="1" applyFill="1" applyBorder="1" applyAlignment="1">
      <alignment horizontal="center"/>
      <protection/>
    </xf>
    <xf numFmtId="0" fontId="29" fillId="48" borderId="26" xfId="70" applyFont="1" applyFill="1" applyBorder="1" applyAlignment="1">
      <alignment horizontal="left"/>
      <protection/>
    </xf>
    <xf numFmtId="0" fontId="29" fillId="34" borderId="23" xfId="70" applyFont="1" applyFill="1" applyBorder="1" applyAlignment="1">
      <alignment horizontal="left"/>
      <protection/>
    </xf>
    <xf numFmtId="0" fontId="29" fillId="46" borderId="59" xfId="70" applyFont="1" applyFill="1" applyBorder="1" applyAlignment="1">
      <alignment horizontal="left"/>
      <protection/>
    </xf>
    <xf numFmtId="164" fontId="13" fillId="0" borderId="27" xfId="70" applyNumberFormat="1" applyFont="1" applyBorder="1" applyAlignment="1" applyProtection="1">
      <alignment horizontal="center"/>
      <protection/>
    </xf>
    <xf numFmtId="1" fontId="13" fillId="0" borderId="49" xfId="70" applyNumberFormat="1" applyFont="1" applyBorder="1" applyAlignment="1" applyProtection="1" quotePrefix="1">
      <alignment horizontal="center"/>
      <protection/>
    </xf>
    <xf numFmtId="166" fontId="65" fillId="46" borderId="59" xfId="70" applyNumberFormat="1" applyFont="1" applyFill="1" applyBorder="1" applyAlignment="1" applyProtection="1" quotePrefix="1">
      <alignment horizontal="center"/>
      <protection/>
    </xf>
    <xf numFmtId="164" fontId="13" fillId="0" borderId="34" xfId="70" applyNumberFormat="1" applyFont="1" applyBorder="1" applyAlignment="1" applyProtection="1">
      <alignment horizontal="center"/>
      <protection/>
    </xf>
    <xf numFmtId="1" fontId="13" fillId="0" borderId="52" xfId="70" applyNumberFormat="1" applyFont="1" applyBorder="1" applyAlignment="1" applyProtection="1" quotePrefix="1">
      <alignment horizontal="center"/>
      <protection/>
    </xf>
    <xf numFmtId="166" fontId="94" fillId="36" borderId="36" xfId="70" applyNumberFormat="1" applyFont="1" applyFill="1" applyBorder="1" applyAlignment="1" applyProtection="1">
      <alignment horizontal="center"/>
      <protection/>
    </xf>
    <xf numFmtId="164" fontId="63" fillId="36" borderId="36" xfId="70" applyNumberFormat="1" applyFont="1" applyFill="1" applyBorder="1" applyAlignment="1" applyProtection="1">
      <alignment horizontal="center"/>
      <protection/>
    </xf>
    <xf numFmtId="2" fontId="29" fillId="47" borderId="36" xfId="70" applyNumberFormat="1" applyFont="1" applyFill="1" applyBorder="1" applyAlignment="1">
      <alignment horizontal="center"/>
      <protection/>
    </xf>
    <xf numFmtId="166" fontId="29" fillId="48" borderId="51" xfId="70" applyNumberFormat="1" applyFont="1" applyFill="1" applyBorder="1" applyAlignment="1" applyProtection="1" quotePrefix="1">
      <alignment horizontal="center"/>
      <protection/>
    </xf>
    <xf numFmtId="166" fontId="29" fillId="48" borderId="52" xfId="70" applyNumberFormat="1" applyFont="1" applyFill="1" applyBorder="1" applyAlignment="1" applyProtection="1" quotePrefix="1">
      <alignment horizontal="center"/>
      <protection/>
    </xf>
    <xf numFmtId="166" fontId="29" fillId="34" borderId="36" xfId="70" applyNumberFormat="1" applyFont="1" applyFill="1" applyBorder="1" applyAlignment="1" applyProtection="1" quotePrefix="1">
      <alignment horizontal="center"/>
      <protection/>
    </xf>
    <xf numFmtId="166" fontId="29" fillId="46" borderId="57" xfId="70" applyNumberFormat="1" applyFont="1" applyFill="1" applyBorder="1" applyAlignment="1" applyProtection="1" quotePrefix="1">
      <alignment horizontal="center"/>
      <protection/>
    </xf>
    <xf numFmtId="164" fontId="13" fillId="0" borderId="41" xfId="70" applyNumberFormat="1" applyFont="1" applyFill="1" applyBorder="1" applyAlignment="1" applyProtection="1">
      <alignment horizontal="center"/>
      <protection/>
    </xf>
    <xf numFmtId="8" fontId="78" fillId="0" borderId="21" xfId="54" applyNumberFormat="1" applyFont="1" applyFill="1" applyBorder="1" applyAlignment="1">
      <alignment horizontal="right"/>
    </xf>
    <xf numFmtId="0" fontId="13" fillId="0" borderId="27" xfId="57" applyFont="1" applyBorder="1" applyAlignment="1" applyProtection="1">
      <alignment horizontal="center"/>
      <protection locked="0"/>
    </xf>
    <xf numFmtId="8" fontId="78" fillId="0" borderId="22" xfId="54" applyNumberFormat="1" applyFont="1" applyFill="1" applyBorder="1" applyAlignment="1">
      <alignment horizontal="right"/>
    </xf>
    <xf numFmtId="0" fontId="13" fillId="0" borderId="34" xfId="70" applyFont="1" applyFill="1" applyBorder="1" applyAlignment="1">
      <alignment horizontal="center"/>
      <protection/>
    </xf>
    <xf numFmtId="0" fontId="75" fillId="0" borderId="63" xfId="70" applyFont="1" applyBorder="1" applyAlignment="1" applyProtection="1">
      <alignment horizontal="center"/>
      <protection locked="0"/>
    </xf>
    <xf numFmtId="22" fontId="13" fillId="0" borderId="37" xfId="70" applyNumberFormat="1" applyFont="1" applyBorder="1" applyAlignment="1" applyProtection="1">
      <alignment horizontal="center"/>
      <protection locked="0"/>
    </xf>
    <xf numFmtId="22" fontId="13" fillId="0" borderId="57" xfId="70" applyNumberFormat="1" applyFont="1" applyBorder="1" applyAlignment="1" applyProtection="1">
      <alignment horizontal="center"/>
      <protection locked="0"/>
    </xf>
    <xf numFmtId="2" fontId="13" fillId="0" borderId="36" xfId="70" applyNumberFormat="1" applyFont="1" applyFill="1" applyBorder="1" applyAlignment="1" applyProtection="1" quotePrefix="1">
      <alignment horizontal="center"/>
      <protection/>
    </xf>
    <xf numFmtId="168" fontId="13" fillId="0" borderId="50" xfId="70" applyNumberFormat="1" applyFont="1" applyBorder="1" applyAlignment="1" applyProtection="1" quotePrefix="1">
      <alignment horizontal="center"/>
      <protection/>
    </xf>
    <xf numFmtId="164" fontId="63" fillId="36" borderId="63" xfId="70" applyNumberFormat="1" applyFont="1" applyFill="1" applyBorder="1" applyAlignment="1" applyProtection="1">
      <alignment horizontal="center"/>
      <protection/>
    </xf>
    <xf numFmtId="2" fontId="81" fillId="3" borderId="36" xfId="70" applyNumberFormat="1" applyFont="1" applyFill="1" applyBorder="1" applyAlignment="1" applyProtection="1">
      <alignment horizontal="center"/>
      <protection/>
    </xf>
    <xf numFmtId="166" fontId="50" fillId="42" borderId="51" xfId="70" applyNumberFormat="1" applyFont="1" applyFill="1" applyBorder="1" applyAlignment="1" applyProtection="1" quotePrefix="1">
      <alignment horizontal="center"/>
      <protection/>
    </xf>
    <xf numFmtId="166" fontId="50" fillId="42" borderId="52" xfId="70" applyNumberFormat="1" applyFont="1" applyFill="1" applyBorder="1" applyAlignment="1" applyProtection="1" quotePrefix="1">
      <alignment horizontal="center"/>
      <protection/>
    </xf>
    <xf numFmtId="166" fontId="73" fillId="40" borderId="51" xfId="70" applyNumberFormat="1" applyFont="1" applyFill="1" applyBorder="1" applyAlignment="1" applyProtection="1" quotePrefix="1">
      <alignment horizontal="center"/>
      <protection/>
    </xf>
    <xf numFmtId="166" fontId="73" fillId="40" borderId="52" xfId="70" applyNumberFormat="1" applyFont="1" applyFill="1" applyBorder="1" applyAlignment="1" applyProtection="1" quotePrefix="1">
      <alignment horizontal="center"/>
      <protection/>
    </xf>
    <xf numFmtId="166" fontId="53" fillId="35" borderId="34" xfId="70" applyNumberFormat="1" applyFont="1" applyFill="1" applyBorder="1" applyAlignment="1" applyProtection="1" quotePrefix="1">
      <alignment horizontal="center"/>
      <protection/>
    </xf>
    <xf numFmtId="2" fontId="72" fillId="35" borderId="36" xfId="70" applyNumberFormat="1" applyFont="1" applyFill="1" applyBorder="1" applyAlignment="1" applyProtection="1">
      <alignment horizontal="center"/>
      <protection/>
    </xf>
    <xf numFmtId="4" fontId="78" fillId="0" borderId="36" xfId="70" applyNumberFormat="1" applyFont="1" applyFill="1" applyBorder="1" applyAlignment="1">
      <alignment horizontal="right"/>
      <protection/>
    </xf>
    <xf numFmtId="8" fontId="78" fillId="0" borderId="0" xfId="54" applyNumberFormat="1" applyFont="1" applyFill="1" applyBorder="1" applyAlignment="1">
      <alignment horizontal="right"/>
    </xf>
    <xf numFmtId="4" fontId="95" fillId="0" borderId="0" xfId="70" applyNumberFormat="1" applyFont="1" applyBorder="1" applyAlignment="1" applyProtection="1">
      <alignment horizontal="center"/>
      <protection/>
    </xf>
    <xf numFmtId="7" fontId="95" fillId="0" borderId="0" xfId="70" applyNumberFormat="1" applyFont="1" applyFill="1" applyBorder="1" applyAlignment="1">
      <alignment horizontal="center"/>
      <protection/>
    </xf>
    <xf numFmtId="1" fontId="21" fillId="0" borderId="0" xfId="70" applyNumberFormat="1" applyFont="1" applyBorder="1" applyAlignment="1" applyProtection="1">
      <alignment horizontal="left"/>
      <protection/>
    </xf>
    <xf numFmtId="1" fontId="21" fillId="0" borderId="0" xfId="70" applyNumberFormat="1" applyFont="1" applyBorder="1" applyAlignment="1" applyProtection="1">
      <alignment horizontal="centerContinuous"/>
      <protection/>
    </xf>
    <xf numFmtId="7" fontId="95" fillId="0" borderId="61" xfId="70" applyNumberFormat="1" applyFont="1" applyFill="1" applyBorder="1" applyAlignment="1">
      <alignment horizontal="center"/>
      <protection/>
    </xf>
    <xf numFmtId="164" fontId="49" fillId="0" borderId="28" xfId="70" applyNumberFormat="1" applyFont="1" applyBorder="1" applyAlignment="1" applyProtection="1" quotePrefix="1">
      <alignment horizontal="center"/>
      <protection/>
    </xf>
    <xf numFmtId="22" fontId="13" fillId="0" borderId="30" xfId="70" applyNumberFormat="1" applyFont="1" applyBorder="1" applyAlignment="1">
      <alignment horizontal="center"/>
      <protection/>
    </xf>
    <xf numFmtId="22" fontId="13" fillId="0" borderId="28" xfId="70" applyNumberFormat="1" applyFont="1" applyBorder="1" applyAlignment="1" applyProtection="1">
      <alignment horizontal="center"/>
      <protection/>
    </xf>
    <xf numFmtId="0" fontId="3" fillId="0" borderId="0" xfId="67" applyFont="1" applyFill="1">
      <alignment/>
      <protection/>
    </xf>
    <xf numFmtId="0" fontId="3" fillId="0" borderId="0" xfId="67">
      <alignment/>
      <protection/>
    </xf>
    <xf numFmtId="0" fontId="0" fillId="0" borderId="0" xfId="67" applyFont="1">
      <alignment/>
      <protection/>
    </xf>
    <xf numFmtId="0" fontId="11" fillId="0" borderId="0" xfId="67" applyFont="1" applyAlignment="1">
      <alignment horizontal="right" vertical="top"/>
      <protection/>
    </xf>
    <xf numFmtId="0" fontId="3" fillId="0" borderId="0" xfId="67" applyFill="1">
      <alignment/>
      <protection/>
    </xf>
    <xf numFmtId="0" fontId="9" fillId="0" borderId="0" xfId="67" applyFont="1" applyAlignment="1">
      <alignment horizontal="centerContinuous"/>
      <protection/>
    </xf>
    <xf numFmtId="0" fontId="3" fillId="0" borderId="0" xfId="67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6" fillId="0" borderId="0" xfId="67" applyFont="1" applyFill="1" applyBorder="1" applyAlignment="1" applyProtection="1">
      <alignment horizontal="left"/>
      <protection/>
    </xf>
    <xf numFmtId="0" fontId="14" fillId="0" borderId="0" xfId="67" applyFont="1" applyAlignment="1">
      <alignment horizontal="centerContinuous"/>
      <protection/>
    </xf>
    <xf numFmtId="0" fontId="14" fillId="0" borderId="0" xfId="67" applyFont="1">
      <alignment/>
      <protection/>
    </xf>
    <xf numFmtId="0" fontId="6" fillId="0" borderId="0" xfId="67" applyFont="1" applyFill="1" applyBorder="1" applyAlignment="1" applyProtection="1">
      <alignment horizontal="centerContinuous"/>
      <protection/>
    </xf>
    <xf numFmtId="0" fontId="3" fillId="0" borderId="11" xfId="67" applyBorder="1">
      <alignment/>
      <protection/>
    </xf>
    <xf numFmtId="0" fontId="3" fillId="0" borderId="12" xfId="67" applyBorder="1">
      <alignment/>
      <protection/>
    </xf>
    <xf numFmtId="0" fontId="0" fillId="0" borderId="12" xfId="67" applyFont="1" applyBorder="1">
      <alignment/>
      <protection/>
    </xf>
    <xf numFmtId="0" fontId="0" fillId="0" borderId="13" xfId="67" applyFont="1" applyFill="1" applyBorder="1">
      <alignment/>
      <protection/>
    </xf>
    <xf numFmtId="0" fontId="3" fillId="0" borderId="14" xfId="67" applyBorder="1">
      <alignment/>
      <protection/>
    </xf>
    <xf numFmtId="0" fontId="20" fillId="0" borderId="0" xfId="67" applyFont="1" applyBorder="1" applyAlignment="1">
      <alignment horizontal="left"/>
      <protection/>
    </xf>
    <xf numFmtId="0" fontId="16" fillId="0" borderId="0" xfId="67" applyFont="1" applyAlignment="1">
      <alignment horizontal="centerContinuous"/>
      <protection/>
    </xf>
    <xf numFmtId="0" fontId="0" fillId="0" borderId="0" xfId="67" applyFont="1" applyBorder="1" applyAlignment="1">
      <alignment horizontal="centerContinuous"/>
      <protection/>
    </xf>
    <xf numFmtId="0" fontId="0" fillId="0" borderId="15" xfId="67" applyFont="1" applyFill="1" applyBorder="1" applyAlignment="1">
      <alignment horizontal="centerContinuous"/>
      <protection/>
    </xf>
    <xf numFmtId="0" fontId="16" fillId="0" borderId="0" xfId="67" applyFont="1" applyBorder="1">
      <alignment/>
      <protection/>
    </xf>
    <xf numFmtId="0" fontId="79" fillId="0" borderId="0" xfId="67" applyFont="1" applyBorder="1" applyAlignment="1">
      <alignment horizontal="left"/>
      <protection/>
    </xf>
    <xf numFmtId="0" fontId="16" fillId="0" borderId="0" xfId="67" applyFont="1">
      <alignment/>
      <protection/>
    </xf>
    <xf numFmtId="0" fontId="0" fillId="0" borderId="0" xfId="67" applyFont="1" applyBorder="1">
      <alignment/>
      <protection/>
    </xf>
    <xf numFmtId="0" fontId="0" fillId="0" borderId="15" xfId="67" applyFont="1" applyFill="1" applyBorder="1">
      <alignment/>
      <protection/>
    </xf>
    <xf numFmtId="0" fontId="16" fillId="0" borderId="14" xfId="67" applyFont="1" applyBorder="1">
      <alignment/>
      <protection/>
    </xf>
    <xf numFmtId="0" fontId="20" fillId="0" borderId="0" xfId="67" applyFont="1" applyBorder="1">
      <alignment/>
      <protection/>
    </xf>
    <xf numFmtId="0" fontId="20" fillId="0" borderId="0" xfId="67" applyFont="1">
      <alignment/>
      <protection/>
    </xf>
    <xf numFmtId="0" fontId="16" fillId="0" borderId="0" xfId="67" applyFont="1" applyBorder="1" applyProtection="1">
      <alignment/>
      <protection/>
    </xf>
    <xf numFmtId="0" fontId="16" fillId="0" borderId="15" xfId="67" applyFont="1" applyBorder="1">
      <alignment/>
      <protection/>
    </xf>
    <xf numFmtId="0" fontId="13" fillId="0" borderId="0" xfId="67" applyFont="1">
      <alignment/>
      <protection/>
    </xf>
    <xf numFmtId="0" fontId="13" fillId="0" borderId="14" xfId="67" applyFont="1" applyBorder="1">
      <alignment/>
      <protection/>
    </xf>
    <xf numFmtId="0" fontId="13" fillId="0" borderId="0" xfId="67" applyFont="1" applyBorder="1">
      <alignment/>
      <protection/>
    </xf>
    <xf numFmtId="0" fontId="5" fillId="0" borderId="0" xfId="67" applyFont="1" applyBorder="1">
      <alignment/>
      <protection/>
    </xf>
    <xf numFmtId="0" fontId="19" fillId="0" borderId="0" xfId="67" applyFont="1">
      <alignment/>
      <protection/>
    </xf>
    <xf numFmtId="0" fontId="13" fillId="0" borderId="0" xfId="67" applyFont="1" applyBorder="1" applyProtection="1">
      <alignment/>
      <protection/>
    </xf>
    <xf numFmtId="0" fontId="13" fillId="0" borderId="15" xfId="67" applyFont="1" applyBorder="1">
      <alignment/>
      <protection/>
    </xf>
    <xf numFmtId="0" fontId="0" fillId="0" borderId="0" xfId="67" applyFont="1" applyBorder="1" applyProtection="1">
      <alignment/>
      <protection/>
    </xf>
    <xf numFmtId="0" fontId="16" fillId="0" borderId="0" xfId="67" applyFont="1" applyBorder="1" applyAlignment="1">
      <alignment horizontal="centerContinuous"/>
      <protection/>
    </xf>
    <xf numFmtId="0" fontId="3" fillId="0" borderId="0" xfId="67" applyBorder="1">
      <alignment/>
      <protection/>
    </xf>
    <xf numFmtId="0" fontId="0" fillId="0" borderId="16" xfId="67" applyFont="1" applyBorder="1" applyAlignment="1">
      <alignment horizontal="left" vertical="center"/>
      <protection/>
    </xf>
    <xf numFmtId="7" fontId="0" fillId="0" borderId="17" xfId="67" applyNumberFormat="1" applyFont="1" applyBorder="1" applyAlignment="1">
      <alignment horizontal="centerContinuous" vertical="center"/>
      <protection/>
    </xf>
    <xf numFmtId="0" fontId="0" fillId="0" borderId="63" xfId="67" applyFont="1" applyBorder="1">
      <alignment/>
      <protection/>
    </xf>
    <xf numFmtId="0" fontId="30" fillId="0" borderId="21" xfId="67" applyFont="1" applyBorder="1" applyAlignment="1">
      <alignment horizontal="center" vertical="center"/>
      <protection/>
    </xf>
    <xf numFmtId="0" fontId="30" fillId="0" borderId="21" xfId="67" applyFont="1" applyBorder="1" applyAlignment="1" applyProtection="1">
      <alignment horizontal="center" vertical="center"/>
      <protection/>
    </xf>
    <xf numFmtId="0" fontId="30" fillId="0" borderId="21" xfId="67" applyFont="1" applyBorder="1" applyAlignment="1" applyProtection="1">
      <alignment horizontal="center" vertical="center" wrapText="1"/>
      <protection/>
    </xf>
    <xf numFmtId="0" fontId="30" fillId="0" borderId="16" xfId="67" applyFont="1" applyBorder="1" applyAlignment="1" applyProtection="1">
      <alignment horizontal="center" vertical="center"/>
      <protection/>
    </xf>
    <xf numFmtId="0" fontId="61" fillId="40" borderId="21" xfId="67" applyFont="1" applyFill="1" applyBorder="1" applyAlignment="1" applyProtection="1">
      <alignment horizontal="center" vertical="center" wrapText="1"/>
      <protection/>
    </xf>
    <xf numFmtId="0" fontId="62" fillId="18" borderId="16" xfId="67" applyFont="1" applyFill="1" applyBorder="1" applyAlignment="1" applyProtection="1">
      <alignment horizontal="centerContinuous" vertical="center" wrapText="1"/>
      <protection/>
    </xf>
    <xf numFmtId="0" fontId="62" fillId="18" borderId="17" xfId="67" applyFont="1" applyFill="1" applyBorder="1" applyAlignment="1" applyProtection="1">
      <alignment horizontal="centerContinuous" vertical="center" wrapText="1"/>
      <protection/>
    </xf>
    <xf numFmtId="0" fontId="62" fillId="3" borderId="21" xfId="67" applyFont="1" applyFill="1" applyBorder="1" applyAlignment="1" applyProtection="1">
      <alignment horizontal="centerContinuous" vertical="center" wrapText="1"/>
      <protection/>
    </xf>
    <xf numFmtId="0" fontId="30" fillId="34" borderId="21" xfId="67" applyFont="1" applyFill="1" applyBorder="1" applyAlignment="1">
      <alignment horizontal="center" vertical="center" wrapText="1"/>
      <protection/>
    </xf>
    <xf numFmtId="0" fontId="30" fillId="0" borderId="21" xfId="67" applyFont="1" applyBorder="1" applyAlignment="1">
      <alignment horizontal="center" vertical="center" wrapText="1"/>
      <protection/>
    </xf>
    <xf numFmtId="0" fontId="3" fillId="0" borderId="15" xfId="67" applyFill="1" applyBorder="1" applyAlignment="1">
      <alignment horizontal="center"/>
      <protection/>
    </xf>
    <xf numFmtId="0" fontId="13" fillId="0" borderId="23" xfId="67" applyFont="1" applyBorder="1" applyAlignment="1">
      <alignment horizontal="center"/>
      <protection/>
    </xf>
    <xf numFmtId="0" fontId="13" fillId="0" borderId="67" xfId="67" applyFont="1" applyBorder="1" applyAlignment="1">
      <alignment horizontal="center"/>
      <protection/>
    </xf>
    <xf numFmtId="0" fontId="13" fillId="0" borderId="67" xfId="67" applyFont="1" applyBorder="1">
      <alignment/>
      <protection/>
    </xf>
    <xf numFmtId="0" fontId="13" fillId="0" borderId="65" xfId="67" applyFont="1" applyBorder="1" applyAlignment="1">
      <alignment horizontal="center"/>
      <protection/>
    </xf>
    <xf numFmtId="0" fontId="64" fillId="40" borderId="23" xfId="67" applyFont="1" applyFill="1" applyBorder="1" applyAlignment="1">
      <alignment horizontal="center"/>
      <protection/>
    </xf>
    <xf numFmtId="0" fontId="29" fillId="18" borderId="23" xfId="67" applyFont="1" applyFill="1" applyBorder="1" applyAlignment="1">
      <alignment horizontal="center"/>
      <protection/>
    </xf>
    <xf numFmtId="0" fontId="29" fillId="3" borderId="23" xfId="67" applyFont="1" applyFill="1" applyBorder="1" applyAlignment="1">
      <alignment horizontal="center"/>
      <protection/>
    </xf>
    <xf numFmtId="0" fontId="13" fillId="34" borderId="23" xfId="67" applyFont="1" applyFill="1" applyBorder="1" applyAlignment="1">
      <alignment horizontal="center"/>
      <protection/>
    </xf>
    <xf numFmtId="7" fontId="13" fillId="0" borderId="23" xfId="67" applyNumberFormat="1" applyFont="1" applyBorder="1">
      <alignment/>
      <protection/>
    </xf>
    <xf numFmtId="0" fontId="3" fillId="0" borderId="15" xfId="67" applyFill="1" applyBorder="1">
      <alignment/>
      <protection/>
    </xf>
    <xf numFmtId="0" fontId="13" fillId="0" borderId="27" xfId="67" applyFont="1" applyBorder="1" applyAlignment="1">
      <alignment horizontal="center"/>
      <protection/>
    </xf>
    <xf numFmtId="0" fontId="13" fillId="0" borderId="29" xfId="67" applyFont="1" applyBorder="1" applyAlignment="1">
      <alignment horizontal="center"/>
      <protection/>
    </xf>
    <xf numFmtId="0" fontId="13" fillId="0" borderId="29" xfId="67" applyFont="1" applyBorder="1">
      <alignment/>
      <protection/>
    </xf>
    <xf numFmtId="0" fontId="13" fillId="0" borderId="33" xfId="67" applyFont="1" applyBorder="1" applyAlignment="1">
      <alignment horizontal="center"/>
      <protection/>
    </xf>
    <xf numFmtId="0" fontId="13" fillId="0" borderId="28" xfId="67" applyFont="1" applyBorder="1" applyAlignment="1">
      <alignment horizontal="center"/>
      <protection/>
    </xf>
    <xf numFmtId="0" fontId="64" fillId="40" borderId="28" xfId="67" applyFont="1" applyFill="1" applyBorder="1" applyAlignment="1">
      <alignment horizontal="center"/>
      <protection/>
    </xf>
    <xf numFmtId="0" fontId="29" fillId="18" borderId="28" xfId="67" applyFont="1" applyFill="1" applyBorder="1" applyAlignment="1">
      <alignment horizontal="center"/>
      <protection/>
    </xf>
    <xf numFmtId="0" fontId="29" fillId="3" borderId="28" xfId="67" applyFont="1" applyFill="1" applyBorder="1" applyAlignment="1">
      <alignment horizontal="center"/>
      <protection/>
    </xf>
    <xf numFmtId="0" fontId="13" fillId="34" borderId="28" xfId="67" applyFont="1" applyFill="1" applyBorder="1" applyAlignment="1">
      <alignment horizontal="center"/>
      <protection/>
    </xf>
    <xf numFmtId="0" fontId="13" fillId="0" borderId="28" xfId="67" applyFont="1" applyBorder="1">
      <alignment/>
      <protection/>
    </xf>
    <xf numFmtId="0" fontId="13" fillId="0" borderId="27" xfId="67" applyFont="1" applyBorder="1" applyAlignment="1" applyProtection="1">
      <alignment horizontal="center"/>
      <protection locked="0"/>
    </xf>
    <xf numFmtId="0" fontId="13" fillId="0" borderId="29" xfId="67" applyFont="1" applyBorder="1" applyAlignment="1" applyProtection="1">
      <alignment horizontal="center"/>
      <protection locked="0"/>
    </xf>
    <xf numFmtId="0" fontId="13" fillId="0" borderId="29" xfId="67" applyFont="1" applyBorder="1" applyAlignment="1" applyProtection="1" quotePrefix="1">
      <alignment horizontal="center"/>
      <protection locked="0"/>
    </xf>
    <xf numFmtId="22" fontId="13" fillId="0" borderId="29" xfId="67" applyNumberFormat="1" applyFont="1" applyBorder="1" applyAlignment="1" applyProtection="1">
      <alignment horizontal="center"/>
      <protection locked="0"/>
    </xf>
    <xf numFmtId="22" fontId="13" fillId="0" borderId="33" xfId="67" applyNumberFormat="1" applyFont="1" applyBorder="1" applyAlignment="1" applyProtection="1">
      <alignment horizontal="center"/>
      <protection locked="0"/>
    </xf>
    <xf numFmtId="4" fontId="13" fillId="38" borderId="28" xfId="67" applyNumberFormat="1" applyFont="1" applyFill="1" applyBorder="1" applyAlignment="1" applyProtection="1" quotePrefix="1">
      <alignment horizontal="center"/>
      <protection/>
    </xf>
    <xf numFmtId="164" fontId="13" fillId="38" borderId="28" xfId="67" applyNumberFormat="1" applyFont="1" applyFill="1" applyBorder="1" applyAlignment="1" applyProtection="1" quotePrefix="1">
      <alignment horizontal="center"/>
      <protection/>
    </xf>
    <xf numFmtId="166" fontId="13" fillId="0" borderId="28" xfId="67" applyNumberFormat="1" applyFont="1" applyBorder="1" applyAlignment="1" applyProtection="1">
      <alignment horizontal="center"/>
      <protection locked="0"/>
    </xf>
    <xf numFmtId="2" fontId="81" fillId="40" borderId="28" xfId="67" applyNumberFormat="1" applyFont="1" applyFill="1" applyBorder="1" applyAlignment="1" applyProtection="1">
      <alignment horizontal="center"/>
      <protection locked="0"/>
    </xf>
    <xf numFmtId="166" fontId="65" fillId="18" borderId="28" xfId="67" applyNumberFormat="1" applyFont="1" applyFill="1" applyBorder="1" applyAlignment="1" applyProtection="1" quotePrefix="1">
      <alignment horizontal="center"/>
      <protection locked="0"/>
    </xf>
    <xf numFmtId="166" fontId="65" fillId="3" borderId="28" xfId="67" applyNumberFormat="1" applyFont="1" applyFill="1" applyBorder="1" applyAlignment="1" applyProtection="1" quotePrefix="1">
      <alignment horizontal="center"/>
      <protection locked="0"/>
    </xf>
    <xf numFmtId="166" fontId="13" fillId="34" borderId="28" xfId="67" applyNumberFormat="1" applyFont="1" applyFill="1" applyBorder="1" applyAlignment="1" applyProtection="1">
      <alignment horizontal="center"/>
      <protection locked="0"/>
    </xf>
    <xf numFmtId="4" fontId="48" fillId="0" borderId="28" xfId="67" applyNumberFormat="1" applyFont="1" applyFill="1" applyBorder="1" applyAlignment="1">
      <alignment horizontal="right"/>
      <protection/>
    </xf>
    <xf numFmtId="4" fontId="3" fillId="0" borderId="15" xfId="67" applyNumberFormat="1" applyFont="1" applyFill="1" applyBorder="1" applyAlignment="1">
      <alignment horizontal="center"/>
      <protection/>
    </xf>
    <xf numFmtId="0" fontId="13" fillId="0" borderId="34" xfId="67" applyFont="1" applyBorder="1" applyAlignment="1" applyProtection="1">
      <alignment horizontal="center"/>
      <protection locked="0"/>
    </xf>
    <xf numFmtId="0" fontId="13" fillId="0" borderId="71" xfId="67" applyFont="1" applyBorder="1" applyAlignment="1" applyProtection="1">
      <alignment horizontal="center"/>
      <protection locked="0"/>
    </xf>
    <xf numFmtId="0" fontId="13" fillId="0" borderId="71" xfId="67" applyFont="1" applyBorder="1" applyAlignment="1" applyProtection="1" quotePrefix="1">
      <alignment horizontal="center"/>
      <protection locked="0"/>
    </xf>
    <xf numFmtId="22" fontId="13" fillId="0" borderId="71" xfId="67" applyNumberFormat="1" applyFont="1" applyBorder="1" applyAlignment="1" applyProtection="1">
      <alignment horizontal="center"/>
      <protection locked="0"/>
    </xf>
    <xf numFmtId="22" fontId="13" fillId="0" borderId="72" xfId="67" applyNumberFormat="1" applyFont="1" applyBorder="1" applyAlignment="1" applyProtection="1">
      <alignment horizontal="center"/>
      <protection locked="0"/>
    </xf>
    <xf numFmtId="4" fontId="13" fillId="38" borderId="34" xfId="67" applyNumberFormat="1" applyFont="1" applyFill="1" applyBorder="1" applyAlignment="1" applyProtection="1" quotePrefix="1">
      <alignment horizontal="center"/>
      <protection/>
    </xf>
    <xf numFmtId="164" fontId="13" fillId="38" borderId="34" xfId="67" applyNumberFormat="1" applyFont="1" applyFill="1" applyBorder="1" applyAlignment="1" applyProtection="1" quotePrefix="1">
      <alignment horizontal="center"/>
      <protection/>
    </xf>
    <xf numFmtId="166" fontId="13" fillId="0" borderId="34" xfId="67" applyNumberFormat="1" applyFont="1" applyBorder="1" applyAlignment="1" applyProtection="1">
      <alignment horizontal="center"/>
      <protection locked="0"/>
    </xf>
    <xf numFmtId="2" fontId="81" fillId="40" borderId="34" xfId="67" applyNumberFormat="1" applyFont="1" applyFill="1" applyBorder="1" applyAlignment="1" applyProtection="1">
      <alignment horizontal="center"/>
      <protection locked="0"/>
    </xf>
    <xf numFmtId="166" fontId="65" fillId="18" borderId="34" xfId="67" applyNumberFormat="1" applyFont="1" applyFill="1" applyBorder="1" applyAlignment="1" applyProtection="1" quotePrefix="1">
      <alignment horizontal="center"/>
      <protection locked="0"/>
    </xf>
    <xf numFmtId="166" fontId="65" fillId="3" borderId="34" xfId="67" applyNumberFormat="1" applyFont="1" applyFill="1" applyBorder="1" applyAlignment="1" applyProtection="1" quotePrefix="1">
      <alignment horizontal="center"/>
      <protection locked="0"/>
    </xf>
    <xf numFmtId="166" fontId="13" fillId="34" borderId="34" xfId="67" applyNumberFormat="1" applyFont="1" applyFill="1" applyBorder="1" applyAlignment="1" applyProtection="1">
      <alignment horizontal="center"/>
      <protection locked="0"/>
    </xf>
    <xf numFmtId="4" fontId="48" fillId="0" borderId="34" xfId="67" applyNumberFormat="1" applyFont="1" applyFill="1" applyBorder="1" applyAlignment="1">
      <alignment horizontal="right"/>
      <protection/>
    </xf>
    <xf numFmtId="0" fontId="13" fillId="0" borderId="0" xfId="67" applyFont="1" applyBorder="1" applyAlignment="1" applyProtection="1">
      <alignment horizontal="center"/>
      <protection locked="0"/>
    </xf>
    <xf numFmtId="0" fontId="13" fillId="0" borderId="0" xfId="67" applyFont="1" applyBorder="1" applyAlignment="1" applyProtection="1" quotePrefix="1">
      <alignment horizontal="center"/>
      <protection locked="0"/>
    </xf>
    <xf numFmtId="22" fontId="13" fillId="0" borderId="0" xfId="67" applyNumberFormat="1" applyFont="1" applyBorder="1" applyAlignment="1" applyProtection="1">
      <alignment horizontal="center"/>
      <protection locked="0"/>
    </xf>
    <xf numFmtId="166" fontId="13" fillId="0" borderId="0" xfId="67" applyNumberFormat="1" applyFont="1" applyBorder="1" applyAlignment="1" applyProtection="1">
      <alignment horizontal="center"/>
      <protection locked="0"/>
    </xf>
    <xf numFmtId="2" fontId="81" fillId="40" borderId="0" xfId="67" applyNumberFormat="1" applyFont="1" applyFill="1" applyBorder="1" applyAlignment="1" applyProtection="1">
      <alignment horizontal="center"/>
      <protection locked="0"/>
    </xf>
    <xf numFmtId="166" fontId="65" fillId="18" borderId="0" xfId="67" applyNumberFormat="1" applyFont="1" applyFill="1" applyBorder="1" applyAlignment="1" applyProtection="1" quotePrefix="1">
      <alignment horizontal="center"/>
      <protection locked="0"/>
    </xf>
    <xf numFmtId="166" fontId="65" fillId="3" borderId="0" xfId="67" applyNumberFormat="1" applyFont="1" applyFill="1" applyBorder="1" applyAlignment="1" applyProtection="1" quotePrefix="1">
      <alignment horizontal="center"/>
      <protection locked="0"/>
    </xf>
    <xf numFmtId="166" fontId="13" fillId="34" borderId="0" xfId="67" applyNumberFormat="1" applyFont="1" applyFill="1" applyBorder="1" applyAlignment="1" applyProtection="1">
      <alignment horizontal="center"/>
      <protection locked="0"/>
    </xf>
    <xf numFmtId="7" fontId="4" fillId="0" borderId="21" xfId="67" applyNumberFormat="1" applyFont="1" applyFill="1" applyBorder="1" applyAlignment="1">
      <alignment horizontal="right"/>
      <protection/>
    </xf>
    <xf numFmtId="7" fontId="4" fillId="0" borderId="0" xfId="67" applyNumberFormat="1" applyFont="1" applyFill="1" applyBorder="1" applyAlignment="1">
      <alignment horizontal="right"/>
      <protection/>
    </xf>
    <xf numFmtId="4" fontId="48" fillId="0" borderId="0" xfId="67" applyNumberFormat="1" applyFont="1" applyFill="1" applyBorder="1" applyAlignment="1">
      <alignment horizontal="right"/>
      <protection/>
    </xf>
    <xf numFmtId="0" fontId="0" fillId="0" borderId="16" xfId="67" applyFont="1" applyBorder="1" applyAlignment="1">
      <alignment horizontal="center" vertical="center"/>
      <protection/>
    </xf>
    <xf numFmtId="0" fontId="30" fillId="0" borderId="16" xfId="67" applyFont="1" applyBorder="1" applyAlignment="1" applyProtection="1">
      <alignment horizontal="left" vertical="center"/>
      <protection/>
    </xf>
    <xf numFmtId="0" fontId="30" fillId="0" borderId="22" xfId="67" applyFont="1" applyBorder="1" applyAlignment="1" applyProtection="1">
      <alignment horizontal="left" vertical="center"/>
      <protection/>
    </xf>
    <xf numFmtId="0" fontId="3" fillId="0" borderId="22" xfId="67" applyBorder="1">
      <alignment/>
      <protection/>
    </xf>
    <xf numFmtId="0" fontId="30" fillId="0" borderId="22" xfId="67" applyFont="1" applyBorder="1" applyAlignment="1" applyProtection="1">
      <alignment horizontal="center" vertical="center" wrapText="1"/>
      <protection/>
    </xf>
    <xf numFmtId="0" fontId="30" fillId="0" borderId="22" xfId="67" applyFont="1" applyBorder="1" applyAlignment="1" applyProtection="1">
      <alignment horizontal="center" vertical="center"/>
      <protection/>
    </xf>
    <xf numFmtId="0" fontId="61" fillId="40" borderId="22" xfId="67" applyFont="1" applyFill="1" applyBorder="1" applyAlignment="1" applyProtection="1">
      <alignment horizontal="center" vertical="center" wrapText="1"/>
      <protection/>
    </xf>
    <xf numFmtId="0" fontId="62" fillId="18" borderId="22" xfId="67" applyFont="1" applyFill="1" applyBorder="1" applyAlignment="1" applyProtection="1">
      <alignment horizontal="centerContinuous" vertical="center" wrapText="1"/>
      <protection/>
    </xf>
    <xf numFmtId="0" fontId="62" fillId="3" borderId="22" xfId="67" applyFont="1" applyFill="1" applyBorder="1" applyAlignment="1" applyProtection="1">
      <alignment horizontal="centerContinuous" vertical="center" wrapText="1"/>
      <protection/>
    </xf>
    <xf numFmtId="0" fontId="30" fillId="34" borderId="22" xfId="67" applyFont="1" applyFill="1" applyBorder="1" applyAlignment="1">
      <alignment horizontal="center" vertical="center" wrapText="1"/>
      <protection/>
    </xf>
    <xf numFmtId="0" fontId="13" fillId="0" borderId="65" xfId="67" applyFont="1" applyBorder="1">
      <alignment/>
      <protection/>
    </xf>
    <xf numFmtId="0" fontId="13" fillId="0" borderId="73" xfId="67" applyFont="1" applyBorder="1">
      <alignment/>
      <protection/>
    </xf>
    <xf numFmtId="0" fontId="13" fillId="0" borderId="73" xfId="67" applyFont="1" applyBorder="1" applyAlignment="1">
      <alignment horizontal="center"/>
      <protection/>
    </xf>
    <xf numFmtId="0" fontId="64" fillId="40" borderId="73" xfId="67" applyFont="1" applyFill="1" applyBorder="1" applyAlignment="1">
      <alignment horizontal="center"/>
      <protection/>
    </xf>
    <xf numFmtId="0" fontId="29" fillId="18" borderId="73" xfId="67" applyFont="1" applyFill="1" applyBorder="1" applyAlignment="1">
      <alignment horizontal="center"/>
      <protection/>
    </xf>
    <xf numFmtId="0" fontId="29" fillId="3" borderId="73" xfId="67" applyFont="1" applyFill="1" applyBorder="1" applyAlignment="1">
      <alignment horizontal="center"/>
      <protection/>
    </xf>
    <xf numFmtId="0" fontId="13" fillId="34" borderId="73" xfId="67" applyFont="1" applyFill="1" applyBorder="1" applyAlignment="1">
      <alignment horizontal="center"/>
      <protection/>
    </xf>
    <xf numFmtId="0" fontId="13" fillId="0" borderId="60" xfId="67" applyFont="1" applyBorder="1">
      <alignment/>
      <protection/>
    </xf>
    <xf numFmtId="0" fontId="13" fillId="0" borderId="32" xfId="67" applyFont="1" applyBorder="1">
      <alignment/>
      <protection/>
    </xf>
    <xf numFmtId="0" fontId="13" fillId="0" borderId="32" xfId="67" applyFont="1" applyBorder="1" applyAlignment="1">
      <alignment horizontal="center"/>
      <protection/>
    </xf>
    <xf numFmtId="0" fontId="64" fillId="40" borderId="32" xfId="67" applyFont="1" applyFill="1" applyBorder="1" applyAlignment="1">
      <alignment horizontal="center"/>
      <protection/>
    </xf>
    <xf numFmtId="0" fontId="29" fillId="18" borderId="32" xfId="67" applyFont="1" applyFill="1" applyBorder="1" applyAlignment="1">
      <alignment horizontal="center"/>
      <protection/>
    </xf>
    <xf numFmtId="0" fontId="29" fillId="3" borderId="32" xfId="67" applyFont="1" applyFill="1" applyBorder="1" applyAlignment="1">
      <alignment horizontal="center"/>
      <protection/>
    </xf>
    <xf numFmtId="0" fontId="13" fillId="34" borderId="32" xfId="67" applyFont="1" applyFill="1" applyBorder="1" applyAlignment="1">
      <alignment horizontal="center"/>
      <protection/>
    </xf>
    <xf numFmtId="0" fontId="13" fillId="0" borderId="72" xfId="67" applyFont="1" applyBorder="1" applyAlignment="1" applyProtection="1">
      <alignment horizontal="center"/>
      <protection locked="0"/>
    </xf>
    <xf numFmtId="0" fontId="13" fillId="0" borderId="69" xfId="67" applyFont="1" applyBorder="1" applyAlignment="1" applyProtection="1">
      <alignment horizontal="center"/>
      <protection locked="0"/>
    </xf>
    <xf numFmtId="0" fontId="13" fillId="0" borderId="69" xfId="67" applyFont="1" applyBorder="1" applyAlignment="1" applyProtection="1" quotePrefix="1">
      <alignment horizontal="center"/>
      <protection locked="0"/>
    </xf>
    <xf numFmtId="22" fontId="13" fillId="0" borderId="69" xfId="67" applyNumberFormat="1" applyFont="1" applyBorder="1" applyAlignment="1" applyProtection="1">
      <alignment horizontal="center"/>
      <protection locked="0"/>
    </xf>
    <xf numFmtId="166" fontId="13" fillId="0" borderId="69" xfId="67" applyNumberFormat="1" applyFont="1" applyBorder="1" applyAlignment="1" applyProtection="1">
      <alignment horizontal="center"/>
      <protection locked="0"/>
    </xf>
    <xf numFmtId="2" fontId="81" fillId="40" borderId="69" xfId="67" applyNumberFormat="1" applyFont="1" applyFill="1" applyBorder="1" applyAlignment="1" applyProtection="1">
      <alignment horizontal="center"/>
      <protection locked="0"/>
    </xf>
    <xf numFmtId="166" fontId="65" fillId="18" borderId="69" xfId="67" applyNumberFormat="1" applyFont="1" applyFill="1" applyBorder="1" applyAlignment="1" applyProtection="1" quotePrefix="1">
      <alignment horizontal="center"/>
      <protection locked="0"/>
    </xf>
    <xf numFmtId="166" fontId="65" fillId="3" borderId="69" xfId="67" applyNumberFormat="1" applyFont="1" applyFill="1" applyBorder="1" applyAlignment="1" applyProtection="1" quotePrefix="1">
      <alignment horizontal="center"/>
      <protection locked="0"/>
    </xf>
    <xf numFmtId="166" fontId="13" fillId="34" borderId="69" xfId="67" applyNumberFormat="1" applyFont="1" applyFill="1" applyBorder="1" applyAlignment="1" applyProtection="1">
      <alignment horizontal="center"/>
      <protection locked="0"/>
    </xf>
    <xf numFmtId="2" fontId="64" fillId="40" borderId="0" xfId="67" applyNumberFormat="1" applyFont="1" applyFill="1" applyBorder="1" applyAlignment="1" applyProtection="1">
      <alignment horizontal="center"/>
      <protection locked="0"/>
    </xf>
    <xf numFmtId="166" fontId="29" fillId="18" borderId="0" xfId="67" applyNumberFormat="1" applyFont="1" applyFill="1" applyBorder="1" applyAlignment="1" applyProtection="1" quotePrefix="1">
      <alignment horizontal="center"/>
      <protection locked="0"/>
    </xf>
    <xf numFmtId="166" fontId="29" fillId="3" borderId="0" xfId="67" applyNumberFormat="1" applyFont="1" applyFill="1" applyBorder="1" applyAlignment="1" applyProtection="1" quotePrefix="1">
      <alignment horizontal="center"/>
      <protection locked="0"/>
    </xf>
    <xf numFmtId="166" fontId="76" fillId="34" borderId="0" xfId="67" applyNumberFormat="1" applyFont="1" applyFill="1" applyBorder="1" applyAlignment="1" applyProtection="1">
      <alignment horizontal="center"/>
      <protection locked="0"/>
    </xf>
    <xf numFmtId="4" fontId="13" fillId="0" borderId="0" xfId="67" applyNumberFormat="1" applyFont="1" applyFill="1" applyBorder="1" applyAlignment="1">
      <alignment horizontal="center"/>
      <protection/>
    </xf>
    <xf numFmtId="0" fontId="57" fillId="0" borderId="0" xfId="67" applyFont="1" applyBorder="1" applyAlignment="1">
      <alignment horizontal="center"/>
      <protection/>
    </xf>
    <xf numFmtId="0" fontId="58" fillId="0" borderId="0" xfId="67" applyFont="1" applyBorder="1" applyAlignment="1" applyProtection="1">
      <alignment horizontal="left"/>
      <protection/>
    </xf>
    <xf numFmtId="0" fontId="13" fillId="0" borderId="0" xfId="67" applyFont="1" applyBorder="1" applyAlignment="1" quotePrefix="1">
      <alignment horizontal="center"/>
      <protection/>
    </xf>
    <xf numFmtId="166" fontId="13" fillId="0" borderId="0" xfId="67" applyNumberFormat="1" applyFont="1" applyBorder="1" applyAlignment="1" applyProtection="1">
      <alignment horizontal="center"/>
      <protection/>
    </xf>
    <xf numFmtId="166" fontId="65" fillId="18" borderId="36" xfId="67" applyNumberFormat="1" applyFont="1" applyFill="1" applyBorder="1" applyAlignment="1" applyProtection="1" quotePrefix="1">
      <alignment horizontal="center"/>
      <protection/>
    </xf>
    <xf numFmtId="166" fontId="65" fillId="3" borderId="36" xfId="67" applyNumberFormat="1" applyFont="1" applyFill="1" applyBorder="1" applyAlignment="1" applyProtection="1" quotePrefix="1">
      <alignment horizontal="center"/>
      <protection/>
    </xf>
    <xf numFmtId="166" fontId="65" fillId="34" borderId="36" xfId="67" applyNumberFormat="1" applyFont="1" applyFill="1" applyBorder="1" applyAlignment="1" applyProtection="1" quotePrefix="1">
      <alignment horizontal="center"/>
      <protection/>
    </xf>
    <xf numFmtId="0" fontId="103" fillId="0" borderId="14" xfId="67" applyFont="1" applyBorder="1">
      <alignment/>
      <protection/>
    </xf>
    <xf numFmtId="0" fontId="58" fillId="0" borderId="0" xfId="67" applyFont="1" applyBorder="1" applyAlignment="1" applyProtection="1">
      <alignment horizontal="left" vertical="top"/>
      <protection/>
    </xf>
    <xf numFmtId="0" fontId="103" fillId="0" borderId="0" xfId="67" applyFont="1">
      <alignment/>
      <protection/>
    </xf>
    <xf numFmtId="0" fontId="57" fillId="0" borderId="0" xfId="67" applyFont="1" applyBorder="1" applyAlignment="1" quotePrefix="1">
      <alignment horizontal="center"/>
      <protection/>
    </xf>
    <xf numFmtId="166" fontId="57" fillId="0" borderId="0" xfId="67" applyNumberFormat="1" applyFont="1" applyBorder="1" applyAlignment="1" applyProtection="1">
      <alignment horizontal="center"/>
      <protection/>
    </xf>
    <xf numFmtId="2" fontId="104" fillId="0" borderId="0" xfId="67" applyNumberFormat="1" applyFont="1" applyBorder="1" applyAlignment="1" applyProtection="1">
      <alignment horizontal="center"/>
      <protection/>
    </xf>
    <xf numFmtId="166" fontId="105" fillId="0" borderId="0" xfId="67" applyNumberFormat="1" applyFont="1" applyBorder="1" applyAlignment="1" applyProtection="1" quotePrefix="1">
      <alignment horizontal="center"/>
      <protection/>
    </xf>
    <xf numFmtId="166" fontId="57" fillId="0" borderId="0" xfId="67" applyNumberFormat="1" applyFont="1" applyFill="1" applyBorder="1" applyAlignment="1">
      <alignment horizontal="center"/>
      <protection/>
    </xf>
    <xf numFmtId="4" fontId="103" fillId="0" borderId="15" xfId="67" applyNumberFormat="1" applyFont="1" applyFill="1" applyBorder="1" applyAlignment="1">
      <alignment horizontal="center"/>
      <protection/>
    </xf>
    <xf numFmtId="0" fontId="3" fillId="0" borderId="18" xfId="67" applyBorder="1">
      <alignment/>
      <protection/>
    </xf>
    <xf numFmtId="0" fontId="3" fillId="0" borderId="19" xfId="67" applyBorder="1">
      <alignment/>
      <protection/>
    </xf>
    <xf numFmtId="0" fontId="3" fillId="0" borderId="19" xfId="67" applyFill="1" applyBorder="1">
      <alignment/>
      <protection/>
    </xf>
    <xf numFmtId="0" fontId="3" fillId="0" borderId="20" xfId="67" applyBorder="1">
      <alignment/>
      <protection/>
    </xf>
    <xf numFmtId="1" fontId="13" fillId="0" borderId="49" xfId="70" applyNumberFormat="1" applyFont="1" applyBorder="1" applyAlignment="1" applyProtection="1">
      <alignment horizontal="center"/>
      <protection locked="0"/>
    </xf>
    <xf numFmtId="164" fontId="49" fillId="0" borderId="28" xfId="70" applyNumberFormat="1" applyFont="1" applyBorder="1" applyAlignment="1" applyProtection="1">
      <alignment horizontal="center"/>
      <protection locked="0"/>
    </xf>
    <xf numFmtId="168" fontId="13" fillId="0" borderId="29" xfId="70" applyNumberFormat="1" applyFont="1" applyBorder="1" applyAlignment="1" applyProtection="1">
      <alignment horizontal="center"/>
      <protection/>
    </xf>
    <xf numFmtId="0" fontId="110" fillId="0" borderId="0" xfId="71" applyFont="1">
      <alignment/>
      <protection/>
    </xf>
    <xf numFmtId="0" fontId="8" fillId="0" borderId="0" xfId="71" applyFont="1">
      <alignment/>
      <protection/>
    </xf>
    <xf numFmtId="0" fontId="3" fillId="0" borderId="0" xfId="71">
      <alignment/>
      <protection/>
    </xf>
    <xf numFmtId="0" fontId="11" fillId="0" borderId="0" xfId="71" applyFont="1" applyAlignment="1">
      <alignment horizontal="right" vertical="top"/>
      <protection/>
    </xf>
    <xf numFmtId="0" fontId="8" fillId="0" borderId="0" xfId="71" applyFont="1" applyFill="1">
      <alignment/>
      <protection/>
    </xf>
    <xf numFmtId="0" fontId="9" fillId="0" borderId="0" xfId="71" applyFont="1" applyAlignment="1">
      <alignment horizontal="centerContinuous"/>
      <protection/>
    </xf>
    <xf numFmtId="0" fontId="13" fillId="0" borderId="0" xfId="71" applyFont="1" applyFill="1">
      <alignment/>
      <protection/>
    </xf>
    <xf numFmtId="0" fontId="13" fillId="0" borderId="0" xfId="71" applyFont="1">
      <alignment/>
      <protection/>
    </xf>
    <xf numFmtId="0" fontId="6" fillId="0" borderId="0" xfId="71" applyFont="1" applyFill="1" applyBorder="1" applyAlignment="1" applyProtection="1">
      <alignment horizontal="centerContinuous"/>
      <protection/>
    </xf>
    <xf numFmtId="0" fontId="14" fillId="0" borderId="0" xfId="71" applyFont="1" applyAlignment="1">
      <alignment horizontal="centerContinuous"/>
      <protection/>
    </xf>
    <xf numFmtId="0" fontId="14" fillId="0" borderId="0" xfId="71" applyFont="1">
      <alignment/>
      <protection/>
    </xf>
    <xf numFmtId="0" fontId="13" fillId="0" borderId="11" xfId="71" applyFont="1" applyBorder="1">
      <alignment/>
      <protection/>
    </xf>
    <xf numFmtId="0" fontId="13" fillId="0" borderId="12" xfId="71" applyFont="1" applyBorder="1">
      <alignment/>
      <protection/>
    </xf>
    <xf numFmtId="0" fontId="13" fillId="0" borderId="12" xfId="71" applyFont="1" applyBorder="1" applyAlignment="1" applyProtection="1">
      <alignment horizontal="left"/>
      <protection/>
    </xf>
    <xf numFmtId="0" fontId="13" fillId="0" borderId="13" xfId="71" applyFont="1" applyFill="1" applyBorder="1">
      <alignment/>
      <protection/>
    </xf>
    <xf numFmtId="0" fontId="16" fillId="0" borderId="0" xfId="71" applyFont="1">
      <alignment/>
      <protection/>
    </xf>
    <xf numFmtId="0" fontId="16" fillId="0" borderId="14" xfId="71" applyFont="1" applyBorder="1">
      <alignment/>
      <protection/>
    </xf>
    <xf numFmtId="0" fontId="16" fillId="0" borderId="0" xfId="71" applyFont="1" applyBorder="1">
      <alignment/>
      <protection/>
    </xf>
    <xf numFmtId="0" fontId="20" fillId="0" borderId="0" xfId="71" applyFont="1" applyBorder="1" applyAlignment="1">
      <alignment horizontal="left"/>
      <protection/>
    </xf>
    <xf numFmtId="0" fontId="20" fillId="0" borderId="0" xfId="71" applyFont="1" applyBorder="1">
      <alignment/>
      <protection/>
    </xf>
    <xf numFmtId="0" fontId="16" fillId="0" borderId="15" xfId="71" applyFont="1" applyFill="1" applyBorder="1">
      <alignment/>
      <protection/>
    </xf>
    <xf numFmtId="0" fontId="13" fillId="0" borderId="14" xfId="71" applyFont="1" applyBorder="1">
      <alignment/>
      <protection/>
    </xf>
    <xf numFmtId="0" fontId="13" fillId="0" borderId="0" xfId="71" applyFont="1" applyBorder="1">
      <alignment/>
      <protection/>
    </xf>
    <xf numFmtId="0" fontId="13" fillId="0" borderId="15" xfId="71" applyFont="1" applyFill="1" applyBorder="1">
      <alignment/>
      <protection/>
    </xf>
    <xf numFmtId="0" fontId="16" fillId="0" borderId="0" xfId="71" applyFont="1" applyAlignment="1">
      <alignment vertical="top"/>
      <protection/>
    </xf>
    <xf numFmtId="0" fontId="16" fillId="0" borderId="14" xfId="71" applyFont="1" applyBorder="1" applyAlignment="1">
      <alignment vertical="top"/>
      <protection/>
    </xf>
    <xf numFmtId="0" fontId="16" fillId="0" borderId="0" xfId="71" applyFont="1" applyBorder="1" applyAlignment="1">
      <alignment vertical="top"/>
      <protection/>
    </xf>
    <xf numFmtId="0" fontId="20" fillId="0" borderId="0" xfId="71" applyFont="1" applyBorder="1" applyAlignment="1">
      <alignment vertical="top"/>
      <protection/>
    </xf>
    <xf numFmtId="0" fontId="16" fillId="0" borderId="15" xfId="71" applyFont="1" applyFill="1" applyBorder="1" applyAlignment="1">
      <alignment vertical="top"/>
      <protection/>
    </xf>
    <xf numFmtId="0" fontId="13" fillId="0" borderId="0" xfId="71" applyFont="1" applyAlignment="1">
      <alignment vertical="top"/>
      <protection/>
    </xf>
    <xf numFmtId="0" fontId="13" fillId="0" borderId="14" xfId="71" applyFont="1" applyBorder="1" applyAlignment="1">
      <alignment vertical="top"/>
      <protection/>
    </xf>
    <xf numFmtId="0" fontId="13" fillId="0" borderId="0" xfId="71" applyFont="1" applyBorder="1" applyAlignment="1">
      <alignment vertical="top"/>
      <protection/>
    </xf>
    <xf numFmtId="0" fontId="20" fillId="0" borderId="0" xfId="71" applyFont="1" applyBorder="1" applyAlignment="1">
      <alignment horizontal="left" vertical="top"/>
      <protection/>
    </xf>
    <xf numFmtId="0" fontId="13" fillId="0" borderId="0" xfId="71" applyFont="1" applyBorder="1" applyAlignment="1" applyProtection="1">
      <alignment vertical="top"/>
      <protection/>
    </xf>
    <xf numFmtId="0" fontId="13" fillId="0" borderId="15" xfId="71" applyFont="1" applyFill="1" applyBorder="1" applyAlignment="1">
      <alignment vertical="top"/>
      <protection/>
    </xf>
    <xf numFmtId="0" fontId="23" fillId="0" borderId="0" xfId="71" applyFont="1">
      <alignment/>
      <protection/>
    </xf>
    <xf numFmtId="0" fontId="24" fillId="0" borderId="14" xfId="71" applyFont="1" applyBorder="1" applyAlignment="1">
      <alignment horizontal="centerContinuous"/>
      <protection/>
    </xf>
    <xf numFmtId="0" fontId="24" fillId="0" borderId="0" xfId="71" applyFont="1" applyBorder="1" applyAlignment="1">
      <alignment horizontal="centerContinuous"/>
      <protection/>
    </xf>
    <xf numFmtId="0" fontId="24" fillId="0" borderId="0" xfId="71" applyFont="1" applyAlignment="1">
      <alignment horizontal="centerContinuous"/>
      <protection/>
    </xf>
    <xf numFmtId="0" fontId="24" fillId="0" borderId="15" xfId="71" applyFont="1" applyFill="1" applyBorder="1" applyAlignment="1">
      <alignment horizontal="centerContinuous"/>
      <protection/>
    </xf>
    <xf numFmtId="0" fontId="13" fillId="0" borderId="0" xfId="71" applyFont="1" applyBorder="1" applyAlignment="1">
      <alignment horizontal="center"/>
      <protection/>
    </xf>
    <xf numFmtId="0" fontId="25" fillId="0" borderId="0" xfId="71" applyFont="1" applyBorder="1" applyAlignment="1">
      <alignment horizontal="left"/>
      <protection/>
    </xf>
    <xf numFmtId="0" fontId="3" fillId="0" borderId="16" xfId="71" applyFont="1" applyBorder="1" applyAlignment="1" applyProtection="1">
      <alignment horizontal="center"/>
      <protection/>
    </xf>
    <xf numFmtId="173" fontId="0" fillId="0" borderId="16" xfId="71" applyNumberFormat="1" applyFont="1" applyBorder="1" applyAlignment="1">
      <alignment horizontal="centerContinuous"/>
      <protection/>
    </xf>
    <xf numFmtId="0" fontId="3" fillId="0" borderId="17" xfId="71" applyBorder="1" applyAlignment="1">
      <alignment horizontal="centerContinuous"/>
      <protection/>
    </xf>
    <xf numFmtId="169" fontId="0" fillId="0" borderId="16" xfId="71" applyNumberFormat="1" applyFont="1" applyBorder="1" applyAlignment="1">
      <alignment horizontal="centerContinuous"/>
      <protection/>
    </xf>
    <xf numFmtId="0" fontId="3" fillId="0" borderId="0" xfId="71" applyFont="1" applyBorder="1" applyAlignment="1" applyProtection="1">
      <alignment horizontal="center"/>
      <protection/>
    </xf>
    <xf numFmtId="169" fontId="3" fillId="0" borderId="0" xfId="71" applyNumberFormat="1" applyFont="1" applyBorder="1" applyAlignment="1">
      <alignment horizontal="centerContinuous"/>
      <protection/>
    </xf>
    <xf numFmtId="22" fontId="13" fillId="0" borderId="0" xfId="71" applyNumberFormat="1" applyFont="1" applyBorder="1">
      <alignment/>
      <protection/>
    </xf>
    <xf numFmtId="0" fontId="29" fillId="0" borderId="0" xfId="71" applyFont="1" applyBorder="1">
      <alignment/>
      <protection/>
    </xf>
    <xf numFmtId="0" fontId="30" fillId="0" borderId="21" xfId="71" applyFont="1" applyBorder="1" applyAlignment="1">
      <alignment horizontal="center" vertical="center"/>
      <protection/>
    </xf>
    <xf numFmtId="0" fontId="30" fillId="0" borderId="21" xfId="71" applyFont="1" applyBorder="1" applyAlignment="1" applyProtection="1">
      <alignment horizontal="center" vertical="center"/>
      <protection/>
    </xf>
    <xf numFmtId="164" fontId="30" fillId="0" borderId="21" xfId="71" applyNumberFormat="1" applyFont="1" applyBorder="1" applyAlignment="1" applyProtection="1">
      <alignment horizontal="center" vertical="center" wrapText="1"/>
      <protection/>
    </xf>
    <xf numFmtId="0" fontId="30" fillId="0" borderId="21" xfId="71" applyFont="1" applyBorder="1" applyAlignment="1" applyProtection="1">
      <alignment horizontal="center" vertical="center" wrapText="1"/>
      <protection/>
    </xf>
    <xf numFmtId="166" fontId="30" fillId="0" borderId="21" xfId="71" applyNumberFormat="1" applyFont="1" applyBorder="1" applyAlignment="1" applyProtection="1">
      <alignment horizontal="center" vertical="center"/>
      <protection/>
    </xf>
    <xf numFmtId="166" fontId="31" fillId="32" borderId="21" xfId="71" applyNumberFormat="1" applyFont="1" applyFill="1" applyBorder="1" applyAlignment="1" applyProtection="1">
      <alignment horizontal="center" vertical="center"/>
      <protection/>
    </xf>
    <xf numFmtId="0" fontId="32" fillId="33" borderId="21" xfId="71" applyFont="1" applyFill="1" applyBorder="1" applyAlignment="1" applyProtection="1">
      <alignment horizontal="center" vertical="center"/>
      <protection/>
    </xf>
    <xf numFmtId="0" fontId="30" fillId="0" borderId="16" xfId="71" applyFont="1" applyBorder="1" applyAlignment="1" applyProtection="1">
      <alignment horizontal="center" vertical="center"/>
      <protection/>
    </xf>
    <xf numFmtId="0" fontId="30" fillId="0" borderId="16" xfId="71" applyFont="1" applyBorder="1" applyAlignment="1" applyProtection="1">
      <alignment horizontal="center" vertical="center" wrapText="1"/>
      <protection/>
    </xf>
    <xf numFmtId="0" fontId="34" fillId="34" borderId="21" xfId="71" applyFont="1" applyFill="1" applyBorder="1" applyAlignment="1">
      <alignment horizontal="center" vertical="center" wrapText="1"/>
      <protection/>
    </xf>
    <xf numFmtId="0" fontId="35" fillId="35" borderId="21" xfId="71" applyFont="1" applyFill="1" applyBorder="1" applyAlignment="1">
      <alignment horizontal="center" vertical="center" wrapText="1"/>
      <protection/>
    </xf>
    <xf numFmtId="0" fontId="36" fillId="36" borderId="16" xfId="71" applyFont="1" applyFill="1" applyBorder="1" applyAlignment="1" applyProtection="1">
      <alignment horizontal="centerContinuous" vertical="center" wrapText="1"/>
      <protection/>
    </xf>
    <xf numFmtId="0" fontId="7" fillId="36" borderId="22" xfId="71" applyFont="1" applyFill="1" applyBorder="1" applyAlignment="1">
      <alignment horizontal="centerContinuous"/>
      <protection/>
    </xf>
    <xf numFmtId="0" fontId="36" fillId="36" borderId="17" xfId="71" applyFont="1" applyFill="1" applyBorder="1" applyAlignment="1">
      <alignment horizontal="centerContinuous" vertical="center"/>
      <protection/>
    </xf>
    <xf numFmtId="0" fontId="37" fillId="2" borderId="16" xfId="71" applyFont="1" applyFill="1" applyBorder="1" applyAlignment="1">
      <alignment horizontal="centerContinuous" vertical="center" wrapText="1"/>
      <protection/>
    </xf>
    <xf numFmtId="0" fontId="38" fillId="2" borderId="22" xfId="71" applyFont="1" applyFill="1" applyBorder="1" applyAlignment="1">
      <alignment horizontal="centerContinuous"/>
      <protection/>
    </xf>
    <xf numFmtId="0" fontId="37" fillId="2" borderId="17" xfId="71" applyFont="1" applyFill="1" applyBorder="1" applyAlignment="1">
      <alignment horizontal="centerContinuous" vertical="center"/>
      <protection/>
    </xf>
    <xf numFmtId="0" fontId="39" fillId="3" borderId="21" xfId="71" applyFont="1" applyFill="1" applyBorder="1" applyAlignment="1">
      <alignment horizontal="center" vertical="center" wrapText="1"/>
      <protection/>
    </xf>
    <xf numFmtId="0" fontId="40" fillId="37" borderId="21" xfId="71" applyFont="1" applyFill="1" applyBorder="1" applyAlignment="1">
      <alignment horizontal="center" vertical="center" wrapText="1"/>
      <protection/>
    </xf>
    <xf numFmtId="0" fontId="30" fillId="0" borderId="21" xfId="71" applyFont="1" applyBorder="1" applyAlignment="1">
      <alignment horizontal="center" vertical="center" wrapText="1"/>
      <protection/>
    </xf>
    <xf numFmtId="0" fontId="13" fillId="0" borderId="15" xfId="71" applyFont="1" applyFill="1" applyBorder="1" applyAlignment="1">
      <alignment horizontal="center"/>
      <protection/>
    </xf>
    <xf numFmtId="0" fontId="13" fillId="0" borderId="23" xfId="71" applyFont="1" applyBorder="1">
      <alignment/>
      <protection/>
    </xf>
    <xf numFmtId="0" fontId="13" fillId="0" borderId="23" xfId="71" applyFont="1" applyFill="1" applyBorder="1" applyAlignment="1">
      <alignment horizontal="center"/>
      <protection/>
    </xf>
    <xf numFmtId="167" fontId="13" fillId="0" borderId="23" xfId="71" applyNumberFormat="1" applyFont="1" applyFill="1" applyBorder="1">
      <alignment/>
      <protection/>
    </xf>
    <xf numFmtId="0" fontId="13" fillId="0" borderId="23" xfId="71" applyFont="1" applyFill="1" applyBorder="1">
      <alignment/>
      <protection/>
    </xf>
    <xf numFmtId="0" fontId="41" fillId="0" borderId="23" xfId="71" applyFont="1" applyFill="1" applyBorder="1">
      <alignment/>
      <protection/>
    </xf>
    <xf numFmtId="0" fontId="42" fillId="0" borderId="23" xfId="71" applyFont="1" applyFill="1" applyBorder="1">
      <alignment/>
      <protection/>
    </xf>
    <xf numFmtId="22" fontId="13" fillId="0" borderId="23" xfId="71" applyNumberFormat="1" applyFont="1" applyFill="1" applyBorder="1">
      <alignment/>
      <protection/>
    </xf>
    <xf numFmtId="0" fontId="43" fillId="0" borderId="23" xfId="71" applyFont="1" applyFill="1" applyBorder="1">
      <alignment/>
      <protection/>
    </xf>
    <xf numFmtId="0" fontId="44" fillId="0" borderId="23" xfId="71" applyFont="1" applyFill="1" applyBorder="1">
      <alignment/>
      <protection/>
    </xf>
    <xf numFmtId="0" fontId="13" fillId="0" borderId="24" xfId="71" applyFont="1" applyFill="1" applyBorder="1">
      <alignment/>
      <protection/>
    </xf>
    <xf numFmtId="0" fontId="13" fillId="0" borderId="25" xfId="71" applyFont="1" applyFill="1" applyBorder="1">
      <alignment/>
      <protection/>
    </xf>
    <xf numFmtId="0" fontId="13" fillId="0" borderId="26" xfId="71" applyFont="1" applyFill="1" applyBorder="1">
      <alignment/>
      <protection/>
    </xf>
    <xf numFmtId="0" fontId="45" fillId="0" borderId="24" xfId="71" applyFont="1" applyFill="1" applyBorder="1">
      <alignment/>
      <protection/>
    </xf>
    <xf numFmtId="0" fontId="45" fillId="0" borderId="25" xfId="71" applyFont="1" applyFill="1" applyBorder="1">
      <alignment/>
      <protection/>
    </xf>
    <xf numFmtId="0" fontId="45" fillId="0" borderId="26" xfId="71" applyFont="1" applyFill="1" applyBorder="1">
      <alignment/>
      <protection/>
    </xf>
    <xf numFmtId="0" fontId="46" fillId="0" borderId="23" xfId="71" applyFont="1" applyFill="1" applyBorder="1">
      <alignment/>
      <protection/>
    </xf>
    <xf numFmtId="0" fontId="47" fillId="0" borderId="23" xfId="71" applyFont="1" applyFill="1" applyBorder="1">
      <alignment/>
      <protection/>
    </xf>
    <xf numFmtId="7" fontId="48" fillId="0" borderId="23" xfId="71" applyNumberFormat="1" applyFont="1" applyBorder="1" applyAlignment="1">
      <alignment/>
      <protection/>
    </xf>
    <xf numFmtId="0" fontId="13" fillId="0" borderId="28" xfId="71" applyFont="1" applyFill="1" applyBorder="1" applyAlignment="1">
      <alignment horizontal="center"/>
      <protection/>
    </xf>
    <xf numFmtId="0" fontId="13" fillId="0" borderId="28" xfId="68" applyFont="1" applyFill="1" applyBorder="1" applyAlignment="1" applyProtection="1">
      <alignment horizontal="center"/>
      <protection locked="0"/>
    </xf>
    <xf numFmtId="164" fontId="13" fillId="0" borderId="28" xfId="68" applyNumberFormat="1" applyFont="1" applyFill="1" applyBorder="1" applyAlignment="1" applyProtection="1">
      <alignment horizontal="center"/>
      <protection locked="0"/>
    </xf>
    <xf numFmtId="167" fontId="13" fillId="0" borderId="28" xfId="68" applyNumberFormat="1" applyFont="1" applyFill="1" applyBorder="1" applyAlignment="1" applyProtection="1">
      <alignment horizontal="center"/>
      <protection locked="0"/>
    </xf>
    <xf numFmtId="0" fontId="41" fillId="32" borderId="28" xfId="71" applyFont="1" applyFill="1" applyBorder="1" applyAlignment="1" applyProtection="1">
      <alignment horizontal="center"/>
      <protection/>
    </xf>
    <xf numFmtId="169" fontId="42" fillId="33" borderId="28" xfId="71" applyNumberFormat="1" applyFont="1" applyFill="1" applyBorder="1" applyAlignment="1" applyProtection="1">
      <alignment horizontal="center"/>
      <protection/>
    </xf>
    <xf numFmtId="22" fontId="13" fillId="0" borderId="29" xfId="71" applyNumberFormat="1" applyFont="1" applyFill="1" applyBorder="1" applyAlignment="1" applyProtection="1">
      <alignment horizontal="center"/>
      <protection locked="0"/>
    </xf>
    <xf numFmtId="22" fontId="13" fillId="0" borderId="32" xfId="71" applyNumberFormat="1" applyFont="1" applyFill="1" applyBorder="1" applyAlignment="1" applyProtection="1">
      <alignment horizontal="center"/>
      <protection locked="0"/>
    </xf>
    <xf numFmtId="4" fontId="13" fillId="38" borderId="28" xfId="71" applyNumberFormat="1" applyFont="1" applyFill="1" applyBorder="1" applyAlignment="1" applyProtection="1" quotePrefix="1">
      <alignment horizontal="center"/>
      <protection/>
    </xf>
    <xf numFmtId="164" fontId="13" fillId="38" borderId="28" xfId="71" applyNumberFormat="1" applyFont="1" applyFill="1" applyBorder="1" applyAlignment="1" applyProtection="1" quotePrefix="1">
      <alignment horizontal="center"/>
      <protection/>
    </xf>
    <xf numFmtId="166" fontId="13" fillId="0" borderId="29" xfId="71" applyNumberFormat="1" applyFont="1" applyBorder="1" applyAlignment="1" applyProtection="1">
      <alignment horizontal="center"/>
      <protection locked="0"/>
    </xf>
    <xf numFmtId="168" fontId="13" fillId="0" borderId="28" xfId="71" applyNumberFormat="1" applyFont="1" applyBorder="1" applyAlignment="1" applyProtection="1" quotePrefix="1">
      <alignment horizontal="center"/>
      <protection/>
    </xf>
    <xf numFmtId="166" fontId="13" fillId="0" borderId="28" xfId="71" applyNumberFormat="1" applyFont="1" applyBorder="1" applyAlignment="1" applyProtection="1">
      <alignment horizontal="center"/>
      <protection/>
    </xf>
    <xf numFmtId="2" fontId="50" fillId="34" borderId="28" xfId="71" applyNumberFormat="1" applyFont="1" applyFill="1" applyBorder="1" applyAlignment="1" applyProtection="1">
      <alignment horizontal="center"/>
      <protection/>
    </xf>
    <xf numFmtId="2" fontId="51" fillId="35" borderId="29" xfId="71" applyNumberFormat="1" applyFont="1" applyFill="1" applyBorder="1" applyAlignment="1" applyProtection="1">
      <alignment horizontal="center"/>
      <protection/>
    </xf>
    <xf numFmtId="166" fontId="52" fillId="36" borderId="30" xfId="71" applyNumberFormat="1" applyFont="1" applyFill="1" applyBorder="1" applyAlignment="1" applyProtection="1" quotePrefix="1">
      <alignment horizontal="center"/>
      <protection/>
    </xf>
    <xf numFmtId="166" fontId="52" fillId="36" borderId="31" xfId="71" applyNumberFormat="1" applyFont="1" applyFill="1" applyBorder="1" applyAlignment="1" applyProtection="1" quotePrefix="1">
      <alignment horizontal="center"/>
      <protection/>
    </xf>
    <xf numFmtId="4" fontId="52" fillId="36" borderId="29" xfId="71" applyNumberFormat="1" applyFont="1" applyFill="1" applyBorder="1" applyAlignment="1" applyProtection="1">
      <alignment horizontal="center"/>
      <protection/>
    </xf>
    <xf numFmtId="166" fontId="53" fillId="2" borderId="30" xfId="71" applyNumberFormat="1" applyFont="1" applyFill="1" applyBorder="1" applyAlignment="1" applyProtection="1" quotePrefix="1">
      <alignment horizontal="center"/>
      <protection/>
    </xf>
    <xf numFmtId="166" fontId="53" fillId="2" borderId="31" xfId="71" applyNumberFormat="1" applyFont="1" applyFill="1" applyBorder="1" applyAlignment="1" applyProtection="1" quotePrefix="1">
      <alignment horizontal="center"/>
      <protection/>
    </xf>
    <xf numFmtId="4" fontId="53" fillId="2" borderId="29" xfId="71" applyNumberFormat="1" applyFont="1" applyFill="1" applyBorder="1" applyAlignment="1" applyProtection="1">
      <alignment horizontal="center"/>
      <protection/>
    </xf>
    <xf numFmtId="4" fontId="54" fillId="3" borderId="28" xfId="71" applyNumberFormat="1" applyFont="1" applyFill="1" applyBorder="1" applyAlignment="1" applyProtection="1">
      <alignment horizontal="center"/>
      <protection/>
    </xf>
    <xf numFmtId="4" fontId="55" fillId="37" borderId="28" xfId="71" applyNumberFormat="1" applyFont="1" applyFill="1" applyBorder="1" applyAlignment="1" applyProtection="1">
      <alignment horizontal="center"/>
      <protection/>
    </xf>
    <xf numFmtId="4" fontId="13" fillId="0" borderId="28" xfId="71" applyNumberFormat="1" applyFont="1" applyBorder="1" applyAlignment="1" applyProtection="1">
      <alignment horizontal="center"/>
      <protection/>
    </xf>
    <xf numFmtId="4" fontId="48" fillId="0" borderId="29" xfId="71" applyNumberFormat="1" applyFont="1" applyFill="1" applyBorder="1" applyAlignment="1">
      <alignment horizontal="right"/>
      <protection/>
    </xf>
    <xf numFmtId="0" fontId="13" fillId="0" borderId="28" xfId="71" applyFont="1" applyFill="1" applyBorder="1" applyAlignment="1" applyProtection="1">
      <alignment horizontal="center"/>
      <protection locked="0"/>
    </xf>
    <xf numFmtId="4" fontId="49" fillId="0" borderId="28" xfId="71" applyNumberFormat="1" applyFont="1" applyBorder="1" applyAlignment="1" applyProtection="1">
      <alignment horizontal="center"/>
      <protection/>
    </xf>
    <xf numFmtId="2" fontId="13" fillId="0" borderId="15" xfId="71" applyNumberFormat="1" applyFont="1" applyFill="1" applyBorder="1" applyAlignment="1">
      <alignment horizontal="center"/>
      <protection/>
    </xf>
    <xf numFmtId="0" fontId="13" fillId="0" borderId="27" xfId="71" applyFont="1" applyFill="1" applyBorder="1" applyAlignment="1">
      <alignment horizontal="center"/>
      <protection/>
    </xf>
    <xf numFmtId="0" fontId="13" fillId="0" borderId="28" xfId="71" applyFont="1" applyBorder="1" applyAlignment="1" applyProtection="1">
      <alignment horizontal="center"/>
      <protection locked="0"/>
    </xf>
    <xf numFmtId="164" fontId="13" fillId="0" borderId="28" xfId="71" applyNumberFormat="1" applyFont="1" applyBorder="1" applyAlignment="1" applyProtection="1">
      <alignment horizontal="center"/>
      <protection locked="0"/>
    </xf>
    <xf numFmtId="167" fontId="13" fillId="0" borderId="28" xfId="71" applyNumberFormat="1" applyFont="1" applyBorder="1" applyAlignment="1" applyProtection="1">
      <alignment horizontal="center"/>
      <protection locked="0"/>
    </xf>
    <xf numFmtId="22" fontId="13" fillId="0" borderId="29" xfId="71" applyNumberFormat="1" applyFont="1" applyBorder="1" applyAlignment="1" applyProtection="1">
      <alignment horizontal="center"/>
      <protection locked="0"/>
    </xf>
    <xf numFmtId="22" fontId="13" fillId="0" borderId="32" xfId="71" applyNumberFormat="1" applyFont="1" applyBorder="1" applyAlignment="1" applyProtection="1">
      <alignment horizontal="center"/>
      <protection locked="0"/>
    </xf>
    <xf numFmtId="22" fontId="13" fillId="0" borderId="33" xfId="71" applyNumberFormat="1" applyFont="1" applyBorder="1" applyAlignment="1" applyProtection="1">
      <alignment horizontal="center"/>
      <protection locked="0"/>
    </xf>
    <xf numFmtId="0" fontId="13" fillId="0" borderId="34" xfId="71" applyFont="1" applyFill="1" applyBorder="1" applyAlignment="1" applyProtection="1">
      <alignment horizontal="center"/>
      <protection locked="0"/>
    </xf>
    <xf numFmtId="0" fontId="13" fillId="0" borderId="36" xfId="71" applyFont="1" applyBorder="1" applyAlignment="1" applyProtection="1">
      <alignment horizontal="center"/>
      <protection locked="0"/>
    </xf>
    <xf numFmtId="164" fontId="49" fillId="0" borderId="36" xfId="71" applyNumberFormat="1" applyFont="1" applyBorder="1" applyAlignment="1" applyProtection="1">
      <alignment horizontal="center"/>
      <protection locked="0"/>
    </xf>
    <xf numFmtId="167" fontId="13" fillId="0" borderId="36" xfId="71" applyNumberFormat="1" applyFont="1" applyBorder="1" applyAlignment="1" applyProtection="1">
      <alignment horizontal="center"/>
      <protection locked="0"/>
    </xf>
    <xf numFmtId="165" fontId="13" fillId="0" borderId="36" xfId="71" applyNumberFormat="1" applyFont="1" applyBorder="1" applyAlignment="1" applyProtection="1">
      <alignment horizontal="center"/>
      <protection locked="0"/>
    </xf>
    <xf numFmtId="0" fontId="41" fillId="32" borderId="36" xfId="71" applyFont="1" applyFill="1" applyBorder="1" applyAlignment="1" applyProtection="1">
      <alignment horizontal="center"/>
      <protection/>
    </xf>
    <xf numFmtId="169" fontId="42" fillId="33" borderId="36" xfId="71" applyNumberFormat="1" applyFont="1" applyFill="1" applyBorder="1" applyAlignment="1" applyProtection="1">
      <alignment horizontal="center"/>
      <protection/>
    </xf>
    <xf numFmtId="22" fontId="13" fillId="0" borderId="36" xfId="71" applyNumberFormat="1" applyFont="1" applyBorder="1" applyAlignment="1" applyProtection="1">
      <alignment horizontal="center"/>
      <protection locked="0"/>
    </xf>
    <xf numFmtId="166" fontId="13" fillId="0" borderId="36" xfId="71" applyNumberFormat="1" applyFont="1" applyBorder="1" applyAlignment="1" applyProtection="1">
      <alignment horizontal="center"/>
      <protection/>
    </xf>
    <xf numFmtId="166" fontId="13" fillId="0" borderId="36" xfId="71" applyNumberFormat="1" applyFont="1" applyBorder="1" applyAlignment="1" applyProtection="1">
      <alignment horizontal="center"/>
      <protection locked="0"/>
    </xf>
    <xf numFmtId="168" fontId="13" fillId="0" borderId="36" xfId="71" applyNumberFormat="1" applyFont="1" applyBorder="1" applyAlignment="1" applyProtection="1" quotePrefix="1">
      <alignment horizontal="center"/>
      <protection locked="0"/>
    </xf>
    <xf numFmtId="2" fontId="43" fillId="34" borderId="36" xfId="71" applyNumberFormat="1" applyFont="1" applyFill="1" applyBorder="1" applyAlignment="1" applyProtection="1">
      <alignment horizontal="center"/>
      <protection locked="0"/>
    </xf>
    <xf numFmtId="2" fontId="51" fillId="35" borderId="36" xfId="71" applyNumberFormat="1" applyFont="1" applyFill="1" applyBorder="1" applyAlignment="1" applyProtection="1">
      <alignment horizontal="center"/>
      <protection locked="0"/>
    </xf>
    <xf numFmtId="166" fontId="52" fillId="36" borderId="37" xfId="71" applyNumberFormat="1" applyFont="1" applyFill="1" applyBorder="1" applyAlignment="1" applyProtection="1" quotePrefix="1">
      <alignment horizontal="center"/>
      <protection locked="0"/>
    </xf>
    <xf numFmtId="166" fontId="52" fillId="36" borderId="38" xfId="71" applyNumberFormat="1" applyFont="1" applyFill="1" applyBorder="1" applyAlignment="1" applyProtection="1" quotePrefix="1">
      <alignment horizontal="center"/>
      <protection locked="0"/>
    </xf>
    <xf numFmtId="4" fontId="52" fillId="36" borderId="39" xfId="71" applyNumberFormat="1" applyFont="1" applyFill="1" applyBorder="1" applyAlignment="1" applyProtection="1">
      <alignment horizontal="center"/>
      <protection locked="0"/>
    </xf>
    <xf numFmtId="166" fontId="53" fillId="2" borderId="37" xfId="71" applyNumberFormat="1" applyFont="1" applyFill="1" applyBorder="1" applyAlignment="1" applyProtection="1" quotePrefix="1">
      <alignment horizontal="center"/>
      <protection locked="0"/>
    </xf>
    <xf numFmtId="166" fontId="53" fillId="2" borderId="38" xfId="71" applyNumberFormat="1" applyFont="1" applyFill="1" applyBorder="1" applyAlignment="1" applyProtection="1" quotePrefix="1">
      <alignment horizontal="center"/>
      <protection locked="0"/>
    </xf>
    <xf numFmtId="4" fontId="53" fillId="2" borderId="39" xfId="71" applyNumberFormat="1" applyFont="1" applyFill="1" applyBorder="1" applyAlignment="1" applyProtection="1">
      <alignment horizontal="center"/>
      <protection locked="0"/>
    </xf>
    <xf numFmtId="4" fontId="54" fillId="3" borderId="36" xfId="71" applyNumberFormat="1" applyFont="1" applyFill="1" applyBorder="1" applyAlignment="1" applyProtection="1">
      <alignment horizontal="center"/>
      <protection locked="0"/>
    </xf>
    <xf numFmtId="4" fontId="55" fillId="37" borderId="36" xfId="71" applyNumberFormat="1" applyFont="1" applyFill="1" applyBorder="1" applyAlignment="1" applyProtection="1">
      <alignment horizontal="center"/>
      <protection locked="0"/>
    </xf>
    <xf numFmtId="4" fontId="49" fillId="0" borderId="36" xfId="71" applyNumberFormat="1" applyFont="1" applyBorder="1" applyAlignment="1" applyProtection="1">
      <alignment horizontal="center"/>
      <protection locked="0"/>
    </xf>
    <xf numFmtId="2" fontId="48" fillId="0" borderId="40" xfId="71" applyNumberFormat="1" applyFont="1" applyFill="1" applyBorder="1" applyAlignment="1">
      <alignment horizontal="right"/>
      <protection/>
    </xf>
    <xf numFmtId="0" fontId="111" fillId="0" borderId="41" xfId="71" applyFont="1" applyBorder="1" applyAlignment="1">
      <alignment horizontal="center"/>
      <protection/>
    </xf>
    <xf numFmtId="0" fontId="112" fillId="0" borderId="0" xfId="71" applyFont="1" applyBorder="1" applyAlignment="1">
      <alignment horizontal="left"/>
      <protection/>
    </xf>
    <xf numFmtId="0" fontId="57" fillId="0" borderId="41" xfId="71" applyFont="1" applyBorder="1" applyAlignment="1">
      <alignment horizontal="center"/>
      <protection/>
    </xf>
    <xf numFmtId="0" fontId="58" fillId="0" borderId="0" xfId="71" applyFont="1" applyBorder="1" applyAlignment="1" applyProtection="1">
      <alignment horizontal="left"/>
      <protection/>
    </xf>
    <xf numFmtId="164" fontId="49" fillId="0" borderId="0" xfId="71" applyNumberFormat="1" applyFont="1" applyBorder="1" applyAlignment="1" applyProtection="1">
      <alignment horizontal="center"/>
      <protection/>
    </xf>
    <xf numFmtId="0" fontId="13" fillId="0" borderId="0" xfId="71" applyFont="1" applyBorder="1" applyAlignment="1" applyProtection="1">
      <alignment horizontal="center"/>
      <protection/>
    </xf>
    <xf numFmtId="165" fontId="13" fillId="0" borderId="0" xfId="71" applyNumberFormat="1" applyFont="1" applyBorder="1" applyAlignment="1" applyProtection="1">
      <alignment horizontal="center"/>
      <protection/>
    </xf>
    <xf numFmtId="166" fontId="13" fillId="0" borderId="0" xfId="71" applyNumberFormat="1" applyFont="1" applyBorder="1" applyAlignment="1" applyProtection="1">
      <alignment horizontal="center"/>
      <protection/>
    </xf>
    <xf numFmtId="168" fontId="13" fillId="0" borderId="0" xfId="71" applyNumberFormat="1" applyFont="1" applyBorder="1" applyAlignment="1" applyProtection="1" quotePrefix="1">
      <alignment horizontal="center"/>
      <protection/>
    </xf>
    <xf numFmtId="2" fontId="50" fillId="34" borderId="21" xfId="71" applyNumberFormat="1" applyFont="1" applyFill="1" applyBorder="1" applyAlignment="1" applyProtection="1">
      <alignment horizontal="center"/>
      <protection/>
    </xf>
    <xf numFmtId="2" fontId="51" fillId="35" borderId="21" xfId="71" applyNumberFormat="1" applyFont="1" applyFill="1" applyBorder="1" applyAlignment="1" applyProtection="1">
      <alignment horizontal="center"/>
      <protection/>
    </xf>
    <xf numFmtId="2" fontId="52" fillId="36" borderId="21" xfId="71" applyNumberFormat="1" applyFont="1" applyFill="1" applyBorder="1" applyAlignment="1" applyProtection="1">
      <alignment horizontal="center"/>
      <protection/>
    </xf>
    <xf numFmtId="2" fontId="53" fillId="2" borderId="21" xfId="71" applyNumberFormat="1" applyFont="1" applyFill="1" applyBorder="1" applyAlignment="1" applyProtection="1">
      <alignment horizontal="center"/>
      <protection/>
    </xf>
    <xf numFmtId="2" fontId="54" fillId="3" borderId="21" xfId="71" applyNumberFormat="1" applyFont="1" applyFill="1" applyBorder="1" applyAlignment="1" applyProtection="1">
      <alignment horizontal="center"/>
      <protection/>
    </xf>
    <xf numFmtId="2" fontId="55" fillId="37" borderId="21" xfId="71" applyNumberFormat="1" applyFont="1" applyFill="1" applyBorder="1" applyAlignment="1" applyProtection="1">
      <alignment horizontal="center"/>
      <protection/>
    </xf>
    <xf numFmtId="2" fontId="59" fillId="0" borderId="42" xfId="71" applyNumberFormat="1" applyFont="1" applyBorder="1" applyAlignment="1" applyProtection="1">
      <alignment horizontal="center"/>
      <protection/>
    </xf>
    <xf numFmtId="7" fontId="4" fillId="0" borderId="21" xfId="71" applyNumberFormat="1" applyFont="1" applyFill="1" applyBorder="1" applyAlignment="1" applyProtection="1">
      <alignment horizontal="right"/>
      <protection/>
    </xf>
    <xf numFmtId="0" fontId="13" fillId="0" borderId="18" xfId="71" applyFont="1" applyBorder="1">
      <alignment/>
      <protection/>
    </xf>
    <xf numFmtId="0" fontId="13" fillId="0" borderId="19" xfId="71" applyFont="1" applyBorder="1">
      <alignment/>
      <protection/>
    </xf>
    <xf numFmtId="0" fontId="13" fillId="0" borderId="20" xfId="71" applyFont="1" applyBorder="1">
      <alignment/>
      <protection/>
    </xf>
    <xf numFmtId="0" fontId="3" fillId="0" borderId="0" xfId="71" applyBorder="1">
      <alignment/>
      <protection/>
    </xf>
    <xf numFmtId="0" fontId="8" fillId="0" borderId="0" xfId="73" applyFont="1">
      <alignment/>
      <protection/>
    </xf>
    <xf numFmtId="0" fontId="11" fillId="0" borderId="0" xfId="73" applyFont="1" applyAlignment="1">
      <alignment horizontal="right" vertical="top"/>
      <protection/>
    </xf>
    <xf numFmtId="0" fontId="8" fillId="0" borderId="0" xfId="73" applyFont="1" applyFill="1">
      <alignment/>
      <protection/>
    </xf>
    <xf numFmtId="0" fontId="9" fillId="0" borderId="0" xfId="73" applyFont="1" applyAlignment="1">
      <alignment horizontal="centerContinuous"/>
      <protection/>
    </xf>
    <xf numFmtId="0" fontId="13" fillId="0" borderId="0" xfId="73" applyFont="1" applyFill="1">
      <alignment/>
      <protection/>
    </xf>
    <xf numFmtId="0" fontId="13" fillId="0" borderId="0" xfId="73" applyFont="1">
      <alignment/>
      <protection/>
    </xf>
    <xf numFmtId="0" fontId="6" fillId="0" borderId="0" xfId="73" applyFont="1" applyFill="1" applyBorder="1" applyAlignment="1" applyProtection="1">
      <alignment horizontal="centerContinuous"/>
      <protection/>
    </xf>
    <xf numFmtId="0" fontId="14" fillId="0" borderId="0" xfId="73" applyFont="1" applyAlignment="1">
      <alignment horizontal="centerContinuous"/>
      <protection/>
    </xf>
    <xf numFmtId="0" fontId="14" fillId="0" borderId="0" xfId="73" applyFont="1">
      <alignment/>
      <protection/>
    </xf>
    <xf numFmtId="0" fontId="13" fillId="0" borderId="11" xfId="73" applyFont="1" applyBorder="1">
      <alignment/>
      <protection/>
    </xf>
    <xf numFmtId="0" fontId="13" fillId="0" borderId="12" xfId="73" applyFont="1" applyBorder="1">
      <alignment/>
      <protection/>
    </xf>
    <xf numFmtId="0" fontId="13" fillId="0" borderId="13" xfId="73" applyFont="1" applyBorder="1">
      <alignment/>
      <protection/>
    </xf>
    <xf numFmtId="0" fontId="16" fillId="0" borderId="0" xfId="73" applyFont="1">
      <alignment/>
      <protection/>
    </xf>
    <xf numFmtId="0" fontId="16" fillId="0" borderId="14" xfId="73" applyFont="1" applyBorder="1">
      <alignment/>
      <protection/>
    </xf>
    <xf numFmtId="0" fontId="16" fillId="0" borderId="0" xfId="73" applyFont="1" applyBorder="1">
      <alignment/>
      <protection/>
    </xf>
    <xf numFmtId="0" fontId="20" fillId="0" borderId="0" xfId="73" applyFont="1" applyFill="1" applyBorder="1">
      <alignment/>
      <protection/>
    </xf>
    <xf numFmtId="0" fontId="16" fillId="0" borderId="0" xfId="73" applyFont="1" applyFill="1">
      <alignment/>
      <protection/>
    </xf>
    <xf numFmtId="0" fontId="16" fillId="0" borderId="0" xfId="73" applyFont="1" applyFill="1" applyBorder="1">
      <alignment/>
      <protection/>
    </xf>
    <xf numFmtId="0" fontId="16" fillId="0" borderId="15" xfId="73" applyFont="1" applyBorder="1">
      <alignment/>
      <protection/>
    </xf>
    <xf numFmtId="0" fontId="13" fillId="0" borderId="14" xfId="73" applyFont="1" applyBorder="1">
      <alignment/>
      <protection/>
    </xf>
    <xf numFmtId="0" fontId="13" fillId="0" borderId="0" xfId="73" applyFont="1" applyBorder="1">
      <alignment/>
      <protection/>
    </xf>
    <xf numFmtId="0" fontId="13" fillId="0" borderId="0" xfId="73" applyFont="1" applyFill="1" applyBorder="1">
      <alignment/>
      <protection/>
    </xf>
    <xf numFmtId="0" fontId="13" fillId="0" borderId="15" xfId="73" applyFont="1" applyBorder="1">
      <alignment/>
      <protection/>
    </xf>
    <xf numFmtId="0" fontId="20" fillId="0" borderId="0" xfId="73" applyFont="1" applyFill="1">
      <alignment/>
      <protection/>
    </xf>
    <xf numFmtId="0" fontId="79" fillId="0" borderId="0" xfId="73" applyFont="1" applyFill="1">
      <alignment/>
      <protection/>
    </xf>
    <xf numFmtId="0" fontId="16" fillId="0" borderId="0" xfId="73" applyFont="1" applyFill="1" applyBorder="1" applyProtection="1">
      <alignment/>
      <protection/>
    </xf>
    <xf numFmtId="0" fontId="5" fillId="0" borderId="0" xfId="73" applyFont="1" applyFill="1">
      <alignment/>
      <protection/>
    </xf>
    <xf numFmtId="0" fontId="13" fillId="0" borderId="0" xfId="73" applyFont="1" applyFill="1" applyBorder="1" applyProtection="1">
      <alignment/>
      <protection/>
    </xf>
    <xf numFmtId="0" fontId="25" fillId="0" borderId="0" xfId="73" applyFont="1" applyBorder="1">
      <alignment/>
      <protection/>
    </xf>
    <xf numFmtId="0" fontId="24" fillId="0" borderId="14" xfId="73" applyFont="1" applyBorder="1" applyAlignment="1">
      <alignment horizontal="centerContinuous"/>
      <protection/>
    </xf>
    <xf numFmtId="0" fontId="24" fillId="0" borderId="0" xfId="73" applyFont="1" applyBorder="1" applyAlignment="1">
      <alignment horizontal="centerContinuous"/>
      <protection/>
    </xf>
    <xf numFmtId="0" fontId="24" fillId="0" borderId="0" xfId="73" applyFont="1" applyBorder="1" applyAlignment="1" applyProtection="1">
      <alignment horizontal="centerContinuous"/>
      <protection/>
    </xf>
    <xf numFmtId="0" fontId="24" fillId="0" borderId="15" xfId="73" applyFont="1" applyBorder="1" applyAlignment="1">
      <alignment horizontal="centerContinuous"/>
      <protection/>
    </xf>
    <xf numFmtId="0" fontId="25" fillId="0" borderId="14" xfId="73" applyFont="1" applyBorder="1" applyAlignment="1">
      <alignment horizontal="centerContinuous"/>
      <protection/>
    </xf>
    <xf numFmtId="0" fontId="25" fillId="0" borderId="0" xfId="73" applyFont="1" applyBorder="1" applyAlignment="1">
      <alignment horizontal="centerContinuous"/>
      <protection/>
    </xf>
    <xf numFmtId="0" fontId="25" fillId="0" borderId="0" xfId="73" applyFont="1" applyBorder="1" applyAlignment="1" applyProtection="1">
      <alignment horizontal="centerContinuous"/>
      <protection/>
    </xf>
    <xf numFmtId="0" fontId="25" fillId="0" borderId="15" xfId="73" applyFont="1" applyBorder="1" applyAlignment="1">
      <alignment horizontal="centerContinuous"/>
      <protection/>
    </xf>
    <xf numFmtId="0" fontId="3" fillId="0" borderId="0" xfId="73" applyFont="1" applyBorder="1">
      <alignment/>
      <protection/>
    </xf>
    <xf numFmtId="0" fontId="3" fillId="0" borderId="21" xfId="73" applyFont="1" applyBorder="1" applyAlignment="1">
      <alignment horizontal="center"/>
      <protection/>
    </xf>
    <xf numFmtId="0" fontId="3" fillId="0" borderId="16" xfId="73" applyFont="1" applyBorder="1" applyAlignment="1" applyProtection="1">
      <alignment horizontal="left" vertical="center"/>
      <protection/>
    </xf>
    <xf numFmtId="169" fontId="3" fillId="0" borderId="17" xfId="73" applyNumberFormat="1" applyFont="1" applyBorder="1" applyAlignment="1" applyProtection="1">
      <alignment horizontal="center" vertical="center"/>
      <protection/>
    </xf>
    <xf numFmtId="0" fontId="3" fillId="0" borderId="21" xfId="73" applyFont="1" applyBorder="1" applyAlignment="1">
      <alignment horizontal="center" vertical="center"/>
      <protection/>
    </xf>
    <xf numFmtId="22" fontId="13" fillId="0" borderId="0" xfId="73" applyNumberFormat="1" applyFont="1" applyBorder="1">
      <alignment/>
      <protection/>
    </xf>
    <xf numFmtId="0" fontId="3" fillId="0" borderId="16" xfId="73" applyFont="1" applyBorder="1" applyAlignment="1">
      <alignment vertical="center"/>
      <protection/>
    </xf>
    <xf numFmtId="0" fontId="3" fillId="0" borderId="16" xfId="73" applyFont="1" applyBorder="1" applyAlignment="1">
      <alignment horizontal="left" vertical="center"/>
      <protection/>
    </xf>
    <xf numFmtId="169" fontId="3" fillId="0" borderId="17" xfId="73" applyNumberFormat="1" applyFont="1" applyBorder="1" applyAlignment="1">
      <alignment horizontal="center" vertical="center"/>
      <protection/>
    </xf>
    <xf numFmtId="0" fontId="3" fillId="0" borderId="0" xfId="73" applyFont="1" applyBorder="1" applyAlignment="1" applyProtection="1">
      <alignment horizontal="center"/>
      <protection/>
    </xf>
    <xf numFmtId="169" fontId="3" fillId="0" borderId="0" xfId="73" applyNumberFormat="1" applyFont="1" applyBorder="1" applyAlignment="1">
      <alignment horizontal="centerContinuous"/>
      <protection/>
    </xf>
    <xf numFmtId="0" fontId="29" fillId="0" borderId="0" xfId="73" applyFont="1" applyBorder="1">
      <alignment/>
      <protection/>
    </xf>
    <xf numFmtId="0" fontId="30" fillId="0" borderId="21" xfId="73" applyFont="1" applyFill="1" applyBorder="1" applyAlignment="1">
      <alignment horizontal="center" vertical="center"/>
      <protection/>
    </xf>
    <xf numFmtId="0" fontId="30" fillId="0" borderId="21" xfId="73" applyFont="1" applyBorder="1" applyAlignment="1">
      <alignment horizontal="center" vertical="center"/>
      <protection/>
    </xf>
    <xf numFmtId="0" fontId="30" fillId="0" borderId="21" xfId="73" applyFont="1" applyBorder="1" applyAlignment="1" applyProtection="1">
      <alignment horizontal="center" vertical="center" wrapText="1"/>
      <protection/>
    </xf>
    <xf numFmtId="0" fontId="30" fillId="0" borderId="17" xfId="73" applyFont="1" applyBorder="1" applyAlignment="1" applyProtection="1">
      <alignment horizontal="center" vertical="center"/>
      <protection/>
    </xf>
    <xf numFmtId="0" fontId="30" fillId="0" borderId="22" xfId="73" applyFont="1" applyBorder="1" applyAlignment="1">
      <alignment horizontal="center" vertical="center" wrapText="1"/>
      <protection/>
    </xf>
    <xf numFmtId="0" fontId="60" fillId="36" borderId="21" xfId="73" applyFont="1" applyFill="1" applyBorder="1" applyAlignment="1" applyProtection="1">
      <alignment horizontal="center" vertical="center"/>
      <protection/>
    </xf>
    <xf numFmtId="0" fontId="30" fillId="0" borderId="21" xfId="73" applyFont="1" applyBorder="1" applyAlignment="1" applyProtection="1">
      <alignment horizontal="center" vertical="center"/>
      <protection/>
    </xf>
    <xf numFmtId="0" fontId="30" fillId="0" borderId="17" xfId="73" applyFont="1" applyBorder="1" applyAlignment="1" applyProtection="1">
      <alignment horizontal="center" vertical="center" wrapText="1"/>
      <protection/>
    </xf>
    <xf numFmtId="0" fontId="30" fillId="0" borderId="16" xfId="73" applyFont="1" applyBorder="1" applyAlignment="1" applyProtection="1">
      <alignment horizontal="center" vertical="center" wrapText="1"/>
      <protection/>
    </xf>
    <xf numFmtId="0" fontId="30" fillId="0" borderId="16" xfId="73" applyFont="1" applyBorder="1" applyAlignment="1" applyProtection="1">
      <alignment horizontal="center" vertical="center"/>
      <protection/>
    </xf>
    <xf numFmtId="0" fontId="62" fillId="33" borderId="21" xfId="73" applyFont="1" applyFill="1" applyBorder="1" applyAlignment="1" applyProtection="1">
      <alignment horizontal="center" vertical="center"/>
      <protection/>
    </xf>
    <xf numFmtId="0" fontId="69" fillId="40" borderId="21" xfId="73" applyFont="1" applyFill="1" applyBorder="1" applyAlignment="1">
      <alignment horizontal="center" vertical="center" wrapText="1"/>
      <protection/>
    </xf>
    <xf numFmtId="0" fontId="35" fillId="35" borderId="16" xfId="73" applyFont="1" applyFill="1" applyBorder="1" applyAlignment="1" applyProtection="1">
      <alignment horizontal="centerContinuous" vertical="center" wrapText="1"/>
      <protection/>
    </xf>
    <xf numFmtId="0" fontId="35" fillId="35" borderId="17" xfId="73" applyFont="1" applyFill="1" applyBorder="1" applyAlignment="1">
      <alignment horizontal="centerContinuous" vertical="center"/>
      <protection/>
    </xf>
    <xf numFmtId="0" fontId="62" fillId="34" borderId="21" xfId="73" applyFont="1" applyFill="1" applyBorder="1" applyAlignment="1">
      <alignment horizontal="center" vertical="center" wrapText="1"/>
      <protection/>
    </xf>
    <xf numFmtId="0" fontId="30" fillId="0" borderId="21" xfId="73" applyFont="1" applyBorder="1" applyAlignment="1">
      <alignment horizontal="center" vertical="center" wrapText="1"/>
      <protection/>
    </xf>
    <xf numFmtId="0" fontId="30" fillId="0" borderId="21" xfId="73" applyFont="1" applyFill="1" applyBorder="1" applyAlignment="1">
      <alignment horizontal="center" vertical="center" wrapText="1"/>
      <protection/>
    </xf>
    <xf numFmtId="0" fontId="13" fillId="0" borderId="43" xfId="73" applyFont="1" applyFill="1" applyBorder="1" applyAlignment="1">
      <alignment horizontal="center"/>
      <protection/>
    </xf>
    <xf numFmtId="0" fontId="75" fillId="0" borderId="28" xfId="73" applyFont="1" applyBorder="1" applyAlignment="1" applyProtection="1">
      <alignment horizontal="center"/>
      <protection/>
    </xf>
    <xf numFmtId="0" fontId="63" fillId="36" borderId="28" xfId="73" applyFont="1" applyFill="1" applyBorder="1" applyAlignment="1" applyProtection="1">
      <alignment horizontal="center"/>
      <protection/>
    </xf>
    <xf numFmtId="0" fontId="29" fillId="33" borderId="23" xfId="73" applyFont="1" applyFill="1" applyBorder="1" applyAlignment="1" applyProtection="1">
      <alignment horizontal="center"/>
      <protection/>
    </xf>
    <xf numFmtId="0" fontId="73" fillId="40" borderId="23" xfId="73" applyFont="1" applyFill="1" applyBorder="1" applyAlignment="1" applyProtection="1">
      <alignment horizontal="center"/>
      <protection/>
    </xf>
    <xf numFmtId="166" fontId="51" fillId="35" borderId="24" xfId="73" applyNumberFormat="1" applyFont="1" applyFill="1" applyBorder="1" applyAlignment="1" applyProtection="1" quotePrefix="1">
      <alignment horizontal="center"/>
      <protection/>
    </xf>
    <xf numFmtId="166" fontId="51" fillId="35" borderId="26" xfId="73" applyNumberFormat="1" applyFont="1" applyFill="1" applyBorder="1" applyAlignment="1" applyProtection="1" quotePrefix="1">
      <alignment horizontal="center"/>
      <protection/>
    </xf>
    <xf numFmtId="166" fontId="65" fillId="34" borderId="23" xfId="73" applyNumberFormat="1" applyFont="1" applyFill="1" applyBorder="1" applyAlignment="1" applyProtection="1" quotePrefix="1">
      <alignment horizontal="center"/>
      <protection/>
    </xf>
    <xf numFmtId="7" fontId="80" fillId="0" borderId="28" xfId="73" applyNumberFormat="1" applyFont="1" applyBorder="1" applyAlignment="1" applyProtection="1">
      <alignment/>
      <protection/>
    </xf>
    <xf numFmtId="0" fontId="13" fillId="0" borderId="27" xfId="73" applyFont="1" applyFill="1" applyBorder="1" applyAlignment="1">
      <alignment horizontal="center"/>
      <protection/>
    </xf>
    <xf numFmtId="0" fontId="75" fillId="0" borderId="33" xfId="73" applyFont="1" applyBorder="1" applyAlignment="1" applyProtection="1">
      <alignment horizontal="center"/>
      <protection/>
    </xf>
    <xf numFmtId="0" fontId="63" fillId="36" borderId="33" xfId="73" applyFont="1" applyFill="1" applyBorder="1" applyAlignment="1" applyProtection="1">
      <alignment horizontal="center"/>
      <protection/>
    </xf>
    <xf numFmtId="0" fontId="29" fillId="33" borderId="28" xfId="73" applyFont="1" applyFill="1" applyBorder="1" applyAlignment="1" applyProtection="1">
      <alignment horizontal="center"/>
      <protection/>
    </xf>
    <xf numFmtId="0" fontId="73" fillId="40" borderId="28" xfId="73" applyFont="1" applyFill="1" applyBorder="1" applyAlignment="1" applyProtection="1">
      <alignment horizontal="center"/>
      <protection/>
    </xf>
    <xf numFmtId="166" fontId="51" fillId="35" borderId="30" xfId="73" applyNumberFormat="1" applyFont="1" applyFill="1" applyBorder="1" applyAlignment="1" applyProtection="1" quotePrefix="1">
      <alignment horizontal="center"/>
      <protection/>
    </xf>
    <xf numFmtId="166" fontId="51" fillId="35" borderId="56" xfId="73" applyNumberFormat="1" applyFont="1" applyFill="1" applyBorder="1" applyAlignment="1" applyProtection="1" quotePrefix="1">
      <alignment horizontal="center"/>
      <protection/>
    </xf>
    <xf numFmtId="166" fontId="65" fillId="34" borderId="28" xfId="73" applyNumberFormat="1" applyFont="1" applyFill="1" applyBorder="1" applyAlignment="1" applyProtection="1" quotePrefix="1">
      <alignment horizontal="center"/>
      <protection/>
    </xf>
    <xf numFmtId="166" fontId="78" fillId="0" borderId="28" xfId="73" applyNumberFormat="1" applyFont="1" applyFill="1" applyBorder="1" applyAlignment="1">
      <alignment horizontal="center"/>
      <protection/>
    </xf>
    <xf numFmtId="0" fontId="13" fillId="0" borderId="28" xfId="73" applyFont="1" applyFill="1" applyBorder="1" applyAlignment="1" applyProtection="1">
      <alignment horizontal="center"/>
      <protection locked="0"/>
    </xf>
    <xf numFmtId="0" fontId="75" fillId="0" borderId="33" xfId="73" applyFont="1" applyBorder="1" applyAlignment="1" applyProtection="1">
      <alignment horizontal="center"/>
      <protection locked="0"/>
    </xf>
    <xf numFmtId="1" fontId="49" fillId="0" borderId="28" xfId="73" applyNumberFormat="1" applyFont="1" applyBorder="1" applyAlignment="1" applyProtection="1" quotePrefix="1">
      <alignment horizontal="center"/>
      <protection locked="0"/>
    </xf>
    <xf numFmtId="173" fontId="63" fillId="36" borderId="28" xfId="73" applyNumberFormat="1" applyFont="1" applyFill="1" applyBorder="1" applyAlignment="1" applyProtection="1">
      <alignment horizontal="center"/>
      <protection/>
    </xf>
    <xf numFmtId="22" fontId="13" fillId="0" borderId="30" xfId="73" applyNumberFormat="1" applyFont="1" applyBorder="1" applyAlignment="1" applyProtection="1">
      <alignment horizontal="center"/>
      <protection locked="0"/>
    </xf>
    <xf numFmtId="22" fontId="13" fillId="0" borderId="28" xfId="73" applyNumberFormat="1" applyFont="1" applyBorder="1" applyAlignment="1" applyProtection="1">
      <alignment horizontal="center"/>
      <protection locked="0"/>
    </xf>
    <xf numFmtId="2" fontId="13" fillId="0" borderId="28" xfId="73" applyNumberFormat="1" applyFont="1" applyFill="1" applyBorder="1" applyAlignment="1" applyProtection="1" quotePrefix="1">
      <alignment horizontal="center"/>
      <protection/>
    </xf>
    <xf numFmtId="1" fontId="13" fillId="0" borderId="28" xfId="73" applyNumberFormat="1" applyFont="1" applyFill="1" applyBorder="1" applyAlignment="1" applyProtection="1" quotePrefix="1">
      <alignment horizontal="center"/>
      <protection/>
    </xf>
    <xf numFmtId="166" fontId="13" fillId="0" borderId="29" xfId="73" applyNumberFormat="1" applyFont="1" applyBorder="1" applyAlignment="1" applyProtection="1">
      <alignment horizontal="center"/>
      <protection locked="0"/>
    </xf>
    <xf numFmtId="166" fontId="13" fillId="0" borderId="28" xfId="73" applyNumberFormat="1" applyFont="1" applyBorder="1" applyAlignment="1" applyProtection="1">
      <alignment horizontal="center"/>
      <protection/>
    </xf>
    <xf numFmtId="1" fontId="29" fillId="33" borderId="28" xfId="73" applyNumberFormat="1" applyFont="1" applyFill="1" applyBorder="1" applyAlignment="1" applyProtection="1">
      <alignment horizontal="center"/>
      <protection/>
    </xf>
    <xf numFmtId="2" fontId="73" fillId="40" borderId="28" xfId="73" applyNumberFormat="1" applyFont="1" applyFill="1" applyBorder="1" applyAlignment="1" applyProtection="1">
      <alignment horizontal="center"/>
      <protection/>
    </xf>
    <xf numFmtId="4" fontId="78" fillId="0" borderId="28" xfId="73" applyNumberFormat="1" applyFont="1" applyFill="1" applyBorder="1" applyAlignment="1">
      <alignment horizontal="right"/>
      <protection/>
    </xf>
    <xf numFmtId="164" fontId="49" fillId="0" borderId="28" xfId="73" applyNumberFormat="1" applyFont="1" applyBorder="1" applyAlignment="1" applyProtection="1" quotePrefix="1">
      <alignment horizontal="center"/>
      <protection locked="0"/>
    </xf>
    <xf numFmtId="166" fontId="63" fillId="36" borderId="28" xfId="73" applyNumberFormat="1" applyFont="1" applyFill="1" applyBorder="1" applyAlignment="1" applyProtection="1">
      <alignment horizontal="center"/>
      <protection/>
    </xf>
    <xf numFmtId="164" fontId="13" fillId="0" borderId="28" xfId="73" applyNumberFormat="1" applyFont="1" applyFill="1" applyBorder="1" applyAlignment="1" applyProtection="1" quotePrefix="1">
      <alignment horizontal="center"/>
      <protection/>
    </xf>
    <xf numFmtId="164" fontId="29" fillId="33" borderId="28" xfId="73" applyNumberFormat="1" applyFont="1" applyFill="1" applyBorder="1" applyAlignment="1" applyProtection="1">
      <alignment horizontal="center"/>
      <protection/>
    </xf>
    <xf numFmtId="164" fontId="49" fillId="0" borderId="28" xfId="73" applyNumberFormat="1" applyFont="1" applyBorder="1" applyAlignment="1" applyProtection="1">
      <alignment horizontal="center"/>
      <protection locked="0"/>
    </xf>
    <xf numFmtId="164" fontId="49" fillId="0" borderId="36" xfId="73" applyNumberFormat="1" applyFont="1" applyBorder="1" applyAlignment="1" applyProtection="1">
      <alignment horizontal="center"/>
      <protection locked="0"/>
    </xf>
    <xf numFmtId="166" fontId="63" fillId="36" borderId="36" xfId="73" applyNumberFormat="1" applyFont="1" applyFill="1" applyBorder="1" applyAlignment="1" applyProtection="1">
      <alignment horizontal="center"/>
      <protection/>
    </xf>
    <xf numFmtId="166" fontId="13" fillId="0" borderId="50" xfId="73" applyNumberFormat="1" applyFont="1" applyBorder="1" applyAlignment="1" applyProtection="1">
      <alignment horizontal="center"/>
      <protection locked="0"/>
    </xf>
    <xf numFmtId="166" fontId="13" fillId="0" borderId="50" xfId="73" applyNumberFormat="1" applyFont="1" applyBorder="1" applyAlignment="1" applyProtection="1">
      <alignment horizontal="center"/>
      <protection/>
    </xf>
    <xf numFmtId="166" fontId="13" fillId="0" borderId="36" xfId="73" applyNumberFormat="1" applyFont="1" applyBorder="1" applyAlignment="1" applyProtection="1">
      <alignment horizontal="center"/>
      <protection locked="0"/>
    </xf>
    <xf numFmtId="164" fontId="29" fillId="33" borderId="36" xfId="73" applyNumberFormat="1" applyFont="1" applyFill="1" applyBorder="1" applyAlignment="1" applyProtection="1">
      <alignment horizontal="center"/>
      <protection locked="0"/>
    </xf>
    <xf numFmtId="2" fontId="73" fillId="40" borderId="36" xfId="73" applyNumberFormat="1" applyFont="1" applyFill="1" applyBorder="1" applyAlignment="1" applyProtection="1">
      <alignment horizontal="center"/>
      <protection locked="0"/>
    </xf>
    <xf numFmtId="166" fontId="51" fillId="35" borderId="37" xfId="73" applyNumberFormat="1" applyFont="1" applyFill="1" applyBorder="1" applyAlignment="1" applyProtection="1" quotePrefix="1">
      <alignment horizontal="center"/>
      <protection locked="0"/>
    </xf>
    <xf numFmtId="166" fontId="51" fillId="35" borderId="39" xfId="73" applyNumberFormat="1" applyFont="1" applyFill="1" applyBorder="1" applyAlignment="1" applyProtection="1" quotePrefix="1">
      <alignment horizontal="center"/>
      <protection locked="0"/>
    </xf>
    <xf numFmtId="166" fontId="65" fillId="34" borderId="36" xfId="73" applyNumberFormat="1" applyFont="1" applyFill="1" applyBorder="1" applyAlignment="1" applyProtection="1" quotePrefix="1">
      <alignment horizontal="center"/>
      <protection locked="0"/>
    </xf>
    <xf numFmtId="7" fontId="66" fillId="0" borderId="40" xfId="73" applyNumberFormat="1" applyFont="1" applyFill="1" applyBorder="1" applyAlignment="1">
      <alignment horizontal="right"/>
      <protection/>
    </xf>
    <xf numFmtId="0" fontId="57" fillId="0" borderId="41" xfId="73" applyFont="1" applyBorder="1" applyAlignment="1">
      <alignment horizontal="center"/>
      <protection/>
    </xf>
    <xf numFmtId="0" fontId="13" fillId="0" borderId="0" xfId="73" applyFont="1" applyBorder="1" applyAlignment="1">
      <alignment horizontal="left"/>
      <protection/>
    </xf>
    <xf numFmtId="0" fontId="58" fillId="0" borderId="0" xfId="73" applyFont="1" applyBorder="1" applyAlignment="1" applyProtection="1">
      <alignment horizontal="left"/>
      <protection/>
    </xf>
    <xf numFmtId="0" fontId="3" fillId="0" borderId="0" xfId="73">
      <alignment/>
      <protection/>
    </xf>
    <xf numFmtId="4" fontId="73" fillId="40" borderId="21" xfId="73" applyNumberFormat="1" applyFont="1" applyFill="1" applyBorder="1" applyAlignment="1">
      <alignment horizontal="center"/>
      <protection/>
    </xf>
    <xf numFmtId="4" fontId="51" fillId="35" borderId="54" xfId="73" applyNumberFormat="1" applyFont="1" applyFill="1" applyBorder="1" applyAlignment="1">
      <alignment horizontal="center"/>
      <protection/>
    </xf>
    <xf numFmtId="4" fontId="51" fillId="35" borderId="55" xfId="73" applyNumberFormat="1" applyFont="1" applyFill="1" applyBorder="1" applyAlignment="1">
      <alignment horizontal="center"/>
      <protection/>
    </xf>
    <xf numFmtId="4" fontId="65" fillId="34" borderId="21" xfId="73" applyNumberFormat="1" applyFont="1" applyFill="1" applyBorder="1" applyAlignment="1">
      <alignment horizontal="center"/>
      <protection/>
    </xf>
    <xf numFmtId="4" fontId="19" fillId="0" borderId="0" xfId="73" applyNumberFormat="1" applyFont="1" applyFill="1" applyBorder="1" applyAlignment="1">
      <alignment horizontal="center"/>
      <protection/>
    </xf>
    <xf numFmtId="7" fontId="4" fillId="0" borderId="21" xfId="73" applyNumberFormat="1" applyFont="1" applyFill="1" applyBorder="1" applyAlignment="1">
      <alignment horizontal="right"/>
      <protection/>
    </xf>
    <xf numFmtId="0" fontId="13" fillId="0" borderId="18" xfId="73" applyFont="1" applyBorder="1">
      <alignment/>
      <protection/>
    </xf>
    <xf numFmtId="0" fontId="13" fillId="0" borderId="19" xfId="73" applyFont="1" applyBorder="1">
      <alignment/>
      <protection/>
    </xf>
    <xf numFmtId="0" fontId="13" fillId="0" borderId="20" xfId="73" applyFont="1" applyBorder="1">
      <alignment/>
      <protection/>
    </xf>
    <xf numFmtId="0" fontId="0" fillId="0" borderId="0" xfId="73" applyFont="1">
      <alignment/>
      <protection/>
    </xf>
    <xf numFmtId="0" fontId="3" fillId="0" borderId="0" xfId="64">
      <alignment/>
      <protection/>
    </xf>
    <xf numFmtId="0" fontId="8" fillId="0" borderId="0" xfId="64" applyFont="1">
      <alignment/>
      <protection/>
    </xf>
    <xf numFmtId="0" fontId="11" fillId="0" borderId="0" xfId="64" applyFont="1" applyAlignment="1">
      <alignment horizontal="right" vertical="top"/>
      <protection/>
    </xf>
    <xf numFmtId="0" fontId="8" fillId="0" borderId="0" xfId="64" applyFont="1" applyFill="1">
      <alignment/>
      <protection/>
    </xf>
    <xf numFmtId="0" fontId="9" fillId="0" borderId="0" xfId="64" applyFont="1" applyAlignment="1">
      <alignment horizontal="centerContinuous"/>
      <protection/>
    </xf>
    <xf numFmtId="0" fontId="13" fillId="0" borderId="0" xfId="64" applyFont="1" applyFill="1">
      <alignment/>
      <protection/>
    </xf>
    <xf numFmtId="0" fontId="13" fillId="0" borderId="0" xfId="64" applyFont="1">
      <alignment/>
      <protection/>
    </xf>
    <xf numFmtId="0" fontId="6" fillId="0" borderId="0" xfId="64" applyFont="1" applyFill="1" applyBorder="1" applyAlignment="1" applyProtection="1">
      <alignment horizontal="left"/>
      <protection/>
    </xf>
    <xf numFmtId="0" fontId="14" fillId="0" borderId="0" xfId="64" applyFont="1" applyAlignment="1">
      <alignment horizontal="centerContinuous"/>
      <protection/>
    </xf>
    <xf numFmtId="0" fontId="6" fillId="0" borderId="0" xfId="64" applyFont="1" applyFill="1" applyBorder="1" applyAlignment="1" applyProtection="1">
      <alignment horizontal="centerContinuous"/>
      <protection/>
    </xf>
    <xf numFmtId="0" fontId="14" fillId="0" borderId="0" xfId="64" applyFont="1">
      <alignment/>
      <protection/>
    </xf>
    <xf numFmtId="0" fontId="13" fillId="0" borderId="11" xfId="64" applyFont="1" applyBorder="1">
      <alignment/>
      <protection/>
    </xf>
    <xf numFmtId="0" fontId="13" fillId="0" borderId="12" xfId="64" applyFont="1" applyBorder="1">
      <alignment/>
      <protection/>
    </xf>
    <xf numFmtId="0" fontId="13" fillId="0" borderId="12" xfId="64" applyFont="1" applyBorder="1" applyAlignment="1" applyProtection="1">
      <alignment horizontal="left"/>
      <protection/>
    </xf>
    <xf numFmtId="0" fontId="13" fillId="0" borderId="13" xfId="64" applyFont="1" applyFill="1" applyBorder="1">
      <alignment/>
      <protection/>
    </xf>
    <xf numFmtId="0" fontId="16" fillId="0" borderId="0" xfId="64" applyFont="1">
      <alignment/>
      <protection/>
    </xf>
    <xf numFmtId="0" fontId="16" fillId="0" borderId="14" xfId="64" applyFont="1" applyBorder="1">
      <alignment/>
      <protection/>
    </xf>
    <xf numFmtId="0" fontId="16" fillId="0" borderId="0" xfId="64" applyFont="1" applyBorder="1">
      <alignment/>
      <protection/>
    </xf>
    <xf numFmtId="0" fontId="20" fillId="0" borderId="0" xfId="64" applyFont="1" applyBorder="1" applyAlignment="1">
      <alignment horizontal="left"/>
      <protection/>
    </xf>
    <xf numFmtId="0" fontId="20" fillId="0" borderId="0" xfId="64" applyFont="1" applyBorder="1">
      <alignment/>
      <protection/>
    </xf>
    <xf numFmtId="0" fontId="16" fillId="0" borderId="15" xfId="64" applyFont="1" applyFill="1" applyBorder="1">
      <alignment/>
      <protection/>
    </xf>
    <xf numFmtId="0" fontId="13" fillId="0" borderId="14" xfId="64" applyFont="1" applyBorder="1">
      <alignment/>
      <protection/>
    </xf>
    <xf numFmtId="0" fontId="13" fillId="0" borderId="0" xfId="64" applyFont="1" applyBorder="1">
      <alignment/>
      <protection/>
    </xf>
    <xf numFmtId="0" fontId="13" fillId="0" borderId="15" xfId="64" applyFont="1" applyFill="1" applyBorder="1">
      <alignment/>
      <protection/>
    </xf>
    <xf numFmtId="0" fontId="16" fillId="0" borderId="0" xfId="64" applyFont="1" applyAlignment="1">
      <alignment vertical="top"/>
      <protection/>
    </xf>
    <xf numFmtId="0" fontId="16" fillId="0" borderId="14" xfId="64" applyFont="1" applyBorder="1" applyAlignment="1">
      <alignment vertical="top"/>
      <protection/>
    </xf>
    <xf numFmtId="0" fontId="16" fillId="0" borderId="0" xfId="64" applyFont="1" applyBorder="1" applyAlignment="1">
      <alignment vertical="top"/>
      <protection/>
    </xf>
    <xf numFmtId="0" fontId="20" fillId="0" borderId="0" xfId="64" applyFont="1" applyBorder="1" applyAlignment="1">
      <alignment vertical="top"/>
      <protection/>
    </xf>
    <xf numFmtId="0" fontId="16" fillId="0" borderId="15" xfId="64" applyFont="1" applyFill="1" applyBorder="1" applyAlignment="1">
      <alignment vertical="top"/>
      <protection/>
    </xf>
    <xf numFmtId="0" fontId="13" fillId="0" borderId="0" xfId="64" applyFont="1" applyAlignment="1">
      <alignment vertical="top"/>
      <protection/>
    </xf>
    <xf numFmtId="0" fontId="13" fillId="0" borderId="14" xfId="64" applyFont="1" applyBorder="1" applyAlignment="1">
      <alignment vertical="top"/>
      <protection/>
    </xf>
    <xf numFmtId="0" fontId="13" fillId="0" borderId="0" xfId="64" applyFont="1" applyBorder="1" applyAlignment="1">
      <alignment vertical="top"/>
      <protection/>
    </xf>
    <xf numFmtId="0" fontId="20" fillId="0" borderId="0" xfId="64" applyFont="1" applyBorder="1" applyAlignment="1">
      <alignment horizontal="left" vertical="top"/>
      <protection/>
    </xf>
    <xf numFmtId="0" fontId="13" fillId="0" borderId="0" xfId="64" applyFont="1" applyBorder="1" applyAlignment="1" applyProtection="1">
      <alignment vertical="top"/>
      <protection/>
    </xf>
    <xf numFmtId="0" fontId="13" fillId="0" borderId="15" xfId="64" applyFont="1" applyFill="1" applyBorder="1" applyAlignment="1">
      <alignment vertical="top"/>
      <protection/>
    </xf>
    <xf numFmtId="0" fontId="23" fillId="0" borderId="0" xfId="64" applyFont="1">
      <alignment/>
      <protection/>
    </xf>
    <xf numFmtId="0" fontId="24" fillId="0" borderId="14" xfId="64" applyFont="1" applyBorder="1" applyAlignment="1">
      <alignment horizontal="centerContinuous"/>
      <protection/>
    </xf>
    <xf numFmtId="0" fontId="24" fillId="0" borderId="0" xfId="64" applyFont="1" applyBorder="1" applyAlignment="1">
      <alignment horizontal="centerContinuous"/>
      <protection/>
    </xf>
    <xf numFmtId="0" fontId="24" fillId="0" borderId="0" xfId="64" applyFont="1" applyAlignment="1">
      <alignment horizontal="centerContinuous"/>
      <protection/>
    </xf>
    <xf numFmtId="0" fontId="24" fillId="0" borderId="15" xfId="64" applyFont="1" applyFill="1" applyBorder="1" applyAlignment="1">
      <alignment horizontal="centerContinuous"/>
      <protection/>
    </xf>
    <xf numFmtId="0" fontId="13" fillId="0" borderId="0" xfId="64" applyFont="1" applyBorder="1" applyAlignment="1">
      <alignment horizontal="center"/>
      <protection/>
    </xf>
    <xf numFmtId="0" fontId="25" fillId="0" borderId="0" xfId="64" applyFont="1" applyBorder="1" applyAlignment="1">
      <alignment horizontal="left"/>
      <protection/>
    </xf>
    <xf numFmtId="0" fontId="3" fillId="0" borderId="16" xfId="64" applyFont="1" applyBorder="1" applyAlignment="1" applyProtection="1">
      <alignment horizontal="center"/>
      <protection/>
    </xf>
    <xf numFmtId="0" fontId="3" fillId="0" borderId="41" xfId="64" applyFont="1" applyBorder="1" applyAlignment="1" applyProtection="1">
      <alignment horizontal="center"/>
      <protection/>
    </xf>
    <xf numFmtId="169" fontId="0" fillId="0" borderId="41" xfId="64" applyNumberFormat="1" applyFont="1" applyBorder="1" applyAlignment="1">
      <alignment horizontal="centerContinuous"/>
      <protection/>
    </xf>
    <xf numFmtId="0" fontId="3" fillId="0" borderId="41" xfId="64" applyBorder="1" applyAlignment="1">
      <alignment horizontal="centerContinuous"/>
      <protection/>
    </xf>
    <xf numFmtId="0" fontId="3" fillId="0" borderId="0" xfId="64" applyFont="1" applyBorder="1" applyAlignment="1" applyProtection="1">
      <alignment horizontal="center"/>
      <protection/>
    </xf>
    <xf numFmtId="169" fontId="3" fillId="0" borderId="0" xfId="64" applyNumberFormat="1" applyFont="1" applyBorder="1" applyAlignment="1">
      <alignment horizontal="centerContinuous"/>
      <protection/>
    </xf>
    <xf numFmtId="22" fontId="13" fillId="0" borderId="0" xfId="64" applyNumberFormat="1" applyFont="1" applyBorder="1">
      <alignment/>
      <protection/>
    </xf>
    <xf numFmtId="0" fontId="29" fillId="0" borderId="0" xfId="64" applyFont="1" applyBorder="1">
      <alignment/>
      <protection/>
    </xf>
    <xf numFmtId="0" fontId="30" fillId="0" borderId="21" xfId="64" applyFont="1" applyBorder="1" applyAlignment="1">
      <alignment horizontal="center" vertical="center"/>
      <protection/>
    </xf>
    <xf numFmtId="0" fontId="30" fillId="0" borderId="21" xfId="64" applyFont="1" applyBorder="1" applyAlignment="1" applyProtection="1">
      <alignment horizontal="center" vertical="center"/>
      <protection/>
    </xf>
    <xf numFmtId="164" fontId="30" fillId="0" borderId="21" xfId="64" applyNumberFormat="1" applyFont="1" applyBorder="1" applyAlignment="1" applyProtection="1">
      <alignment horizontal="center" vertical="center" wrapText="1"/>
      <protection/>
    </xf>
    <xf numFmtId="0" fontId="30" fillId="0" borderId="21" xfId="64" applyFont="1" applyBorder="1" applyAlignment="1" applyProtection="1">
      <alignment horizontal="center" vertical="center" wrapText="1"/>
      <protection/>
    </xf>
    <xf numFmtId="166" fontId="30" fillId="0" borderId="21" xfId="64" applyNumberFormat="1" applyFont="1" applyBorder="1" applyAlignment="1" applyProtection="1">
      <alignment horizontal="center" vertical="center"/>
      <protection/>
    </xf>
    <xf numFmtId="166" fontId="31" fillId="32" borderId="21" xfId="64" applyNumberFormat="1" applyFont="1" applyFill="1" applyBorder="1" applyAlignment="1" applyProtection="1">
      <alignment horizontal="center" vertical="center"/>
      <protection/>
    </xf>
    <xf numFmtId="0" fontId="32" fillId="33" borderId="21" xfId="64" applyFont="1" applyFill="1" applyBorder="1" applyAlignment="1" applyProtection="1">
      <alignment horizontal="center" vertical="center"/>
      <protection/>
    </xf>
    <xf numFmtId="0" fontId="30" fillId="0" borderId="16" xfId="64" applyFont="1" applyBorder="1" applyAlignment="1" applyProtection="1">
      <alignment horizontal="center" vertical="center"/>
      <protection/>
    </xf>
    <xf numFmtId="0" fontId="30" fillId="0" borderId="16" xfId="64" applyFont="1" applyBorder="1" applyAlignment="1" applyProtection="1">
      <alignment horizontal="center" vertical="center" wrapText="1"/>
      <protection/>
    </xf>
    <xf numFmtId="0" fontId="34" fillId="34" borderId="21" xfId="64" applyFont="1" applyFill="1" applyBorder="1" applyAlignment="1">
      <alignment horizontal="center" vertical="center" wrapText="1"/>
      <protection/>
    </xf>
    <xf numFmtId="0" fontId="35" fillId="35" borderId="21" xfId="64" applyFont="1" applyFill="1" applyBorder="1" applyAlignment="1">
      <alignment horizontal="center" vertical="center" wrapText="1"/>
      <protection/>
    </xf>
    <xf numFmtId="0" fontId="36" fillId="36" borderId="16" xfId="64" applyFont="1" applyFill="1" applyBorder="1" applyAlignment="1" applyProtection="1">
      <alignment horizontal="centerContinuous" vertical="center" wrapText="1"/>
      <protection/>
    </xf>
    <xf numFmtId="0" fontId="7" fillId="36" borderId="22" xfId="64" applyFont="1" applyFill="1" applyBorder="1" applyAlignment="1">
      <alignment horizontal="centerContinuous"/>
      <protection/>
    </xf>
    <xf numFmtId="0" fontId="36" fillId="36" borderId="17" xfId="64" applyFont="1" applyFill="1" applyBorder="1" applyAlignment="1">
      <alignment horizontal="centerContinuous" vertical="center"/>
      <protection/>
    </xf>
    <xf numFmtId="0" fontId="37" fillId="2" borderId="16" xfId="64" applyFont="1" applyFill="1" applyBorder="1" applyAlignment="1">
      <alignment horizontal="centerContinuous" vertical="center" wrapText="1"/>
      <protection/>
    </xf>
    <xf numFmtId="0" fontId="38" fillId="2" borderId="22" xfId="64" applyFont="1" applyFill="1" applyBorder="1" applyAlignment="1">
      <alignment horizontal="centerContinuous"/>
      <protection/>
    </xf>
    <xf numFmtId="0" fontId="37" fillId="2" borderId="17" xfId="64" applyFont="1" applyFill="1" applyBorder="1" applyAlignment="1">
      <alignment horizontal="centerContinuous" vertical="center"/>
      <protection/>
    </xf>
    <xf numFmtId="0" fontId="39" fillId="3" borderId="21" xfId="64" applyFont="1" applyFill="1" applyBorder="1" applyAlignment="1">
      <alignment horizontal="center" vertical="center" wrapText="1"/>
      <protection/>
    </xf>
    <xf numFmtId="0" fontId="40" fillId="37" borderId="21" xfId="64" applyFont="1" applyFill="1" applyBorder="1" applyAlignment="1">
      <alignment horizontal="center" vertical="center" wrapText="1"/>
      <protection/>
    </xf>
    <xf numFmtId="0" fontId="30" fillId="0" borderId="21" xfId="64" applyFont="1" applyBorder="1" applyAlignment="1">
      <alignment horizontal="center" vertical="center" wrapText="1"/>
      <protection/>
    </xf>
    <xf numFmtId="0" fontId="13" fillId="0" borderId="15" xfId="64" applyFont="1" applyFill="1" applyBorder="1" applyAlignment="1">
      <alignment horizontal="center"/>
      <protection/>
    </xf>
    <xf numFmtId="0" fontId="13" fillId="0" borderId="23" xfId="64" applyFont="1" applyBorder="1">
      <alignment/>
      <protection/>
    </xf>
    <xf numFmtId="0" fontId="13" fillId="0" borderId="23" xfId="64" applyFont="1" applyFill="1" applyBorder="1" applyAlignment="1">
      <alignment horizontal="center"/>
      <protection/>
    </xf>
    <xf numFmtId="167" fontId="13" fillId="0" borderId="23" xfId="64" applyNumberFormat="1" applyFont="1" applyFill="1" applyBorder="1">
      <alignment/>
      <protection/>
    </xf>
    <xf numFmtId="0" fontId="13" fillId="0" borderId="23" xfId="64" applyFont="1" applyFill="1" applyBorder="1">
      <alignment/>
      <protection/>
    </xf>
    <xf numFmtId="0" fontId="41" fillId="0" borderId="23" xfId="64" applyFont="1" applyFill="1" applyBorder="1">
      <alignment/>
      <protection/>
    </xf>
    <xf numFmtId="0" fontId="42" fillId="0" borderId="23" xfId="64" applyFont="1" applyFill="1" applyBorder="1">
      <alignment/>
      <protection/>
    </xf>
    <xf numFmtId="22" fontId="13" fillId="0" borderId="23" xfId="64" applyNumberFormat="1" applyFont="1" applyFill="1" applyBorder="1">
      <alignment/>
      <protection/>
    </xf>
    <xf numFmtId="0" fontId="43" fillId="0" borderId="23" xfId="64" applyFont="1" applyFill="1" applyBorder="1">
      <alignment/>
      <protection/>
    </xf>
    <xf numFmtId="0" fontId="44" fillId="0" borderId="23" xfId="64" applyFont="1" applyFill="1" applyBorder="1">
      <alignment/>
      <protection/>
    </xf>
    <xf numFmtId="0" fontId="13" fillId="0" borderId="24" xfId="64" applyFont="1" applyFill="1" applyBorder="1">
      <alignment/>
      <protection/>
    </xf>
    <xf numFmtId="0" fontId="13" fillId="0" borderId="25" xfId="64" applyFont="1" applyFill="1" applyBorder="1">
      <alignment/>
      <protection/>
    </xf>
    <xf numFmtId="0" fontId="13" fillId="0" borderId="26" xfId="64" applyFont="1" applyFill="1" applyBorder="1">
      <alignment/>
      <protection/>
    </xf>
    <xf numFmtId="0" fontId="45" fillId="0" borderId="24" xfId="64" applyFont="1" applyFill="1" applyBorder="1">
      <alignment/>
      <protection/>
    </xf>
    <xf numFmtId="0" fontId="45" fillId="0" borderId="25" xfId="64" applyFont="1" applyFill="1" applyBorder="1">
      <alignment/>
      <protection/>
    </xf>
    <xf numFmtId="0" fontId="45" fillId="0" borderId="26" xfId="64" applyFont="1" applyFill="1" applyBorder="1">
      <alignment/>
      <protection/>
    </xf>
    <xf numFmtId="0" fontId="46" fillId="0" borderId="23" xfId="64" applyFont="1" applyFill="1" applyBorder="1">
      <alignment/>
      <protection/>
    </xf>
    <xf numFmtId="0" fontId="47" fillId="0" borderId="23" xfId="64" applyFont="1" applyFill="1" applyBorder="1">
      <alignment/>
      <protection/>
    </xf>
    <xf numFmtId="7" fontId="48" fillId="0" borderId="23" xfId="64" applyNumberFormat="1" applyFont="1" applyBorder="1" applyAlignment="1">
      <alignment/>
      <protection/>
    </xf>
    <xf numFmtId="0" fontId="13" fillId="0" borderId="28" xfId="64" applyFont="1" applyFill="1" applyBorder="1" applyAlignment="1">
      <alignment horizontal="center"/>
      <protection/>
    </xf>
    <xf numFmtId="0" fontId="13" fillId="0" borderId="28" xfId="69" applyFont="1" applyFill="1" applyBorder="1" applyAlignment="1" applyProtection="1">
      <alignment horizontal="center"/>
      <protection locked="0"/>
    </xf>
    <xf numFmtId="164" fontId="13" fillId="0" borderId="28" xfId="69" applyNumberFormat="1" applyFont="1" applyFill="1" applyBorder="1" applyAlignment="1" applyProtection="1">
      <alignment horizontal="center"/>
      <protection locked="0"/>
    </xf>
    <xf numFmtId="167" fontId="13" fillId="0" borderId="28" xfId="69" applyNumberFormat="1" applyFont="1" applyFill="1" applyBorder="1" applyAlignment="1" applyProtection="1">
      <alignment horizontal="center"/>
      <protection locked="0"/>
    </xf>
    <xf numFmtId="0" fontId="41" fillId="32" borderId="28" xfId="64" applyFont="1" applyFill="1" applyBorder="1" applyAlignment="1" applyProtection="1">
      <alignment horizontal="center"/>
      <protection/>
    </xf>
    <xf numFmtId="169" fontId="42" fillId="33" borderId="28" xfId="64" applyNumberFormat="1" applyFont="1" applyFill="1" applyBorder="1" applyAlignment="1" applyProtection="1">
      <alignment horizontal="center"/>
      <protection/>
    </xf>
    <xf numFmtId="22" fontId="13" fillId="0" borderId="29" xfId="64" applyNumberFormat="1" applyFont="1" applyFill="1" applyBorder="1" applyAlignment="1" applyProtection="1">
      <alignment horizontal="center"/>
      <protection locked="0"/>
    </xf>
    <xf numFmtId="22" fontId="13" fillId="0" borderId="32" xfId="64" applyNumberFormat="1" applyFont="1" applyFill="1" applyBorder="1" applyAlignment="1" applyProtection="1">
      <alignment horizontal="center"/>
      <protection locked="0"/>
    </xf>
    <xf numFmtId="4" fontId="13" fillId="38" borderId="28" xfId="64" applyNumberFormat="1" applyFont="1" applyFill="1" applyBorder="1" applyAlignment="1" applyProtection="1" quotePrefix="1">
      <alignment horizontal="center"/>
      <protection/>
    </xf>
    <xf numFmtId="164" fontId="13" fillId="38" borderId="28" xfId="64" applyNumberFormat="1" applyFont="1" applyFill="1" applyBorder="1" applyAlignment="1" applyProtection="1" quotePrefix="1">
      <alignment horizontal="center"/>
      <protection/>
    </xf>
    <xf numFmtId="166" fontId="13" fillId="0" borderId="29" xfId="64" applyNumberFormat="1" applyFont="1" applyBorder="1" applyAlignment="1" applyProtection="1">
      <alignment horizontal="center"/>
      <protection locked="0"/>
    </xf>
    <xf numFmtId="168" fontId="13" fillId="0" borderId="28" xfId="64" applyNumberFormat="1" applyFont="1" applyBorder="1" applyAlignment="1" applyProtection="1" quotePrefix="1">
      <alignment horizontal="center"/>
      <protection/>
    </xf>
    <xf numFmtId="166" fontId="13" fillId="0" borderId="28" xfId="64" applyNumberFormat="1" applyFont="1" applyBorder="1" applyAlignment="1" applyProtection="1">
      <alignment horizontal="center"/>
      <protection/>
    </xf>
    <xf numFmtId="2" fontId="50" fillId="34" borderId="28" xfId="64" applyNumberFormat="1" applyFont="1" applyFill="1" applyBorder="1" applyAlignment="1" applyProtection="1">
      <alignment horizontal="center"/>
      <protection/>
    </xf>
    <xf numFmtId="2" fontId="51" fillId="35" borderId="29" xfId="64" applyNumberFormat="1" applyFont="1" applyFill="1" applyBorder="1" applyAlignment="1" applyProtection="1">
      <alignment horizontal="center"/>
      <protection/>
    </xf>
    <xf numFmtId="166" fontId="52" fillId="36" borderId="30" xfId="64" applyNumberFormat="1" applyFont="1" applyFill="1" applyBorder="1" applyAlignment="1" applyProtection="1" quotePrefix="1">
      <alignment horizontal="center"/>
      <protection/>
    </xf>
    <xf numFmtId="166" fontId="52" fillId="36" borderId="31" xfId="64" applyNumberFormat="1" applyFont="1" applyFill="1" applyBorder="1" applyAlignment="1" applyProtection="1" quotePrefix="1">
      <alignment horizontal="center"/>
      <protection/>
    </xf>
    <xf numFmtId="4" fontId="52" fillId="36" borderId="29" xfId="64" applyNumberFormat="1" applyFont="1" applyFill="1" applyBorder="1" applyAlignment="1" applyProtection="1">
      <alignment horizontal="center"/>
      <protection/>
    </xf>
    <xf numFmtId="166" fontId="53" fillId="2" borderId="30" xfId="64" applyNumberFormat="1" applyFont="1" applyFill="1" applyBorder="1" applyAlignment="1" applyProtection="1" quotePrefix="1">
      <alignment horizontal="center"/>
      <protection/>
    </xf>
    <xf numFmtId="166" fontId="53" fillId="2" borderId="31" xfId="64" applyNumberFormat="1" applyFont="1" applyFill="1" applyBorder="1" applyAlignment="1" applyProtection="1" quotePrefix="1">
      <alignment horizontal="center"/>
      <protection/>
    </xf>
    <xf numFmtId="4" fontId="53" fillId="2" borderId="29" xfId="64" applyNumberFormat="1" applyFont="1" applyFill="1" applyBorder="1" applyAlignment="1" applyProtection="1">
      <alignment horizontal="center"/>
      <protection/>
    </xf>
    <xf numFmtId="4" fontId="54" fillId="3" borderId="28" xfId="64" applyNumberFormat="1" applyFont="1" applyFill="1" applyBorder="1" applyAlignment="1" applyProtection="1">
      <alignment horizontal="center"/>
      <protection/>
    </xf>
    <xf numFmtId="4" fontId="55" fillId="37" borderId="28" xfId="64" applyNumberFormat="1" applyFont="1" applyFill="1" applyBorder="1" applyAlignment="1" applyProtection="1">
      <alignment horizontal="center"/>
      <protection/>
    </xf>
    <xf numFmtId="4" fontId="13" fillId="0" borderId="28" xfId="64" applyNumberFormat="1" applyFont="1" applyBorder="1" applyAlignment="1" applyProtection="1">
      <alignment horizontal="center"/>
      <protection/>
    </xf>
    <xf numFmtId="4" fontId="48" fillId="0" borderId="29" xfId="64" applyNumberFormat="1" applyFont="1" applyFill="1" applyBorder="1" applyAlignment="1">
      <alignment horizontal="right"/>
      <protection/>
    </xf>
    <xf numFmtId="2" fontId="13" fillId="0" borderId="15" xfId="64" applyNumberFormat="1" applyFont="1" applyFill="1" applyBorder="1" applyAlignment="1">
      <alignment horizontal="center"/>
      <protection/>
    </xf>
    <xf numFmtId="22" fontId="13" fillId="0" borderId="29" xfId="69" applyNumberFormat="1" applyFont="1" applyFill="1" applyBorder="1" applyAlignment="1" applyProtection="1">
      <alignment horizontal="center"/>
      <protection locked="0"/>
    </xf>
    <xf numFmtId="22" fontId="13" fillId="0" borderId="33" xfId="69" applyNumberFormat="1" applyFont="1" applyFill="1" applyBorder="1" applyAlignment="1" applyProtection="1">
      <alignment horizontal="center"/>
      <protection locked="0"/>
    </xf>
    <xf numFmtId="164" fontId="13" fillId="0" borderId="28" xfId="64" applyNumberFormat="1" applyFont="1" applyFill="1" applyBorder="1" applyAlignment="1" applyProtection="1">
      <alignment horizontal="center"/>
      <protection locked="0"/>
    </xf>
    <xf numFmtId="0" fontId="13" fillId="0" borderId="28" xfId="64" applyFont="1" applyFill="1" applyBorder="1" applyAlignment="1" applyProtection="1">
      <alignment horizontal="center"/>
      <protection locked="0"/>
    </xf>
    <xf numFmtId="0" fontId="13" fillId="0" borderId="28" xfId="64" applyFont="1" applyBorder="1" applyAlignment="1" applyProtection="1">
      <alignment horizontal="center"/>
      <protection locked="0"/>
    </xf>
    <xf numFmtId="164" fontId="13" fillId="0" borderId="28" xfId="64" applyNumberFormat="1" applyFont="1" applyBorder="1" applyAlignment="1" applyProtection="1">
      <alignment horizontal="center"/>
      <protection locked="0"/>
    </xf>
    <xf numFmtId="167" fontId="13" fillId="0" borderId="28" xfId="64" applyNumberFormat="1" applyFont="1" applyBorder="1" applyAlignment="1" applyProtection="1">
      <alignment horizontal="center"/>
      <protection locked="0"/>
    </xf>
    <xf numFmtId="22" fontId="13" fillId="0" borderId="29" xfId="64" applyNumberFormat="1" applyFont="1" applyBorder="1" applyAlignment="1" applyProtection="1">
      <alignment horizontal="center"/>
      <protection locked="0"/>
    </xf>
    <xf numFmtId="22" fontId="13" fillId="0" borderId="32" xfId="64" applyNumberFormat="1" applyFont="1" applyBorder="1" applyAlignment="1" applyProtection="1">
      <alignment horizontal="center"/>
      <protection locked="0"/>
    </xf>
    <xf numFmtId="4" fontId="49" fillId="0" borderId="28" xfId="64" applyNumberFormat="1" applyFont="1" applyBorder="1" applyAlignment="1" applyProtection="1">
      <alignment horizontal="center"/>
      <protection/>
    </xf>
    <xf numFmtId="0" fontId="13" fillId="0" borderId="27" xfId="64" applyFont="1" applyFill="1" applyBorder="1" applyAlignment="1">
      <alignment horizontal="center"/>
      <protection/>
    </xf>
    <xf numFmtId="22" fontId="13" fillId="0" borderId="33" xfId="64" applyNumberFormat="1" applyFont="1" applyBorder="1" applyAlignment="1" applyProtection="1">
      <alignment horizontal="center"/>
      <protection locked="0"/>
    </xf>
    <xf numFmtId="167" fontId="13" fillId="0" borderId="36" xfId="64" applyNumberFormat="1" applyFont="1" applyBorder="1" applyAlignment="1" applyProtection="1">
      <alignment horizontal="center"/>
      <protection locked="0"/>
    </xf>
    <xf numFmtId="165" fontId="13" fillId="0" borderId="36" xfId="64" applyNumberFormat="1" applyFont="1" applyBorder="1" applyAlignment="1" applyProtection="1">
      <alignment horizontal="center"/>
      <protection locked="0"/>
    </xf>
    <xf numFmtId="0" fontId="41" fillId="32" borderId="36" xfId="64" applyFont="1" applyFill="1" applyBorder="1" applyAlignment="1" applyProtection="1">
      <alignment horizontal="center"/>
      <protection/>
    </xf>
    <xf numFmtId="169" fontId="42" fillId="33" borderId="36" xfId="64" applyNumberFormat="1" applyFont="1" applyFill="1" applyBorder="1" applyAlignment="1" applyProtection="1">
      <alignment horizontal="center"/>
      <protection/>
    </xf>
    <xf numFmtId="22" fontId="13" fillId="0" borderId="36" xfId="64" applyNumberFormat="1" applyFont="1" applyBorder="1" applyAlignment="1" applyProtection="1">
      <alignment horizontal="center"/>
      <protection locked="0"/>
    </xf>
    <xf numFmtId="166" fontId="13" fillId="0" borderId="36" xfId="64" applyNumberFormat="1" applyFont="1" applyBorder="1" applyAlignment="1" applyProtection="1">
      <alignment horizontal="center"/>
      <protection/>
    </xf>
    <xf numFmtId="166" fontId="13" fillId="0" borderId="36" xfId="64" applyNumberFormat="1" applyFont="1" applyBorder="1" applyAlignment="1" applyProtection="1">
      <alignment horizontal="center"/>
      <protection locked="0"/>
    </xf>
    <xf numFmtId="168" fontId="13" fillId="0" borderId="36" xfId="64" applyNumberFormat="1" applyFont="1" applyBorder="1" applyAlignment="1" applyProtection="1" quotePrefix="1">
      <alignment horizontal="center"/>
      <protection locked="0"/>
    </xf>
    <xf numFmtId="2" fontId="43" fillId="34" borderId="36" xfId="64" applyNumberFormat="1" applyFont="1" applyFill="1" applyBorder="1" applyAlignment="1" applyProtection="1">
      <alignment horizontal="center"/>
      <protection locked="0"/>
    </xf>
    <xf numFmtId="2" fontId="51" fillId="35" borderId="36" xfId="64" applyNumberFormat="1" applyFont="1" applyFill="1" applyBorder="1" applyAlignment="1" applyProtection="1">
      <alignment horizontal="center"/>
      <protection locked="0"/>
    </xf>
    <xf numFmtId="166" fontId="52" fillId="36" borderId="37" xfId="64" applyNumberFormat="1" applyFont="1" applyFill="1" applyBorder="1" applyAlignment="1" applyProtection="1" quotePrefix="1">
      <alignment horizontal="center"/>
      <protection locked="0"/>
    </xf>
    <xf numFmtId="166" fontId="52" fillId="36" borderId="38" xfId="64" applyNumberFormat="1" applyFont="1" applyFill="1" applyBorder="1" applyAlignment="1" applyProtection="1" quotePrefix="1">
      <alignment horizontal="center"/>
      <protection locked="0"/>
    </xf>
    <xf numFmtId="4" fontId="52" fillId="36" borderId="39" xfId="64" applyNumberFormat="1" applyFont="1" applyFill="1" applyBorder="1" applyAlignment="1" applyProtection="1">
      <alignment horizontal="center"/>
      <protection locked="0"/>
    </xf>
    <xf numFmtId="166" fontId="53" fillId="2" borderId="37" xfId="64" applyNumberFormat="1" applyFont="1" applyFill="1" applyBorder="1" applyAlignment="1" applyProtection="1" quotePrefix="1">
      <alignment horizontal="center"/>
      <protection locked="0"/>
    </xf>
    <xf numFmtId="166" fontId="53" fillId="2" borderId="38" xfId="64" applyNumberFormat="1" applyFont="1" applyFill="1" applyBorder="1" applyAlignment="1" applyProtection="1" quotePrefix="1">
      <alignment horizontal="center"/>
      <protection locked="0"/>
    </xf>
    <xf numFmtId="4" fontId="53" fillId="2" borderId="39" xfId="64" applyNumberFormat="1" applyFont="1" applyFill="1" applyBorder="1" applyAlignment="1" applyProtection="1">
      <alignment horizontal="center"/>
      <protection locked="0"/>
    </xf>
    <xf numFmtId="4" fontId="54" fillId="3" borderId="36" xfId="64" applyNumberFormat="1" applyFont="1" applyFill="1" applyBorder="1" applyAlignment="1" applyProtection="1">
      <alignment horizontal="center"/>
      <protection locked="0"/>
    </xf>
    <xf numFmtId="4" fontId="55" fillId="37" borderId="36" xfId="64" applyNumberFormat="1" applyFont="1" applyFill="1" applyBorder="1" applyAlignment="1" applyProtection="1">
      <alignment horizontal="center"/>
      <protection locked="0"/>
    </xf>
    <xf numFmtId="4" fontId="49" fillId="0" borderId="36" xfId="64" applyNumberFormat="1" applyFont="1" applyBorder="1" applyAlignment="1" applyProtection="1">
      <alignment horizontal="center"/>
      <protection locked="0"/>
    </xf>
    <xf numFmtId="2" fontId="48" fillId="0" borderId="40" xfId="64" applyNumberFormat="1" applyFont="1" applyFill="1" applyBorder="1" applyAlignment="1">
      <alignment horizontal="right"/>
      <protection/>
    </xf>
    <xf numFmtId="0" fontId="112" fillId="0" borderId="41" xfId="64" applyFont="1" applyBorder="1" applyAlignment="1">
      <alignment horizontal="center"/>
      <protection/>
    </xf>
    <xf numFmtId="0" fontId="115" fillId="0" borderId="0" xfId="64" applyFont="1" applyBorder="1" applyAlignment="1" applyProtection="1">
      <alignment horizontal="left"/>
      <protection/>
    </xf>
    <xf numFmtId="0" fontId="57" fillId="0" borderId="0" xfId="64" applyFont="1" applyBorder="1" applyAlignment="1">
      <alignment horizontal="center"/>
      <protection/>
    </xf>
    <xf numFmtId="0" fontId="58" fillId="0" borderId="0" xfId="64" applyFont="1" applyBorder="1" applyAlignment="1" applyProtection="1">
      <alignment horizontal="left"/>
      <protection/>
    </xf>
    <xf numFmtId="164" fontId="49" fillId="0" borderId="0" xfId="64" applyNumberFormat="1" applyFont="1" applyBorder="1" applyAlignment="1" applyProtection="1">
      <alignment horizontal="center"/>
      <protection/>
    </xf>
    <xf numFmtId="0" fontId="13" fillId="0" borderId="0" xfId="64" applyFont="1" applyBorder="1" applyAlignment="1" applyProtection="1">
      <alignment horizontal="center"/>
      <protection/>
    </xf>
    <xf numFmtId="165" fontId="13" fillId="0" borderId="0" xfId="64" applyNumberFormat="1" applyFont="1" applyBorder="1" applyAlignment="1" applyProtection="1">
      <alignment horizontal="center"/>
      <protection/>
    </xf>
    <xf numFmtId="166" fontId="13" fillId="0" borderId="0" xfId="64" applyNumberFormat="1" applyFont="1" applyBorder="1" applyAlignment="1" applyProtection="1">
      <alignment horizontal="center"/>
      <protection/>
    </xf>
    <xf numFmtId="168" fontId="13" fillId="0" borderId="0" xfId="64" applyNumberFormat="1" applyFont="1" applyBorder="1" applyAlignment="1" applyProtection="1" quotePrefix="1">
      <alignment horizontal="center"/>
      <protection/>
    </xf>
    <xf numFmtId="2" fontId="50" fillId="34" borderId="21" xfId="64" applyNumberFormat="1" applyFont="1" applyFill="1" applyBorder="1" applyAlignment="1" applyProtection="1">
      <alignment horizontal="center"/>
      <protection/>
    </xf>
    <xf numFmtId="2" fontId="51" fillId="35" borderId="21" xfId="64" applyNumberFormat="1" applyFont="1" applyFill="1" applyBorder="1" applyAlignment="1" applyProtection="1">
      <alignment horizontal="center"/>
      <protection/>
    </xf>
    <xf numFmtId="2" fontId="52" fillId="36" borderId="21" xfId="64" applyNumberFormat="1" applyFont="1" applyFill="1" applyBorder="1" applyAlignment="1" applyProtection="1">
      <alignment horizontal="center"/>
      <protection/>
    </xf>
    <xf numFmtId="2" fontId="53" fillId="2" borderId="21" xfId="64" applyNumberFormat="1" applyFont="1" applyFill="1" applyBorder="1" applyAlignment="1" applyProtection="1">
      <alignment horizontal="center"/>
      <protection/>
    </xf>
    <xf numFmtId="2" fontId="54" fillId="3" borderId="21" xfId="64" applyNumberFormat="1" applyFont="1" applyFill="1" applyBorder="1" applyAlignment="1" applyProtection="1">
      <alignment horizontal="center"/>
      <protection/>
    </xf>
    <xf numFmtId="2" fontId="55" fillId="37" borderId="21" xfId="64" applyNumberFormat="1" applyFont="1" applyFill="1" applyBorder="1" applyAlignment="1" applyProtection="1">
      <alignment horizontal="center"/>
      <protection/>
    </xf>
    <xf numFmtId="2" fontId="59" fillId="0" borderId="42" xfId="64" applyNumberFormat="1" applyFont="1" applyBorder="1" applyAlignment="1" applyProtection="1">
      <alignment horizontal="center"/>
      <protection/>
    </xf>
    <xf numFmtId="7" fontId="4" fillId="0" borderId="21" xfId="64" applyNumberFormat="1" applyFont="1" applyFill="1" applyBorder="1" applyAlignment="1" applyProtection="1">
      <alignment horizontal="right"/>
      <protection/>
    </xf>
    <xf numFmtId="0" fontId="13" fillId="0" borderId="18" xfId="64" applyFont="1" applyBorder="1">
      <alignment/>
      <protection/>
    </xf>
    <xf numFmtId="0" fontId="13" fillId="0" borderId="19" xfId="64" applyFont="1" applyBorder="1">
      <alignment/>
      <protection/>
    </xf>
    <xf numFmtId="0" fontId="13" fillId="0" borderId="20" xfId="64" applyFont="1" applyBorder="1">
      <alignment/>
      <protection/>
    </xf>
    <xf numFmtId="0" fontId="3" fillId="0" borderId="0" xfId="64" applyBorder="1">
      <alignment/>
      <protection/>
    </xf>
    <xf numFmtId="0" fontId="13" fillId="0" borderId="61" xfId="70" applyFont="1" applyBorder="1" applyAlignment="1" applyProtection="1">
      <alignment horizontal="center"/>
      <protection locked="0"/>
    </xf>
    <xf numFmtId="0" fontId="13" fillId="0" borderId="33" xfId="70" applyFont="1" applyBorder="1" applyAlignment="1" applyProtection="1">
      <alignment horizontal="center"/>
      <protection locked="0"/>
    </xf>
    <xf numFmtId="0" fontId="13" fillId="0" borderId="41" xfId="71" applyFont="1" applyFill="1" applyBorder="1" applyAlignment="1">
      <alignment horizontal="left"/>
      <protection/>
    </xf>
    <xf numFmtId="0" fontId="8" fillId="0" borderId="0" xfId="62" applyFont="1">
      <alignment/>
      <protection/>
    </xf>
    <xf numFmtId="0" fontId="8" fillId="0" borderId="0" xfId="62" applyFont="1" applyFill="1">
      <alignment/>
      <protection/>
    </xf>
    <xf numFmtId="0" fontId="11" fillId="0" borderId="0" xfId="62" applyFont="1" applyFill="1" applyAlignment="1">
      <alignment horizontal="right" vertical="top"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Alignment="1">
      <alignment horizontal="centerContinuous"/>
      <protection/>
    </xf>
    <xf numFmtId="0" fontId="13" fillId="0" borderId="0" xfId="62" applyFont="1" applyFill="1">
      <alignment/>
      <protection/>
    </xf>
    <xf numFmtId="0" fontId="13" fillId="0" borderId="0" xfId="62" applyFont="1">
      <alignment/>
      <protection/>
    </xf>
    <xf numFmtId="0" fontId="6" fillId="0" borderId="0" xfId="62" applyFont="1" applyFill="1" applyAlignment="1">
      <alignment horizontal="centerContinuous"/>
      <protection/>
    </xf>
    <xf numFmtId="0" fontId="14" fillId="0" borderId="0" xfId="62" applyFont="1" applyFill="1" applyAlignment="1">
      <alignment horizontal="centerContinuous"/>
      <protection/>
    </xf>
    <xf numFmtId="0" fontId="14" fillId="0" borderId="0" xfId="62" applyFont="1" applyFill="1">
      <alignment/>
      <protection/>
    </xf>
    <xf numFmtId="0" fontId="14" fillId="0" borderId="0" xfId="62" applyFont="1">
      <alignment/>
      <protection/>
    </xf>
    <xf numFmtId="0" fontId="13" fillId="0" borderId="11" xfId="62" applyFont="1" applyFill="1" applyBorder="1">
      <alignment/>
      <protection/>
    </xf>
    <xf numFmtId="0" fontId="13" fillId="0" borderId="12" xfId="62" applyFont="1" applyFill="1" applyBorder="1">
      <alignment/>
      <protection/>
    </xf>
    <xf numFmtId="0" fontId="13" fillId="0" borderId="13" xfId="62" applyFont="1" applyFill="1" applyBorder="1">
      <alignment/>
      <protection/>
    </xf>
    <xf numFmtId="0" fontId="16" fillId="0" borderId="0" xfId="62" applyFont="1">
      <alignment/>
      <protection/>
    </xf>
    <xf numFmtId="0" fontId="16" fillId="0" borderId="14" xfId="62" applyFont="1" applyBorder="1">
      <alignment/>
      <protection/>
    </xf>
    <xf numFmtId="0" fontId="16" fillId="0" borderId="0" xfId="62" applyFont="1" applyBorder="1">
      <alignment/>
      <protection/>
    </xf>
    <xf numFmtId="0" fontId="20" fillId="0" borderId="0" xfId="62" applyFont="1" applyBorder="1" applyAlignment="1">
      <alignment horizontal="left"/>
      <protection/>
    </xf>
    <xf numFmtId="0" fontId="20" fillId="0" borderId="0" xfId="62" applyFont="1" applyBorder="1">
      <alignment/>
      <protection/>
    </xf>
    <xf numFmtId="0" fontId="18" fillId="0" borderId="0" xfId="62" applyFont="1">
      <alignment/>
      <protection/>
    </xf>
    <xf numFmtId="0" fontId="16" fillId="0" borderId="15" xfId="62" applyFont="1" applyFill="1" applyBorder="1">
      <alignment/>
      <protection/>
    </xf>
    <xf numFmtId="0" fontId="13" fillId="0" borderId="14" xfId="62" applyFont="1" applyFill="1" applyBorder="1">
      <alignment/>
      <protection/>
    </xf>
    <xf numFmtId="0" fontId="13" fillId="0" borderId="0" xfId="62" applyFont="1" applyFill="1" applyBorder="1">
      <alignment/>
      <protection/>
    </xf>
    <xf numFmtId="0" fontId="5" fillId="0" borderId="0" xfId="62" applyFont="1" applyFill="1" applyBorder="1" applyAlignment="1">
      <alignment horizontal="left"/>
      <protection/>
    </xf>
    <xf numFmtId="0" fontId="13" fillId="0" borderId="15" xfId="62" applyFont="1" applyFill="1" applyBorder="1">
      <alignment/>
      <protection/>
    </xf>
    <xf numFmtId="0" fontId="16" fillId="0" borderId="0" xfId="62" applyFont="1" applyAlignment="1">
      <alignment vertical="top"/>
      <protection/>
    </xf>
    <xf numFmtId="0" fontId="16" fillId="0" borderId="14" xfId="62" applyFont="1" applyBorder="1" applyAlignment="1">
      <alignment vertical="top"/>
      <protection/>
    </xf>
    <xf numFmtId="0" fontId="16" fillId="0" borderId="0" xfId="62" applyFont="1" applyBorder="1" applyAlignment="1">
      <alignment vertical="top"/>
      <protection/>
    </xf>
    <xf numFmtId="0" fontId="20" fillId="0" borderId="0" xfId="62" applyFont="1" applyFill="1" applyBorder="1" applyAlignment="1">
      <alignment horizontal="left" vertical="top"/>
      <protection/>
    </xf>
    <xf numFmtId="0" fontId="20" fillId="0" borderId="0" xfId="62" applyFont="1" applyBorder="1" applyAlignment="1">
      <alignment vertical="top"/>
      <protection/>
    </xf>
    <xf numFmtId="0" fontId="18" fillId="0" borderId="0" xfId="62" applyFont="1" applyAlignment="1">
      <alignment vertical="top"/>
      <protection/>
    </xf>
    <xf numFmtId="0" fontId="16" fillId="0" borderId="15" xfId="62" applyFont="1" applyFill="1" applyBorder="1" applyAlignment="1">
      <alignment vertical="top"/>
      <protection/>
    </xf>
    <xf numFmtId="0" fontId="13" fillId="0" borderId="0" xfId="62" applyFont="1" applyFill="1" applyAlignment="1">
      <alignment vertical="top"/>
      <protection/>
    </xf>
    <xf numFmtId="0" fontId="13" fillId="0" borderId="14" xfId="62" applyFont="1" applyFill="1" applyBorder="1" applyAlignment="1">
      <alignment vertical="top"/>
      <protection/>
    </xf>
    <xf numFmtId="0" fontId="13" fillId="0" borderId="0" xfId="62" applyFont="1" applyFill="1" applyBorder="1" applyAlignment="1">
      <alignment vertical="top"/>
      <protection/>
    </xf>
    <xf numFmtId="0" fontId="20" fillId="0" borderId="0" xfId="62" applyFont="1" applyBorder="1" applyAlignment="1">
      <alignment horizontal="left" vertical="top"/>
      <protection/>
    </xf>
    <xf numFmtId="0" fontId="13" fillId="0" borderId="0" xfId="62" applyFont="1" applyFill="1" applyBorder="1" applyAlignment="1">
      <alignment horizontal="center" vertical="top"/>
      <protection/>
    </xf>
    <xf numFmtId="0" fontId="13" fillId="0" borderId="15" xfId="62" applyFont="1" applyFill="1" applyBorder="1" applyAlignment="1">
      <alignment vertical="top"/>
      <protection/>
    </xf>
    <xf numFmtId="0" fontId="13" fillId="0" borderId="0" xfId="62" applyFont="1" applyAlignment="1">
      <alignment vertical="top"/>
      <protection/>
    </xf>
    <xf numFmtId="0" fontId="23" fillId="0" borderId="0" xfId="62" applyFont="1" applyFill="1">
      <alignment/>
      <protection/>
    </xf>
    <xf numFmtId="0" fontId="24" fillId="0" borderId="0" xfId="62" applyFont="1" applyBorder="1" applyAlignment="1">
      <alignment horizontal="centerContinuous"/>
      <protection/>
    </xf>
    <xf numFmtId="0" fontId="24" fillId="0" borderId="0" xfId="62" applyFont="1" applyFill="1" applyAlignment="1">
      <alignment horizontal="centerContinuous"/>
      <protection/>
    </xf>
    <xf numFmtId="0" fontId="24" fillId="0" borderId="0" xfId="62" applyFont="1" applyFill="1" applyBorder="1" applyAlignment="1">
      <alignment horizontal="centerContinuous"/>
      <protection/>
    </xf>
    <xf numFmtId="0" fontId="26" fillId="0" borderId="0" xfId="62" applyFont="1" applyFill="1" applyAlignment="1">
      <alignment horizontal="centerContinuous"/>
      <protection/>
    </xf>
    <xf numFmtId="0" fontId="26" fillId="0" borderId="15" xfId="62" applyFont="1" applyFill="1" applyBorder="1" applyAlignment="1">
      <alignment horizontal="centerContinuous"/>
      <protection/>
    </xf>
    <xf numFmtId="0" fontId="23" fillId="0" borderId="0" xfId="62" applyFont="1">
      <alignment/>
      <protection/>
    </xf>
    <xf numFmtId="0" fontId="13" fillId="0" borderId="0" xfId="62" applyFont="1" applyFill="1" applyBorder="1" applyAlignment="1">
      <alignment horizontal="center"/>
      <protection/>
    </xf>
    <xf numFmtId="0" fontId="3" fillId="0" borderId="63" xfId="62" applyFont="1" applyFill="1" applyBorder="1" applyAlignment="1" applyProtection="1">
      <alignment horizontal="left" vertical="center"/>
      <protection/>
    </xf>
    <xf numFmtId="0" fontId="3" fillId="0" borderId="63" xfId="62" applyFont="1" applyFill="1" applyBorder="1" applyAlignment="1" applyProtection="1">
      <alignment horizontal="center" vertical="center"/>
      <protection/>
    </xf>
    <xf numFmtId="0" fontId="3" fillId="0" borderId="63" xfId="62" applyFont="1" applyFill="1" applyBorder="1" applyAlignment="1">
      <alignment horizontal="center" vertical="center"/>
      <protection/>
    </xf>
    <xf numFmtId="0" fontId="13" fillId="38" borderId="0" xfId="62" applyFont="1" applyFill="1" applyBorder="1">
      <alignment/>
      <protection/>
    </xf>
    <xf numFmtId="0" fontId="3" fillId="0" borderId="16" xfId="62" applyFont="1" applyFill="1" applyBorder="1" applyAlignment="1" applyProtection="1">
      <alignment horizontal="left" vertical="center"/>
      <protection/>
    </xf>
    <xf numFmtId="0" fontId="3" fillId="0" borderId="41" xfId="62" applyFont="1" applyFill="1" applyBorder="1" applyAlignment="1" applyProtection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0" xfId="62">
      <alignment/>
      <protection/>
    </xf>
    <xf numFmtId="0" fontId="48" fillId="0" borderId="0" xfId="62" applyFont="1" applyBorder="1" applyAlignment="1">
      <alignment horizontal="right"/>
      <protection/>
    </xf>
    <xf numFmtId="0" fontId="13" fillId="0" borderId="0" xfId="62" applyFont="1" applyBorder="1">
      <alignment/>
      <protection/>
    </xf>
    <xf numFmtId="0" fontId="5" fillId="0" borderId="0" xfId="62" applyFont="1" applyBorder="1" applyAlignment="1">
      <alignment horizontal="center"/>
      <protection/>
    </xf>
    <xf numFmtId="0" fontId="3" fillId="0" borderId="16" xfId="62" applyFont="1" applyFill="1" applyBorder="1" applyAlignment="1" applyProtection="1" quotePrefix="1">
      <alignment horizontal="left"/>
      <protection/>
    </xf>
    <xf numFmtId="0" fontId="3" fillId="0" borderId="22" xfId="62" applyFont="1" applyFill="1" applyBorder="1" applyAlignment="1" applyProtection="1">
      <alignment horizontal="center"/>
      <protection/>
    </xf>
    <xf numFmtId="164" fontId="3" fillId="0" borderId="21" xfId="62" applyNumberFormat="1" applyFont="1" applyFill="1" applyBorder="1" applyAlignment="1" applyProtection="1">
      <alignment horizontal="center"/>
      <protection/>
    </xf>
    <xf numFmtId="0" fontId="116" fillId="0" borderId="0" xfId="62" applyFont="1" applyBorder="1" applyAlignment="1">
      <alignment horizontal="center"/>
      <protection/>
    </xf>
    <xf numFmtId="22" fontId="1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 applyProtection="1" quotePrefix="1">
      <alignment horizontal="left"/>
      <protection/>
    </xf>
    <xf numFmtId="0" fontId="3" fillId="0" borderId="0" xfId="62" applyFont="1" applyFill="1" applyBorder="1" applyAlignment="1" applyProtection="1">
      <alignment horizontal="center"/>
      <protection/>
    </xf>
    <xf numFmtId="164" fontId="3" fillId="0" borderId="0" xfId="62" applyNumberFormat="1" applyFont="1" applyFill="1" applyBorder="1" applyAlignment="1" applyProtection="1">
      <alignment horizontal="center"/>
      <protection/>
    </xf>
    <xf numFmtId="0" fontId="29" fillId="0" borderId="0" xfId="62" applyFont="1" applyFill="1" applyBorder="1">
      <alignment/>
      <protection/>
    </xf>
    <xf numFmtId="0" fontId="30" fillId="0" borderId="21" xfId="62" applyFont="1" applyFill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1" xfId="62" applyFont="1" applyFill="1" applyBorder="1" applyAlignment="1" applyProtection="1">
      <alignment horizontal="center" vertical="center" wrapText="1"/>
      <protection/>
    </xf>
    <xf numFmtId="0" fontId="30" fillId="0" borderId="21" xfId="62" applyFont="1" applyFill="1" applyBorder="1" applyAlignment="1" applyProtection="1">
      <alignment horizontal="center" vertical="center"/>
      <protection/>
    </xf>
    <xf numFmtId="0" fontId="30" fillId="0" borderId="21" xfId="62" applyFont="1" applyFill="1" applyBorder="1" applyAlignment="1" applyProtection="1" quotePrefix="1">
      <alignment horizontal="center" vertical="center" wrapText="1"/>
      <protection/>
    </xf>
    <xf numFmtId="0" fontId="30" fillId="0" borderId="21" xfId="62" applyFont="1" applyFill="1" applyBorder="1" applyAlignment="1">
      <alignment horizontal="center" vertical="center" wrapText="1"/>
      <protection/>
    </xf>
    <xf numFmtId="0" fontId="60" fillId="36" borderId="21" xfId="62" applyFont="1" applyFill="1" applyBorder="1" applyAlignment="1" applyProtection="1">
      <alignment horizontal="center" vertical="center"/>
      <protection/>
    </xf>
    <xf numFmtId="0" fontId="30" fillId="0" borderId="16" xfId="62" applyFont="1" applyBorder="1" applyAlignment="1" applyProtection="1">
      <alignment horizontal="center" vertical="center" wrapText="1"/>
      <protection/>
    </xf>
    <xf numFmtId="0" fontId="30" fillId="0" borderId="16" xfId="62" applyFont="1" applyFill="1" applyBorder="1" applyAlignment="1" applyProtection="1">
      <alignment horizontal="center" vertical="center"/>
      <protection/>
    </xf>
    <xf numFmtId="164" fontId="29" fillId="39" borderId="21" xfId="62" applyNumberFormat="1" applyFont="1" applyFill="1" applyBorder="1" applyAlignment="1" applyProtection="1">
      <alignment horizontal="center" vertical="center"/>
      <protection/>
    </xf>
    <xf numFmtId="0" fontId="67" fillId="3" borderId="21" xfId="62" applyFont="1" applyFill="1" applyBorder="1" applyAlignment="1">
      <alignment horizontal="center" vertical="center" wrapText="1"/>
      <protection/>
    </xf>
    <xf numFmtId="0" fontId="68" fillId="35" borderId="21" xfId="62" applyFont="1" applyFill="1" applyBorder="1" applyAlignment="1">
      <alignment horizontal="center" vertical="center" wrapText="1"/>
      <protection/>
    </xf>
    <xf numFmtId="0" fontId="36" fillId="36" borderId="16" xfId="62" applyFont="1" applyFill="1" applyBorder="1" applyAlignment="1" applyProtection="1">
      <alignment horizontal="centerContinuous" vertical="center" wrapText="1"/>
      <protection/>
    </xf>
    <xf numFmtId="0" fontId="36" fillId="36" borderId="17" xfId="62" applyFont="1" applyFill="1" applyBorder="1" applyAlignment="1">
      <alignment horizontal="centerContinuous" vertical="center"/>
      <protection/>
    </xf>
    <xf numFmtId="0" fontId="69" fillId="40" borderId="16" xfId="62" applyFont="1" applyFill="1" applyBorder="1" applyAlignment="1" applyProtection="1">
      <alignment horizontal="centerContinuous" vertical="center" wrapText="1"/>
      <protection/>
    </xf>
    <xf numFmtId="0" fontId="69" fillId="40" borderId="17" xfId="62" applyFont="1" applyFill="1" applyBorder="1" applyAlignment="1">
      <alignment horizontal="centerContinuous" vertical="center"/>
      <protection/>
    </xf>
    <xf numFmtId="0" fontId="34" fillId="41" borderId="21" xfId="62" applyFont="1" applyFill="1" applyBorder="1" applyAlignment="1">
      <alignment horizontal="center" vertical="center" wrapText="1"/>
      <protection/>
    </xf>
    <xf numFmtId="0" fontId="70" fillId="3" borderId="21" xfId="62" applyFont="1" applyFill="1" applyBorder="1" applyAlignment="1">
      <alignment horizontal="center" vertical="center" wrapText="1"/>
      <protection/>
    </xf>
    <xf numFmtId="0" fontId="30" fillId="0" borderId="21" xfId="62" applyFont="1" applyBorder="1" applyAlignment="1">
      <alignment horizontal="center" vertical="center" wrapText="1"/>
      <protection/>
    </xf>
    <xf numFmtId="0" fontId="61" fillId="36" borderId="21" xfId="62" applyFont="1" applyFill="1" applyBorder="1" applyAlignment="1">
      <alignment horizontal="center" vertical="center" wrapText="1"/>
      <protection/>
    </xf>
    <xf numFmtId="0" fontId="13" fillId="0" borderId="43" xfId="62" applyFont="1" applyFill="1" applyBorder="1" applyAlignment="1">
      <alignment horizontal="center"/>
      <protection/>
    </xf>
    <xf numFmtId="0" fontId="13" fillId="0" borderId="35" xfId="62" applyFont="1" applyFill="1" applyBorder="1" applyAlignment="1">
      <alignment horizontal="center"/>
      <protection/>
    </xf>
    <xf numFmtId="164" fontId="13" fillId="0" borderId="35" xfId="62" applyNumberFormat="1" applyFont="1" applyFill="1" applyBorder="1" applyAlignment="1" applyProtection="1">
      <alignment horizontal="center"/>
      <protection/>
    </xf>
    <xf numFmtId="0" fontId="63" fillId="36" borderId="35" xfId="62" applyFont="1" applyFill="1" applyBorder="1" applyAlignment="1">
      <alignment horizontal="center"/>
      <protection/>
    </xf>
    <xf numFmtId="0" fontId="13" fillId="0" borderId="28" xfId="62" applyFont="1" applyBorder="1">
      <alignment/>
      <protection/>
    </xf>
    <xf numFmtId="0" fontId="13" fillId="0" borderId="58" xfId="62" applyFont="1" applyFill="1" applyBorder="1" applyAlignment="1">
      <alignment horizontal="center"/>
      <protection/>
    </xf>
    <xf numFmtId="164" fontId="29" fillId="39" borderId="23" xfId="62" applyNumberFormat="1" applyFont="1" applyFill="1" applyBorder="1" applyAlignment="1" applyProtection="1">
      <alignment horizontal="center"/>
      <protection/>
    </xf>
    <xf numFmtId="0" fontId="71" fillId="3" borderId="43" xfId="62" applyFont="1" applyFill="1" applyBorder="1" applyAlignment="1">
      <alignment horizontal="center"/>
      <protection/>
    </xf>
    <xf numFmtId="0" fontId="72" fillId="35" borderId="43" xfId="62" applyFont="1" applyFill="1" applyBorder="1" applyAlignment="1">
      <alignment horizontal="center"/>
      <protection/>
    </xf>
    <xf numFmtId="0" fontId="52" fillId="36" borderId="24" xfId="62" applyFont="1" applyFill="1" applyBorder="1" applyAlignment="1">
      <alignment horizontal="center"/>
      <protection/>
    </xf>
    <xf numFmtId="0" fontId="52" fillId="36" borderId="26" xfId="62" applyFont="1" applyFill="1" applyBorder="1" applyAlignment="1">
      <alignment horizontal="center"/>
      <protection/>
    </xf>
    <xf numFmtId="0" fontId="73" fillId="40" borderId="45" xfId="62" applyFont="1" applyFill="1" applyBorder="1" applyAlignment="1">
      <alignment horizontal="center"/>
      <protection/>
    </xf>
    <xf numFmtId="0" fontId="73" fillId="40" borderId="46" xfId="62" applyFont="1" applyFill="1" applyBorder="1" applyAlignment="1">
      <alignment horizontal="center"/>
      <protection/>
    </xf>
    <xf numFmtId="0" fontId="50" fillId="41" borderId="43" xfId="62" applyFont="1" applyFill="1" applyBorder="1" applyAlignment="1">
      <alignment horizontal="center"/>
      <protection/>
    </xf>
    <xf numFmtId="0" fontId="74" fillId="3" borderId="43" xfId="62" applyFont="1" applyFill="1" applyBorder="1" applyAlignment="1">
      <alignment horizontal="center"/>
      <protection/>
    </xf>
    <xf numFmtId="7" fontId="78" fillId="36" borderId="43" xfId="62" applyNumberFormat="1" applyFont="1" applyFill="1" applyBorder="1" applyAlignment="1">
      <alignment horizontal="center"/>
      <protection/>
    </xf>
    <xf numFmtId="7" fontId="48" fillId="0" borderId="35" xfId="62" applyNumberFormat="1" applyFont="1" applyFill="1" applyBorder="1" applyAlignment="1">
      <alignment horizontal="center"/>
      <protection/>
    </xf>
    <xf numFmtId="0" fontId="13" fillId="0" borderId="27" xfId="62" applyFont="1" applyFill="1" applyBorder="1" applyAlignment="1">
      <alignment horizontal="center"/>
      <protection/>
    </xf>
    <xf numFmtId="164" fontId="13" fillId="0" borderId="27" xfId="62" applyNumberFormat="1" applyFont="1" applyFill="1" applyBorder="1" applyAlignment="1" applyProtection="1">
      <alignment horizontal="center"/>
      <protection/>
    </xf>
    <xf numFmtId="0" fontId="63" fillId="36" borderId="27" xfId="62" applyFont="1" applyFill="1" applyBorder="1" applyAlignment="1">
      <alignment horizontal="center"/>
      <protection/>
    </xf>
    <xf numFmtId="0" fontId="13" fillId="0" borderId="29" xfId="62" applyFont="1" applyBorder="1">
      <alignment/>
      <protection/>
    </xf>
    <xf numFmtId="0" fontId="13" fillId="0" borderId="47" xfId="62" applyFont="1" applyFill="1" applyBorder="1" applyAlignment="1">
      <alignment horizontal="center"/>
      <protection/>
    </xf>
    <xf numFmtId="164" fontId="29" fillId="39" borderId="27" xfId="62" applyNumberFormat="1" applyFont="1" applyFill="1" applyBorder="1" applyAlignment="1" applyProtection="1">
      <alignment horizontal="center"/>
      <protection/>
    </xf>
    <xf numFmtId="0" fontId="71" fillId="3" borderId="27" xfId="62" applyFont="1" applyFill="1" applyBorder="1" applyAlignment="1">
      <alignment horizontal="center"/>
      <protection/>
    </xf>
    <xf numFmtId="0" fontId="72" fillId="35" borderId="27" xfId="62" applyFont="1" applyFill="1" applyBorder="1" applyAlignment="1">
      <alignment horizontal="center"/>
      <protection/>
    </xf>
    <xf numFmtId="0" fontId="52" fillId="36" borderId="48" xfId="62" applyFont="1" applyFill="1" applyBorder="1" applyAlignment="1">
      <alignment horizontal="center"/>
      <protection/>
    </xf>
    <xf numFmtId="0" fontId="52" fillId="36" borderId="49" xfId="62" applyFont="1" applyFill="1" applyBorder="1" applyAlignment="1">
      <alignment horizontal="center"/>
      <protection/>
    </xf>
    <xf numFmtId="0" fontId="73" fillId="40" borderId="48" xfId="62" applyFont="1" applyFill="1" applyBorder="1" applyAlignment="1">
      <alignment horizontal="center"/>
      <protection/>
    </xf>
    <xf numFmtId="0" fontId="73" fillId="40" borderId="49" xfId="62" applyFont="1" applyFill="1" applyBorder="1" applyAlignment="1">
      <alignment horizontal="center"/>
      <protection/>
    </xf>
    <xf numFmtId="0" fontId="50" fillId="41" borderId="27" xfId="62" applyFont="1" applyFill="1" applyBorder="1" applyAlignment="1">
      <alignment horizontal="center"/>
      <protection/>
    </xf>
    <xf numFmtId="0" fontId="74" fillId="3" borderId="27" xfId="62" applyFont="1" applyFill="1" applyBorder="1" applyAlignment="1">
      <alignment horizontal="center"/>
      <protection/>
    </xf>
    <xf numFmtId="0" fontId="78" fillId="36" borderId="27" xfId="62" applyFont="1" applyFill="1" applyBorder="1" applyAlignment="1">
      <alignment horizontal="center"/>
      <protection/>
    </xf>
    <xf numFmtId="0" fontId="48" fillId="0" borderId="27" xfId="62" applyFont="1" applyFill="1" applyBorder="1" applyAlignment="1">
      <alignment horizontal="center"/>
      <protection/>
    </xf>
    <xf numFmtId="0" fontId="13" fillId="0" borderId="28" xfId="62" applyFont="1" applyFill="1" applyBorder="1" applyAlignment="1" applyProtection="1">
      <alignment horizontal="center"/>
      <protection locked="0"/>
    </xf>
    <xf numFmtId="0" fontId="13" fillId="0" borderId="27" xfId="62" applyFont="1" applyBorder="1" applyAlignment="1" applyProtection="1">
      <alignment horizontal="center"/>
      <protection locked="0"/>
    </xf>
    <xf numFmtId="0" fontId="13" fillId="0" borderId="32" xfId="62" applyFont="1" applyBorder="1" applyAlignment="1" applyProtection="1">
      <alignment horizontal="center"/>
      <protection locked="0"/>
    </xf>
    <xf numFmtId="164" fontId="13" fillId="0" borderId="27" xfId="62" applyNumberFormat="1" applyFont="1" applyBorder="1" applyAlignment="1" applyProtection="1">
      <alignment horizontal="center"/>
      <protection locked="0"/>
    </xf>
    <xf numFmtId="1" fontId="13" fillId="0" borderId="49" xfId="62" applyNumberFormat="1" applyFont="1" applyBorder="1" applyAlignment="1" applyProtection="1">
      <alignment horizontal="center"/>
      <protection locked="0"/>
    </xf>
    <xf numFmtId="169" fontId="63" fillId="36" borderId="27" xfId="62" applyNumberFormat="1" applyFont="1" applyFill="1" applyBorder="1" applyAlignment="1" applyProtection="1">
      <alignment horizontal="center"/>
      <protection/>
    </xf>
    <xf numFmtId="22" fontId="13" fillId="0" borderId="27" xfId="62" applyNumberFormat="1" applyFont="1" applyFill="1" applyBorder="1" applyAlignment="1" applyProtection="1">
      <alignment horizontal="center"/>
      <protection locked="0"/>
    </xf>
    <xf numFmtId="4" fontId="13" fillId="0" borderId="27" xfId="62" applyNumberFormat="1" applyFont="1" applyFill="1" applyBorder="1" applyAlignment="1" applyProtection="1">
      <alignment horizontal="center"/>
      <protection/>
    </xf>
    <xf numFmtId="3" fontId="13" fillId="0" borderId="27" xfId="62" applyNumberFormat="1" applyFont="1" applyFill="1" applyBorder="1" applyAlignment="1" applyProtection="1">
      <alignment horizontal="center"/>
      <protection/>
    </xf>
    <xf numFmtId="166" fontId="13" fillId="0" borderId="27" xfId="62" applyNumberFormat="1" applyFont="1" applyFill="1" applyBorder="1" applyAlignment="1" applyProtection="1">
      <alignment horizontal="center"/>
      <protection locked="0"/>
    </xf>
    <xf numFmtId="168" fontId="13" fillId="0" borderId="29" xfId="62" applyNumberFormat="1" applyFont="1" applyBorder="1" applyAlignment="1" applyProtection="1" quotePrefix="1">
      <alignment horizontal="center"/>
      <protection/>
    </xf>
    <xf numFmtId="166" fontId="13" fillId="0" borderId="27" xfId="62" applyNumberFormat="1" applyFont="1" applyBorder="1" applyAlignment="1" applyProtection="1" quotePrefix="1">
      <alignment horizontal="center"/>
      <protection/>
    </xf>
    <xf numFmtId="166" fontId="13" fillId="0" borderId="27" xfId="62" applyNumberFormat="1" applyFont="1" applyBorder="1" applyAlignment="1" applyProtection="1">
      <alignment horizontal="center"/>
      <protection/>
    </xf>
    <xf numFmtId="2" fontId="71" fillId="3" borderId="28" xfId="62" applyNumberFormat="1" applyFont="1" applyFill="1" applyBorder="1" applyAlignment="1" applyProtection="1">
      <alignment horizontal="center"/>
      <protection/>
    </xf>
    <xf numFmtId="2" fontId="72" fillId="35" borderId="28" xfId="62" applyNumberFormat="1" applyFont="1" applyFill="1" applyBorder="1" applyAlignment="1" applyProtection="1">
      <alignment horizontal="center"/>
      <protection/>
    </xf>
    <xf numFmtId="166" fontId="52" fillId="36" borderId="48" xfId="62" applyNumberFormat="1" applyFont="1" applyFill="1" applyBorder="1" applyAlignment="1" applyProtection="1" quotePrefix="1">
      <alignment horizontal="center"/>
      <protection/>
    </xf>
    <xf numFmtId="166" fontId="52" fillId="36" borderId="49" xfId="62" applyNumberFormat="1" applyFont="1" applyFill="1" applyBorder="1" applyAlignment="1" applyProtection="1" quotePrefix="1">
      <alignment horizontal="center"/>
      <protection/>
    </xf>
    <xf numFmtId="166" fontId="73" fillId="40" borderId="48" xfId="62" applyNumberFormat="1" applyFont="1" applyFill="1" applyBorder="1" applyAlignment="1" applyProtection="1" quotePrefix="1">
      <alignment horizontal="center"/>
      <protection/>
    </xf>
    <xf numFmtId="166" fontId="73" fillId="40" borderId="49" xfId="62" applyNumberFormat="1" applyFont="1" applyFill="1" applyBorder="1" applyAlignment="1" applyProtection="1" quotePrefix="1">
      <alignment horizontal="center"/>
      <protection/>
    </xf>
    <xf numFmtId="166" fontId="50" fillId="41" borderId="28" xfId="62" applyNumberFormat="1" applyFont="1" applyFill="1" applyBorder="1" applyAlignment="1" applyProtection="1" quotePrefix="1">
      <alignment horizontal="center"/>
      <protection/>
    </xf>
    <xf numFmtId="166" fontId="74" fillId="3" borderId="27" xfId="62" applyNumberFormat="1" applyFont="1" applyFill="1" applyBorder="1" applyAlignment="1" applyProtection="1" quotePrefix="1">
      <alignment horizontal="center"/>
      <protection/>
    </xf>
    <xf numFmtId="166" fontId="13" fillId="0" borderId="47" xfId="62" applyNumberFormat="1" applyFont="1" applyFill="1" applyBorder="1" applyAlignment="1" applyProtection="1">
      <alignment horizontal="center"/>
      <protection/>
    </xf>
    <xf numFmtId="4" fontId="78" fillId="36" borderId="27" xfId="62" applyNumberFormat="1" applyFont="1" applyFill="1" applyBorder="1" applyAlignment="1">
      <alignment horizontal="right"/>
      <protection/>
    </xf>
    <xf numFmtId="4" fontId="78" fillId="0" borderId="27" xfId="62" applyNumberFormat="1" applyFont="1" applyFill="1" applyBorder="1" applyAlignment="1">
      <alignment horizontal="right"/>
      <protection/>
    </xf>
    <xf numFmtId="22" fontId="13" fillId="0" borderId="28" xfId="62" applyNumberFormat="1" applyFont="1" applyFill="1" applyBorder="1" applyAlignment="1" applyProtection="1">
      <alignment horizontal="center"/>
      <protection locked="0"/>
    </xf>
    <xf numFmtId="166" fontId="13" fillId="0" borderId="28" xfId="62" applyNumberFormat="1" applyFont="1" applyFill="1" applyBorder="1" applyAlignment="1" applyProtection="1">
      <alignment horizontal="center"/>
      <protection locked="0"/>
    </xf>
    <xf numFmtId="1" fontId="13" fillId="0" borderId="49" xfId="62" applyNumberFormat="1" applyFont="1" applyBorder="1" applyAlignment="1" applyProtection="1" quotePrefix="1">
      <alignment horizontal="center"/>
      <protection locked="0"/>
    </xf>
    <xf numFmtId="0" fontId="13" fillId="0" borderId="47" xfId="62" applyFont="1" applyBorder="1" applyAlignment="1" applyProtection="1">
      <alignment horizontal="center"/>
      <protection locked="0"/>
    </xf>
    <xf numFmtId="0" fontId="75" fillId="0" borderId="36" xfId="62" applyFont="1" applyFill="1" applyBorder="1" applyAlignment="1" applyProtection="1">
      <alignment horizontal="center"/>
      <protection locked="0"/>
    </xf>
    <xf numFmtId="164" fontId="49" fillId="0" borderId="34" xfId="62" applyNumberFormat="1" applyFont="1" applyFill="1" applyBorder="1" applyAlignment="1" applyProtection="1">
      <alignment horizontal="center"/>
      <protection locked="0"/>
    </xf>
    <xf numFmtId="166" fontId="63" fillId="36" borderId="36" xfId="62" applyNumberFormat="1" applyFont="1" applyFill="1" applyBorder="1" applyAlignment="1" applyProtection="1">
      <alignment horizontal="center"/>
      <protection/>
    </xf>
    <xf numFmtId="0" fontId="13" fillId="0" borderId="36" xfId="62" applyFont="1" applyFill="1" applyBorder="1" applyAlignment="1" applyProtection="1">
      <alignment horizontal="center"/>
      <protection locked="0"/>
    </xf>
    <xf numFmtId="38" fontId="13" fillId="0" borderId="36" xfId="62" applyNumberFormat="1" applyFont="1" applyFill="1" applyBorder="1" applyAlignment="1" applyProtection="1">
      <alignment horizontal="center"/>
      <protection locked="0"/>
    </xf>
    <xf numFmtId="38" fontId="13" fillId="0" borderId="36" xfId="62" applyNumberFormat="1" applyFont="1" applyFill="1" applyBorder="1" applyAlignment="1" applyProtection="1">
      <alignment horizontal="center"/>
      <protection/>
    </xf>
    <xf numFmtId="164" fontId="13" fillId="0" borderId="36" xfId="62" applyNumberFormat="1" applyFont="1" applyFill="1" applyBorder="1" applyAlignment="1" applyProtection="1" quotePrefix="1">
      <alignment horizontal="center"/>
      <protection/>
    </xf>
    <xf numFmtId="166" fontId="13" fillId="0" borderId="36" xfId="62" applyNumberFormat="1" applyFont="1" applyFill="1" applyBorder="1" applyAlignment="1" applyProtection="1">
      <alignment horizontal="center"/>
      <protection locked="0"/>
    </xf>
    <xf numFmtId="168" fontId="13" fillId="0" borderId="36" xfId="62" applyNumberFormat="1" applyFont="1" applyBorder="1" applyAlignment="1" applyProtection="1" quotePrefix="1">
      <alignment horizontal="center"/>
      <protection locked="0"/>
    </xf>
    <xf numFmtId="166" fontId="13" fillId="0" borderId="50" xfId="62" applyNumberFormat="1" applyFont="1" applyFill="1" applyBorder="1" applyAlignment="1" applyProtection="1">
      <alignment horizontal="center"/>
      <protection locked="0"/>
    </xf>
    <xf numFmtId="164" fontId="29" fillId="39" borderId="34" xfId="62" applyNumberFormat="1" applyFont="1" applyFill="1" applyBorder="1" applyAlignment="1" applyProtection="1">
      <alignment horizontal="center"/>
      <protection locked="0"/>
    </xf>
    <xf numFmtId="2" fontId="71" fillId="3" borderId="36" xfId="62" applyNumberFormat="1" applyFont="1" applyFill="1" applyBorder="1" applyAlignment="1" applyProtection="1">
      <alignment horizontal="center"/>
      <protection locked="0"/>
    </xf>
    <xf numFmtId="2" fontId="72" fillId="35" borderId="36" xfId="62" applyNumberFormat="1" applyFont="1" applyFill="1" applyBorder="1" applyAlignment="1" applyProtection="1">
      <alignment horizontal="center"/>
      <protection locked="0"/>
    </xf>
    <xf numFmtId="166" fontId="52" fillId="36" borderId="51" xfId="62" applyNumberFormat="1" applyFont="1" applyFill="1" applyBorder="1" applyAlignment="1" applyProtection="1" quotePrefix="1">
      <alignment horizontal="center"/>
      <protection locked="0"/>
    </xf>
    <xf numFmtId="166" fontId="52" fillId="36" borderId="52" xfId="62" applyNumberFormat="1" applyFont="1" applyFill="1" applyBorder="1" applyAlignment="1" applyProtection="1" quotePrefix="1">
      <alignment horizontal="center"/>
      <protection locked="0"/>
    </xf>
    <xf numFmtId="166" fontId="73" fillId="40" borderId="37" xfId="62" applyNumberFormat="1" applyFont="1" applyFill="1" applyBorder="1" applyAlignment="1" applyProtection="1" quotePrefix="1">
      <alignment horizontal="center"/>
      <protection locked="0"/>
    </xf>
    <xf numFmtId="166" fontId="73" fillId="40" borderId="39" xfId="62" applyNumberFormat="1" applyFont="1" applyFill="1" applyBorder="1" applyAlignment="1" applyProtection="1" quotePrefix="1">
      <alignment horizontal="center"/>
      <protection locked="0"/>
    </xf>
    <xf numFmtId="166" fontId="50" fillId="41" borderId="36" xfId="62" applyNumberFormat="1" applyFont="1" applyFill="1" applyBorder="1" applyAlignment="1" applyProtection="1" quotePrefix="1">
      <alignment horizontal="center"/>
      <protection locked="0"/>
    </xf>
    <xf numFmtId="166" fontId="74" fillId="3" borderId="36" xfId="62" applyNumberFormat="1" applyFont="1" applyFill="1" applyBorder="1" applyAlignment="1" applyProtection="1" quotePrefix="1">
      <alignment horizontal="center"/>
      <protection locked="0"/>
    </xf>
    <xf numFmtId="166" fontId="76" fillId="0" borderId="50" xfId="62" applyNumberFormat="1" applyFont="1" applyFill="1" applyBorder="1" applyAlignment="1" applyProtection="1">
      <alignment horizontal="center"/>
      <protection locked="0"/>
    </xf>
    <xf numFmtId="166" fontId="78" fillId="36" borderId="40" xfId="62" applyNumberFormat="1" applyFont="1" applyFill="1" applyBorder="1" applyAlignment="1">
      <alignment horizontal="center"/>
      <protection/>
    </xf>
    <xf numFmtId="166" fontId="66" fillId="0" borderId="40" xfId="62" applyNumberFormat="1" applyFont="1" applyFill="1" applyBorder="1" applyAlignment="1">
      <alignment horizontal="center"/>
      <protection/>
    </xf>
    <xf numFmtId="0" fontId="112" fillId="0" borderId="41" xfId="62" applyFont="1" applyBorder="1" applyAlignment="1">
      <alignment horizontal="center"/>
      <protection/>
    </xf>
    <xf numFmtId="0" fontId="115" fillId="0" borderId="0" xfId="62" applyFont="1" applyBorder="1" applyAlignment="1" applyProtection="1">
      <alignment horizontal="left"/>
      <protection/>
    </xf>
    <xf numFmtId="0" fontId="57" fillId="0" borderId="41" xfId="62" applyFont="1" applyBorder="1" applyAlignment="1">
      <alignment horizontal="center"/>
      <protection/>
    </xf>
    <xf numFmtId="0" fontId="58" fillId="0" borderId="0" xfId="62" applyFont="1" applyBorder="1" applyAlignment="1" applyProtection="1">
      <alignment horizontal="left"/>
      <protection/>
    </xf>
    <xf numFmtId="164" fontId="29" fillId="0" borderId="0" xfId="62" applyNumberFormat="1" applyFont="1" applyFill="1" applyBorder="1" applyAlignment="1" applyProtection="1">
      <alignment horizontal="center"/>
      <protection/>
    </xf>
    <xf numFmtId="4" fontId="71" fillId="3" borderId="21" xfId="62" applyNumberFormat="1" applyFont="1" applyFill="1" applyBorder="1" applyAlignment="1">
      <alignment horizontal="center"/>
      <protection/>
    </xf>
    <xf numFmtId="4" fontId="72" fillId="35" borderId="21" xfId="62" applyNumberFormat="1" applyFont="1" applyFill="1" applyBorder="1" applyAlignment="1">
      <alignment horizontal="center"/>
      <protection/>
    </xf>
    <xf numFmtId="4" fontId="52" fillId="36" borderId="54" xfId="62" applyNumberFormat="1" applyFont="1" applyFill="1" applyBorder="1" applyAlignment="1">
      <alignment horizontal="center"/>
      <protection/>
    </xf>
    <xf numFmtId="4" fontId="52" fillId="36" borderId="17" xfId="62" applyNumberFormat="1" applyFont="1" applyFill="1" applyBorder="1" applyAlignment="1">
      <alignment horizontal="center"/>
      <protection/>
    </xf>
    <xf numFmtId="4" fontId="73" fillId="40" borderId="54" xfId="62" applyNumberFormat="1" applyFont="1" applyFill="1" applyBorder="1" applyAlignment="1">
      <alignment horizontal="center"/>
      <protection/>
    </xf>
    <xf numFmtId="4" fontId="73" fillId="40" borderId="55" xfId="62" applyNumberFormat="1" applyFont="1" applyFill="1" applyBorder="1" applyAlignment="1">
      <alignment horizontal="center"/>
      <protection/>
    </xf>
    <xf numFmtId="4" fontId="50" fillId="41" borderId="54" xfId="62" applyNumberFormat="1" applyFont="1" applyFill="1" applyBorder="1" applyAlignment="1">
      <alignment horizontal="center"/>
      <protection/>
    </xf>
    <xf numFmtId="4" fontId="74" fillId="3" borderId="55" xfId="62" applyNumberFormat="1" applyFont="1" applyFill="1" applyBorder="1" applyAlignment="1">
      <alignment horizontal="center"/>
      <protection/>
    </xf>
    <xf numFmtId="7" fontId="77" fillId="36" borderId="21" xfId="62" applyNumberFormat="1" applyFont="1" applyFill="1" applyBorder="1" applyAlignment="1">
      <alignment horizontal="right"/>
      <protection/>
    </xf>
    <xf numFmtId="7" fontId="77" fillId="0" borderId="21" xfId="62" applyNumberFormat="1" applyFont="1" applyFill="1" applyBorder="1" applyAlignment="1">
      <alignment horizontal="right"/>
      <protection/>
    </xf>
    <xf numFmtId="0" fontId="13" fillId="0" borderId="18" xfId="62" applyFont="1" applyFill="1" applyBorder="1">
      <alignment/>
      <protection/>
    </xf>
    <xf numFmtId="0" fontId="13" fillId="0" borderId="19" xfId="62" applyFont="1" applyFill="1" applyBorder="1">
      <alignment/>
      <protection/>
    </xf>
    <xf numFmtId="0" fontId="13" fillId="0" borderId="20" xfId="62" applyFont="1" applyFill="1" applyBorder="1">
      <alignment/>
      <protection/>
    </xf>
    <xf numFmtId="0" fontId="3" fillId="0" borderId="0" xfId="62" applyFill="1">
      <alignment/>
      <protection/>
    </xf>
    <xf numFmtId="0" fontId="0" fillId="0" borderId="0" xfId="62" applyFont="1">
      <alignment/>
      <protection/>
    </xf>
    <xf numFmtId="0" fontId="13" fillId="0" borderId="27" xfId="71" applyFont="1" applyBorder="1" applyAlignment="1" applyProtection="1">
      <alignment horizontal="center"/>
      <protection locked="0"/>
    </xf>
    <xf numFmtId="0" fontId="13" fillId="0" borderId="32" xfId="71" applyFont="1" applyBorder="1" applyAlignment="1" applyProtection="1">
      <alignment horizontal="center"/>
      <protection locked="0"/>
    </xf>
    <xf numFmtId="164" fontId="13" fillId="0" borderId="27" xfId="71" applyNumberFormat="1" applyFont="1" applyBorder="1" applyAlignment="1" applyProtection="1">
      <alignment horizontal="center"/>
      <protection locked="0"/>
    </xf>
    <xf numFmtId="1" fontId="13" fillId="0" borderId="49" xfId="71" applyNumberFormat="1" applyFont="1" applyBorder="1" applyAlignment="1" applyProtection="1">
      <alignment horizontal="center"/>
      <protection locked="0"/>
    </xf>
    <xf numFmtId="0" fontId="8" fillId="0" borderId="0" xfId="63" applyFont="1" applyFill="1">
      <alignment/>
      <protection/>
    </xf>
    <xf numFmtId="0" fontId="8" fillId="0" borderId="0" xfId="63" applyFont="1">
      <alignment/>
      <protection/>
    </xf>
    <xf numFmtId="0" fontId="11" fillId="0" borderId="0" xfId="63" applyFont="1" applyAlignment="1">
      <alignment horizontal="right" vertical="top"/>
      <protection/>
    </xf>
    <xf numFmtId="0" fontId="9" fillId="0" borderId="0" xfId="63" applyFont="1" applyAlignment="1">
      <alignment horizontal="centerContinuous"/>
      <protection/>
    </xf>
    <xf numFmtId="0" fontId="13" fillId="0" borderId="0" xfId="63" applyFont="1" applyFill="1">
      <alignment/>
      <protection/>
    </xf>
    <xf numFmtId="0" fontId="13" fillId="0" borderId="0" xfId="63" applyFont="1">
      <alignment/>
      <protection/>
    </xf>
    <xf numFmtId="0" fontId="6" fillId="0" borderId="0" xfId="63" applyFont="1" applyFill="1" applyBorder="1" applyAlignment="1" applyProtection="1">
      <alignment horizontal="centerContinuous"/>
      <protection/>
    </xf>
    <xf numFmtId="0" fontId="14" fillId="0" borderId="0" xfId="63" applyFont="1" applyAlignment="1">
      <alignment horizontal="centerContinuous"/>
      <protection/>
    </xf>
    <xf numFmtId="0" fontId="14" fillId="0" borderId="0" xfId="63" applyFont="1">
      <alignment/>
      <protection/>
    </xf>
    <xf numFmtId="0" fontId="13" fillId="0" borderId="11" xfId="63" applyFont="1" applyBorder="1">
      <alignment/>
      <protection/>
    </xf>
    <xf numFmtId="0" fontId="13" fillId="0" borderId="12" xfId="63" applyFont="1" applyBorder="1">
      <alignment/>
      <protection/>
    </xf>
    <xf numFmtId="0" fontId="13" fillId="0" borderId="13" xfId="63" applyFont="1" applyBorder="1">
      <alignment/>
      <protection/>
    </xf>
    <xf numFmtId="0" fontId="16" fillId="0" borderId="0" xfId="63" applyFont="1">
      <alignment/>
      <protection/>
    </xf>
    <xf numFmtId="0" fontId="16" fillId="0" borderId="14" xfId="63" applyFont="1" applyBorder="1">
      <alignment/>
      <protection/>
    </xf>
    <xf numFmtId="0" fontId="16" fillId="0" borderId="0" xfId="63" applyFont="1" applyBorder="1">
      <alignment/>
      <protection/>
    </xf>
    <xf numFmtId="0" fontId="20" fillId="0" borderId="0" xfId="63" applyFont="1" applyFill="1" applyBorder="1">
      <alignment/>
      <protection/>
    </xf>
    <xf numFmtId="0" fontId="16" fillId="0" borderId="0" xfId="63" applyFont="1" applyFill="1">
      <alignment/>
      <protection/>
    </xf>
    <xf numFmtId="0" fontId="16" fillId="0" borderId="0" xfId="63" applyFont="1" applyFill="1" applyBorder="1">
      <alignment/>
      <protection/>
    </xf>
    <xf numFmtId="0" fontId="16" fillId="0" borderId="15" xfId="63" applyFont="1" applyBorder="1">
      <alignment/>
      <protection/>
    </xf>
    <xf numFmtId="0" fontId="13" fillId="0" borderId="14" xfId="63" applyFont="1" applyBorder="1">
      <alignment/>
      <protection/>
    </xf>
    <xf numFmtId="0" fontId="13" fillId="0" borderId="0" xfId="63" applyFont="1" applyBorder="1">
      <alignment/>
      <protection/>
    </xf>
    <xf numFmtId="0" fontId="13" fillId="0" borderId="0" xfId="63" applyFont="1" applyFill="1" applyBorder="1">
      <alignment/>
      <protection/>
    </xf>
    <xf numFmtId="0" fontId="13" fillId="0" borderId="15" xfId="63" applyFont="1" applyBorder="1">
      <alignment/>
      <protection/>
    </xf>
    <xf numFmtId="0" fontId="20" fillId="0" borderId="0" xfId="63" applyFont="1" applyFill="1">
      <alignment/>
      <protection/>
    </xf>
    <xf numFmtId="0" fontId="79" fillId="0" borderId="0" xfId="63" applyFont="1" applyFill="1">
      <alignment/>
      <protection/>
    </xf>
    <xf numFmtId="0" fontId="16" fillId="0" borderId="0" xfId="63" applyFont="1" applyFill="1" applyBorder="1" applyProtection="1">
      <alignment/>
      <protection/>
    </xf>
    <xf numFmtId="0" fontId="5" fillId="0" borderId="0" xfId="63" applyFont="1" applyFill="1">
      <alignment/>
      <protection/>
    </xf>
    <xf numFmtId="0" fontId="13" fillId="0" borderId="0" xfId="63" applyFont="1" applyFill="1" applyBorder="1" applyProtection="1">
      <alignment/>
      <protection/>
    </xf>
    <xf numFmtId="0" fontId="25" fillId="0" borderId="0" xfId="63" applyFont="1" applyBorder="1">
      <alignment/>
      <protection/>
    </xf>
    <xf numFmtId="0" fontId="24" fillId="0" borderId="14" xfId="63" applyFont="1" applyBorder="1" applyAlignment="1">
      <alignment horizontal="centerContinuous"/>
      <protection/>
    </xf>
    <xf numFmtId="0" fontId="24" fillId="0" borderId="0" xfId="63" applyFont="1" applyBorder="1" applyAlignment="1">
      <alignment horizontal="centerContinuous"/>
      <protection/>
    </xf>
    <xf numFmtId="0" fontId="24" fillId="0" borderId="0" xfId="63" applyFont="1" applyBorder="1" applyAlignment="1" applyProtection="1">
      <alignment horizontal="centerContinuous"/>
      <protection/>
    </xf>
    <xf numFmtId="0" fontId="24" fillId="0" borderId="15" xfId="63" applyFont="1" applyBorder="1" applyAlignment="1">
      <alignment horizontal="centerContinuous"/>
      <protection/>
    </xf>
    <xf numFmtId="0" fontId="25" fillId="0" borderId="14" xfId="63" applyFont="1" applyBorder="1" applyAlignment="1">
      <alignment horizontal="centerContinuous"/>
      <protection/>
    </xf>
    <xf numFmtId="0" fontId="25" fillId="0" borderId="0" xfId="63" applyFont="1" applyBorder="1" applyAlignment="1">
      <alignment horizontal="centerContinuous"/>
      <protection/>
    </xf>
    <xf numFmtId="0" fontId="25" fillId="0" borderId="0" xfId="63" applyFont="1" applyBorder="1" applyAlignment="1" applyProtection="1">
      <alignment horizontal="centerContinuous"/>
      <protection/>
    </xf>
    <xf numFmtId="0" fontId="25" fillId="0" borderId="15" xfId="63" applyFont="1" applyBorder="1" applyAlignment="1">
      <alignment horizontal="centerContinuous"/>
      <protection/>
    </xf>
    <xf numFmtId="0" fontId="3" fillId="0" borderId="0" xfId="63" applyFont="1" applyBorder="1">
      <alignment/>
      <protection/>
    </xf>
    <xf numFmtId="0" fontId="3" fillId="0" borderId="21" xfId="63" applyFont="1" applyBorder="1" applyAlignment="1">
      <alignment horizontal="center"/>
      <protection/>
    </xf>
    <xf numFmtId="0" fontId="3" fillId="0" borderId="16" xfId="63" applyFont="1" applyBorder="1" applyAlignment="1" applyProtection="1">
      <alignment horizontal="left" vertical="center"/>
      <protection/>
    </xf>
    <xf numFmtId="169" fontId="3" fillId="0" borderId="17" xfId="63" applyNumberFormat="1" applyFont="1" applyBorder="1" applyAlignment="1" applyProtection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22" fontId="13" fillId="0" borderId="0" xfId="63" applyNumberFormat="1" applyFont="1" applyBorder="1">
      <alignment/>
      <protection/>
    </xf>
    <xf numFmtId="0" fontId="3" fillId="0" borderId="16" xfId="63" applyFont="1" applyBorder="1" applyAlignment="1">
      <alignment vertical="center"/>
      <protection/>
    </xf>
    <xf numFmtId="169" fontId="3" fillId="0" borderId="17" xfId="63" applyNumberFormat="1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left" vertical="center"/>
      <protection/>
    </xf>
    <xf numFmtId="0" fontId="3" fillId="0" borderId="0" xfId="63" applyFont="1" applyBorder="1" applyAlignment="1" applyProtection="1">
      <alignment horizontal="center"/>
      <protection/>
    </xf>
    <xf numFmtId="169" fontId="3" fillId="0" borderId="0" xfId="63" applyNumberFormat="1" applyFont="1" applyBorder="1" applyAlignment="1">
      <alignment horizontal="centerContinuous"/>
      <protection/>
    </xf>
    <xf numFmtId="0" fontId="29" fillId="0" borderId="0" xfId="63" applyFont="1" applyBorder="1">
      <alignment/>
      <protection/>
    </xf>
    <xf numFmtId="0" fontId="30" fillId="0" borderId="21" xfId="63" applyFont="1" applyFill="1" applyBorder="1" applyAlignment="1">
      <alignment horizontal="center" vertical="center"/>
      <protection/>
    </xf>
    <xf numFmtId="0" fontId="30" fillId="0" borderId="21" xfId="63" applyFont="1" applyBorder="1" applyAlignment="1">
      <alignment horizontal="center" vertical="center"/>
      <protection/>
    </xf>
    <xf numFmtId="0" fontId="30" fillId="0" borderId="21" xfId="63" applyFont="1" applyBorder="1" applyAlignment="1" applyProtection="1">
      <alignment horizontal="center" vertical="center" wrapText="1"/>
      <protection/>
    </xf>
    <xf numFmtId="0" fontId="30" fillId="0" borderId="17" xfId="63" applyFont="1" applyBorder="1" applyAlignment="1" applyProtection="1">
      <alignment horizontal="center" vertical="center"/>
      <protection/>
    </xf>
    <xf numFmtId="0" fontId="30" fillId="0" borderId="22" xfId="63" applyFont="1" applyBorder="1" applyAlignment="1">
      <alignment horizontal="center" vertical="center" wrapText="1"/>
      <protection/>
    </xf>
    <xf numFmtId="0" fontId="60" fillId="36" borderId="21" xfId="63" applyFont="1" applyFill="1" applyBorder="1" applyAlignment="1" applyProtection="1">
      <alignment horizontal="center" vertical="center"/>
      <protection/>
    </xf>
    <xf numFmtId="0" fontId="30" fillId="0" borderId="21" xfId="63" applyFont="1" applyBorder="1" applyAlignment="1" applyProtection="1">
      <alignment horizontal="center" vertical="center"/>
      <protection/>
    </xf>
    <xf numFmtId="0" fontId="30" fillId="0" borderId="17" xfId="63" applyFont="1" applyBorder="1" applyAlignment="1" applyProtection="1">
      <alignment horizontal="center" vertical="center" wrapText="1"/>
      <protection/>
    </xf>
    <xf numFmtId="0" fontId="30" fillId="0" borderId="16" xfId="63" applyFont="1" applyBorder="1" applyAlignment="1" applyProtection="1">
      <alignment horizontal="center" vertical="center" wrapText="1"/>
      <protection/>
    </xf>
    <xf numFmtId="0" fontId="30" fillId="0" borderId="16" xfId="63" applyFont="1" applyBorder="1" applyAlignment="1" applyProtection="1">
      <alignment horizontal="center" vertical="center"/>
      <protection/>
    </xf>
    <xf numFmtId="0" fontId="62" fillId="33" borderId="21" xfId="63" applyFont="1" applyFill="1" applyBorder="1" applyAlignment="1" applyProtection="1">
      <alignment horizontal="center" vertical="center"/>
      <protection/>
    </xf>
    <xf numFmtId="0" fontId="69" fillId="40" borderId="21" xfId="63" applyFont="1" applyFill="1" applyBorder="1" applyAlignment="1">
      <alignment horizontal="center" vertical="center" wrapText="1"/>
      <protection/>
    </xf>
    <xf numFmtId="0" fontId="35" fillId="35" borderId="16" xfId="63" applyFont="1" applyFill="1" applyBorder="1" applyAlignment="1" applyProtection="1">
      <alignment horizontal="centerContinuous" vertical="center" wrapText="1"/>
      <protection/>
    </xf>
    <xf numFmtId="0" fontId="35" fillId="35" borderId="17" xfId="63" applyFont="1" applyFill="1" applyBorder="1" applyAlignment="1">
      <alignment horizontal="centerContinuous" vertical="center"/>
      <protection/>
    </xf>
    <xf numFmtId="0" fontId="62" fillId="34" borderId="21" xfId="63" applyFont="1" applyFill="1" applyBorder="1" applyAlignment="1">
      <alignment horizontal="center" vertical="center" wrapText="1"/>
      <protection/>
    </xf>
    <xf numFmtId="0" fontId="30" fillId="0" borderId="21" xfId="63" applyFont="1" applyBorder="1" applyAlignment="1">
      <alignment horizontal="center" vertical="center" wrapText="1"/>
      <protection/>
    </xf>
    <xf numFmtId="0" fontId="30" fillId="0" borderId="21" xfId="63" applyFont="1" applyFill="1" applyBorder="1" applyAlignment="1">
      <alignment horizontal="center" vertical="center" wrapText="1"/>
      <protection/>
    </xf>
    <xf numFmtId="0" fontId="13" fillId="0" borderId="43" xfId="63" applyFont="1" applyFill="1" applyBorder="1" applyAlignment="1">
      <alignment horizontal="center"/>
      <protection/>
    </xf>
    <xf numFmtId="0" fontId="75" fillId="0" borderId="28" xfId="63" applyFont="1" applyBorder="1" applyAlignment="1" applyProtection="1">
      <alignment horizontal="center"/>
      <protection/>
    </xf>
    <xf numFmtId="0" fontId="63" fillId="36" borderId="28" xfId="63" applyFont="1" applyFill="1" applyBorder="1" applyAlignment="1" applyProtection="1">
      <alignment horizontal="center"/>
      <protection/>
    </xf>
    <xf numFmtId="0" fontId="29" fillId="33" borderId="23" xfId="63" applyFont="1" applyFill="1" applyBorder="1" applyAlignment="1" applyProtection="1">
      <alignment horizontal="center"/>
      <protection/>
    </xf>
    <xf numFmtId="0" fontId="73" fillId="40" borderId="23" xfId="63" applyFont="1" applyFill="1" applyBorder="1" applyAlignment="1" applyProtection="1">
      <alignment horizontal="center"/>
      <protection/>
    </xf>
    <xf numFmtId="166" fontId="51" fillId="35" borderId="24" xfId="63" applyNumberFormat="1" applyFont="1" applyFill="1" applyBorder="1" applyAlignment="1" applyProtection="1" quotePrefix="1">
      <alignment horizontal="center"/>
      <protection/>
    </xf>
    <xf numFmtId="166" fontId="51" fillId="35" borderId="26" xfId="63" applyNumberFormat="1" applyFont="1" applyFill="1" applyBorder="1" applyAlignment="1" applyProtection="1" quotePrefix="1">
      <alignment horizontal="center"/>
      <protection/>
    </xf>
    <xf numFmtId="166" fontId="65" fillId="34" borderId="23" xfId="63" applyNumberFormat="1" applyFont="1" applyFill="1" applyBorder="1" applyAlignment="1" applyProtection="1" quotePrefix="1">
      <alignment horizontal="center"/>
      <protection/>
    </xf>
    <xf numFmtId="7" fontId="80" fillId="0" borderId="28" xfId="63" applyNumberFormat="1" applyFont="1" applyBorder="1" applyAlignment="1" applyProtection="1">
      <alignment/>
      <protection/>
    </xf>
    <xf numFmtId="0" fontId="13" fillId="0" borderId="27" xfId="63" applyFont="1" applyFill="1" applyBorder="1" applyAlignment="1">
      <alignment horizontal="center"/>
      <protection/>
    </xf>
    <xf numFmtId="0" fontId="75" fillId="0" borderId="33" xfId="63" applyFont="1" applyBorder="1" applyAlignment="1" applyProtection="1">
      <alignment horizontal="center"/>
      <protection/>
    </xf>
    <xf numFmtId="0" fontId="63" fillId="36" borderId="33" xfId="63" applyFont="1" applyFill="1" applyBorder="1" applyAlignment="1" applyProtection="1">
      <alignment horizontal="center"/>
      <protection/>
    </xf>
    <xf numFmtId="0" fontId="29" fillId="33" borderId="28" xfId="63" applyFont="1" applyFill="1" applyBorder="1" applyAlignment="1" applyProtection="1">
      <alignment horizontal="center"/>
      <protection/>
    </xf>
    <xf numFmtId="0" fontId="73" fillId="40" borderId="28" xfId="63" applyFont="1" applyFill="1" applyBorder="1" applyAlignment="1" applyProtection="1">
      <alignment horizontal="center"/>
      <protection/>
    </xf>
    <xf numFmtId="166" fontId="51" fillId="35" borderId="30" xfId="63" applyNumberFormat="1" applyFont="1" applyFill="1" applyBorder="1" applyAlignment="1" applyProtection="1" quotePrefix="1">
      <alignment horizontal="center"/>
      <protection/>
    </xf>
    <xf numFmtId="166" fontId="51" fillId="35" borderId="56" xfId="63" applyNumberFormat="1" applyFont="1" applyFill="1" applyBorder="1" applyAlignment="1" applyProtection="1" quotePrefix="1">
      <alignment horizontal="center"/>
      <protection/>
    </xf>
    <xf numFmtId="166" fontId="65" fillId="34" borderId="28" xfId="63" applyNumberFormat="1" applyFont="1" applyFill="1" applyBorder="1" applyAlignment="1" applyProtection="1" quotePrefix="1">
      <alignment horizontal="center"/>
      <protection/>
    </xf>
    <xf numFmtId="166" fontId="78" fillId="0" borderId="28" xfId="63" applyNumberFormat="1" applyFont="1" applyFill="1" applyBorder="1" applyAlignment="1">
      <alignment horizontal="center"/>
      <protection/>
    </xf>
    <xf numFmtId="0" fontId="13" fillId="38" borderId="27" xfId="63" applyFont="1" applyFill="1" applyBorder="1" applyAlignment="1">
      <alignment horizontal="center"/>
      <protection/>
    </xf>
    <xf numFmtId="166" fontId="63" fillId="36" borderId="28" xfId="63" applyNumberFormat="1" applyFont="1" applyFill="1" applyBorder="1" applyAlignment="1" applyProtection="1">
      <alignment horizontal="center"/>
      <protection/>
    </xf>
    <xf numFmtId="22" fontId="13" fillId="0" borderId="30" xfId="63" applyNumberFormat="1" applyFont="1" applyBorder="1" applyAlignment="1" applyProtection="1">
      <alignment horizontal="center"/>
      <protection locked="0"/>
    </xf>
    <xf numFmtId="22" fontId="13" fillId="0" borderId="28" xfId="63" applyNumberFormat="1" applyFont="1" applyBorder="1" applyAlignment="1" applyProtection="1">
      <alignment horizontal="center"/>
      <protection locked="0"/>
    </xf>
    <xf numFmtId="2" fontId="13" fillId="0" borderId="28" xfId="63" applyNumberFormat="1" applyFont="1" applyFill="1" applyBorder="1" applyAlignment="1" applyProtection="1" quotePrefix="1">
      <alignment horizontal="center"/>
      <protection/>
    </xf>
    <xf numFmtId="164" fontId="13" fillId="0" borderId="28" xfId="63" applyNumberFormat="1" applyFont="1" applyFill="1" applyBorder="1" applyAlignment="1" applyProtection="1" quotePrefix="1">
      <alignment horizontal="center"/>
      <protection/>
    </xf>
    <xf numFmtId="166" fontId="13" fillId="0" borderId="29" xfId="63" applyNumberFormat="1" applyFont="1" applyBorder="1" applyAlignment="1" applyProtection="1">
      <alignment horizontal="center"/>
      <protection locked="0"/>
    </xf>
    <xf numFmtId="166" fontId="13" fillId="0" borderId="28" xfId="63" applyNumberFormat="1" applyFont="1" applyBorder="1" applyAlignment="1" applyProtection="1">
      <alignment horizontal="center"/>
      <protection/>
    </xf>
    <xf numFmtId="164" fontId="29" fillId="33" borderId="28" xfId="63" applyNumberFormat="1" applyFont="1" applyFill="1" applyBorder="1" applyAlignment="1" applyProtection="1">
      <alignment horizontal="center"/>
      <protection/>
    </xf>
    <xf numFmtId="2" fontId="73" fillId="40" borderId="28" xfId="63" applyNumberFormat="1" applyFont="1" applyFill="1" applyBorder="1" applyAlignment="1" applyProtection="1">
      <alignment horizontal="center"/>
      <protection/>
    </xf>
    <xf numFmtId="4" fontId="78" fillId="0" borderId="28" xfId="63" applyNumberFormat="1" applyFont="1" applyFill="1" applyBorder="1" applyAlignment="1">
      <alignment horizontal="right"/>
      <protection/>
    </xf>
    <xf numFmtId="0" fontId="75" fillId="0" borderId="33" xfId="63" applyFont="1" applyBorder="1" applyAlignment="1" applyProtection="1">
      <alignment horizontal="center"/>
      <protection locked="0"/>
    </xf>
    <xf numFmtId="164" fontId="49" fillId="0" borderId="28" xfId="63" applyNumberFormat="1" applyFont="1" applyBorder="1" applyAlignment="1" applyProtection="1" quotePrefix="1">
      <alignment horizontal="center"/>
      <protection locked="0"/>
    </xf>
    <xf numFmtId="0" fontId="13" fillId="0" borderId="34" xfId="63" applyFont="1" applyFill="1" applyBorder="1" applyAlignment="1">
      <alignment horizontal="center"/>
      <protection/>
    </xf>
    <xf numFmtId="0" fontId="75" fillId="0" borderId="57" xfId="63" applyFont="1" applyBorder="1" applyAlignment="1" applyProtection="1">
      <alignment horizontal="center"/>
      <protection locked="0"/>
    </xf>
    <xf numFmtId="164" fontId="49" fillId="0" borderId="36" xfId="63" applyNumberFormat="1" applyFont="1" applyBorder="1" applyAlignment="1" applyProtection="1">
      <alignment horizontal="center"/>
      <protection locked="0"/>
    </xf>
    <xf numFmtId="166" fontId="63" fillId="36" borderId="36" xfId="63" applyNumberFormat="1" applyFont="1" applyFill="1" applyBorder="1" applyAlignment="1" applyProtection="1">
      <alignment horizontal="center"/>
      <protection/>
    </xf>
    <xf numFmtId="166" fontId="13" fillId="0" borderId="50" xfId="63" applyNumberFormat="1" applyFont="1" applyBorder="1" applyAlignment="1" applyProtection="1">
      <alignment horizontal="center"/>
      <protection locked="0"/>
    </xf>
    <xf numFmtId="166" fontId="13" fillId="0" borderId="50" xfId="63" applyNumberFormat="1" applyFont="1" applyBorder="1" applyAlignment="1" applyProtection="1">
      <alignment horizontal="center"/>
      <protection/>
    </xf>
    <xf numFmtId="166" fontId="13" fillId="0" borderId="36" xfId="63" applyNumberFormat="1" applyFont="1" applyBorder="1" applyAlignment="1" applyProtection="1">
      <alignment horizontal="center"/>
      <protection locked="0"/>
    </xf>
    <xf numFmtId="164" fontId="29" fillId="33" borderId="36" xfId="63" applyNumberFormat="1" applyFont="1" applyFill="1" applyBorder="1" applyAlignment="1" applyProtection="1">
      <alignment horizontal="center"/>
      <protection locked="0"/>
    </xf>
    <xf numFmtId="2" fontId="73" fillId="40" borderId="36" xfId="63" applyNumberFormat="1" applyFont="1" applyFill="1" applyBorder="1" applyAlignment="1" applyProtection="1">
      <alignment horizontal="center"/>
      <protection locked="0"/>
    </xf>
    <xf numFmtId="166" fontId="51" fillId="35" borderId="37" xfId="63" applyNumberFormat="1" applyFont="1" applyFill="1" applyBorder="1" applyAlignment="1" applyProtection="1" quotePrefix="1">
      <alignment horizontal="center"/>
      <protection locked="0"/>
    </xf>
    <xf numFmtId="166" fontId="51" fillId="35" borderId="39" xfId="63" applyNumberFormat="1" applyFont="1" applyFill="1" applyBorder="1" applyAlignment="1" applyProtection="1" quotePrefix="1">
      <alignment horizontal="center"/>
      <protection locked="0"/>
    </xf>
    <xf numFmtId="166" fontId="65" fillId="34" borderId="36" xfId="63" applyNumberFormat="1" applyFont="1" applyFill="1" applyBorder="1" applyAlignment="1" applyProtection="1" quotePrefix="1">
      <alignment horizontal="center"/>
      <protection locked="0"/>
    </xf>
    <xf numFmtId="7" fontId="66" fillId="0" borderId="40" xfId="63" applyNumberFormat="1" applyFont="1" applyFill="1" applyBorder="1" applyAlignment="1">
      <alignment horizontal="right"/>
      <protection/>
    </xf>
    <xf numFmtId="0" fontId="112" fillId="0" borderId="41" xfId="63" applyFont="1" applyBorder="1" applyAlignment="1">
      <alignment horizontal="center"/>
      <protection/>
    </xf>
    <xf numFmtId="0" fontId="112" fillId="0" borderId="41" xfId="71" applyFont="1" applyBorder="1" applyAlignment="1">
      <alignment horizontal="left"/>
      <protection/>
    </xf>
    <xf numFmtId="0" fontId="57" fillId="0" borderId="41" xfId="63" applyFont="1" applyBorder="1" applyAlignment="1">
      <alignment horizontal="center"/>
      <protection/>
    </xf>
    <xf numFmtId="0" fontId="58" fillId="0" borderId="0" xfId="63" applyFont="1" applyBorder="1" applyAlignment="1" applyProtection="1">
      <alignment horizontal="left"/>
      <protection/>
    </xf>
    <xf numFmtId="0" fontId="3" fillId="0" borderId="0" xfId="63">
      <alignment/>
      <protection/>
    </xf>
    <xf numFmtId="4" fontId="73" fillId="40" borderId="21" xfId="63" applyNumberFormat="1" applyFont="1" applyFill="1" applyBorder="1" applyAlignment="1">
      <alignment horizontal="center"/>
      <protection/>
    </xf>
    <xf numFmtId="4" fontId="51" fillId="35" borderId="54" xfId="63" applyNumberFormat="1" applyFont="1" applyFill="1" applyBorder="1" applyAlignment="1">
      <alignment horizontal="center"/>
      <protection/>
    </xf>
    <xf numFmtId="4" fontId="51" fillId="35" borderId="55" xfId="63" applyNumberFormat="1" applyFont="1" applyFill="1" applyBorder="1" applyAlignment="1">
      <alignment horizontal="center"/>
      <protection/>
    </xf>
    <xf numFmtId="4" fontId="65" fillId="34" borderId="21" xfId="63" applyNumberFormat="1" applyFont="1" applyFill="1" applyBorder="1" applyAlignment="1">
      <alignment horizontal="center"/>
      <protection/>
    </xf>
    <xf numFmtId="4" fontId="19" fillId="0" borderId="0" xfId="63" applyNumberFormat="1" applyFont="1" applyFill="1" applyBorder="1" applyAlignment="1">
      <alignment horizontal="center"/>
      <protection/>
    </xf>
    <xf numFmtId="7" fontId="4" fillId="0" borderId="21" xfId="63" applyNumberFormat="1" applyFont="1" applyFill="1" applyBorder="1" applyAlignment="1">
      <alignment horizontal="right"/>
      <protection/>
    </xf>
    <xf numFmtId="0" fontId="13" fillId="0" borderId="18" xfId="63" applyFont="1" applyBorder="1">
      <alignment/>
      <protection/>
    </xf>
    <xf numFmtId="0" fontId="13" fillId="0" borderId="19" xfId="63" applyFont="1" applyBorder="1">
      <alignment/>
      <protection/>
    </xf>
    <xf numFmtId="0" fontId="13" fillId="0" borderId="20" xfId="63" applyFont="1" applyBorder="1">
      <alignment/>
      <protection/>
    </xf>
    <xf numFmtId="0" fontId="0" fillId="0" borderId="0" xfId="63" applyFont="1">
      <alignment/>
      <protection/>
    </xf>
    <xf numFmtId="0" fontId="82" fillId="0" borderId="0" xfId="64" applyFont="1" applyFill="1">
      <alignment/>
      <protection/>
    </xf>
    <xf numFmtId="0" fontId="83" fillId="0" borderId="0" xfId="64" applyFont="1" applyAlignment="1">
      <alignment horizontal="centerContinuous"/>
      <protection/>
    </xf>
    <xf numFmtId="0" fontId="82" fillId="0" borderId="0" xfId="64" applyFont="1" applyAlignment="1">
      <alignment horizontal="centerContinuous"/>
      <protection/>
    </xf>
    <xf numFmtId="0" fontId="82" fillId="0" borderId="0" xfId="64" applyFont="1">
      <alignment/>
      <protection/>
    </xf>
    <xf numFmtId="0" fontId="3" fillId="0" borderId="12" xfId="64" applyBorder="1">
      <alignment/>
      <protection/>
    </xf>
    <xf numFmtId="0" fontId="19" fillId="0" borderId="0" xfId="64" applyFont="1" applyBorder="1">
      <alignment/>
      <protection/>
    </xf>
    <xf numFmtId="0" fontId="23" fillId="0" borderId="14" xfId="64" applyFont="1" applyBorder="1">
      <alignment/>
      <protection/>
    </xf>
    <xf numFmtId="0" fontId="23" fillId="0" borderId="0" xfId="64" applyFont="1" applyBorder="1">
      <alignment/>
      <protection/>
    </xf>
    <xf numFmtId="0" fontId="17" fillId="0" borderId="0" xfId="64" applyFont="1" applyBorder="1">
      <alignment/>
      <protection/>
    </xf>
    <xf numFmtId="0" fontId="23" fillId="0" borderId="15" xfId="64" applyFont="1" applyFill="1" applyBorder="1">
      <alignment/>
      <protection/>
    </xf>
    <xf numFmtId="0" fontId="13" fillId="0" borderId="0" xfId="64" applyFont="1" applyBorder="1" applyProtection="1">
      <alignment/>
      <protection/>
    </xf>
    <xf numFmtId="0" fontId="3" fillId="0" borderId="0" xfId="64" applyNumberFormat="1" applyAlignment="1">
      <alignment horizontal="centerContinuous"/>
      <protection/>
    </xf>
    <xf numFmtId="0" fontId="23" fillId="0" borderId="0" xfId="64" applyFont="1" applyBorder="1" applyAlignment="1">
      <alignment horizontal="centerContinuous"/>
      <protection/>
    </xf>
    <xf numFmtId="0" fontId="3" fillId="0" borderId="0" xfId="64" applyAlignment="1">
      <alignment horizontal="centerContinuous"/>
      <protection/>
    </xf>
    <xf numFmtId="0" fontId="23" fillId="0" borderId="0" xfId="64" applyFont="1" applyAlignment="1">
      <alignment horizontal="centerContinuous"/>
      <protection/>
    </xf>
    <xf numFmtId="0" fontId="23" fillId="0" borderId="0" xfId="64" applyFont="1" applyAlignment="1">
      <alignment/>
      <protection/>
    </xf>
    <xf numFmtId="0" fontId="23" fillId="0" borderId="15" xfId="64" applyFont="1" applyBorder="1" applyAlignment="1">
      <alignment horizontal="centerContinuous"/>
      <protection/>
    </xf>
    <xf numFmtId="0" fontId="84" fillId="0" borderId="0" xfId="64" applyFont="1" applyBorder="1" applyAlignment="1" quotePrefix="1">
      <alignment horizontal="left"/>
      <protection/>
    </xf>
    <xf numFmtId="166" fontId="48" fillId="0" borderId="0" xfId="64" applyNumberFormat="1" applyFont="1" applyBorder="1" applyAlignment="1" applyProtection="1">
      <alignment horizontal="left"/>
      <protection/>
    </xf>
    <xf numFmtId="0" fontId="10" fillId="0" borderId="0" xfId="64" applyFont="1" applyBorder="1" applyAlignment="1">
      <alignment horizontal="center"/>
      <protection/>
    </xf>
    <xf numFmtId="0" fontId="10" fillId="0" borderId="0" xfId="64" applyFont="1" applyBorder="1">
      <alignment/>
      <protection/>
    </xf>
    <xf numFmtId="0" fontId="21" fillId="0" borderId="0" xfId="64" applyFont="1">
      <alignment/>
      <protection/>
    </xf>
    <xf numFmtId="0" fontId="21" fillId="0" borderId="14" xfId="64" applyFont="1" applyBorder="1">
      <alignment/>
      <protection/>
    </xf>
    <xf numFmtId="0" fontId="21" fillId="0" borderId="0" xfId="64" applyFont="1" applyBorder="1">
      <alignment/>
      <protection/>
    </xf>
    <xf numFmtId="0" fontId="21" fillId="0" borderId="0" xfId="64" applyFont="1" applyBorder="1" applyAlignment="1">
      <alignment horizontal="right"/>
      <protection/>
    </xf>
    <xf numFmtId="7" fontId="21" fillId="0" borderId="0" xfId="64" applyNumberFormat="1" applyFont="1" applyBorder="1" applyAlignment="1">
      <alignment horizontal="center"/>
      <protection/>
    </xf>
    <xf numFmtId="0" fontId="21" fillId="0" borderId="0" xfId="64" applyFont="1" applyBorder="1" applyAlignment="1">
      <alignment horizontal="center"/>
      <protection/>
    </xf>
    <xf numFmtId="0" fontId="85" fillId="0" borderId="0" xfId="64" applyFont="1" applyBorder="1" applyAlignment="1" quotePrefix="1">
      <alignment horizontal="left"/>
      <protection/>
    </xf>
    <xf numFmtId="0" fontId="21" fillId="0" borderId="15" xfId="64" applyFont="1" applyFill="1" applyBorder="1">
      <alignment/>
      <protection/>
    </xf>
    <xf numFmtId="0" fontId="21" fillId="0" borderId="0" xfId="64" applyFont="1" applyBorder="1" applyAlignment="1" applyProtection="1">
      <alignment horizontal="left"/>
      <protection/>
    </xf>
    <xf numFmtId="169" fontId="21" fillId="0" borderId="0" xfId="64" applyNumberFormat="1" applyFont="1" applyBorder="1" applyAlignment="1">
      <alignment horizontal="center"/>
      <protection/>
    </xf>
    <xf numFmtId="166" fontId="21" fillId="0" borderId="0" xfId="64" applyNumberFormat="1" applyFont="1" applyBorder="1" applyAlignment="1" applyProtection="1">
      <alignment horizontal="left"/>
      <protection/>
    </xf>
    <xf numFmtId="0" fontId="21" fillId="0" borderId="0" xfId="64" applyFont="1" applyAlignment="1">
      <alignment horizontal="right"/>
      <protection/>
    </xf>
    <xf numFmtId="10" fontId="21" fillId="0" borderId="0" xfId="64" applyNumberFormat="1" applyFont="1" applyBorder="1" applyAlignment="1" applyProtection="1">
      <alignment horizontal="right"/>
      <protection/>
    </xf>
    <xf numFmtId="0" fontId="21" fillId="0" borderId="0" xfId="64" applyFont="1" applyBorder="1" applyAlignment="1">
      <alignment horizontal="left"/>
      <protection/>
    </xf>
    <xf numFmtId="169" fontId="21" fillId="0" borderId="0" xfId="64" applyNumberFormat="1" applyFont="1" applyBorder="1" applyAlignment="1" applyProtection="1">
      <alignment horizontal="center"/>
      <protection/>
    </xf>
    <xf numFmtId="7" fontId="21" fillId="0" borderId="0" xfId="64" applyNumberFormat="1" applyFont="1" applyBorder="1" applyAlignment="1">
      <alignment horizontal="centerContinuous"/>
      <protection/>
    </xf>
    <xf numFmtId="1" fontId="48" fillId="0" borderId="0" xfId="64" applyNumberFormat="1" applyFont="1" applyBorder="1" applyAlignment="1" applyProtection="1">
      <alignment horizontal="center"/>
      <protection/>
    </xf>
    <xf numFmtId="0" fontId="21" fillId="0" borderId="0" xfId="64" applyFont="1" applyBorder="1" applyAlignment="1" applyProtection="1">
      <alignment horizontal="center"/>
      <protection/>
    </xf>
    <xf numFmtId="0" fontId="22" fillId="0" borderId="0" xfId="64" applyFont="1" applyBorder="1">
      <alignment/>
      <protection/>
    </xf>
    <xf numFmtId="166" fontId="10" fillId="0" borderId="16" xfId="64" applyNumberFormat="1" applyFont="1" applyBorder="1" applyAlignment="1" applyProtection="1">
      <alignment horizontal="center"/>
      <protection/>
    </xf>
    <xf numFmtId="172" fontId="10" fillId="0" borderId="17" xfId="64" applyNumberFormat="1" applyFont="1" applyBorder="1" applyAlignment="1" applyProtection="1">
      <alignment horizontal="centerContinuous"/>
      <protection/>
    </xf>
    <xf numFmtId="0" fontId="30" fillId="0" borderId="21" xfId="60" applyFont="1" applyBorder="1" applyAlignment="1">
      <alignment horizontal="center" vertical="center"/>
      <protection/>
    </xf>
    <xf numFmtId="164" fontId="30" fillId="0" borderId="17" xfId="64" applyNumberFormat="1" applyFont="1" applyBorder="1" applyAlignment="1" applyProtection="1">
      <alignment horizontal="center" vertical="center" wrapText="1"/>
      <protection/>
    </xf>
    <xf numFmtId="0" fontId="30" fillId="0" borderId="22" xfId="64" applyFont="1" applyBorder="1" applyAlignment="1" applyProtection="1">
      <alignment horizontal="center" vertical="center" wrapText="1"/>
      <protection/>
    </xf>
    <xf numFmtId="166" fontId="60" fillId="36" borderId="21" xfId="64" applyNumberFormat="1" applyFont="1" applyFill="1" applyBorder="1" applyAlignment="1" applyProtection="1">
      <alignment horizontal="center" vertical="center"/>
      <protection/>
    </xf>
    <xf numFmtId="0" fontId="62" fillId="33" borderId="21" xfId="64" applyFont="1" applyFill="1" applyBorder="1" applyAlignment="1" applyProtection="1">
      <alignment horizontal="center" vertical="center"/>
      <protection/>
    </xf>
    <xf numFmtId="0" fontId="62" fillId="39" borderId="21" xfId="64" applyFont="1" applyFill="1" applyBorder="1" applyAlignment="1">
      <alignment horizontal="center" vertical="center" wrapText="1"/>
      <protection/>
    </xf>
    <xf numFmtId="0" fontId="61" fillId="43" borderId="21" xfId="64" applyFont="1" applyFill="1" applyBorder="1" applyAlignment="1">
      <alignment horizontal="center" vertical="center" wrapText="1"/>
      <protection/>
    </xf>
    <xf numFmtId="0" fontId="86" fillId="34" borderId="16" xfId="64" applyFont="1" applyFill="1" applyBorder="1" applyAlignment="1" applyProtection="1">
      <alignment horizontal="centerContinuous" vertical="center" wrapText="1"/>
      <protection/>
    </xf>
    <xf numFmtId="0" fontId="87" fillId="34" borderId="22" xfId="64" applyFont="1" applyFill="1" applyBorder="1" applyAlignment="1">
      <alignment horizontal="centerContinuous"/>
      <protection/>
    </xf>
    <xf numFmtId="0" fontId="86" fillId="34" borderId="17" xfId="64" applyFont="1" applyFill="1" applyBorder="1" applyAlignment="1">
      <alignment horizontal="centerContinuous" vertical="center"/>
      <protection/>
    </xf>
    <xf numFmtId="0" fontId="62" fillId="44" borderId="16" xfId="64" applyFont="1" applyFill="1" applyBorder="1" applyAlignment="1">
      <alignment horizontal="centerContinuous" vertical="center" wrapText="1"/>
      <protection/>
    </xf>
    <xf numFmtId="0" fontId="88" fillId="44" borderId="22" xfId="64" applyFont="1" applyFill="1" applyBorder="1" applyAlignment="1">
      <alignment horizontal="centerContinuous"/>
      <protection/>
    </xf>
    <xf numFmtId="0" fontId="62" fillId="44" borderId="17" xfId="64" applyFont="1" applyFill="1" applyBorder="1" applyAlignment="1">
      <alignment horizontal="centerContinuous" vertical="center"/>
      <protection/>
    </xf>
    <xf numFmtId="0" fontId="62" fillId="3" borderId="21" xfId="64" applyFont="1" applyFill="1" applyBorder="1" applyAlignment="1">
      <alignment horizontal="centerContinuous" vertical="center" wrapText="1"/>
      <protection/>
    </xf>
    <xf numFmtId="0" fontId="62" fillId="45" borderId="21" xfId="64" applyFont="1" applyFill="1" applyBorder="1" applyAlignment="1">
      <alignment horizontal="centerContinuous" vertical="center" wrapText="1"/>
      <protection/>
    </xf>
    <xf numFmtId="0" fontId="30" fillId="0" borderId="17" xfId="64" applyFont="1" applyBorder="1" applyAlignment="1">
      <alignment horizontal="center" vertical="center" wrapText="1"/>
      <protection/>
    </xf>
    <xf numFmtId="0" fontId="30" fillId="0" borderId="21" xfId="64" applyFont="1" applyFill="1" applyBorder="1" applyAlignment="1">
      <alignment horizontal="center" vertical="center" wrapText="1"/>
      <protection/>
    </xf>
    <xf numFmtId="0" fontId="13" fillId="0" borderId="28" xfId="64" applyFont="1" applyBorder="1" applyAlignment="1">
      <alignment horizontal="center"/>
      <protection/>
    </xf>
    <xf numFmtId="0" fontId="21" fillId="0" borderId="28" xfId="64" applyFont="1" applyBorder="1">
      <alignment/>
      <protection/>
    </xf>
    <xf numFmtId="164" fontId="21" fillId="0" borderId="29" xfId="64" applyNumberFormat="1" applyFont="1" applyBorder="1" applyProtection="1">
      <alignment/>
      <protection/>
    </xf>
    <xf numFmtId="164" fontId="21" fillId="0" borderId="28" xfId="64" applyNumberFormat="1" applyFont="1" applyBorder="1" applyAlignment="1" applyProtection="1">
      <alignment horizontal="center"/>
      <protection/>
    </xf>
    <xf numFmtId="164" fontId="21" fillId="0" borderId="23" xfId="64" applyNumberFormat="1" applyFont="1" applyBorder="1" applyAlignment="1" applyProtection="1">
      <alignment horizontal="center"/>
      <protection/>
    </xf>
    <xf numFmtId="164" fontId="89" fillId="36" borderId="23" xfId="64" applyNumberFormat="1" applyFont="1" applyFill="1" applyBorder="1" applyAlignment="1" applyProtection="1">
      <alignment horizontal="center"/>
      <protection/>
    </xf>
    <xf numFmtId="0" fontId="90" fillId="33" borderId="23" xfId="64" applyFont="1" applyFill="1" applyBorder="1" applyAlignment="1">
      <alignment horizontal="center"/>
      <protection/>
    </xf>
    <xf numFmtId="0" fontId="21" fillId="0" borderId="23" xfId="64" applyFont="1" applyBorder="1" applyAlignment="1">
      <alignment horizontal="center"/>
      <protection/>
    </xf>
    <xf numFmtId="0" fontId="21" fillId="0" borderId="65" xfId="64" applyFont="1" applyBorder="1" applyAlignment="1">
      <alignment horizontal="center"/>
      <protection/>
    </xf>
    <xf numFmtId="0" fontId="13" fillId="0" borderId="29" xfId="64" applyFont="1" applyBorder="1" applyAlignment="1">
      <alignment horizontal="center"/>
      <protection/>
    </xf>
    <xf numFmtId="0" fontId="13" fillId="0" borderId="23" xfId="64" applyFont="1" applyBorder="1" applyAlignment="1">
      <alignment horizontal="center"/>
      <protection/>
    </xf>
    <xf numFmtId="0" fontId="65" fillId="39" borderId="23" xfId="64" applyFont="1" applyFill="1" applyBorder="1" applyAlignment="1">
      <alignment horizontal="center"/>
      <protection/>
    </xf>
    <xf numFmtId="0" fontId="81" fillId="43" borderId="23" xfId="64" applyFont="1" applyFill="1" applyBorder="1" applyAlignment="1">
      <alignment horizontal="center"/>
      <protection/>
    </xf>
    <xf numFmtId="166" fontId="91" fillId="34" borderId="24" xfId="64" applyNumberFormat="1" applyFont="1" applyFill="1" applyBorder="1" applyAlignment="1" applyProtection="1" quotePrefix="1">
      <alignment horizontal="center"/>
      <protection/>
    </xf>
    <xf numFmtId="166" fontId="91" fillId="34" borderId="66" xfId="64" applyNumberFormat="1" applyFont="1" applyFill="1" applyBorder="1" applyAlignment="1" applyProtection="1" quotePrefix="1">
      <alignment horizontal="center"/>
      <protection/>
    </xf>
    <xf numFmtId="4" fontId="91" fillId="34" borderId="67" xfId="64" applyNumberFormat="1" applyFont="1" applyFill="1" applyBorder="1" applyAlignment="1" applyProtection="1">
      <alignment horizontal="center"/>
      <protection/>
    </xf>
    <xf numFmtId="166" fontId="65" fillId="44" borderId="24" xfId="64" applyNumberFormat="1" applyFont="1" applyFill="1" applyBorder="1" applyAlignment="1" applyProtection="1" quotePrefix="1">
      <alignment horizontal="center"/>
      <protection/>
    </xf>
    <xf numFmtId="166" fontId="65" fillId="44" borderId="66" xfId="64" applyNumberFormat="1" applyFont="1" applyFill="1" applyBorder="1" applyAlignment="1" applyProtection="1" quotePrefix="1">
      <alignment horizontal="center"/>
      <protection/>
    </xf>
    <xf numFmtId="4" fontId="65" fillId="44" borderId="67" xfId="64" applyNumberFormat="1" applyFont="1" applyFill="1" applyBorder="1" applyAlignment="1" applyProtection="1">
      <alignment horizontal="center"/>
      <protection/>
    </xf>
    <xf numFmtId="4" fontId="65" fillId="3" borderId="23" xfId="64" applyNumberFormat="1" applyFont="1" applyFill="1" applyBorder="1" applyAlignment="1" applyProtection="1">
      <alignment horizontal="center"/>
      <protection/>
    </xf>
    <xf numFmtId="4" fontId="65" fillId="45" borderId="23" xfId="64" applyNumberFormat="1" applyFont="1" applyFill="1" applyBorder="1" applyAlignment="1" applyProtection="1">
      <alignment horizontal="center"/>
      <protection/>
    </xf>
    <xf numFmtId="0" fontId="13" fillId="0" borderId="67" xfId="64" applyFont="1" applyBorder="1" applyAlignment="1">
      <alignment horizontal="left"/>
      <protection/>
    </xf>
    <xf numFmtId="0" fontId="48" fillId="0" borderId="67" xfId="64" applyFont="1" applyBorder="1" applyAlignment="1">
      <alignment horizontal="center"/>
      <protection/>
    </xf>
    <xf numFmtId="0" fontId="13" fillId="0" borderId="28" xfId="58" applyFont="1" applyBorder="1" applyAlignment="1" applyProtection="1">
      <alignment horizontal="center"/>
      <protection locked="0"/>
    </xf>
    <xf numFmtId="0" fontId="89" fillId="36" borderId="28" xfId="64" applyFont="1" applyFill="1" applyBorder="1" applyAlignment="1" applyProtection="1">
      <alignment horizontal="center"/>
      <protection/>
    </xf>
    <xf numFmtId="166" fontId="90" fillId="33" borderId="28" xfId="64" applyNumberFormat="1" applyFont="1" applyFill="1" applyBorder="1" applyAlignment="1" applyProtection="1">
      <alignment horizontal="center"/>
      <protection/>
    </xf>
    <xf numFmtId="4" fontId="13" fillId="0" borderId="28" xfId="64" applyNumberFormat="1" applyFont="1" applyFill="1" applyBorder="1" applyAlignment="1" applyProtection="1" quotePrefix="1">
      <alignment horizontal="center"/>
      <protection/>
    </xf>
    <xf numFmtId="164" fontId="13" fillId="0" borderId="28" xfId="64" applyNumberFormat="1" applyFont="1" applyFill="1" applyBorder="1" applyAlignment="1" applyProtection="1" quotePrefix="1">
      <alignment horizontal="center"/>
      <protection/>
    </xf>
    <xf numFmtId="166" fontId="13" fillId="0" borderId="29" xfId="71" applyNumberFormat="1" applyFont="1" applyBorder="1" applyAlignment="1" applyProtection="1">
      <alignment horizontal="center"/>
      <protection/>
    </xf>
    <xf numFmtId="168" fontId="13" fillId="0" borderId="29" xfId="64" applyNumberFormat="1" applyFont="1" applyBorder="1" applyAlignment="1" applyProtection="1" quotePrefix="1">
      <alignment horizontal="center"/>
      <protection/>
    </xf>
    <xf numFmtId="2" fontId="65" fillId="39" borderId="28" xfId="64" applyNumberFormat="1" applyFont="1" applyFill="1" applyBorder="1" applyAlignment="1" applyProtection="1">
      <alignment horizontal="center"/>
      <protection/>
    </xf>
    <xf numFmtId="2" fontId="81" fillId="43" borderId="28" xfId="64" applyNumberFormat="1" applyFont="1" applyFill="1" applyBorder="1" applyAlignment="1" applyProtection="1">
      <alignment horizontal="center"/>
      <protection/>
    </xf>
    <xf numFmtId="166" fontId="91" fillId="34" borderId="30" xfId="64" applyNumberFormat="1" applyFont="1" applyFill="1" applyBorder="1" applyAlignment="1" applyProtection="1" quotePrefix="1">
      <alignment horizontal="center"/>
      <protection/>
    </xf>
    <xf numFmtId="166" fontId="91" fillId="34" borderId="31" xfId="64" applyNumberFormat="1" applyFont="1" applyFill="1" applyBorder="1" applyAlignment="1" applyProtection="1" quotePrefix="1">
      <alignment horizontal="center"/>
      <protection/>
    </xf>
    <xf numFmtId="4" fontId="91" fillId="34" borderId="29" xfId="64" applyNumberFormat="1" applyFont="1" applyFill="1" applyBorder="1" applyAlignment="1" applyProtection="1">
      <alignment horizontal="center"/>
      <protection/>
    </xf>
    <xf numFmtId="166" fontId="65" fillId="44" borderId="30" xfId="64" applyNumberFormat="1" applyFont="1" applyFill="1" applyBorder="1" applyAlignment="1" applyProtection="1" quotePrefix="1">
      <alignment horizontal="center"/>
      <protection/>
    </xf>
    <xf numFmtId="166" fontId="65" fillId="44" borderId="31" xfId="64" applyNumberFormat="1" applyFont="1" applyFill="1" applyBorder="1" applyAlignment="1" applyProtection="1" quotePrefix="1">
      <alignment horizontal="center"/>
      <protection/>
    </xf>
    <xf numFmtId="4" fontId="65" fillId="44" borderId="29" xfId="64" applyNumberFormat="1" applyFont="1" applyFill="1" applyBorder="1" applyAlignment="1" applyProtection="1">
      <alignment horizontal="center"/>
      <protection/>
    </xf>
    <xf numFmtId="4" fontId="65" fillId="3" borderId="28" xfId="64" applyNumberFormat="1" applyFont="1" applyFill="1" applyBorder="1" applyAlignment="1" applyProtection="1">
      <alignment horizontal="center"/>
      <protection/>
    </xf>
    <xf numFmtId="4" fontId="65" fillId="45" borderId="28" xfId="64" applyNumberFormat="1" applyFont="1" applyFill="1" applyBorder="1" applyAlignment="1" applyProtection="1">
      <alignment horizontal="center"/>
      <protection/>
    </xf>
    <xf numFmtId="4" fontId="13" fillId="0" borderId="29" xfId="64" applyNumberFormat="1" applyFont="1" applyBorder="1" applyAlignment="1" applyProtection="1">
      <alignment horizontal="center"/>
      <protection/>
    </xf>
    <xf numFmtId="0" fontId="13" fillId="0" borderId="28" xfId="71" applyFont="1" applyBorder="1" applyAlignment="1">
      <alignment horizontal="center"/>
      <protection/>
    </xf>
    <xf numFmtId="164" fontId="13" fillId="0" borderId="29" xfId="71" applyNumberFormat="1" applyFont="1" applyBorder="1" applyAlignment="1" applyProtection="1">
      <alignment horizontal="center"/>
      <protection/>
    </xf>
    <xf numFmtId="165" fontId="13" fillId="0" borderId="28" xfId="71" applyNumberFormat="1" applyFont="1" applyBorder="1" applyAlignment="1" applyProtection="1">
      <alignment horizontal="center"/>
      <protection/>
    </xf>
    <xf numFmtId="164" fontId="13" fillId="0" borderId="28" xfId="71" applyNumberFormat="1" applyFont="1" applyBorder="1" applyAlignment="1" applyProtection="1">
      <alignment horizontal="center"/>
      <protection/>
    </xf>
    <xf numFmtId="22" fontId="13" fillId="0" borderId="28" xfId="71" applyNumberFormat="1" applyFont="1" applyBorder="1" applyAlignment="1">
      <alignment horizontal="center"/>
      <protection/>
    </xf>
    <xf numFmtId="22" fontId="13" fillId="0" borderId="32" xfId="71" applyNumberFormat="1" applyFont="1" applyBorder="1" applyAlignment="1">
      <alignment horizontal="center"/>
      <protection/>
    </xf>
    <xf numFmtId="0" fontId="13" fillId="0" borderId="27" xfId="58" applyFont="1" applyBorder="1" applyAlignment="1" applyProtection="1">
      <alignment horizontal="center"/>
      <protection locked="0"/>
    </xf>
    <xf numFmtId="166" fontId="13" fillId="0" borderId="29" xfId="64" applyNumberFormat="1" applyFont="1" applyBorder="1" applyAlignment="1" applyProtection="1">
      <alignment horizontal="center"/>
      <protection/>
    </xf>
    <xf numFmtId="0" fontId="13" fillId="0" borderId="36" xfId="64" applyFont="1" applyBorder="1" applyAlignment="1">
      <alignment horizontal="center"/>
      <protection/>
    </xf>
    <xf numFmtId="0" fontId="21" fillId="0" borderId="36" xfId="64" applyFont="1" applyBorder="1" applyAlignment="1">
      <alignment horizontal="center"/>
      <protection/>
    </xf>
    <xf numFmtId="164" fontId="92" fillId="0" borderId="36" xfId="64" applyNumberFormat="1" applyFont="1" applyBorder="1" applyAlignment="1" applyProtection="1">
      <alignment horizontal="center"/>
      <protection/>
    </xf>
    <xf numFmtId="0" fontId="21" fillId="0" borderId="36" xfId="64" applyFont="1" applyBorder="1" applyAlignment="1" applyProtection="1">
      <alignment horizontal="center"/>
      <protection/>
    </xf>
    <xf numFmtId="165" fontId="21" fillId="0" borderId="36" xfId="64" applyNumberFormat="1" applyFont="1" applyBorder="1" applyAlignment="1" applyProtection="1">
      <alignment horizontal="center"/>
      <protection/>
    </xf>
    <xf numFmtId="165" fontId="89" fillId="36" borderId="36" xfId="64" applyNumberFormat="1" applyFont="1" applyFill="1" applyBorder="1" applyAlignment="1" applyProtection="1">
      <alignment horizontal="center"/>
      <protection/>
    </xf>
    <xf numFmtId="166" fontId="90" fillId="33" borderId="36" xfId="64" applyNumberFormat="1" applyFont="1" applyFill="1" applyBorder="1" applyAlignment="1" applyProtection="1">
      <alignment horizontal="center"/>
      <protection/>
    </xf>
    <xf numFmtId="166" fontId="21" fillId="0" borderId="36" xfId="64" applyNumberFormat="1" applyFont="1" applyBorder="1" applyAlignment="1" applyProtection="1">
      <alignment horizontal="center"/>
      <protection/>
    </xf>
    <xf numFmtId="168" fontId="13" fillId="0" borderId="36" xfId="64" applyNumberFormat="1" applyFont="1" applyBorder="1" applyAlignment="1" applyProtection="1" quotePrefix="1">
      <alignment horizontal="center"/>
      <protection/>
    </xf>
    <xf numFmtId="2" fontId="65" fillId="39" borderId="36" xfId="64" applyNumberFormat="1" applyFont="1" applyFill="1" applyBorder="1" applyAlignment="1" applyProtection="1">
      <alignment horizontal="center"/>
      <protection/>
    </xf>
    <xf numFmtId="2" fontId="81" fillId="43" borderId="36" xfId="64" applyNumberFormat="1" applyFont="1" applyFill="1" applyBorder="1" applyAlignment="1" applyProtection="1">
      <alignment horizontal="center"/>
      <protection/>
    </xf>
    <xf numFmtId="166" fontId="91" fillId="34" borderId="37" xfId="64" applyNumberFormat="1" applyFont="1" applyFill="1" applyBorder="1" applyAlignment="1" applyProtection="1" quotePrefix="1">
      <alignment horizontal="center"/>
      <protection/>
    </xf>
    <xf numFmtId="166" fontId="91" fillId="34" borderId="68" xfId="64" applyNumberFormat="1" applyFont="1" applyFill="1" applyBorder="1" applyAlignment="1" applyProtection="1" quotePrefix="1">
      <alignment horizontal="center"/>
      <protection/>
    </xf>
    <xf numFmtId="4" fontId="91" fillId="34" borderId="50" xfId="64" applyNumberFormat="1" applyFont="1" applyFill="1" applyBorder="1" applyAlignment="1" applyProtection="1">
      <alignment horizontal="center"/>
      <protection/>
    </xf>
    <xf numFmtId="166" fontId="65" fillId="44" borderId="37" xfId="64" applyNumberFormat="1" applyFont="1" applyFill="1" applyBorder="1" applyAlignment="1" applyProtection="1" quotePrefix="1">
      <alignment horizontal="center"/>
      <protection/>
    </xf>
    <xf numFmtId="166" fontId="65" fillId="44" borderId="68" xfId="64" applyNumberFormat="1" applyFont="1" applyFill="1" applyBorder="1" applyAlignment="1" applyProtection="1" quotePrefix="1">
      <alignment horizontal="center"/>
      <protection/>
    </xf>
    <xf numFmtId="4" fontId="65" fillId="44" borderId="50" xfId="64" applyNumberFormat="1" applyFont="1" applyFill="1" applyBorder="1" applyAlignment="1" applyProtection="1">
      <alignment horizontal="center"/>
      <protection/>
    </xf>
    <xf numFmtId="4" fontId="65" fillId="3" borderId="36" xfId="64" applyNumberFormat="1" applyFont="1" applyFill="1" applyBorder="1" applyAlignment="1" applyProtection="1">
      <alignment horizontal="center"/>
      <protection/>
    </xf>
    <xf numFmtId="4" fontId="65" fillId="45" borderId="36" xfId="64" applyNumberFormat="1" applyFont="1" applyFill="1" applyBorder="1" applyAlignment="1" applyProtection="1">
      <alignment horizontal="center"/>
      <protection/>
    </xf>
    <xf numFmtId="4" fontId="49" fillId="0" borderId="36" xfId="64" applyNumberFormat="1" applyFont="1" applyBorder="1" applyAlignment="1" applyProtection="1">
      <alignment horizontal="center"/>
      <protection/>
    </xf>
    <xf numFmtId="166" fontId="66" fillId="0" borderId="36" xfId="64" applyNumberFormat="1" applyFont="1" applyFill="1" applyBorder="1" applyAlignment="1">
      <alignment horizontal="center"/>
      <protection/>
    </xf>
    <xf numFmtId="4" fontId="13" fillId="0" borderId="15" xfId="64" applyNumberFormat="1" applyFont="1" applyFill="1" applyBorder="1" applyAlignment="1">
      <alignment horizontal="center"/>
      <protection/>
    </xf>
    <xf numFmtId="164" fontId="92" fillId="0" borderId="0" xfId="64" applyNumberFormat="1" applyFont="1" applyBorder="1" applyAlignment="1" applyProtection="1">
      <alignment horizontal="center"/>
      <protection/>
    </xf>
    <xf numFmtId="165" fontId="21" fillId="0" borderId="0" xfId="64" applyNumberFormat="1" applyFont="1" applyBorder="1" applyAlignment="1" applyProtection="1">
      <alignment horizontal="center"/>
      <protection/>
    </xf>
    <xf numFmtId="166" fontId="21" fillId="0" borderId="0" xfId="64" applyNumberFormat="1" applyFont="1" applyBorder="1" applyAlignment="1" applyProtection="1">
      <alignment horizontal="center"/>
      <protection/>
    </xf>
    <xf numFmtId="168" fontId="21" fillId="0" borderId="0" xfId="64" applyNumberFormat="1" applyFont="1" applyBorder="1" applyAlignment="1" applyProtection="1" quotePrefix="1">
      <alignment horizontal="center"/>
      <protection/>
    </xf>
    <xf numFmtId="2" fontId="90" fillId="39" borderId="21" xfId="64" applyNumberFormat="1" applyFont="1" applyFill="1" applyBorder="1" applyAlignment="1" applyProtection="1">
      <alignment horizontal="center"/>
      <protection/>
    </xf>
    <xf numFmtId="2" fontId="77" fillId="43" borderId="21" xfId="64" applyNumberFormat="1" applyFont="1" applyFill="1" applyBorder="1" applyAlignment="1" applyProtection="1">
      <alignment horizontal="center"/>
      <protection/>
    </xf>
    <xf numFmtId="2" fontId="93" fillId="34" borderId="21" xfId="64" applyNumberFormat="1" applyFont="1" applyFill="1" applyBorder="1" applyAlignment="1" applyProtection="1">
      <alignment horizontal="center"/>
      <protection/>
    </xf>
    <xf numFmtId="2" fontId="90" fillId="44" borderId="21" xfId="64" applyNumberFormat="1" applyFont="1" applyFill="1" applyBorder="1" applyAlignment="1" applyProtection="1">
      <alignment horizontal="center"/>
      <protection/>
    </xf>
    <xf numFmtId="2" fontId="90" fillId="3" borderId="21" xfId="64" applyNumberFormat="1" applyFont="1" applyFill="1" applyBorder="1" applyAlignment="1" applyProtection="1">
      <alignment horizontal="center"/>
      <protection/>
    </xf>
    <xf numFmtId="2" fontId="90" fillId="45" borderId="21" xfId="64" applyNumberFormat="1" applyFont="1" applyFill="1" applyBorder="1" applyAlignment="1" applyProtection="1">
      <alignment horizontal="center"/>
      <protection/>
    </xf>
    <xf numFmtId="2" fontId="21" fillId="0" borderId="44" xfId="64" applyNumberFormat="1" applyFont="1" applyBorder="1" applyAlignment="1" applyProtection="1">
      <alignment horizontal="center"/>
      <protection/>
    </xf>
    <xf numFmtId="7" fontId="48" fillId="0" borderId="21" xfId="64" applyNumberFormat="1" applyFont="1" applyBorder="1" applyAlignment="1" applyProtection="1">
      <alignment horizontal="right"/>
      <protection/>
    </xf>
    <xf numFmtId="0" fontId="48" fillId="0" borderId="0" xfId="64" applyFont="1" applyBorder="1" applyAlignment="1">
      <alignment horizontal="left"/>
      <protection/>
    </xf>
    <xf numFmtId="0" fontId="48" fillId="0" borderId="0" xfId="64" applyFont="1" applyBorder="1" applyAlignment="1">
      <alignment horizontal="center"/>
      <protection/>
    </xf>
    <xf numFmtId="165" fontId="48" fillId="0" borderId="0" xfId="64" applyNumberFormat="1" applyFont="1" applyBorder="1" applyAlignment="1" applyProtection="1">
      <alignment horizontal="center"/>
      <protection/>
    </xf>
    <xf numFmtId="0" fontId="30" fillId="0" borderId="0" xfId="64" applyFont="1">
      <alignment/>
      <protection/>
    </xf>
    <xf numFmtId="166" fontId="48" fillId="0" borderId="0" xfId="64" applyNumberFormat="1" applyFont="1" applyBorder="1" applyAlignment="1" applyProtection="1">
      <alignment horizontal="center"/>
      <protection/>
    </xf>
    <xf numFmtId="2" fontId="90" fillId="0" borderId="22" xfId="64" applyNumberFormat="1" applyFont="1" applyFill="1" applyBorder="1" applyAlignment="1" applyProtection="1">
      <alignment horizontal="center"/>
      <protection/>
    </xf>
    <xf numFmtId="2" fontId="77" fillId="0" borderId="22" xfId="64" applyNumberFormat="1" applyFont="1" applyFill="1" applyBorder="1" applyAlignment="1" applyProtection="1">
      <alignment horizontal="center"/>
      <protection/>
    </xf>
    <xf numFmtId="2" fontId="93" fillId="0" borderId="22" xfId="64" applyNumberFormat="1" applyFont="1" applyFill="1" applyBorder="1" applyAlignment="1" applyProtection="1">
      <alignment horizontal="center"/>
      <protection/>
    </xf>
    <xf numFmtId="2" fontId="21" fillId="0" borderId="0" xfId="64" applyNumberFormat="1" applyFont="1" applyBorder="1" applyAlignment="1" applyProtection="1">
      <alignment horizontal="center"/>
      <protection/>
    </xf>
    <xf numFmtId="7" fontId="21" fillId="0" borderId="0" xfId="64" applyNumberFormat="1" applyFont="1" applyBorder="1" applyAlignment="1" applyProtection="1">
      <alignment horizontal="center"/>
      <protection/>
    </xf>
    <xf numFmtId="0" fontId="13" fillId="0" borderId="14" xfId="64" applyFont="1" applyFill="1" applyBorder="1">
      <alignment/>
      <protection/>
    </xf>
    <xf numFmtId="0" fontId="30" fillId="0" borderId="21" xfId="64" applyFont="1" applyFill="1" applyBorder="1" applyAlignment="1">
      <alignment horizontal="center" vertical="center"/>
      <protection/>
    </xf>
    <xf numFmtId="0" fontId="30" fillId="0" borderId="21" xfId="64" applyFont="1" applyFill="1" applyBorder="1" applyAlignment="1" applyProtection="1">
      <alignment horizontal="center" vertical="center" wrapText="1"/>
      <protection/>
    </xf>
    <xf numFmtId="0" fontId="30" fillId="0" borderId="21" xfId="64" applyFont="1" applyFill="1" applyBorder="1" applyAlignment="1" applyProtection="1">
      <alignment horizontal="center" vertical="center"/>
      <protection/>
    </xf>
    <xf numFmtId="0" fontId="60" fillId="36" borderId="21" xfId="64" applyFont="1" applyFill="1" applyBorder="1" applyAlignment="1" applyProtection="1">
      <alignment horizontal="center" vertical="center"/>
      <protection/>
    </xf>
    <xf numFmtId="0" fontId="60" fillId="46" borderId="21" xfId="64" applyFont="1" applyFill="1" applyBorder="1" applyAlignment="1" applyProtection="1">
      <alignment horizontal="center" vertical="center"/>
      <protection/>
    </xf>
    <xf numFmtId="0" fontId="62" fillId="47" borderId="21" xfId="64" applyFont="1" applyFill="1" applyBorder="1" applyAlignment="1">
      <alignment horizontal="center" vertical="center" wrapText="1"/>
      <protection/>
    </xf>
    <xf numFmtId="0" fontId="62" fillId="48" borderId="16" xfId="64" applyFont="1" applyFill="1" applyBorder="1" applyAlignment="1" applyProtection="1">
      <alignment horizontal="centerContinuous" vertical="center" wrapText="1"/>
      <protection/>
    </xf>
    <xf numFmtId="0" fontId="62" fillId="48" borderId="17" xfId="64" applyFont="1" applyFill="1" applyBorder="1" applyAlignment="1">
      <alignment horizontal="centerContinuous" vertical="center"/>
      <protection/>
    </xf>
    <xf numFmtId="0" fontId="62" fillId="34" borderId="21" xfId="64" applyFont="1" applyFill="1" applyBorder="1" applyAlignment="1">
      <alignment horizontal="centerContinuous" vertical="center" wrapText="1"/>
      <protection/>
    </xf>
    <xf numFmtId="0" fontId="62" fillId="49" borderId="21" xfId="64" applyFont="1" applyFill="1" applyBorder="1" applyAlignment="1">
      <alignment vertical="center" wrapText="1"/>
      <protection/>
    </xf>
    <xf numFmtId="0" fontId="62" fillId="46" borderId="41" xfId="64" applyFont="1" applyFill="1" applyBorder="1" applyAlignment="1">
      <alignment vertical="center" wrapText="1"/>
      <protection/>
    </xf>
    <xf numFmtId="0" fontId="62" fillId="46" borderId="44" xfId="64" applyFont="1" applyFill="1" applyBorder="1" applyAlignment="1">
      <alignment vertical="center" wrapText="1"/>
      <protection/>
    </xf>
    <xf numFmtId="0" fontId="94" fillId="46" borderId="28" xfId="64" applyFont="1" applyFill="1" applyBorder="1" applyAlignment="1">
      <alignment horizontal="center"/>
      <protection/>
    </xf>
    <xf numFmtId="0" fontId="13" fillId="0" borderId="29" xfId="64" applyFont="1" applyFill="1" applyBorder="1" applyAlignment="1">
      <alignment horizontal="center"/>
      <protection/>
    </xf>
    <xf numFmtId="0" fontId="29" fillId="46" borderId="0" xfId="64" applyFont="1" applyFill="1" applyBorder="1" applyAlignment="1">
      <alignment horizontal="left"/>
      <protection/>
    </xf>
    <xf numFmtId="0" fontId="29" fillId="46" borderId="58" xfId="64" applyFont="1" applyFill="1" applyBorder="1" applyAlignment="1">
      <alignment horizontal="left"/>
      <protection/>
    </xf>
    <xf numFmtId="0" fontId="48" fillId="0" borderId="29" xfId="64" applyFont="1" applyFill="1" applyBorder="1" applyAlignment="1">
      <alignment horizontal="center"/>
      <protection/>
    </xf>
    <xf numFmtId="0" fontId="13" fillId="0" borderId="27" xfId="64" applyFont="1" applyBorder="1" applyAlignment="1" applyProtection="1">
      <alignment horizontal="center"/>
      <protection/>
    </xf>
    <xf numFmtId="0" fontId="13" fillId="0" borderId="32" xfId="64" applyFont="1" applyBorder="1" applyAlignment="1" applyProtection="1">
      <alignment horizontal="center"/>
      <protection/>
    </xf>
    <xf numFmtId="166" fontId="94" fillId="36" borderId="28" xfId="64" applyNumberFormat="1" applyFont="1" applyFill="1" applyBorder="1" applyAlignment="1" applyProtection="1">
      <alignment horizontal="center"/>
      <protection/>
    </xf>
    <xf numFmtId="166" fontId="94" fillId="46" borderId="28" xfId="64" applyNumberFormat="1" applyFont="1" applyFill="1" applyBorder="1" applyAlignment="1" applyProtection="1">
      <alignment horizontal="center"/>
      <protection/>
    </xf>
    <xf numFmtId="22" fontId="13" fillId="0" borderId="30" xfId="64" applyNumberFormat="1" applyFont="1" applyBorder="1" applyAlignment="1" applyProtection="1">
      <alignment horizontal="center"/>
      <protection locked="0"/>
    </xf>
    <xf numFmtId="4" fontId="13" fillId="0" borderId="28" xfId="64" applyNumberFormat="1" applyFont="1" applyFill="1" applyBorder="1" applyAlignment="1" applyProtection="1">
      <alignment horizontal="center"/>
      <protection/>
    </xf>
    <xf numFmtId="3" fontId="13" fillId="0" borderId="28" xfId="64" applyNumberFormat="1" applyFont="1" applyFill="1" applyBorder="1" applyAlignment="1" applyProtection="1">
      <alignment horizontal="center"/>
      <protection/>
    </xf>
    <xf numFmtId="166" fontId="13" fillId="0" borderId="28" xfId="64" applyNumberFormat="1" applyFont="1" applyFill="1" applyBorder="1" applyAlignment="1" applyProtection="1">
      <alignment horizontal="center"/>
      <protection/>
    </xf>
    <xf numFmtId="166" fontId="13" fillId="0" borderId="28" xfId="64" applyNumberFormat="1" applyFont="1" applyBorder="1" applyAlignment="1" applyProtection="1" quotePrefix="1">
      <alignment horizontal="center"/>
      <protection/>
    </xf>
    <xf numFmtId="164" fontId="63" fillId="36" borderId="61" xfId="64" applyNumberFormat="1" applyFont="1" applyFill="1" applyBorder="1" applyAlignment="1" applyProtection="1">
      <alignment horizontal="center"/>
      <protection locked="0"/>
    </xf>
    <xf numFmtId="2" fontId="65" fillId="47" borderId="28" xfId="64" applyNumberFormat="1" applyFont="1" applyFill="1" applyBorder="1" applyAlignment="1">
      <alignment horizontal="center"/>
      <protection/>
    </xf>
    <xf numFmtId="166" fontId="65" fillId="48" borderId="48" xfId="64" applyNumberFormat="1" applyFont="1" applyFill="1" applyBorder="1" applyAlignment="1" applyProtection="1" quotePrefix="1">
      <alignment horizontal="center"/>
      <protection/>
    </xf>
    <xf numFmtId="166" fontId="65" fillId="48" borderId="49" xfId="64" applyNumberFormat="1" applyFont="1" applyFill="1" applyBorder="1" applyAlignment="1" applyProtection="1" quotePrefix="1">
      <alignment horizontal="center"/>
      <protection/>
    </xf>
    <xf numFmtId="166" fontId="65" fillId="34" borderId="28" xfId="64" applyNumberFormat="1" applyFont="1" applyFill="1" applyBorder="1" applyAlignment="1" applyProtection="1" quotePrefix="1">
      <alignment horizontal="center"/>
      <protection/>
    </xf>
    <xf numFmtId="2" fontId="65" fillId="49" borderId="28" xfId="64" applyNumberFormat="1" applyFont="1" applyFill="1" applyBorder="1" applyAlignment="1">
      <alignment horizontal="center"/>
      <protection/>
    </xf>
    <xf numFmtId="166" fontId="65" fillId="46" borderId="0" xfId="64" applyNumberFormat="1" applyFont="1" applyFill="1" applyBorder="1" applyAlignment="1" applyProtection="1" quotePrefix="1">
      <alignment horizontal="center"/>
      <protection/>
    </xf>
    <xf numFmtId="166" fontId="65" fillId="46" borderId="58" xfId="64" applyNumberFormat="1" applyFont="1" applyFill="1" applyBorder="1" applyAlignment="1" applyProtection="1" quotePrefix="1">
      <alignment horizontal="center"/>
      <protection/>
    </xf>
    <xf numFmtId="166" fontId="13" fillId="0" borderId="29" xfId="64" applyNumberFormat="1" applyFont="1" applyFill="1" applyBorder="1" applyAlignment="1">
      <alignment horizontal="center"/>
      <protection/>
    </xf>
    <xf numFmtId="4" fontId="78" fillId="0" borderId="29" xfId="64" applyNumberFormat="1" applyFont="1" applyFill="1" applyBorder="1" applyAlignment="1">
      <alignment horizontal="right"/>
      <protection/>
    </xf>
    <xf numFmtId="22" fontId="13" fillId="0" borderId="28" xfId="64" applyNumberFormat="1" applyFont="1" applyFill="1" applyBorder="1" applyAlignment="1" applyProtection="1">
      <alignment horizontal="center"/>
      <protection/>
    </xf>
    <xf numFmtId="0" fontId="13" fillId="0" borderId="36" xfId="64" applyFont="1" applyFill="1" applyBorder="1" applyAlignment="1">
      <alignment horizontal="center"/>
      <protection/>
    </xf>
    <xf numFmtId="0" fontId="13" fillId="0" borderId="34" xfId="64" applyFont="1" applyBorder="1" applyAlignment="1" applyProtection="1">
      <alignment horizontal="center"/>
      <protection/>
    </xf>
    <xf numFmtId="0" fontId="13" fillId="0" borderId="69" xfId="64" applyFont="1" applyBorder="1" applyAlignment="1" applyProtection="1">
      <alignment horizontal="center"/>
      <protection/>
    </xf>
    <xf numFmtId="166" fontId="94" fillId="46" borderId="36" xfId="64" applyNumberFormat="1" applyFont="1" applyFill="1" applyBorder="1" applyAlignment="1" applyProtection="1">
      <alignment horizontal="center"/>
      <protection/>
    </xf>
    <xf numFmtId="22" fontId="13" fillId="0" borderId="36" xfId="64" applyNumberFormat="1" applyFont="1" applyFill="1" applyBorder="1" applyAlignment="1">
      <alignment horizontal="center"/>
      <protection/>
    </xf>
    <xf numFmtId="22" fontId="13" fillId="0" borderId="36" xfId="64" applyNumberFormat="1" applyFont="1" applyFill="1" applyBorder="1" applyAlignment="1" applyProtection="1">
      <alignment horizontal="center"/>
      <protection/>
    </xf>
    <xf numFmtId="4" fontId="13" fillId="0" borderId="36" xfId="64" applyNumberFormat="1" applyFont="1" applyFill="1" applyBorder="1" applyAlignment="1" applyProtection="1">
      <alignment horizontal="center"/>
      <protection/>
    </xf>
    <xf numFmtId="3" fontId="13" fillId="0" borderId="36" xfId="64" applyNumberFormat="1" applyFont="1" applyFill="1" applyBorder="1" applyAlignment="1" applyProtection="1">
      <alignment horizontal="center"/>
      <protection/>
    </xf>
    <xf numFmtId="166" fontId="13" fillId="0" borderId="36" xfId="64" applyNumberFormat="1" applyFont="1" applyFill="1" applyBorder="1" applyAlignment="1" applyProtection="1">
      <alignment horizontal="center"/>
      <protection/>
    </xf>
    <xf numFmtId="166" fontId="13" fillId="0" borderId="71" xfId="64" applyNumberFormat="1" applyFont="1" applyBorder="1" applyAlignment="1" applyProtection="1">
      <alignment horizontal="center"/>
      <protection/>
    </xf>
    <xf numFmtId="166" fontId="29" fillId="46" borderId="63" xfId="64" applyNumberFormat="1" applyFont="1" applyFill="1" applyBorder="1" applyAlignment="1" applyProtection="1" quotePrefix="1">
      <alignment horizontal="center"/>
      <protection/>
    </xf>
    <xf numFmtId="166" fontId="29" fillId="46" borderId="50" xfId="64" applyNumberFormat="1" applyFont="1" applyFill="1" applyBorder="1" applyAlignment="1" applyProtection="1" quotePrefix="1">
      <alignment horizontal="center"/>
      <protection/>
    </xf>
    <xf numFmtId="166" fontId="13" fillId="0" borderId="50" xfId="64" applyNumberFormat="1" applyFont="1" applyFill="1" applyBorder="1" applyAlignment="1">
      <alignment horizontal="center"/>
      <protection/>
    </xf>
    <xf numFmtId="4" fontId="78" fillId="0" borderId="50" xfId="64" applyNumberFormat="1" applyFont="1" applyFill="1" applyBorder="1" applyAlignment="1">
      <alignment horizontal="right"/>
      <protection/>
    </xf>
    <xf numFmtId="0" fontId="13" fillId="0" borderId="0" xfId="64" applyFont="1" applyFill="1" applyBorder="1" applyAlignment="1">
      <alignment horizontal="center"/>
      <protection/>
    </xf>
    <xf numFmtId="164" fontId="13" fillId="0" borderId="0" xfId="64" applyNumberFormat="1" applyFont="1" applyBorder="1" applyAlignment="1" applyProtection="1">
      <alignment horizontal="center"/>
      <protection/>
    </xf>
    <xf numFmtId="1" fontId="13" fillId="0" borderId="0" xfId="64" applyNumberFormat="1" applyFont="1" applyBorder="1" applyAlignment="1" applyProtection="1" quotePrefix="1">
      <alignment horizontal="center"/>
      <protection/>
    </xf>
    <xf numFmtId="166" fontId="13" fillId="0" borderId="0" xfId="64" applyNumberFormat="1" applyFont="1" applyFill="1" applyBorder="1" applyAlignment="1" applyProtection="1">
      <alignment horizontal="center"/>
      <protection/>
    </xf>
    <xf numFmtId="22" fontId="13" fillId="0" borderId="0" xfId="64" applyNumberFormat="1" applyFont="1" applyFill="1" applyBorder="1" applyAlignment="1">
      <alignment horizontal="center"/>
      <protection/>
    </xf>
    <xf numFmtId="22" fontId="13" fillId="0" borderId="0" xfId="64" applyNumberFormat="1" applyFont="1" applyFill="1" applyBorder="1" applyAlignment="1" applyProtection="1">
      <alignment horizontal="center"/>
      <protection/>
    </xf>
    <xf numFmtId="4" fontId="13" fillId="0" borderId="0" xfId="64" applyNumberFormat="1" applyFont="1" applyFill="1" applyBorder="1" applyAlignment="1" applyProtection="1">
      <alignment horizontal="center"/>
      <protection/>
    </xf>
    <xf numFmtId="3" fontId="13" fillId="0" borderId="0" xfId="64" applyNumberFormat="1" applyFont="1" applyFill="1" applyBorder="1" applyAlignment="1" applyProtection="1">
      <alignment horizontal="center"/>
      <protection/>
    </xf>
    <xf numFmtId="166" fontId="13" fillId="0" borderId="0" xfId="64" applyNumberFormat="1" applyFont="1" applyBorder="1" applyAlignment="1" applyProtection="1" quotePrefix="1">
      <alignment horizontal="center"/>
      <protection/>
    </xf>
    <xf numFmtId="164" fontId="13" fillId="0" borderId="0" xfId="64" applyNumberFormat="1" applyFont="1" applyFill="1" applyBorder="1" applyAlignment="1" applyProtection="1">
      <alignment horizontal="center"/>
      <protection/>
    </xf>
    <xf numFmtId="2" fontId="59" fillId="0" borderId="41" xfId="64" applyNumberFormat="1" applyFont="1" applyFill="1" applyBorder="1" applyAlignment="1">
      <alignment horizontal="center"/>
      <protection/>
    </xf>
    <xf numFmtId="166" fontId="49" fillId="0" borderId="41" xfId="64" applyNumberFormat="1" applyFont="1" applyFill="1" applyBorder="1" applyAlignment="1" applyProtection="1" quotePrefix="1">
      <alignment horizontal="center"/>
      <protection/>
    </xf>
    <xf numFmtId="166" fontId="13" fillId="0" borderId="41" xfId="64" applyNumberFormat="1" applyFont="1" applyFill="1" applyBorder="1" applyAlignment="1">
      <alignment horizontal="center"/>
      <protection/>
    </xf>
    <xf numFmtId="4" fontId="78" fillId="0" borderId="21" xfId="64" applyNumberFormat="1" applyFont="1" applyFill="1" applyBorder="1" applyAlignment="1">
      <alignment horizontal="right"/>
      <protection/>
    </xf>
    <xf numFmtId="166" fontId="29" fillId="46" borderId="0" xfId="64" applyNumberFormat="1" applyFont="1" applyFill="1" applyBorder="1" applyAlignment="1" applyProtection="1" quotePrefix="1">
      <alignment horizontal="center"/>
      <protection/>
    </xf>
    <xf numFmtId="0" fontId="30" fillId="0" borderId="17" xfId="64" applyFont="1" applyBorder="1" applyAlignment="1" applyProtection="1">
      <alignment horizontal="center" vertical="center"/>
      <protection/>
    </xf>
    <xf numFmtId="0" fontId="60" fillId="36" borderId="17" xfId="64" applyFont="1" applyFill="1" applyBorder="1" applyAlignment="1" applyProtection="1">
      <alignment horizontal="center" vertical="center"/>
      <protection/>
    </xf>
    <xf numFmtId="0" fontId="61" fillId="3" borderId="21" xfId="64" applyFont="1" applyFill="1" applyBorder="1" applyAlignment="1">
      <alignment horizontal="center" vertical="center" wrapText="1"/>
      <protection/>
    </xf>
    <xf numFmtId="0" fontId="34" fillId="42" borderId="16" xfId="64" applyFont="1" applyFill="1" applyBorder="1" applyAlignment="1" applyProtection="1">
      <alignment horizontal="centerContinuous" vertical="center" wrapText="1"/>
      <protection/>
    </xf>
    <xf numFmtId="0" fontId="34" fillId="42" borderId="17" xfId="64" applyFont="1" applyFill="1" applyBorder="1" applyAlignment="1">
      <alignment horizontal="centerContinuous" vertical="center"/>
      <protection/>
    </xf>
    <xf numFmtId="0" fontId="69" fillId="40" borderId="16" xfId="64" applyFont="1" applyFill="1" applyBorder="1" applyAlignment="1" applyProtection="1">
      <alignment horizontal="centerContinuous" vertical="center" wrapText="1"/>
      <protection/>
    </xf>
    <xf numFmtId="0" fontId="69" fillId="40" borderId="17" xfId="64" applyFont="1" applyFill="1" applyBorder="1" applyAlignment="1">
      <alignment horizontal="centerContinuous" vertical="center"/>
      <protection/>
    </xf>
    <xf numFmtId="0" fontId="37" fillId="35" borderId="21" xfId="64" applyFont="1" applyFill="1" applyBorder="1" applyAlignment="1">
      <alignment horizontal="center" vertical="center" wrapText="1"/>
      <protection/>
    </xf>
    <xf numFmtId="0" fontId="68" fillId="35" borderId="21" xfId="64" applyFont="1" applyFill="1" applyBorder="1" applyAlignment="1">
      <alignment horizontal="center" vertical="center" wrapText="1"/>
      <protection/>
    </xf>
    <xf numFmtId="0" fontId="61" fillId="0" borderId="21" xfId="64" applyFont="1" applyFill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/>
      <protection/>
    </xf>
    <xf numFmtId="0" fontId="13" fillId="0" borderId="73" xfId="64" applyFont="1" applyFill="1" applyBorder="1" applyAlignment="1">
      <alignment/>
      <protection/>
    </xf>
    <xf numFmtId="0" fontId="13" fillId="0" borderId="67" xfId="64" applyFont="1" applyFill="1" applyBorder="1" applyAlignment="1">
      <alignment/>
      <protection/>
    </xf>
    <xf numFmtId="0" fontId="75" fillId="0" borderId="61" xfId="71" applyFont="1" applyBorder="1" applyAlignment="1" applyProtection="1">
      <alignment horizontal="center"/>
      <protection locked="0"/>
    </xf>
    <xf numFmtId="0" fontId="75" fillId="0" borderId="33" xfId="71" applyFont="1" applyBorder="1" applyAlignment="1" applyProtection="1">
      <alignment horizontal="center"/>
      <protection locked="0"/>
    </xf>
    <xf numFmtId="169" fontId="63" fillId="36" borderId="28" xfId="64" applyNumberFormat="1" applyFont="1" applyFill="1" applyBorder="1" applyAlignment="1" applyProtection="1">
      <alignment horizontal="center"/>
      <protection/>
    </xf>
    <xf numFmtId="22" fontId="13" fillId="0" borderId="30" xfId="71" applyNumberFormat="1" applyFont="1" applyBorder="1" applyAlignment="1" applyProtection="1">
      <alignment horizontal="center"/>
      <protection locked="0"/>
    </xf>
    <xf numFmtId="2" fontId="13" fillId="0" borderId="28" xfId="64" applyNumberFormat="1" applyFont="1" applyFill="1" applyBorder="1" applyAlignment="1" applyProtection="1" quotePrefix="1">
      <alignment horizontal="center"/>
      <protection/>
    </xf>
    <xf numFmtId="166" fontId="13" fillId="0" borderId="47" xfId="64" applyNumberFormat="1" applyFont="1" applyBorder="1" applyAlignment="1" applyProtection="1">
      <alignment horizontal="center"/>
      <protection/>
    </xf>
    <xf numFmtId="164" fontId="63" fillId="36" borderId="61" xfId="64" applyNumberFormat="1" applyFont="1" applyFill="1" applyBorder="1" applyAlignment="1" applyProtection="1">
      <alignment horizontal="center"/>
      <protection/>
    </xf>
    <xf numFmtId="2" fontId="81" fillId="3" borderId="28" xfId="64" applyNumberFormat="1" applyFont="1" applyFill="1" applyBorder="1" applyAlignment="1" applyProtection="1">
      <alignment horizontal="center"/>
      <protection/>
    </xf>
    <xf numFmtId="166" fontId="50" fillId="42" borderId="48" xfId="64" applyNumberFormat="1" applyFont="1" applyFill="1" applyBorder="1" applyAlignment="1" applyProtection="1" quotePrefix="1">
      <alignment horizontal="center"/>
      <protection/>
    </xf>
    <xf numFmtId="166" fontId="50" fillId="42" borderId="49" xfId="64" applyNumberFormat="1" applyFont="1" applyFill="1" applyBorder="1" applyAlignment="1" applyProtection="1" quotePrefix="1">
      <alignment horizontal="center"/>
      <protection/>
    </xf>
    <xf numFmtId="166" fontId="73" fillId="40" borderId="48" xfId="64" applyNumberFormat="1" applyFont="1" applyFill="1" applyBorder="1" applyAlignment="1" applyProtection="1" quotePrefix="1">
      <alignment horizontal="center"/>
      <protection/>
    </xf>
    <xf numFmtId="166" fontId="73" fillId="40" borderId="49" xfId="64" applyNumberFormat="1" applyFont="1" applyFill="1" applyBorder="1" applyAlignment="1" applyProtection="1" quotePrefix="1">
      <alignment horizontal="center"/>
      <protection/>
    </xf>
    <xf numFmtId="166" fontId="53" fillId="35" borderId="27" xfId="64" applyNumberFormat="1" applyFont="1" applyFill="1" applyBorder="1" applyAlignment="1" applyProtection="1" quotePrefix="1">
      <alignment horizontal="center"/>
      <protection/>
    </xf>
    <xf numFmtId="2" fontId="72" fillId="35" borderId="28" xfId="64" applyNumberFormat="1" applyFont="1" applyFill="1" applyBorder="1" applyAlignment="1" applyProtection="1">
      <alignment horizontal="center"/>
      <protection/>
    </xf>
    <xf numFmtId="4" fontId="78" fillId="0" borderId="28" xfId="64" applyNumberFormat="1" applyFont="1" applyFill="1" applyBorder="1" applyAlignment="1">
      <alignment horizontal="right"/>
      <protection/>
    </xf>
    <xf numFmtId="4" fontId="21" fillId="0" borderId="15" xfId="64" applyNumberFormat="1" applyFont="1" applyFill="1" applyBorder="1" applyAlignment="1">
      <alignment horizontal="center"/>
      <protection/>
    </xf>
    <xf numFmtId="0" fontId="13" fillId="0" borderId="61" xfId="64" applyFont="1" applyBorder="1" applyAlignment="1" applyProtection="1">
      <alignment horizontal="center"/>
      <protection locked="0"/>
    </xf>
    <xf numFmtId="0" fontId="13" fillId="0" borderId="33" xfId="64" applyFont="1" applyBorder="1" applyAlignment="1" applyProtection="1">
      <alignment horizontal="center"/>
      <protection locked="0"/>
    </xf>
    <xf numFmtId="166" fontId="13" fillId="0" borderId="34" xfId="64" applyNumberFormat="1" applyFont="1" applyFill="1" applyBorder="1" applyAlignment="1" applyProtection="1">
      <alignment/>
      <protection/>
    </xf>
    <xf numFmtId="166" fontId="13" fillId="0" borderId="69" xfId="64" applyNumberFormat="1" applyFont="1" applyFill="1" applyBorder="1" applyAlignment="1" applyProtection="1">
      <alignment/>
      <protection/>
    </xf>
    <xf numFmtId="166" fontId="13" fillId="0" borderId="71" xfId="64" applyNumberFormat="1" applyFont="1" applyFill="1" applyBorder="1" applyAlignment="1" applyProtection="1">
      <alignment/>
      <protection/>
    </xf>
    <xf numFmtId="2" fontId="59" fillId="0" borderId="0" xfId="64" applyNumberFormat="1" applyFont="1" applyFill="1" applyBorder="1" applyAlignment="1">
      <alignment horizontal="center"/>
      <protection/>
    </xf>
    <xf numFmtId="166" fontId="13" fillId="0" borderId="0" xfId="64" applyNumberFormat="1" applyFont="1" applyFill="1" applyBorder="1" applyAlignment="1">
      <alignment horizontal="center"/>
      <protection/>
    </xf>
    <xf numFmtId="166" fontId="13" fillId="0" borderId="0" xfId="64" applyNumberFormat="1" applyFont="1" applyBorder="1" applyAlignment="1" applyProtection="1" quotePrefix="1">
      <alignment horizontal="centerContinuous"/>
      <protection/>
    </xf>
    <xf numFmtId="166" fontId="13" fillId="0" borderId="0" xfId="64" applyNumberFormat="1" applyFont="1" applyBorder="1" applyAlignment="1" applyProtection="1">
      <alignment horizontal="centerContinuous"/>
      <protection/>
    </xf>
    <xf numFmtId="166" fontId="49" fillId="0" borderId="0" xfId="64" applyNumberFormat="1" applyFont="1" applyFill="1" applyBorder="1" applyAlignment="1" applyProtection="1" quotePrefix="1">
      <alignment horizontal="center"/>
      <protection/>
    </xf>
    <xf numFmtId="4" fontId="78" fillId="0" borderId="0" xfId="64" applyNumberFormat="1" applyFont="1" applyFill="1" applyBorder="1" applyAlignment="1">
      <alignment horizontal="right"/>
      <protection/>
    </xf>
    <xf numFmtId="2" fontId="95" fillId="0" borderId="0" xfId="64" applyNumberFormat="1" applyFont="1" applyBorder="1" applyAlignment="1" applyProtection="1">
      <alignment horizontal="left"/>
      <protection/>
    </xf>
    <xf numFmtId="166" fontId="95" fillId="0" borderId="0" xfId="64" applyNumberFormat="1" applyFont="1" applyBorder="1" applyAlignment="1" applyProtection="1">
      <alignment horizontal="center"/>
      <protection/>
    </xf>
    <xf numFmtId="0" fontId="95" fillId="0" borderId="0" xfId="64" applyFont="1" applyBorder="1" applyAlignment="1" applyProtection="1">
      <alignment horizontal="center"/>
      <protection/>
    </xf>
    <xf numFmtId="165" fontId="95" fillId="0" borderId="0" xfId="64" applyNumberFormat="1" applyFont="1" applyBorder="1" applyAlignment="1" applyProtection="1">
      <alignment horizontal="center"/>
      <protection/>
    </xf>
    <xf numFmtId="0" fontId="96" fillId="0" borderId="0" xfId="64" applyFont="1">
      <alignment/>
      <protection/>
    </xf>
    <xf numFmtId="168" fontId="95" fillId="0" borderId="0" xfId="64" applyNumberFormat="1" applyFont="1" applyBorder="1" applyAlignment="1" applyProtection="1" quotePrefix="1">
      <alignment horizontal="center"/>
      <protection/>
    </xf>
    <xf numFmtId="0" fontId="95" fillId="0" borderId="0" xfId="64" applyFont="1">
      <alignment/>
      <protection/>
    </xf>
    <xf numFmtId="2" fontId="95" fillId="0" borderId="0" xfId="64" applyNumberFormat="1" applyFont="1" applyBorder="1" applyAlignment="1" applyProtection="1">
      <alignment horizontal="center"/>
      <protection/>
    </xf>
    <xf numFmtId="166" fontId="95" fillId="0" borderId="0" xfId="64" applyNumberFormat="1" applyFont="1" applyBorder="1" applyAlignment="1" applyProtection="1" quotePrefix="1">
      <alignment horizontal="center"/>
      <protection/>
    </xf>
    <xf numFmtId="0" fontId="4" fillId="0" borderId="0" xfId="64" applyFont="1" applyBorder="1" applyAlignment="1">
      <alignment horizontal="center"/>
      <protection/>
    </xf>
    <xf numFmtId="2" fontId="97" fillId="0" borderId="0" xfId="64" applyNumberFormat="1" applyFont="1" applyBorder="1" applyAlignment="1" applyProtection="1">
      <alignment horizontal="left"/>
      <protection/>
    </xf>
    <xf numFmtId="0" fontId="21" fillId="0" borderId="0" xfId="64" applyFont="1" applyAlignment="1">
      <alignment horizontal="center"/>
      <protection/>
    </xf>
    <xf numFmtId="168" fontId="4" fillId="0" borderId="0" xfId="64" applyNumberFormat="1" applyFont="1" applyBorder="1" applyAlignment="1" applyProtection="1">
      <alignment horizontal="left"/>
      <protection/>
    </xf>
    <xf numFmtId="166" fontId="4" fillId="0" borderId="0" xfId="64" applyNumberFormat="1" applyFont="1" applyBorder="1" applyAlignment="1" applyProtection="1">
      <alignment horizontal="left"/>
      <protection/>
    </xf>
    <xf numFmtId="2" fontId="98" fillId="0" borderId="0" xfId="64" applyNumberFormat="1" applyFont="1" applyBorder="1" applyAlignment="1" applyProtection="1">
      <alignment horizontal="center"/>
      <protection/>
    </xf>
    <xf numFmtId="166" fontId="92" fillId="0" borderId="0" xfId="64" applyNumberFormat="1" applyFont="1" applyBorder="1" applyAlignment="1" applyProtection="1" quotePrefix="1">
      <alignment horizontal="center"/>
      <protection/>
    </xf>
    <xf numFmtId="4" fontId="92" fillId="0" borderId="0" xfId="64" applyNumberFormat="1" applyFont="1" applyBorder="1" applyAlignment="1" applyProtection="1">
      <alignment horizontal="center"/>
      <protection/>
    </xf>
    <xf numFmtId="7" fontId="4" fillId="0" borderId="0" xfId="64" applyNumberFormat="1" applyFont="1" applyBorder="1" applyAlignment="1">
      <alignment horizontal="centerContinuous"/>
      <protection/>
    </xf>
    <xf numFmtId="167" fontId="21" fillId="0" borderId="0" xfId="64" applyNumberFormat="1" applyFont="1" applyBorder="1" applyAlignment="1" applyProtection="1">
      <alignment horizontal="center"/>
      <protection/>
    </xf>
    <xf numFmtId="1" fontId="21" fillId="0" borderId="0" xfId="64" applyNumberFormat="1" applyFont="1" applyBorder="1" applyAlignment="1" applyProtection="1">
      <alignment horizontal="center"/>
      <protection/>
    </xf>
    <xf numFmtId="172" fontId="21" fillId="0" borderId="0" xfId="64" applyNumberFormat="1" applyFont="1" applyBorder="1" applyAlignment="1" applyProtection="1">
      <alignment horizontal="centerContinuous"/>
      <protection/>
    </xf>
    <xf numFmtId="172" fontId="95" fillId="0" borderId="0" xfId="64" applyNumberFormat="1" applyFont="1" applyBorder="1" applyAlignment="1" applyProtection="1">
      <alignment horizontal="centerContinuous"/>
      <protection/>
    </xf>
    <xf numFmtId="166" fontId="95" fillId="0" borderId="0" xfId="71" applyNumberFormat="1" applyFont="1" applyBorder="1" applyAlignment="1" applyProtection="1" quotePrefix="1">
      <alignment horizontal="left"/>
      <protection/>
    </xf>
    <xf numFmtId="166" fontId="21" fillId="0" borderId="0" xfId="64" applyNumberFormat="1" applyFont="1" applyBorder="1">
      <alignment/>
      <protection/>
    </xf>
    <xf numFmtId="0" fontId="21" fillId="0" borderId="0" xfId="64" applyFont="1" applyAlignment="1">
      <alignment horizontal="centerContinuous"/>
      <protection/>
    </xf>
    <xf numFmtId="166" fontId="21" fillId="0" borderId="0" xfId="64" applyNumberFormat="1" applyFont="1" applyBorder="1" applyAlignment="1" applyProtection="1">
      <alignment horizontal="centerContinuous"/>
      <protection/>
    </xf>
    <xf numFmtId="166" fontId="95" fillId="0" borderId="0" xfId="64" applyNumberFormat="1" applyFont="1" applyBorder="1" applyAlignment="1" applyProtection="1" quotePrefix="1">
      <alignment horizontal="right"/>
      <protection/>
    </xf>
    <xf numFmtId="7" fontId="21" fillId="0" borderId="61" xfId="64" applyNumberFormat="1" applyFont="1" applyBorder="1" applyAlignment="1">
      <alignment horizontal="centerContinuous"/>
      <protection/>
    </xf>
    <xf numFmtId="166" fontId="95" fillId="0" borderId="0" xfId="64" applyNumberFormat="1" applyFont="1" applyBorder="1" applyAlignment="1" applyProtection="1" quotePrefix="1">
      <alignment horizontal="left"/>
      <protection/>
    </xf>
    <xf numFmtId="7" fontId="21" fillId="0" borderId="0" xfId="64" applyNumberFormat="1" applyFont="1" applyBorder="1" applyAlignment="1">
      <alignment horizontal="right"/>
      <protection/>
    </xf>
    <xf numFmtId="0" fontId="10" fillId="0" borderId="16" xfId="64" applyFont="1" applyBorder="1" applyAlignment="1">
      <alignment horizontal="center"/>
      <protection/>
    </xf>
    <xf numFmtId="7" fontId="10" fillId="0" borderId="17" xfId="64" applyNumberFormat="1" applyFont="1" applyBorder="1" applyAlignment="1">
      <alignment horizontal="center"/>
      <protection/>
    </xf>
    <xf numFmtId="166" fontId="22" fillId="0" borderId="0" xfId="64" applyNumberFormat="1" applyFont="1" applyBorder="1" applyAlignment="1" applyProtection="1">
      <alignment horizontal="left"/>
      <protection/>
    </xf>
    <xf numFmtId="10" fontId="21" fillId="0" borderId="0" xfId="64" applyNumberFormat="1" applyFont="1" applyBorder="1" applyAlignment="1" applyProtection="1">
      <alignment horizontal="center"/>
      <protection/>
    </xf>
    <xf numFmtId="7" fontId="21" fillId="0" borderId="0" xfId="64" applyNumberFormat="1" applyFont="1" applyAlignment="1">
      <alignment horizontal="right"/>
      <protection/>
    </xf>
    <xf numFmtId="0" fontId="21" fillId="0" borderId="0" xfId="64" applyFont="1" quotePrefix="1">
      <alignment/>
      <protection/>
    </xf>
    <xf numFmtId="166" fontId="21" fillId="0" borderId="0" xfId="64" applyNumberFormat="1" applyFont="1" applyBorder="1" applyAlignment="1" applyProtection="1" quotePrefix="1">
      <alignment horizontal="center"/>
      <protection/>
    </xf>
    <xf numFmtId="7" fontId="21" fillId="0" borderId="0" xfId="64" applyNumberFormat="1" applyFont="1" applyBorder="1" applyAlignment="1" applyProtection="1">
      <alignment horizontal="left"/>
      <protection/>
    </xf>
    <xf numFmtId="0" fontId="96" fillId="0" borderId="0" xfId="64" applyFont="1" quotePrefix="1">
      <alignment/>
      <protection/>
    </xf>
    <xf numFmtId="0" fontId="99" fillId="0" borderId="0" xfId="64" applyFont="1" applyAlignment="1">
      <alignment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0" xfId="64" applyFont="1" applyBorder="1" applyAlignment="1">
      <alignment horizontal="center" vertical="center"/>
      <protection/>
    </xf>
    <xf numFmtId="166" fontId="23" fillId="0" borderId="0" xfId="64" applyNumberFormat="1" applyFont="1" applyBorder="1" applyAlignment="1" applyProtection="1">
      <alignment horizontal="left" vertical="center"/>
      <protection/>
    </xf>
    <xf numFmtId="0" fontId="99" fillId="0" borderId="0" xfId="64" applyFont="1" applyAlignment="1" quotePrefix="1">
      <alignment vertical="center"/>
      <protection/>
    </xf>
    <xf numFmtId="0" fontId="23" fillId="0" borderId="0" xfId="64" applyFont="1" applyBorder="1" applyAlignment="1" applyProtection="1">
      <alignment horizontal="center" vertical="center"/>
      <protection/>
    </xf>
    <xf numFmtId="165" fontId="23" fillId="0" borderId="0" xfId="64" applyNumberFormat="1" applyFont="1" applyBorder="1" applyAlignment="1" applyProtection="1">
      <alignment horizontal="center" vertical="center"/>
      <protection/>
    </xf>
    <xf numFmtId="4" fontId="10" fillId="0" borderId="16" xfId="64" applyNumberFormat="1" applyFont="1" applyBorder="1" applyAlignment="1" applyProtection="1">
      <alignment horizontal="center" vertical="center"/>
      <protection/>
    </xf>
    <xf numFmtId="7" fontId="100" fillId="0" borderId="17" xfId="64" applyNumberFormat="1" applyFont="1" applyFill="1" applyBorder="1" applyAlignment="1">
      <alignment horizontal="center" vertical="center"/>
      <protection/>
    </xf>
    <xf numFmtId="166" fontId="23" fillId="0" borderId="0" xfId="64" applyNumberFormat="1" applyFont="1" applyBorder="1" applyAlignment="1" applyProtection="1">
      <alignment horizontal="center" vertical="center"/>
      <protection/>
    </xf>
    <xf numFmtId="166" fontId="10" fillId="0" borderId="0" xfId="64" applyNumberFormat="1" applyFont="1" applyBorder="1" applyAlignment="1" applyProtection="1">
      <alignment horizontal="left" vertical="center"/>
      <protection/>
    </xf>
    <xf numFmtId="168" fontId="23" fillId="0" borderId="0" xfId="64" applyNumberFormat="1" applyFont="1" applyBorder="1" applyAlignment="1" applyProtection="1" quotePrefix="1">
      <alignment horizontal="center" vertical="center"/>
      <protection/>
    </xf>
    <xf numFmtId="2" fontId="101" fillId="0" borderId="0" xfId="64" applyNumberFormat="1" applyFont="1" applyBorder="1" applyAlignment="1" applyProtection="1">
      <alignment horizontal="center" vertical="center"/>
      <protection/>
    </xf>
    <xf numFmtId="166" fontId="102" fillId="0" borderId="0" xfId="64" applyNumberFormat="1" applyFont="1" applyBorder="1" applyAlignment="1" applyProtection="1" quotePrefix="1">
      <alignment horizontal="center" vertical="center"/>
      <protection/>
    </xf>
    <xf numFmtId="4" fontId="23" fillId="0" borderId="15" xfId="64" applyNumberFormat="1" applyFont="1" applyFill="1" applyBorder="1" applyAlignment="1">
      <alignment horizontal="center" vertical="center"/>
      <protection/>
    </xf>
    <xf numFmtId="0" fontId="21" fillId="0" borderId="18" xfId="64" applyFont="1" applyBorder="1">
      <alignment/>
      <protection/>
    </xf>
    <xf numFmtId="0" fontId="21" fillId="0" borderId="19" xfId="64" applyFont="1" applyBorder="1">
      <alignment/>
      <protection/>
    </xf>
    <xf numFmtId="0" fontId="3" fillId="0" borderId="19" xfId="64" applyBorder="1">
      <alignment/>
      <protection/>
    </xf>
    <xf numFmtId="0" fontId="21" fillId="0" borderId="20" xfId="64" applyFont="1" applyFill="1" applyBorder="1">
      <alignment/>
      <protection/>
    </xf>
    <xf numFmtId="0" fontId="13" fillId="0" borderId="0" xfId="64" applyFont="1" applyBorder="1" applyAlignment="1">
      <alignment horizontal="left"/>
      <protection/>
    </xf>
    <xf numFmtId="0" fontId="6" fillId="0" borderId="0" xfId="64" applyFont="1" applyFill="1" applyBorder="1" applyAlignment="1" applyProtection="1">
      <alignment horizontal="center"/>
      <protection/>
    </xf>
    <xf numFmtId="1" fontId="3" fillId="0" borderId="74" xfId="64" applyNumberFormat="1" applyBorder="1" applyAlignment="1">
      <alignment horizontal="center"/>
      <protection/>
    </xf>
    <xf numFmtId="0" fontId="21" fillId="0" borderId="0" xfId="64" applyFont="1" applyAlignment="1">
      <alignment/>
      <protection/>
    </xf>
    <xf numFmtId="0" fontId="48" fillId="0" borderId="75" xfId="64" applyFont="1" applyBorder="1" applyAlignment="1">
      <alignment horizontal="centerContinuous"/>
      <protection/>
    </xf>
    <xf numFmtId="0" fontId="48" fillId="0" borderId="76" xfId="64" applyFont="1" applyBorder="1" applyAlignment="1">
      <alignment horizontal="centerContinuous"/>
      <protection/>
    </xf>
    <xf numFmtId="169" fontId="48" fillId="0" borderId="77" xfId="64" applyNumberFormat="1" applyFont="1" applyBorder="1" applyAlignment="1">
      <alignment horizontal="center"/>
      <protection/>
    </xf>
    <xf numFmtId="1" fontId="48" fillId="0" borderId="77" xfId="64" applyNumberFormat="1" applyFont="1" applyBorder="1" applyAlignment="1">
      <alignment horizontal="center"/>
      <protection/>
    </xf>
    <xf numFmtId="0" fontId="48" fillId="0" borderId="78" xfId="64" applyFont="1" applyBorder="1" applyAlignment="1">
      <alignment horizontal="centerContinuous"/>
      <protection/>
    </xf>
    <xf numFmtId="0" fontId="48" fillId="0" borderId="79" xfId="64" applyFont="1" applyBorder="1" applyAlignment="1">
      <alignment horizontal="centerContinuous"/>
      <protection/>
    </xf>
    <xf numFmtId="169" fontId="48" fillId="0" borderId="80" xfId="64" applyNumberFormat="1" applyFont="1" applyBorder="1" applyAlignment="1">
      <alignment horizontal="center"/>
      <protection/>
    </xf>
    <xf numFmtId="1" fontId="48" fillId="0" borderId="80" xfId="64" applyNumberFormat="1" applyFont="1" applyBorder="1" applyAlignment="1">
      <alignment horizontal="center"/>
      <protection/>
    </xf>
    <xf numFmtId="172" fontId="21" fillId="0" borderId="0" xfId="64" applyNumberFormat="1" applyFont="1" applyBorder="1">
      <alignment/>
      <protection/>
    </xf>
    <xf numFmtId="0" fontId="48" fillId="0" borderId="81" xfId="64" applyFont="1" applyBorder="1" applyAlignment="1">
      <alignment horizontal="centerContinuous"/>
      <protection/>
    </xf>
    <xf numFmtId="0" fontId="48" fillId="0" borderId="82" xfId="64" applyFont="1" applyBorder="1" applyAlignment="1">
      <alignment horizontal="centerContinuous"/>
      <protection/>
    </xf>
    <xf numFmtId="169" fontId="48" fillId="0" borderId="83" xfId="64" applyNumberFormat="1" applyFont="1" applyFill="1" applyBorder="1" applyAlignment="1">
      <alignment horizontal="center"/>
      <protection/>
    </xf>
    <xf numFmtId="1" fontId="48" fillId="0" borderId="83" xfId="64" applyNumberFormat="1" applyFont="1" applyFill="1" applyBorder="1" applyAlignment="1">
      <alignment horizontal="center"/>
      <protection/>
    </xf>
    <xf numFmtId="2" fontId="90" fillId="0" borderId="63" xfId="64" applyNumberFormat="1" applyFont="1" applyFill="1" applyBorder="1" applyAlignment="1" applyProtection="1">
      <alignment horizontal="center"/>
      <protection/>
    </xf>
    <xf numFmtId="2" fontId="77" fillId="0" borderId="63" xfId="64" applyNumberFormat="1" applyFont="1" applyFill="1" applyBorder="1" applyAlignment="1" applyProtection="1">
      <alignment horizontal="center"/>
      <protection/>
    </xf>
    <xf numFmtId="2" fontId="93" fillId="0" borderId="63" xfId="64" applyNumberFormat="1" applyFont="1" applyFill="1" applyBorder="1" applyAlignment="1" applyProtection="1">
      <alignment horizontal="center"/>
      <protection/>
    </xf>
    <xf numFmtId="0" fontId="30" fillId="0" borderId="21" xfId="64" applyFont="1" applyFill="1" applyBorder="1" applyAlignment="1" applyProtection="1" quotePrefix="1">
      <alignment horizontal="center" vertical="center" wrapText="1"/>
      <protection/>
    </xf>
    <xf numFmtId="0" fontId="30" fillId="0" borderId="16" xfId="64" applyFont="1" applyFill="1" applyBorder="1" applyAlignment="1" applyProtection="1">
      <alignment horizontal="centerContinuous" vertical="center"/>
      <protection/>
    </xf>
    <xf numFmtId="164" fontId="13" fillId="0" borderId="28" xfId="64" applyNumberFormat="1" applyFont="1" applyFill="1" applyBorder="1" applyAlignment="1" applyProtection="1">
      <alignment horizontal="center"/>
      <protection/>
    </xf>
    <xf numFmtId="0" fontId="94" fillId="36" borderId="28" xfId="64" applyFont="1" applyFill="1" applyBorder="1" applyAlignment="1">
      <alignment horizontal="center"/>
      <protection/>
    </xf>
    <xf numFmtId="0" fontId="13" fillId="0" borderId="23" xfId="64" applyFont="1" applyFill="1" applyBorder="1" applyAlignment="1">
      <alignment horizontal="centerContinuous"/>
      <protection/>
    </xf>
    <xf numFmtId="0" fontId="63" fillId="36" borderId="23" xfId="64" applyFont="1" applyFill="1" applyBorder="1" applyAlignment="1">
      <alignment horizontal="center"/>
      <protection/>
    </xf>
    <xf numFmtId="0" fontId="29" fillId="47" borderId="23" xfId="64" applyFont="1" applyFill="1" applyBorder="1" applyAlignment="1">
      <alignment horizontal="center"/>
      <protection/>
    </xf>
    <xf numFmtId="0" fontId="29" fillId="48" borderId="24" xfId="64" applyFont="1" applyFill="1" applyBorder="1" applyAlignment="1">
      <alignment horizontal="center"/>
      <protection/>
    </xf>
    <xf numFmtId="0" fontId="29" fillId="48" borderId="26" xfId="64" applyFont="1" applyFill="1" applyBorder="1" applyAlignment="1">
      <alignment horizontal="left"/>
      <protection/>
    </xf>
    <xf numFmtId="0" fontId="29" fillId="34" borderId="23" xfId="64" applyFont="1" applyFill="1" applyBorder="1" applyAlignment="1">
      <alignment horizontal="left"/>
      <protection/>
    </xf>
    <xf numFmtId="166" fontId="13" fillId="0" borderId="28" xfId="72" applyNumberFormat="1" applyFont="1" applyFill="1" applyBorder="1" applyAlignment="1" applyProtection="1">
      <alignment horizontal="center"/>
      <protection/>
    </xf>
    <xf numFmtId="166" fontId="13" fillId="0" borderId="28" xfId="64" applyNumberFormat="1" applyFont="1" applyBorder="1" applyAlignment="1" applyProtection="1">
      <alignment horizontal="centerContinuous"/>
      <protection/>
    </xf>
    <xf numFmtId="164" fontId="63" fillId="36" borderId="28" xfId="64" applyNumberFormat="1" applyFont="1" applyFill="1" applyBorder="1" applyAlignment="1" applyProtection="1">
      <alignment horizontal="center"/>
      <protection/>
    </xf>
    <xf numFmtId="0" fontId="13" fillId="0" borderId="27" xfId="72" applyFont="1" applyBorder="1" applyAlignment="1" applyProtection="1">
      <alignment horizontal="center"/>
      <protection locked="0"/>
    </xf>
    <xf numFmtId="0" fontId="13" fillId="0" borderId="32" xfId="72" applyFont="1" applyBorder="1" applyAlignment="1" applyProtection="1">
      <alignment horizontal="center"/>
      <protection locked="0"/>
    </xf>
    <xf numFmtId="164" fontId="13" fillId="0" borderId="27" xfId="72" applyNumberFormat="1" applyFont="1" applyBorder="1" applyAlignment="1" applyProtection="1">
      <alignment horizontal="center"/>
      <protection locked="0"/>
    </xf>
    <xf numFmtId="1" fontId="13" fillId="0" borderId="49" xfId="72" applyNumberFormat="1" applyFont="1" applyBorder="1" applyAlignment="1" applyProtection="1">
      <alignment horizontal="center"/>
      <protection locked="0"/>
    </xf>
    <xf numFmtId="22" fontId="13" fillId="0" borderId="28" xfId="72" applyNumberFormat="1" applyFont="1" applyFill="1" applyBorder="1" applyAlignment="1" applyProtection="1">
      <alignment horizontal="center"/>
      <protection locked="0"/>
    </xf>
    <xf numFmtId="0" fontId="13" fillId="0" borderId="84" xfId="64" applyFont="1" applyBorder="1" applyAlignment="1" applyProtection="1">
      <alignment horizontal="center"/>
      <protection/>
    </xf>
    <xf numFmtId="0" fontId="13" fillId="0" borderId="85" xfId="64" applyFont="1" applyBorder="1" applyAlignment="1" applyProtection="1">
      <alignment horizontal="center"/>
      <protection/>
    </xf>
    <xf numFmtId="164" fontId="13" fillId="0" borderId="84" xfId="64" applyNumberFormat="1" applyFont="1" applyBorder="1" applyAlignment="1" applyProtection="1">
      <alignment horizontal="center"/>
      <protection/>
    </xf>
    <xf numFmtId="1" fontId="13" fillId="0" borderId="86" xfId="64" applyNumberFormat="1" applyFont="1" applyBorder="1" applyAlignment="1" applyProtection="1">
      <alignment horizontal="center"/>
      <protection/>
    </xf>
    <xf numFmtId="166" fontId="13" fillId="0" borderId="28" xfId="72" applyNumberFormat="1" applyFont="1" applyFill="1" applyBorder="1" applyAlignment="1" applyProtection="1">
      <alignment horizontal="center"/>
      <protection locked="0"/>
    </xf>
    <xf numFmtId="164" fontId="13" fillId="0" borderId="34" xfId="64" applyNumberFormat="1" applyFont="1" applyBorder="1" applyAlignment="1" applyProtection="1">
      <alignment horizontal="center"/>
      <protection/>
    </xf>
    <xf numFmtId="1" fontId="13" fillId="0" borderId="52" xfId="64" applyNumberFormat="1" applyFont="1" applyBorder="1" applyAlignment="1" applyProtection="1" quotePrefix="1">
      <alignment horizontal="center"/>
      <protection/>
    </xf>
    <xf numFmtId="166" fontId="94" fillId="36" borderId="36" xfId="64" applyNumberFormat="1" applyFont="1" applyFill="1" applyBorder="1" applyAlignment="1" applyProtection="1">
      <alignment horizontal="center"/>
      <protection/>
    </xf>
    <xf numFmtId="166" fontId="13" fillId="0" borderId="36" xfId="64" applyNumberFormat="1" applyFont="1" applyBorder="1" applyAlignment="1" applyProtection="1">
      <alignment horizontal="centerContinuous"/>
      <protection/>
    </xf>
    <xf numFmtId="164" fontId="63" fillId="36" borderId="36" xfId="64" applyNumberFormat="1" applyFont="1" applyFill="1" applyBorder="1" applyAlignment="1" applyProtection="1">
      <alignment horizontal="center"/>
      <protection/>
    </xf>
    <xf numFmtId="2" fontId="29" fillId="47" borderId="36" xfId="64" applyNumberFormat="1" applyFont="1" applyFill="1" applyBorder="1" applyAlignment="1">
      <alignment horizontal="center"/>
      <protection/>
    </xf>
    <xf numFmtId="166" fontId="29" fillId="48" borderId="51" xfId="64" applyNumberFormat="1" applyFont="1" applyFill="1" applyBorder="1" applyAlignment="1" applyProtection="1" quotePrefix="1">
      <alignment horizontal="center"/>
      <protection/>
    </xf>
    <xf numFmtId="166" fontId="29" fillId="48" borderId="52" xfId="64" applyNumberFormat="1" applyFont="1" applyFill="1" applyBorder="1" applyAlignment="1" applyProtection="1" quotePrefix="1">
      <alignment horizontal="center"/>
      <protection/>
    </xf>
    <xf numFmtId="166" fontId="29" fillId="34" borderId="36" xfId="64" applyNumberFormat="1" applyFont="1" applyFill="1" applyBorder="1" applyAlignment="1" applyProtection="1" quotePrefix="1">
      <alignment horizontal="center"/>
      <protection/>
    </xf>
    <xf numFmtId="0" fontId="30" fillId="0" borderId="17" xfId="64" applyFont="1" applyBorder="1" applyAlignment="1" applyProtection="1">
      <alignment horizontal="center" vertical="center" wrapText="1"/>
      <protection/>
    </xf>
    <xf numFmtId="0" fontId="69" fillId="40" borderId="21" xfId="64" applyFont="1" applyFill="1" applyBorder="1" applyAlignment="1">
      <alignment horizontal="center" vertical="center" wrapText="1"/>
      <protection/>
    </xf>
    <xf numFmtId="0" fontId="35" fillId="35" borderId="16" xfId="64" applyFont="1" applyFill="1" applyBorder="1" applyAlignment="1" applyProtection="1">
      <alignment horizontal="centerContinuous" vertical="center" wrapText="1"/>
      <protection/>
    </xf>
    <xf numFmtId="0" fontId="35" fillId="35" borderId="17" xfId="64" applyFont="1" applyFill="1" applyBorder="1" applyAlignment="1">
      <alignment horizontal="centerContinuous" vertical="center"/>
      <protection/>
    </xf>
    <xf numFmtId="0" fontId="62" fillId="34" borderId="21" xfId="64" applyFont="1" applyFill="1" applyBorder="1" applyAlignment="1">
      <alignment horizontal="center" vertical="center" wrapText="1"/>
      <protection/>
    </xf>
    <xf numFmtId="0" fontId="13" fillId="0" borderId="15" xfId="64" applyFont="1" applyBorder="1">
      <alignment/>
      <protection/>
    </xf>
    <xf numFmtId="0" fontId="75" fillId="0" borderId="33" xfId="64" applyFont="1" applyBorder="1" applyAlignment="1" applyProtection="1">
      <alignment horizontal="center"/>
      <protection/>
    </xf>
    <xf numFmtId="0" fontId="63" fillId="36" borderId="33" xfId="64" applyFont="1" applyFill="1" applyBorder="1" applyAlignment="1" applyProtection="1">
      <alignment horizontal="center"/>
      <protection/>
    </xf>
    <xf numFmtId="0" fontId="29" fillId="33" borderId="28" xfId="64" applyFont="1" applyFill="1" applyBorder="1" applyAlignment="1" applyProtection="1">
      <alignment horizontal="center"/>
      <protection/>
    </xf>
    <xf numFmtId="0" fontId="73" fillId="40" borderId="28" xfId="64" applyFont="1" applyFill="1" applyBorder="1" applyAlignment="1" applyProtection="1">
      <alignment horizontal="center"/>
      <protection/>
    </xf>
    <xf numFmtId="166" fontId="51" fillId="35" borderId="30" xfId="64" applyNumberFormat="1" applyFont="1" applyFill="1" applyBorder="1" applyAlignment="1" applyProtection="1" quotePrefix="1">
      <alignment horizontal="center"/>
      <protection/>
    </xf>
    <xf numFmtId="166" fontId="51" fillId="35" borderId="56" xfId="64" applyNumberFormat="1" applyFont="1" applyFill="1" applyBorder="1" applyAlignment="1" applyProtection="1" quotePrefix="1">
      <alignment horizontal="center"/>
      <protection/>
    </xf>
    <xf numFmtId="166" fontId="78" fillId="0" borderId="28" xfId="64" applyNumberFormat="1" applyFont="1" applyFill="1" applyBorder="1" applyAlignment="1">
      <alignment horizontal="center"/>
      <protection/>
    </xf>
    <xf numFmtId="166" fontId="63" fillId="36" borderId="28" xfId="64" applyNumberFormat="1" applyFont="1" applyFill="1" applyBorder="1" applyAlignment="1" applyProtection="1">
      <alignment horizontal="center"/>
      <protection/>
    </xf>
    <xf numFmtId="164" fontId="29" fillId="33" borderId="28" xfId="64" applyNumberFormat="1" applyFont="1" applyFill="1" applyBorder="1" applyAlignment="1" applyProtection="1">
      <alignment horizontal="center"/>
      <protection/>
    </xf>
    <xf numFmtId="2" fontId="73" fillId="40" borderId="28" xfId="64" applyNumberFormat="1" applyFont="1" applyFill="1" applyBorder="1" applyAlignment="1">
      <alignment horizontal="center"/>
      <protection/>
    </xf>
    <xf numFmtId="166" fontId="13" fillId="0" borderId="28" xfId="64" applyNumberFormat="1" applyFont="1" applyBorder="1" applyAlignment="1">
      <alignment horizontal="center"/>
      <protection/>
    </xf>
    <xf numFmtId="2" fontId="13" fillId="0" borderId="27" xfId="64" applyNumberFormat="1" applyFont="1" applyFill="1" applyBorder="1" applyAlignment="1" applyProtection="1" quotePrefix="1">
      <alignment horizontal="center"/>
      <protection/>
    </xf>
    <xf numFmtId="164" fontId="13" fillId="0" borderId="27" xfId="64" applyNumberFormat="1" applyFont="1" applyBorder="1" applyAlignment="1" applyProtection="1" quotePrefix="1">
      <alignment horizontal="center"/>
      <protection/>
    </xf>
    <xf numFmtId="166" fontId="63" fillId="36" borderId="27" xfId="64" applyNumberFormat="1" applyFont="1" applyFill="1" applyBorder="1" applyAlignment="1" applyProtection="1">
      <alignment horizontal="center"/>
      <protection/>
    </xf>
    <xf numFmtId="22" fontId="13" fillId="0" borderId="48" xfId="64" applyNumberFormat="1" applyFont="1" applyBorder="1" applyAlignment="1">
      <alignment horizontal="center"/>
      <protection/>
    </xf>
    <xf numFmtId="22" fontId="13" fillId="0" borderId="27" xfId="64" applyNumberFormat="1" applyFont="1" applyBorder="1" applyAlignment="1" applyProtection="1">
      <alignment horizontal="center"/>
      <protection/>
    </xf>
    <xf numFmtId="164" fontId="13" fillId="0" borderId="27" xfId="64" applyNumberFormat="1" applyFont="1" applyFill="1" applyBorder="1" applyAlignment="1" applyProtection="1" quotePrefix="1">
      <alignment horizontal="center"/>
      <protection/>
    </xf>
    <xf numFmtId="164" fontId="29" fillId="33" borderId="35" xfId="64" applyNumberFormat="1" applyFont="1" applyFill="1" applyBorder="1" applyAlignment="1" applyProtection="1">
      <alignment horizontal="center"/>
      <protection/>
    </xf>
    <xf numFmtId="2" fontId="73" fillId="40" borderId="35" xfId="64" applyNumberFormat="1" applyFont="1" applyFill="1" applyBorder="1" applyAlignment="1">
      <alignment horizontal="center"/>
      <protection/>
    </xf>
    <xf numFmtId="166" fontId="51" fillId="35" borderId="87" xfId="64" applyNumberFormat="1" applyFont="1" applyFill="1" applyBorder="1" applyAlignment="1" applyProtection="1" quotePrefix="1">
      <alignment horizontal="center"/>
      <protection/>
    </xf>
    <xf numFmtId="166" fontId="51" fillId="35" borderId="88" xfId="64" applyNumberFormat="1" applyFont="1" applyFill="1" applyBorder="1" applyAlignment="1" applyProtection="1" quotePrefix="1">
      <alignment horizontal="center"/>
      <protection/>
    </xf>
    <xf numFmtId="166" fontId="65" fillId="34" borderId="35" xfId="64" applyNumberFormat="1" applyFont="1" applyFill="1" applyBorder="1" applyAlignment="1" applyProtection="1" quotePrefix="1">
      <alignment horizontal="center"/>
      <protection/>
    </xf>
    <xf numFmtId="166" fontId="13" fillId="0" borderId="35" xfId="64" applyNumberFormat="1" applyFont="1" applyBorder="1" applyAlignment="1">
      <alignment horizontal="center"/>
      <protection/>
    </xf>
    <xf numFmtId="4" fontId="78" fillId="0" borderId="35" xfId="64" applyNumberFormat="1" applyFont="1" applyFill="1" applyBorder="1" applyAlignment="1">
      <alignment horizontal="right"/>
      <protection/>
    </xf>
    <xf numFmtId="0" fontId="75" fillId="0" borderId="72" xfId="64" applyFont="1" applyBorder="1" applyAlignment="1" applyProtection="1">
      <alignment horizontal="center"/>
      <protection/>
    </xf>
    <xf numFmtId="164" fontId="49" fillId="0" borderId="34" xfId="64" applyNumberFormat="1" applyFont="1" applyBorder="1" applyAlignment="1" applyProtection="1" quotePrefix="1">
      <alignment horizontal="center"/>
      <protection/>
    </xf>
    <xf numFmtId="166" fontId="63" fillId="36" borderId="34" xfId="64" applyNumberFormat="1" applyFont="1" applyFill="1" applyBorder="1" applyAlignment="1" applyProtection="1">
      <alignment horizontal="center"/>
      <protection/>
    </xf>
    <xf numFmtId="22" fontId="13" fillId="0" borderId="51" xfId="64" applyNumberFormat="1" applyFont="1" applyBorder="1" applyAlignment="1">
      <alignment horizontal="center"/>
      <protection/>
    </xf>
    <xf numFmtId="22" fontId="13" fillId="0" borderId="34" xfId="64" applyNumberFormat="1" applyFont="1" applyBorder="1" applyAlignment="1" applyProtection="1">
      <alignment horizontal="center"/>
      <protection/>
    </xf>
    <xf numFmtId="2" fontId="13" fillId="0" borderId="34" xfId="64" applyNumberFormat="1" applyFont="1" applyFill="1" applyBorder="1" applyAlignment="1" applyProtection="1" quotePrefix="1">
      <alignment horizontal="center"/>
      <protection/>
    </xf>
    <xf numFmtId="164" fontId="13" fillId="0" borderId="34" xfId="64" applyNumberFormat="1" applyFont="1" applyFill="1" applyBorder="1" applyAlignment="1" applyProtection="1" quotePrefix="1">
      <alignment horizontal="center"/>
      <protection/>
    </xf>
    <xf numFmtId="164" fontId="29" fillId="33" borderId="34" xfId="64" applyNumberFormat="1" applyFont="1" applyFill="1" applyBorder="1" applyAlignment="1" applyProtection="1">
      <alignment horizontal="center"/>
      <protection/>
    </xf>
    <xf numFmtId="2" fontId="73" fillId="40" borderId="34" xfId="64" applyNumberFormat="1" applyFont="1" applyFill="1" applyBorder="1" applyAlignment="1">
      <alignment horizontal="center"/>
      <protection/>
    </xf>
    <xf numFmtId="166" fontId="51" fillId="35" borderId="51" xfId="64" applyNumberFormat="1" applyFont="1" applyFill="1" applyBorder="1" applyAlignment="1" applyProtection="1" quotePrefix="1">
      <alignment horizontal="center"/>
      <protection/>
    </xf>
    <xf numFmtId="166" fontId="51" fillId="35" borderId="52" xfId="64" applyNumberFormat="1" applyFont="1" applyFill="1" applyBorder="1" applyAlignment="1" applyProtection="1" quotePrefix="1">
      <alignment horizontal="center"/>
      <protection/>
    </xf>
    <xf numFmtId="166" fontId="65" fillId="34" borderId="34" xfId="64" applyNumberFormat="1" applyFont="1" applyFill="1" applyBorder="1" applyAlignment="1" applyProtection="1" quotePrefix="1">
      <alignment horizontal="center"/>
      <protection/>
    </xf>
    <xf numFmtId="166" fontId="13" fillId="0" borderId="34" xfId="64" applyNumberFormat="1" applyFont="1" applyBorder="1" applyAlignment="1">
      <alignment horizontal="center"/>
      <protection/>
    </xf>
    <xf numFmtId="4" fontId="78" fillId="0" borderId="34" xfId="64" applyNumberFormat="1" applyFont="1" applyFill="1" applyBorder="1" applyAlignment="1">
      <alignment horizontal="right"/>
      <protection/>
    </xf>
    <xf numFmtId="0" fontId="48" fillId="0" borderId="0" xfId="64" applyFont="1" applyFill="1" applyBorder="1">
      <alignment/>
      <protection/>
    </xf>
    <xf numFmtId="0" fontId="48" fillId="0" borderId="0" xfId="64" applyFont="1" applyFill="1" applyBorder="1" applyAlignment="1">
      <alignment horizontal="center"/>
      <protection/>
    </xf>
    <xf numFmtId="164" fontId="48" fillId="0" borderId="0" xfId="64" applyNumberFormat="1" applyFont="1" applyBorder="1" applyAlignment="1" applyProtection="1" quotePrefix="1">
      <alignment horizontal="center"/>
      <protection/>
    </xf>
    <xf numFmtId="7" fontId="48" fillId="0" borderId="0" xfId="64" applyNumberFormat="1" applyFont="1" applyFill="1" applyBorder="1" applyAlignment="1">
      <alignment horizontal="center"/>
      <protection/>
    </xf>
    <xf numFmtId="0" fontId="48" fillId="0" borderId="0" xfId="64" applyFont="1" applyFill="1" applyBorder="1" applyAlignment="1">
      <alignment horizontal="centerContinuous"/>
      <protection/>
    </xf>
    <xf numFmtId="0" fontId="48" fillId="0" borderId="0" xfId="64" applyFont="1" applyBorder="1" applyAlignment="1" applyProtection="1">
      <alignment horizontal="center"/>
      <protection/>
    </xf>
    <xf numFmtId="4" fontId="95" fillId="0" borderId="0" xfId="64" applyNumberFormat="1" applyFont="1" applyBorder="1" applyAlignment="1" applyProtection="1">
      <alignment horizontal="center"/>
      <protection/>
    </xf>
    <xf numFmtId="6" fontId="48" fillId="0" borderId="0" xfId="53" applyFont="1" applyBorder="1" applyAlignment="1">
      <alignment horizontal="center"/>
    </xf>
    <xf numFmtId="1" fontId="21" fillId="0" borderId="0" xfId="64" applyNumberFormat="1" applyFont="1" applyBorder="1" applyAlignment="1" applyProtection="1">
      <alignment horizontal="centerContinuous"/>
      <protection/>
    </xf>
    <xf numFmtId="0" fontId="100" fillId="0" borderId="0" xfId="70" applyNumberFormat="1" applyFont="1" applyBorder="1" applyAlignment="1">
      <alignment horizontal="right"/>
      <protection/>
    </xf>
    <xf numFmtId="170" fontId="100" fillId="0" borderId="0" xfId="70" applyNumberFormat="1" applyFont="1" applyBorder="1" applyAlignment="1">
      <alignment horizontal="right"/>
      <protection/>
    </xf>
    <xf numFmtId="171" fontId="117" fillId="0" borderId="0" xfId="70" applyNumberFormat="1" applyFont="1" applyBorder="1">
      <alignment/>
      <protection/>
    </xf>
    <xf numFmtId="0" fontId="118" fillId="0" borderId="0" xfId="70" applyFont="1" applyBorder="1">
      <alignment/>
      <protection/>
    </xf>
    <xf numFmtId="171" fontId="100" fillId="0" borderId="0" xfId="70" applyNumberFormat="1" applyFont="1" applyBorder="1">
      <alignment/>
      <protection/>
    </xf>
    <xf numFmtId="0" fontId="81" fillId="0" borderId="0" xfId="70" applyNumberFormat="1" applyFont="1" applyBorder="1" applyAlignment="1">
      <alignment horizontal="right"/>
      <protection/>
    </xf>
    <xf numFmtId="171" fontId="64" fillId="0" borderId="0" xfId="70" applyNumberFormat="1" applyFont="1" applyBorder="1">
      <alignment/>
      <protection/>
    </xf>
    <xf numFmtId="0" fontId="119" fillId="0" borderId="0" xfId="70" applyFont="1" applyBorder="1">
      <alignment/>
      <protection/>
    </xf>
    <xf numFmtId="170" fontId="100" fillId="0" borderId="0" xfId="70" applyNumberFormat="1" applyFont="1" applyBorder="1" applyAlignment="1">
      <alignment horizontal="left"/>
      <protection/>
    </xf>
    <xf numFmtId="171" fontId="100" fillId="0" borderId="0" xfId="70" applyNumberFormat="1" applyFont="1" applyBorder="1" applyAlignment="1">
      <alignment horizontal="right"/>
      <protection/>
    </xf>
    <xf numFmtId="0" fontId="100" fillId="0" borderId="0" xfId="70" applyFont="1" applyBorder="1">
      <alignment/>
      <protection/>
    </xf>
    <xf numFmtId="0" fontId="27" fillId="0" borderId="0" xfId="72" applyNumberFormat="1" applyFont="1" applyBorder="1" applyAlignment="1">
      <alignment horizontal="left"/>
      <protection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 applyProtection="1">
      <alignment horizontal="left"/>
      <protection/>
    </xf>
    <xf numFmtId="0" fontId="13" fillId="0" borderId="13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6" fillId="0" borderId="15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14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" fillId="0" borderId="16" xfId="0" applyFont="1" applyBorder="1" applyAlignment="1" applyProtection="1">
      <alignment horizontal="center"/>
      <protection/>
    </xf>
    <xf numFmtId="169" fontId="0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3" fillId="0" borderId="0" xfId="0" applyFont="1" applyBorder="1" applyAlignment="1" applyProtection="1">
      <alignment horizontal="center"/>
      <protection/>
    </xf>
    <xf numFmtId="169" fontId="3" fillId="0" borderId="0" xfId="0" applyNumberFormat="1" applyFont="1" applyBorder="1" applyAlignment="1">
      <alignment horizontal="centerContinuous"/>
    </xf>
    <xf numFmtId="22" fontId="13" fillId="0" borderId="0" xfId="0" applyNumberFormat="1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13" fillId="0" borderId="63" xfId="0" applyFont="1" applyBorder="1" applyAlignment="1">
      <alignment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 applyProtection="1">
      <alignment horizontal="center" vertical="center"/>
      <protection/>
    </xf>
    <xf numFmtId="164" fontId="30" fillId="0" borderId="21" xfId="0" applyNumberFormat="1" applyFont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166" fontId="30" fillId="0" borderId="21" xfId="0" applyNumberFormat="1" applyFont="1" applyBorder="1" applyAlignment="1" applyProtection="1">
      <alignment horizontal="center" vertical="center"/>
      <protection/>
    </xf>
    <xf numFmtId="166" fontId="31" fillId="32" borderId="21" xfId="0" applyNumberFormat="1" applyFont="1" applyFill="1" applyBorder="1" applyAlignment="1" applyProtection="1">
      <alignment horizontal="center" vertical="center"/>
      <protection/>
    </xf>
    <xf numFmtId="0" fontId="32" fillId="33" borderId="21" xfId="0" applyFont="1" applyFill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4" fillId="34" borderId="21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 applyProtection="1">
      <alignment horizontal="centerContinuous" vertical="center" wrapText="1"/>
      <protection/>
    </xf>
    <xf numFmtId="0" fontId="7" fillId="36" borderId="22" xfId="0" applyFont="1" applyFill="1" applyBorder="1" applyAlignment="1">
      <alignment horizontal="centerContinuous"/>
    </xf>
    <xf numFmtId="0" fontId="36" fillId="36" borderId="17" xfId="0" applyFont="1" applyFill="1" applyBorder="1" applyAlignment="1">
      <alignment horizontal="centerContinuous" vertical="center"/>
    </xf>
    <xf numFmtId="0" fontId="37" fillId="2" borderId="16" xfId="0" applyFont="1" applyFill="1" applyBorder="1" applyAlignment="1">
      <alignment horizontal="centerContinuous" vertical="center" wrapText="1"/>
    </xf>
    <xf numFmtId="0" fontId="38" fillId="2" borderId="22" xfId="0" applyFont="1" applyFill="1" applyBorder="1" applyAlignment="1">
      <alignment horizontal="centerContinuous"/>
    </xf>
    <xf numFmtId="0" fontId="37" fillId="2" borderId="17" xfId="0" applyFont="1" applyFill="1" applyBorder="1" applyAlignment="1">
      <alignment horizontal="centerContinuous" vertical="center"/>
    </xf>
    <xf numFmtId="0" fontId="39" fillId="3" borderId="21" xfId="0" applyFont="1" applyFill="1" applyBorder="1" applyAlignment="1">
      <alignment horizontal="center" vertical="center" wrapText="1"/>
    </xf>
    <xf numFmtId="0" fontId="40" fillId="37" borderId="21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28" xfId="0" applyFont="1" applyFill="1" applyBorder="1" applyAlignment="1" applyProtection="1">
      <alignment horizontal="center"/>
      <protection locked="0"/>
    </xf>
    <xf numFmtId="0" fontId="41" fillId="32" borderId="28" xfId="0" applyFont="1" applyFill="1" applyBorder="1" applyAlignment="1" applyProtection="1">
      <alignment horizontal="center"/>
      <protection/>
    </xf>
    <xf numFmtId="169" fontId="42" fillId="33" borderId="28" xfId="0" applyNumberFormat="1" applyFont="1" applyFill="1" applyBorder="1" applyAlignment="1" applyProtection="1">
      <alignment horizontal="center"/>
      <protection/>
    </xf>
    <xf numFmtId="4" fontId="13" fillId="38" borderId="28" xfId="0" applyNumberFormat="1" applyFont="1" applyFill="1" applyBorder="1" applyAlignment="1" applyProtection="1" quotePrefix="1">
      <alignment horizontal="center"/>
      <protection/>
    </xf>
    <xf numFmtId="164" fontId="13" fillId="38" borderId="28" xfId="0" applyNumberFormat="1" applyFont="1" applyFill="1" applyBorder="1" applyAlignment="1" applyProtection="1" quotePrefix="1">
      <alignment horizontal="center"/>
      <protection/>
    </xf>
    <xf numFmtId="166" fontId="13" fillId="0" borderId="29" xfId="0" applyNumberFormat="1" applyFont="1" applyBorder="1" applyAlignment="1" applyProtection="1">
      <alignment horizontal="center"/>
      <protection locked="0"/>
    </xf>
    <xf numFmtId="168" fontId="13" fillId="0" borderId="28" xfId="0" applyNumberFormat="1" applyFont="1" applyBorder="1" applyAlignment="1" applyProtection="1" quotePrefix="1">
      <alignment horizontal="center"/>
      <protection locked="0"/>
    </xf>
    <xf numFmtId="166" fontId="13" fillId="0" borderId="28" xfId="0" applyNumberFormat="1" applyFont="1" applyBorder="1" applyAlignment="1" applyProtection="1">
      <alignment horizontal="center"/>
      <protection locked="0"/>
    </xf>
    <xf numFmtId="2" fontId="50" fillId="34" borderId="28" xfId="0" applyNumberFormat="1" applyFont="1" applyFill="1" applyBorder="1" applyAlignment="1" applyProtection="1">
      <alignment horizontal="center"/>
      <protection locked="0"/>
    </xf>
    <xf numFmtId="2" fontId="51" fillId="35" borderId="29" xfId="0" applyNumberFormat="1" applyFont="1" applyFill="1" applyBorder="1" applyAlignment="1" applyProtection="1">
      <alignment horizontal="center"/>
      <protection locked="0"/>
    </xf>
    <xf numFmtId="166" fontId="52" fillId="36" borderId="30" xfId="0" applyNumberFormat="1" applyFont="1" applyFill="1" applyBorder="1" applyAlignment="1" applyProtection="1" quotePrefix="1">
      <alignment horizontal="center"/>
      <protection locked="0"/>
    </xf>
    <xf numFmtId="166" fontId="52" fillId="36" borderId="31" xfId="0" applyNumberFormat="1" applyFont="1" applyFill="1" applyBorder="1" applyAlignment="1" applyProtection="1" quotePrefix="1">
      <alignment horizontal="center"/>
      <protection locked="0"/>
    </xf>
    <xf numFmtId="4" fontId="52" fillId="36" borderId="29" xfId="0" applyNumberFormat="1" applyFont="1" applyFill="1" applyBorder="1" applyAlignment="1" applyProtection="1">
      <alignment horizontal="center"/>
      <protection locked="0"/>
    </xf>
    <xf numFmtId="166" fontId="53" fillId="2" borderId="30" xfId="0" applyNumberFormat="1" applyFont="1" applyFill="1" applyBorder="1" applyAlignment="1" applyProtection="1" quotePrefix="1">
      <alignment horizontal="center"/>
      <protection locked="0"/>
    </xf>
    <xf numFmtId="166" fontId="53" fillId="2" borderId="31" xfId="0" applyNumberFormat="1" applyFont="1" applyFill="1" applyBorder="1" applyAlignment="1" applyProtection="1" quotePrefix="1">
      <alignment horizontal="center"/>
      <protection locked="0"/>
    </xf>
    <xf numFmtId="4" fontId="53" fillId="2" borderId="29" xfId="0" applyNumberFormat="1" applyFont="1" applyFill="1" applyBorder="1" applyAlignment="1" applyProtection="1">
      <alignment horizontal="center"/>
      <protection locked="0"/>
    </xf>
    <xf numFmtId="4" fontId="54" fillId="3" borderId="28" xfId="0" applyNumberFormat="1" applyFont="1" applyFill="1" applyBorder="1" applyAlignment="1" applyProtection="1">
      <alignment horizontal="center"/>
      <protection locked="0"/>
    </xf>
    <xf numFmtId="4" fontId="55" fillId="37" borderId="28" xfId="0" applyNumberFormat="1" applyFont="1" applyFill="1" applyBorder="1" applyAlignment="1" applyProtection="1">
      <alignment horizontal="center"/>
      <protection locked="0"/>
    </xf>
    <xf numFmtId="4" fontId="49" fillId="0" borderId="28" xfId="0" applyNumberFormat="1" applyFont="1" applyBorder="1" applyAlignment="1" applyProtection="1">
      <alignment horizontal="center"/>
      <protection locked="0"/>
    </xf>
    <xf numFmtId="4" fontId="48" fillId="0" borderId="29" xfId="0" applyNumberFormat="1" applyFont="1" applyFill="1" applyBorder="1" applyAlignment="1">
      <alignment horizontal="right"/>
    </xf>
    <xf numFmtId="2" fontId="13" fillId="0" borderId="15" xfId="0" applyNumberFormat="1" applyFont="1" applyFill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 locked="0"/>
    </xf>
    <xf numFmtId="22" fontId="13" fillId="0" borderId="29" xfId="0" applyNumberFormat="1" applyFont="1" applyFill="1" applyBorder="1" applyAlignment="1" applyProtection="1">
      <alignment horizontal="center"/>
      <protection locked="0"/>
    </xf>
    <xf numFmtId="22" fontId="13" fillId="0" borderId="32" xfId="0" applyNumberFormat="1" applyFont="1" applyFill="1" applyBorder="1" applyAlignment="1" applyProtection="1">
      <alignment horizontal="center"/>
      <protection locked="0"/>
    </xf>
    <xf numFmtId="4" fontId="13" fillId="0" borderId="28" xfId="0" applyNumberFormat="1" applyFont="1" applyBorder="1" applyAlignment="1" applyProtection="1">
      <alignment horizontal="center"/>
      <protection locked="0"/>
    </xf>
    <xf numFmtId="0" fontId="13" fillId="0" borderId="27" xfId="0" applyFont="1" applyFill="1" applyBorder="1" applyAlignment="1">
      <alignment horizontal="center"/>
    </xf>
    <xf numFmtId="164" fontId="13" fillId="0" borderId="28" xfId="0" applyNumberFormat="1" applyFont="1" applyFill="1" applyBorder="1" applyAlignment="1" applyProtection="1">
      <alignment horizontal="center"/>
      <protection locked="0"/>
    </xf>
    <xf numFmtId="167" fontId="13" fillId="0" borderId="28" xfId="0" applyNumberFormat="1" applyFont="1" applyFill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164" fontId="49" fillId="0" borderId="36" xfId="0" applyNumberFormat="1" applyFont="1" applyBorder="1" applyAlignment="1" applyProtection="1">
      <alignment horizontal="center"/>
      <protection locked="0"/>
    </xf>
    <xf numFmtId="167" fontId="13" fillId="0" borderId="36" xfId="0" applyNumberFormat="1" applyFont="1" applyBorder="1" applyAlignment="1" applyProtection="1">
      <alignment horizontal="center"/>
      <protection locked="0"/>
    </xf>
    <xf numFmtId="165" fontId="13" fillId="0" borderId="36" xfId="0" applyNumberFormat="1" applyFont="1" applyBorder="1" applyAlignment="1" applyProtection="1">
      <alignment horizontal="center"/>
      <protection locked="0"/>
    </xf>
    <xf numFmtId="0" fontId="41" fillId="32" borderId="36" xfId="0" applyFont="1" applyFill="1" applyBorder="1" applyAlignment="1" applyProtection="1">
      <alignment horizontal="center"/>
      <protection/>
    </xf>
    <xf numFmtId="169" fontId="42" fillId="33" borderId="36" xfId="0" applyNumberFormat="1" applyFont="1" applyFill="1" applyBorder="1" applyAlignment="1" applyProtection="1">
      <alignment horizontal="center"/>
      <protection/>
    </xf>
    <xf numFmtId="22" fontId="13" fillId="0" borderId="36" xfId="0" applyNumberFormat="1" applyFont="1" applyBorder="1" applyAlignment="1" applyProtection="1">
      <alignment horizontal="center"/>
      <protection locked="0"/>
    </xf>
    <xf numFmtId="166" fontId="13" fillId="0" borderId="36" xfId="0" applyNumberFormat="1" applyFont="1" applyBorder="1" applyAlignment="1" applyProtection="1">
      <alignment horizontal="center"/>
      <protection/>
    </xf>
    <xf numFmtId="166" fontId="13" fillId="0" borderId="36" xfId="0" applyNumberFormat="1" applyFont="1" applyBorder="1" applyAlignment="1" applyProtection="1">
      <alignment horizontal="center"/>
      <protection locked="0"/>
    </xf>
    <xf numFmtId="168" fontId="13" fillId="0" borderId="36" xfId="0" applyNumberFormat="1" applyFont="1" applyBorder="1" applyAlignment="1" applyProtection="1" quotePrefix="1">
      <alignment horizontal="center"/>
      <protection locked="0"/>
    </xf>
    <xf numFmtId="2" fontId="43" fillId="34" borderId="36" xfId="0" applyNumberFormat="1" applyFont="1" applyFill="1" applyBorder="1" applyAlignment="1" applyProtection="1">
      <alignment horizontal="center"/>
      <protection locked="0"/>
    </xf>
    <xf numFmtId="2" fontId="51" fillId="35" borderId="36" xfId="0" applyNumberFormat="1" applyFont="1" applyFill="1" applyBorder="1" applyAlignment="1" applyProtection="1">
      <alignment horizontal="center"/>
      <protection locked="0"/>
    </xf>
    <xf numFmtId="166" fontId="52" fillId="36" borderId="37" xfId="0" applyNumberFormat="1" applyFont="1" applyFill="1" applyBorder="1" applyAlignment="1" applyProtection="1" quotePrefix="1">
      <alignment horizontal="center"/>
      <protection locked="0"/>
    </xf>
    <xf numFmtId="166" fontId="52" fillId="36" borderId="38" xfId="0" applyNumberFormat="1" applyFont="1" applyFill="1" applyBorder="1" applyAlignment="1" applyProtection="1" quotePrefix="1">
      <alignment horizontal="center"/>
      <protection locked="0"/>
    </xf>
    <xf numFmtId="4" fontId="52" fillId="36" borderId="39" xfId="0" applyNumberFormat="1" applyFont="1" applyFill="1" applyBorder="1" applyAlignment="1" applyProtection="1">
      <alignment horizontal="center"/>
      <protection locked="0"/>
    </xf>
    <xf numFmtId="166" fontId="53" fillId="2" borderId="37" xfId="0" applyNumberFormat="1" applyFont="1" applyFill="1" applyBorder="1" applyAlignment="1" applyProtection="1" quotePrefix="1">
      <alignment horizontal="center"/>
      <protection locked="0"/>
    </xf>
    <xf numFmtId="166" fontId="53" fillId="2" borderId="38" xfId="0" applyNumberFormat="1" applyFont="1" applyFill="1" applyBorder="1" applyAlignment="1" applyProtection="1" quotePrefix="1">
      <alignment horizontal="center"/>
      <protection locked="0"/>
    </xf>
    <xf numFmtId="4" fontId="53" fillId="2" borderId="39" xfId="0" applyNumberFormat="1" applyFont="1" applyFill="1" applyBorder="1" applyAlignment="1" applyProtection="1">
      <alignment horizontal="center"/>
      <protection locked="0"/>
    </xf>
    <xf numFmtId="4" fontId="54" fillId="3" borderId="36" xfId="0" applyNumberFormat="1" applyFont="1" applyFill="1" applyBorder="1" applyAlignment="1" applyProtection="1">
      <alignment horizontal="center"/>
      <protection locked="0"/>
    </xf>
    <xf numFmtId="4" fontId="55" fillId="37" borderId="36" xfId="0" applyNumberFormat="1" applyFont="1" applyFill="1" applyBorder="1" applyAlignment="1" applyProtection="1">
      <alignment horizontal="center"/>
      <protection locked="0"/>
    </xf>
    <xf numFmtId="4" fontId="49" fillId="0" borderId="36" xfId="0" applyNumberFormat="1" applyFont="1" applyBorder="1" applyAlignment="1" applyProtection="1">
      <alignment horizontal="center"/>
      <protection locked="0"/>
    </xf>
    <xf numFmtId="2" fontId="48" fillId="0" borderId="40" xfId="0" applyNumberFormat="1" applyFont="1" applyFill="1" applyBorder="1" applyAlignment="1">
      <alignment horizontal="right"/>
    </xf>
    <xf numFmtId="0" fontId="57" fillId="0" borderId="41" xfId="0" applyFont="1" applyBorder="1" applyAlignment="1">
      <alignment horizontal="center"/>
    </xf>
    <xf numFmtId="0" fontId="58" fillId="0" borderId="0" xfId="0" applyFont="1" applyBorder="1" applyAlignment="1" applyProtection="1">
      <alignment horizontal="left" vertical="top"/>
      <protection/>
    </xf>
    <xf numFmtId="164" fontId="49" fillId="0" borderId="0" xfId="0" applyNumberFormat="1" applyFont="1" applyBorder="1" applyAlignment="1" applyProtection="1">
      <alignment horizontal="center"/>
      <protection/>
    </xf>
    <xf numFmtId="165" fontId="13" fillId="0" borderId="0" xfId="0" applyNumberFormat="1" applyFont="1" applyBorder="1" applyAlignment="1" applyProtection="1">
      <alignment horizontal="center"/>
      <protection/>
    </xf>
    <xf numFmtId="166" fontId="13" fillId="0" borderId="0" xfId="0" applyNumberFormat="1" applyFont="1" applyBorder="1" applyAlignment="1" applyProtection="1">
      <alignment horizontal="center"/>
      <protection/>
    </xf>
    <xf numFmtId="168" fontId="13" fillId="0" borderId="0" xfId="0" applyNumberFormat="1" applyFont="1" applyBorder="1" applyAlignment="1" applyProtection="1" quotePrefix="1">
      <alignment horizontal="center"/>
      <protection/>
    </xf>
    <xf numFmtId="2" fontId="50" fillId="34" borderId="21" xfId="0" applyNumberFormat="1" applyFont="1" applyFill="1" applyBorder="1" applyAlignment="1" applyProtection="1">
      <alignment horizontal="center"/>
      <protection/>
    </xf>
    <xf numFmtId="2" fontId="51" fillId="35" borderId="21" xfId="0" applyNumberFormat="1" applyFont="1" applyFill="1" applyBorder="1" applyAlignment="1" applyProtection="1">
      <alignment horizontal="center"/>
      <protection/>
    </xf>
    <xf numFmtId="2" fontId="52" fillId="36" borderId="21" xfId="0" applyNumberFormat="1" applyFont="1" applyFill="1" applyBorder="1" applyAlignment="1" applyProtection="1">
      <alignment horizontal="center"/>
      <protection/>
    </xf>
    <xf numFmtId="2" fontId="53" fillId="2" borderId="21" xfId="0" applyNumberFormat="1" applyFont="1" applyFill="1" applyBorder="1" applyAlignment="1" applyProtection="1">
      <alignment horizontal="center"/>
      <protection/>
    </xf>
    <xf numFmtId="2" fontId="54" fillId="3" borderId="21" xfId="0" applyNumberFormat="1" applyFont="1" applyFill="1" applyBorder="1" applyAlignment="1" applyProtection="1">
      <alignment horizontal="center"/>
      <protection/>
    </xf>
    <xf numFmtId="2" fontId="55" fillId="37" borderId="21" xfId="0" applyNumberFormat="1" applyFont="1" applyFill="1" applyBorder="1" applyAlignment="1" applyProtection="1">
      <alignment horizontal="center"/>
      <protection/>
    </xf>
    <xf numFmtId="2" fontId="59" fillId="0" borderId="42" xfId="0" applyNumberFormat="1" applyFont="1" applyBorder="1" applyAlignment="1" applyProtection="1">
      <alignment horizontal="center"/>
      <protection/>
    </xf>
    <xf numFmtId="7" fontId="4" fillId="0" borderId="21" xfId="0" applyNumberFormat="1" applyFont="1" applyFill="1" applyBorder="1" applyAlignment="1" applyProtection="1">
      <alignment horizontal="right"/>
      <protection/>
    </xf>
    <xf numFmtId="0" fontId="57" fillId="0" borderId="0" xfId="0" applyFont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Border="1" applyAlignment="1">
      <alignment horizontal="center"/>
    </xf>
    <xf numFmtId="164" fontId="105" fillId="0" borderId="0" xfId="0" applyNumberFormat="1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165" fontId="57" fillId="0" borderId="0" xfId="0" applyNumberFormat="1" applyFont="1" applyBorder="1" applyAlignment="1" applyProtection="1">
      <alignment horizontal="center"/>
      <protection/>
    </xf>
    <xf numFmtId="166" fontId="57" fillId="0" borderId="0" xfId="0" applyNumberFormat="1" applyFont="1" applyBorder="1" applyAlignment="1" applyProtection="1">
      <alignment horizontal="center"/>
      <protection/>
    </xf>
    <xf numFmtId="168" fontId="57" fillId="0" borderId="0" xfId="0" applyNumberFormat="1" applyFont="1" applyBorder="1" applyAlignment="1" applyProtection="1" quotePrefix="1">
      <alignment horizontal="center"/>
      <protection/>
    </xf>
    <xf numFmtId="2" fontId="104" fillId="0" borderId="0" xfId="0" applyNumberFormat="1" applyFont="1" applyBorder="1" applyAlignment="1" applyProtection="1">
      <alignment horizontal="center"/>
      <protection/>
    </xf>
    <xf numFmtId="7" fontId="121" fillId="0" borderId="0" xfId="0" applyNumberFormat="1" applyFont="1" applyFill="1" applyBorder="1" applyAlignment="1" applyProtection="1">
      <alignment horizontal="right"/>
      <protection/>
    </xf>
    <xf numFmtId="4" fontId="57" fillId="0" borderId="15" xfId="0" applyNumberFormat="1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65" applyFont="1">
      <alignment/>
      <protection/>
    </xf>
    <xf numFmtId="0" fontId="122" fillId="0" borderId="0" xfId="65" applyFont="1" applyAlignment="1">
      <alignment horizontal="right" vertical="top"/>
      <protection/>
    </xf>
    <xf numFmtId="0" fontId="13" fillId="0" borderId="0" xfId="65" applyFont="1" applyAlignment="1">
      <alignment/>
      <protection/>
    </xf>
    <xf numFmtId="0" fontId="8" fillId="0" borderId="0" xfId="65" applyFont="1">
      <alignment/>
      <protection/>
    </xf>
    <xf numFmtId="0" fontId="9" fillId="0" borderId="0" xfId="65" applyFont="1" applyAlignment="1">
      <alignment horizontal="centerContinuous"/>
      <protection/>
    </xf>
    <xf numFmtId="0" fontId="8" fillId="0" borderId="0" xfId="65" applyFont="1" applyAlignment="1">
      <alignment/>
      <protection/>
    </xf>
    <xf numFmtId="0" fontId="6" fillId="0" borderId="0" xfId="65" applyFont="1" applyFill="1" applyBorder="1" applyAlignment="1" applyProtection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>
      <alignment/>
      <protection/>
    </xf>
    <xf numFmtId="0" fontId="14" fillId="0" borderId="0" xfId="65" applyFont="1" applyAlignment="1">
      <alignment/>
      <protection/>
    </xf>
    <xf numFmtId="0" fontId="13" fillId="0" borderId="0" xfId="65" applyFont="1" applyAlignment="1">
      <alignment horizontal="centerContinuous"/>
      <protection/>
    </xf>
    <xf numFmtId="0" fontId="123" fillId="0" borderId="0" xfId="65" applyFont="1">
      <alignment/>
      <protection/>
    </xf>
    <xf numFmtId="0" fontId="123" fillId="0" borderId="0" xfId="65" applyFont="1" applyAlignment="1">
      <alignment horizontal="centerContinuous"/>
      <protection/>
    </xf>
    <xf numFmtId="0" fontId="124" fillId="0" borderId="0" xfId="65" applyFont="1" applyAlignment="1">
      <alignment horizontal="centerContinuous"/>
      <protection/>
    </xf>
    <xf numFmtId="0" fontId="123" fillId="0" borderId="0" xfId="65" applyFont="1" applyAlignment="1">
      <alignment/>
      <protection/>
    </xf>
    <xf numFmtId="0" fontId="21" fillId="0" borderId="0" xfId="65" applyFont="1">
      <alignment/>
      <protection/>
    </xf>
    <xf numFmtId="0" fontId="21" fillId="0" borderId="0" xfId="65" applyFont="1" applyAlignment="1">
      <alignment horizontal="centerContinuous"/>
      <protection/>
    </xf>
    <xf numFmtId="0" fontId="21" fillId="0" borderId="0" xfId="65" applyFont="1" applyAlignment="1">
      <alignment/>
      <protection/>
    </xf>
    <xf numFmtId="0" fontId="124" fillId="0" borderId="0" xfId="65" applyFont="1">
      <alignment/>
      <protection/>
    </xf>
    <xf numFmtId="0" fontId="124" fillId="0" borderId="0" xfId="65" applyFont="1" applyAlignment="1">
      <alignment/>
      <protection/>
    </xf>
    <xf numFmtId="0" fontId="21" fillId="0" borderId="11" xfId="65" applyFont="1" applyBorder="1" applyAlignment="1">
      <alignment horizontal="centerContinuous"/>
      <protection/>
    </xf>
    <xf numFmtId="0" fontId="21" fillId="0" borderId="12" xfId="65" applyFont="1" applyBorder="1" applyAlignment="1">
      <alignment horizontal="centerContinuous"/>
      <protection/>
    </xf>
    <xf numFmtId="0" fontId="21" fillId="0" borderId="13" xfId="65" applyFont="1" applyBorder="1" applyAlignment="1">
      <alignment horizontal="centerContinuous"/>
      <protection/>
    </xf>
    <xf numFmtId="0" fontId="24" fillId="0" borderId="14" xfId="65" applyFont="1" applyBorder="1" applyAlignment="1">
      <alignment horizontal="centerContinuous"/>
      <protection/>
    </xf>
    <xf numFmtId="0" fontId="21" fillId="0" borderId="0" xfId="65" applyFont="1" applyBorder="1" applyAlignment="1">
      <alignment horizontal="centerContinuous"/>
      <protection/>
    </xf>
    <xf numFmtId="0" fontId="21" fillId="0" borderId="15" xfId="65" applyFont="1" applyBorder="1" applyAlignment="1">
      <alignment/>
      <protection/>
    </xf>
    <xf numFmtId="0" fontId="21" fillId="0" borderId="14" xfId="65" applyFont="1" applyBorder="1">
      <alignment/>
      <protection/>
    </xf>
    <xf numFmtId="0" fontId="21" fillId="0" borderId="0" xfId="65" applyFont="1" applyBorder="1">
      <alignment/>
      <protection/>
    </xf>
    <xf numFmtId="0" fontId="21" fillId="0" borderId="15" xfId="65" applyFont="1" applyBorder="1">
      <alignment/>
      <protection/>
    </xf>
    <xf numFmtId="0" fontId="30" fillId="0" borderId="0" xfId="65" applyFont="1" applyAlignment="1">
      <alignment horizontal="center" vertical="center"/>
      <protection/>
    </xf>
    <xf numFmtId="0" fontId="30" fillId="0" borderId="14" xfId="65" applyFont="1" applyBorder="1" applyAlignment="1">
      <alignment horizontal="center" vertical="center"/>
      <protection/>
    </xf>
    <xf numFmtId="0" fontId="30" fillId="0" borderId="21" xfId="65" applyFont="1" applyBorder="1" applyAlignment="1">
      <alignment horizontal="center" vertical="center"/>
      <protection/>
    </xf>
    <xf numFmtId="0" fontId="30" fillId="0" borderId="21" xfId="65" applyFont="1" applyBorder="1" applyAlignment="1">
      <alignment horizontal="center" vertical="center" wrapText="1"/>
      <protection/>
    </xf>
    <xf numFmtId="17" fontId="30" fillId="0" borderId="21" xfId="65" applyNumberFormat="1" applyFont="1" applyBorder="1" applyAlignment="1">
      <alignment horizontal="center" vertical="center"/>
      <protection/>
    </xf>
    <xf numFmtId="0" fontId="30" fillId="0" borderId="15" xfId="65" applyFont="1" applyBorder="1" applyAlignment="1">
      <alignment horizontal="center" vertical="center"/>
      <protection/>
    </xf>
    <xf numFmtId="0" fontId="125" fillId="0" borderId="0" xfId="65" applyFont="1" applyAlignment="1">
      <alignment vertical="center"/>
      <protection/>
    </xf>
    <xf numFmtId="0" fontId="125" fillId="0" borderId="14" xfId="65" applyFont="1" applyBorder="1" applyAlignment="1">
      <alignment vertical="center"/>
      <protection/>
    </xf>
    <xf numFmtId="0" fontId="125" fillId="0" borderId="33" xfId="65" applyFont="1" applyBorder="1" applyAlignment="1">
      <alignment vertical="center"/>
      <protection/>
    </xf>
    <xf numFmtId="0" fontId="125" fillId="0" borderId="28" xfId="65" applyFont="1" applyBorder="1" applyAlignment="1">
      <alignment vertical="center"/>
      <protection/>
    </xf>
    <xf numFmtId="0" fontId="125" fillId="0" borderId="28" xfId="65" applyFont="1" applyFill="1" applyBorder="1" applyAlignment="1">
      <alignment vertical="center"/>
      <protection/>
    </xf>
    <xf numFmtId="0" fontId="125" fillId="0" borderId="43" xfId="65" applyFont="1" applyBorder="1" applyAlignment="1">
      <alignment vertical="center"/>
      <protection/>
    </xf>
    <xf numFmtId="0" fontId="125" fillId="0" borderId="15" xfId="65" applyFont="1" applyBorder="1" applyAlignment="1">
      <alignment vertical="center"/>
      <protection/>
    </xf>
    <xf numFmtId="0" fontId="125" fillId="1" borderId="30" xfId="65" applyFont="1" applyFill="1" applyBorder="1" applyAlignment="1">
      <alignment horizontal="center" vertical="center"/>
      <protection/>
    </xf>
    <xf numFmtId="0" fontId="125" fillId="50" borderId="27" xfId="65" applyFont="1" applyFill="1" applyBorder="1" applyAlignment="1">
      <alignment horizontal="center" vertical="center"/>
      <protection/>
    </xf>
    <xf numFmtId="0" fontId="125" fillId="0" borderId="35" xfId="65" applyFont="1" applyBorder="1" applyAlignment="1">
      <alignment vertical="center"/>
      <protection/>
    </xf>
    <xf numFmtId="0" fontId="125" fillId="0" borderId="51" xfId="65" applyFont="1" applyFill="1" applyBorder="1" applyAlignment="1">
      <alignment horizontal="center" vertical="center"/>
      <protection/>
    </xf>
    <xf numFmtId="0" fontId="125" fillId="0" borderId="34" xfId="65" applyFont="1" applyFill="1" applyBorder="1" applyAlignment="1">
      <alignment horizontal="center" vertical="center"/>
      <protection/>
    </xf>
    <xf numFmtId="0" fontId="125" fillId="1" borderId="34" xfId="65" applyFont="1" applyFill="1" applyBorder="1" applyAlignment="1">
      <alignment horizontal="center" vertical="center"/>
      <protection/>
    </xf>
    <xf numFmtId="0" fontId="125" fillId="0" borderId="27" xfId="65" applyFont="1" applyFill="1" applyBorder="1" applyAlignment="1">
      <alignment horizontal="center" vertical="center"/>
      <protection/>
    </xf>
    <xf numFmtId="0" fontId="125" fillId="0" borderId="0" xfId="65" applyFont="1" applyFill="1" applyBorder="1" applyAlignment="1">
      <alignment horizontal="center" vertical="center"/>
      <protection/>
    </xf>
    <xf numFmtId="0" fontId="125" fillId="0" borderId="0" xfId="65" applyFont="1" applyFill="1" applyBorder="1" applyAlignment="1">
      <alignment vertical="center"/>
      <protection/>
    </xf>
    <xf numFmtId="0" fontId="126" fillId="0" borderId="0" xfId="65" applyFont="1" applyFill="1" applyBorder="1" applyAlignment="1">
      <alignment horizontal="right" vertical="center"/>
      <protection/>
    </xf>
    <xf numFmtId="0" fontId="125" fillId="1" borderId="21" xfId="65" applyFont="1" applyFill="1" applyBorder="1" applyAlignment="1">
      <alignment horizontal="center" vertical="center"/>
      <protection/>
    </xf>
    <xf numFmtId="0" fontId="125" fillId="0" borderId="16" xfId="65" applyFont="1" applyFill="1" applyBorder="1" applyAlignment="1">
      <alignment horizontal="center" vertical="center"/>
      <protection/>
    </xf>
    <xf numFmtId="0" fontId="125" fillId="0" borderId="22" xfId="65" applyFont="1" applyFill="1" applyBorder="1" applyAlignment="1">
      <alignment horizontal="center" vertical="center"/>
      <protection/>
    </xf>
    <xf numFmtId="0" fontId="125" fillId="0" borderId="0" xfId="65" applyFont="1" applyBorder="1" applyAlignment="1">
      <alignment horizontal="center" vertical="center"/>
      <protection/>
    </xf>
    <xf numFmtId="0" fontId="125" fillId="0" borderId="0" xfId="65" applyFont="1" applyBorder="1" applyAlignment="1">
      <alignment vertical="center"/>
      <protection/>
    </xf>
    <xf numFmtId="0" fontId="125" fillId="0" borderId="0" xfId="65" applyFont="1" applyBorder="1" applyAlignment="1">
      <alignment horizontal="right" vertical="center"/>
      <protection/>
    </xf>
    <xf numFmtId="0" fontId="126" fillId="0" borderId="0" xfId="65" applyFont="1" applyBorder="1" applyAlignment="1">
      <alignment horizontal="right" vertical="center"/>
      <protection/>
    </xf>
    <xf numFmtId="0" fontId="125" fillId="0" borderId="21" xfId="65" applyFont="1" applyBorder="1" applyAlignment="1">
      <alignment horizontal="center" vertical="center"/>
      <protection/>
    </xf>
    <xf numFmtId="0" fontId="125" fillId="0" borderId="36" xfId="65" applyFont="1" applyBorder="1" applyAlignment="1">
      <alignment vertical="center"/>
      <protection/>
    </xf>
    <xf numFmtId="2" fontId="126" fillId="50" borderId="21" xfId="65" applyNumberFormat="1" applyFont="1" applyFill="1" applyBorder="1" applyAlignment="1">
      <alignment horizontal="center" vertical="center"/>
      <protection/>
    </xf>
    <xf numFmtId="0" fontId="3" fillId="0" borderId="0" xfId="65">
      <alignment/>
      <protection/>
    </xf>
    <xf numFmtId="0" fontId="13" fillId="0" borderId="0" xfId="66" applyFont="1" applyBorder="1" applyAlignment="1">
      <alignment horizontal="left" vertical="center"/>
      <protection/>
    </xf>
    <xf numFmtId="0" fontId="13" fillId="0" borderId="0" xfId="65" applyFont="1" applyBorder="1" applyAlignment="1">
      <alignment horizontal="right" vertical="center"/>
      <protection/>
    </xf>
    <xf numFmtId="0" fontId="5" fillId="0" borderId="0" xfId="65" applyFont="1" applyBorder="1" applyAlignment="1">
      <alignment horizontal="right" vertical="center"/>
      <protection/>
    </xf>
    <xf numFmtId="2" fontId="5" fillId="0" borderId="0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>
      <alignment/>
      <protection/>
    </xf>
    <xf numFmtId="0" fontId="13" fillId="0" borderId="0" xfId="65" applyFont="1" applyBorder="1">
      <alignment/>
      <protection/>
    </xf>
    <xf numFmtId="0" fontId="13" fillId="0" borderId="0" xfId="65" applyFont="1" applyBorder="1" applyAlignment="1">
      <alignment horizontal="center"/>
      <protection/>
    </xf>
    <xf numFmtId="0" fontId="13" fillId="0" borderId="16" xfId="65" applyFont="1" applyBorder="1">
      <alignment/>
      <protection/>
    </xf>
    <xf numFmtId="0" fontId="13" fillId="0" borderId="22" xfId="65" applyFont="1" applyBorder="1" applyAlignment="1">
      <alignment horizontal="center"/>
      <protection/>
    </xf>
    <xf numFmtId="2" fontId="10" fillId="0" borderId="22" xfId="65" applyNumberFormat="1" applyFont="1" applyBorder="1" applyAlignment="1">
      <alignment horizontal="center"/>
      <protection/>
    </xf>
    <xf numFmtId="0" fontId="21" fillId="0" borderId="22" xfId="65" applyFont="1" applyBorder="1">
      <alignment/>
      <protection/>
    </xf>
    <xf numFmtId="0" fontId="13" fillId="0" borderId="22" xfId="65" applyFont="1" applyBorder="1">
      <alignment/>
      <protection/>
    </xf>
    <xf numFmtId="0" fontId="3" fillId="0" borderId="17" xfId="65" applyBorder="1">
      <alignment/>
      <protection/>
    </xf>
    <xf numFmtId="0" fontId="13" fillId="0" borderId="0" xfId="65" applyFont="1" applyAlignment="1">
      <alignment vertical="center"/>
      <protection/>
    </xf>
    <xf numFmtId="0" fontId="13" fillId="0" borderId="14" xfId="65" applyFont="1" applyBorder="1" applyAlignment="1">
      <alignment vertical="center"/>
      <protection/>
    </xf>
    <xf numFmtId="0" fontId="13" fillId="0" borderId="15" xfId="65" applyFont="1" applyBorder="1" applyAlignment="1">
      <alignment vertical="center"/>
      <protection/>
    </xf>
    <xf numFmtId="0" fontId="21" fillId="0" borderId="18" xfId="65" applyFont="1" applyBorder="1">
      <alignment/>
      <protection/>
    </xf>
    <xf numFmtId="0" fontId="21" fillId="0" borderId="19" xfId="65" applyFont="1" applyBorder="1" applyAlignment="1">
      <alignment horizontal="center"/>
      <protection/>
    </xf>
    <xf numFmtId="0" fontId="21" fillId="0" borderId="19" xfId="65" applyFont="1" applyBorder="1">
      <alignment/>
      <protection/>
    </xf>
    <xf numFmtId="0" fontId="21" fillId="0" borderId="20" xfId="65" applyFont="1" applyBorder="1">
      <alignment/>
      <protection/>
    </xf>
    <xf numFmtId="0" fontId="13" fillId="0" borderId="0" xfId="65" applyFont="1" applyAlignment="1">
      <alignment horizontal="center"/>
      <protection/>
    </xf>
    <xf numFmtId="2" fontId="13" fillId="0" borderId="0" xfId="65" applyNumberFormat="1" applyFont="1" applyBorder="1" applyAlignment="1">
      <alignment horizontal="center"/>
      <protection/>
    </xf>
    <xf numFmtId="169" fontId="13" fillId="0" borderId="0" xfId="65" applyNumberFormat="1" applyFont="1" applyBorder="1" applyAlignment="1">
      <alignment horizontal="center"/>
      <protection/>
    </xf>
    <xf numFmtId="169" fontId="21" fillId="0" borderId="14" xfId="64" applyNumberFormat="1" applyFont="1" applyBorder="1">
      <alignment/>
      <protection/>
    </xf>
    <xf numFmtId="166" fontId="4" fillId="0" borderId="16" xfId="64" applyNumberFormat="1" applyFont="1" applyBorder="1" applyAlignment="1" applyProtection="1">
      <alignment horizontal="center"/>
      <protection/>
    </xf>
    <xf numFmtId="172" fontId="21" fillId="0" borderId="17" xfId="64" applyNumberFormat="1" applyFont="1" applyBorder="1" applyAlignment="1" applyProtection="1">
      <alignment horizontal="centerContinuous"/>
      <protection/>
    </xf>
    <xf numFmtId="0" fontId="30" fillId="0" borderId="21" xfId="61" applyFont="1" applyBorder="1" applyAlignment="1">
      <alignment horizontal="center" vertical="center"/>
      <protection/>
    </xf>
    <xf numFmtId="169" fontId="90" fillId="33" borderId="23" xfId="64" applyNumberFormat="1" applyFont="1" applyFill="1" applyBorder="1" applyAlignment="1">
      <alignment horizontal="center"/>
      <protection/>
    </xf>
    <xf numFmtId="169" fontId="90" fillId="33" borderId="28" xfId="64" applyNumberFormat="1" applyFont="1" applyFill="1" applyBorder="1" applyAlignment="1" applyProtection="1">
      <alignment horizontal="center"/>
      <protection/>
    </xf>
    <xf numFmtId="169" fontId="90" fillId="33" borderId="36" xfId="64" applyNumberFormat="1" applyFont="1" applyFill="1" applyBorder="1" applyAlignment="1" applyProtection="1">
      <alignment horizontal="center"/>
      <protection/>
    </xf>
    <xf numFmtId="0" fontId="30" fillId="0" borderId="22" xfId="64" applyFont="1" applyFill="1" applyBorder="1" applyAlignment="1" applyProtection="1">
      <alignment horizontal="centerContinuous" vertical="center"/>
      <protection/>
    </xf>
    <xf numFmtId="0" fontId="62" fillId="46" borderId="70" xfId="64" applyFont="1" applyFill="1" applyBorder="1" applyAlignment="1">
      <alignment vertical="center" wrapText="1"/>
      <protection/>
    </xf>
    <xf numFmtId="0" fontId="29" fillId="46" borderId="59" xfId="64" applyFont="1" applyFill="1" applyBorder="1" applyAlignment="1">
      <alignment horizontal="left"/>
      <protection/>
    </xf>
    <xf numFmtId="164" fontId="13" fillId="0" borderId="27" xfId="64" applyNumberFormat="1" applyFont="1" applyBorder="1" applyAlignment="1" applyProtection="1">
      <alignment horizontal="center"/>
      <protection/>
    </xf>
    <xf numFmtId="1" fontId="13" fillId="0" borderId="49" xfId="64" applyNumberFormat="1" applyFont="1" applyBorder="1" applyAlignment="1" applyProtection="1">
      <alignment horizontal="center"/>
      <protection/>
    </xf>
    <xf numFmtId="166" fontId="65" fillId="46" borderId="59" xfId="64" applyNumberFormat="1" applyFont="1" applyFill="1" applyBorder="1" applyAlignment="1" applyProtection="1" quotePrefix="1">
      <alignment horizontal="center"/>
      <protection/>
    </xf>
    <xf numFmtId="166" fontId="29" fillId="46" borderId="57" xfId="64" applyNumberFormat="1" applyFont="1" applyFill="1" applyBorder="1" applyAlignment="1" applyProtection="1" quotePrefix="1">
      <alignment horizontal="center"/>
      <protection/>
    </xf>
    <xf numFmtId="164" fontId="13" fillId="0" borderId="41" xfId="64" applyNumberFormat="1" applyFont="1" applyFill="1" applyBorder="1" applyAlignment="1" applyProtection="1">
      <alignment horizontal="center"/>
      <protection/>
    </xf>
    <xf numFmtId="8" fontId="78" fillId="0" borderId="21" xfId="53" applyNumberFormat="1" applyFont="1" applyFill="1" applyBorder="1" applyAlignment="1">
      <alignment horizontal="right"/>
    </xf>
    <xf numFmtId="0" fontId="73" fillId="40" borderId="23" xfId="64" applyFont="1" applyFill="1" applyBorder="1" applyAlignment="1" applyProtection="1">
      <alignment horizontal="center"/>
      <protection/>
    </xf>
    <xf numFmtId="166" fontId="51" fillId="35" borderId="24" xfId="64" applyNumberFormat="1" applyFont="1" applyFill="1" applyBorder="1" applyAlignment="1" applyProtection="1" quotePrefix="1">
      <alignment horizontal="center"/>
      <protection/>
    </xf>
    <xf numFmtId="166" fontId="51" fillId="35" borderId="26" xfId="64" applyNumberFormat="1" applyFont="1" applyFill="1" applyBorder="1" applyAlignment="1" applyProtection="1" quotePrefix="1">
      <alignment horizontal="center"/>
      <protection/>
    </xf>
    <xf numFmtId="166" fontId="65" fillId="34" borderId="23" xfId="64" applyNumberFormat="1" applyFont="1" applyFill="1" applyBorder="1" applyAlignment="1" applyProtection="1" quotePrefix="1">
      <alignment horizontal="center"/>
      <protection/>
    </xf>
    <xf numFmtId="0" fontId="13" fillId="0" borderId="33" xfId="71" applyFont="1" applyBorder="1" applyAlignment="1" applyProtection="1">
      <alignment horizontal="center"/>
      <protection locked="0"/>
    </xf>
    <xf numFmtId="166" fontId="5" fillId="36" borderId="28" xfId="64" applyNumberFormat="1" applyFont="1" applyFill="1" applyBorder="1" applyAlignment="1" applyProtection="1">
      <alignment horizontal="center"/>
      <protection/>
    </xf>
    <xf numFmtId="166" fontId="5" fillId="46" borderId="28" xfId="64" applyNumberFormat="1" applyFont="1" applyFill="1" applyBorder="1" applyAlignment="1" applyProtection="1">
      <alignment horizontal="center"/>
      <protection/>
    </xf>
    <xf numFmtId="2" fontId="73" fillId="40" borderId="28" xfId="64" applyNumberFormat="1" applyFont="1" applyFill="1" applyBorder="1" applyAlignment="1" applyProtection="1">
      <alignment horizontal="center"/>
      <protection/>
    </xf>
    <xf numFmtId="166" fontId="5" fillId="46" borderId="35" xfId="64" applyNumberFormat="1" applyFont="1" applyFill="1" applyBorder="1" applyAlignment="1" applyProtection="1">
      <alignment horizontal="center"/>
      <protection/>
    </xf>
    <xf numFmtId="22" fontId="13" fillId="0" borderId="28" xfId="71" applyNumberFormat="1" applyFont="1" applyBorder="1" applyAlignment="1" applyProtection="1">
      <alignment horizontal="center"/>
      <protection locked="0"/>
    </xf>
    <xf numFmtId="8" fontId="78" fillId="0" borderId="22" xfId="53" applyNumberFormat="1" applyFont="1" applyFill="1" applyBorder="1" applyAlignment="1">
      <alignment horizontal="right"/>
    </xf>
    <xf numFmtId="166" fontId="13" fillId="0" borderId="47" xfId="64" applyNumberFormat="1" applyFont="1" applyBorder="1" applyAlignment="1" applyProtection="1">
      <alignment horizontal="center"/>
      <protection locked="0"/>
    </xf>
    <xf numFmtId="8" fontId="78" fillId="0" borderId="0" xfId="53" applyNumberFormat="1" applyFont="1" applyFill="1" applyBorder="1" applyAlignment="1">
      <alignment horizontal="right"/>
    </xf>
    <xf numFmtId="7" fontId="95" fillId="0" borderId="0" xfId="64" applyNumberFormat="1" applyFont="1" applyFill="1" applyBorder="1" applyAlignment="1">
      <alignment horizontal="center"/>
      <protection/>
    </xf>
    <xf numFmtId="1" fontId="21" fillId="0" borderId="0" xfId="64" applyNumberFormat="1" applyFont="1" applyBorder="1" applyAlignment="1" applyProtection="1">
      <alignment horizontal="left"/>
      <protection/>
    </xf>
    <xf numFmtId="0" fontId="3" fillId="0" borderId="61" xfId="64" applyBorder="1">
      <alignment/>
      <protection/>
    </xf>
    <xf numFmtId="7" fontId="95" fillId="0" borderId="61" xfId="64" applyNumberFormat="1" applyFont="1" applyFill="1" applyBorder="1" applyAlignment="1">
      <alignment horizontal="center"/>
      <protection/>
    </xf>
    <xf numFmtId="0" fontId="110" fillId="0" borderId="16" xfId="64" applyFont="1" applyBorder="1" applyAlignment="1">
      <alignment horizontal="center"/>
      <protection/>
    </xf>
    <xf numFmtId="7" fontId="4" fillId="0" borderId="17" xfId="64" applyNumberFormat="1" applyFont="1" applyBorder="1" applyAlignment="1">
      <alignment horizontal="center"/>
      <protection/>
    </xf>
    <xf numFmtId="169" fontId="0" fillId="0" borderId="16" xfId="70" applyNumberFormat="1" applyFont="1" applyBorder="1" applyAlignment="1">
      <alignment horizontal="center"/>
      <protection/>
    </xf>
    <xf numFmtId="169" fontId="0" fillId="0" borderId="17" xfId="70" applyNumberFormat="1" applyFont="1" applyBorder="1" applyAlignment="1">
      <alignment horizontal="center"/>
      <protection/>
    </xf>
    <xf numFmtId="169" fontId="0" fillId="0" borderId="16" xfId="64" applyNumberFormat="1" applyFont="1" applyBorder="1" applyAlignment="1">
      <alignment horizontal="center"/>
      <protection/>
    </xf>
    <xf numFmtId="169" fontId="0" fillId="0" borderId="17" xfId="64" applyNumberFormat="1" applyFont="1" applyBorder="1" applyAlignment="1">
      <alignment horizontal="center"/>
      <protection/>
    </xf>
    <xf numFmtId="0" fontId="3" fillId="0" borderId="0" xfId="62" applyFont="1" applyBorder="1" applyAlignment="1">
      <alignment horizontal="center" vertical="center"/>
      <protection/>
    </xf>
    <xf numFmtId="164" fontId="13" fillId="0" borderId="72" xfId="64" applyNumberFormat="1" applyFont="1" applyBorder="1" applyAlignment="1" applyProtection="1">
      <alignment horizontal="center"/>
      <protection/>
    </xf>
    <xf numFmtId="164" fontId="13" fillId="0" borderId="71" xfId="64" applyNumberFormat="1" applyFont="1" applyBorder="1" applyAlignment="1" applyProtection="1">
      <alignment horizontal="center"/>
      <protection/>
    </xf>
    <xf numFmtId="0" fontId="13" fillId="0" borderId="60" xfId="64" applyFont="1" applyBorder="1" applyAlignment="1" applyProtection="1">
      <alignment horizontal="center"/>
      <protection locked="0"/>
    </xf>
    <xf numFmtId="0" fontId="13" fillId="0" borderId="47" xfId="64" applyFont="1" applyBorder="1" applyAlignment="1" applyProtection="1">
      <alignment horizontal="center"/>
      <protection locked="0"/>
    </xf>
    <xf numFmtId="166" fontId="13" fillId="0" borderId="60" xfId="64" applyNumberFormat="1" applyFont="1" applyBorder="1" applyAlignment="1" applyProtection="1">
      <alignment horizontal="center"/>
      <protection/>
    </xf>
    <xf numFmtId="166" fontId="13" fillId="0" borderId="47" xfId="64" applyNumberFormat="1" applyFont="1" applyBorder="1" applyAlignment="1" applyProtection="1">
      <alignment horizontal="center"/>
      <protection/>
    </xf>
    <xf numFmtId="166" fontId="13" fillId="0" borderId="72" xfId="64" applyNumberFormat="1" applyFont="1" applyBorder="1" applyAlignment="1" applyProtection="1">
      <alignment horizontal="center"/>
      <protection/>
    </xf>
    <xf numFmtId="166" fontId="13" fillId="0" borderId="71" xfId="64" applyNumberFormat="1" applyFont="1" applyBorder="1" applyAlignment="1" applyProtection="1">
      <alignment horizontal="center"/>
      <protection/>
    </xf>
    <xf numFmtId="0" fontId="30" fillId="0" borderId="16" xfId="64" applyFont="1" applyBorder="1" applyAlignment="1" applyProtection="1" quotePrefix="1">
      <alignment horizontal="center" vertical="center" wrapText="1"/>
      <protection/>
    </xf>
    <xf numFmtId="0" fontId="30" fillId="0" borderId="17" xfId="64" applyFont="1" applyBorder="1" applyAlignment="1" applyProtection="1" quotePrefix="1">
      <alignment horizontal="center" vertical="center" wrapText="1"/>
      <protection/>
    </xf>
    <xf numFmtId="0" fontId="30" fillId="0" borderId="16" xfId="64" applyFont="1" applyBorder="1" applyAlignment="1" applyProtection="1">
      <alignment horizontal="center" vertical="center"/>
      <protection/>
    </xf>
    <xf numFmtId="0" fontId="30" fillId="0" borderId="17" xfId="64" applyFont="1" applyBorder="1" applyAlignment="1" applyProtection="1">
      <alignment horizontal="center" vertical="center"/>
      <protection/>
    </xf>
    <xf numFmtId="0" fontId="13" fillId="0" borderId="65" xfId="64" applyFont="1" applyFill="1" applyBorder="1" applyAlignment="1">
      <alignment horizontal="center"/>
      <protection/>
    </xf>
    <xf numFmtId="0" fontId="13" fillId="0" borderId="67" xfId="64" applyFont="1" applyFill="1" applyBorder="1" applyAlignment="1">
      <alignment horizontal="center"/>
      <protection/>
    </xf>
    <xf numFmtId="0" fontId="30" fillId="0" borderId="16" xfId="64" applyFont="1" applyFill="1" applyBorder="1" applyAlignment="1" applyProtection="1" quotePrefix="1">
      <alignment horizontal="center" vertical="center" wrapText="1"/>
      <protection/>
    </xf>
    <xf numFmtId="0" fontId="30" fillId="0" borderId="17" xfId="64" applyFont="1" applyFill="1" applyBorder="1" applyAlignment="1" applyProtection="1" quotePrefix="1">
      <alignment horizontal="center" vertical="center" wrapText="1"/>
      <protection/>
    </xf>
    <xf numFmtId="0" fontId="30" fillId="0" borderId="16" xfId="64" applyFont="1" applyFill="1" applyBorder="1" applyAlignment="1" applyProtection="1">
      <alignment horizontal="center" vertical="center"/>
      <protection/>
    </xf>
    <xf numFmtId="0" fontId="30" fillId="0" borderId="17" xfId="64" applyFont="1" applyFill="1" applyBorder="1" applyAlignment="1" applyProtection="1">
      <alignment horizontal="center" vertical="center"/>
      <protection/>
    </xf>
    <xf numFmtId="164" fontId="13" fillId="0" borderId="60" xfId="64" applyNumberFormat="1" applyFont="1" applyBorder="1" applyAlignment="1" applyProtection="1">
      <alignment horizontal="center"/>
      <protection/>
    </xf>
    <xf numFmtId="164" fontId="13" fillId="0" borderId="47" xfId="64" applyNumberFormat="1" applyFont="1" applyBorder="1" applyAlignment="1" applyProtection="1">
      <alignment horizontal="center"/>
      <protection/>
    </xf>
    <xf numFmtId="165" fontId="13" fillId="0" borderId="60" xfId="64" applyNumberFormat="1" applyFont="1" applyBorder="1" applyAlignment="1" applyProtection="1">
      <alignment horizontal="center"/>
      <protection/>
    </xf>
    <xf numFmtId="165" fontId="13" fillId="0" borderId="47" xfId="64" applyNumberFormat="1" applyFont="1" applyBorder="1" applyAlignment="1" applyProtection="1">
      <alignment horizontal="center"/>
      <protection/>
    </xf>
    <xf numFmtId="0" fontId="75" fillId="0" borderId="72" xfId="70" applyFont="1" applyBorder="1" applyAlignment="1" applyProtection="1">
      <alignment horizontal="center"/>
      <protection locked="0"/>
    </xf>
    <xf numFmtId="0" fontId="75" fillId="0" borderId="71" xfId="70" applyFont="1" applyBorder="1" applyAlignment="1" applyProtection="1">
      <alignment horizontal="center"/>
      <protection locked="0"/>
    </xf>
    <xf numFmtId="166" fontId="13" fillId="0" borderId="72" xfId="70" applyNumberFormat="1" applyFont="1" applyBorder="1" applyAlignment="1" applyProtection="1">
      <alignment horizontal="center"/>
      <protection/>
    </xf>
    <xf numFmtId="166" fontId="13" fillId="0" borderId="71" xfId="70" applyNumberFormat="1" applyFont="1" applyBorder="1" applyAlignment="1" applyProtection="1">
      <alignment horizontal="center"/>
      <protection/>
    </xf>
    <xf numFmtId="164" fontId="13" fillId="0" borderId="72" xfId="70" applyNumberFormat="1" applyFont="1" applyBorder="1" applyAlignment="1" applyProtection="1">
      <alignment horizontal="center"/>
      <protection/>
    </xf>
    <xf numFmtId="164" fontId="13" fillId="0" borderId="71" xfId="70" applyNumberFormat="1" applyFont="1" applyBorder="1" applyAlignment="1" applyProtection="1">
      <alignment horizontal="center"/>
      <protection/>
    </xf>
    <xf numFmtId="0" fontId="75" fillId="0" borderId="60" xfId="70" applyFont="1" applyBorder="1" applyAlignment="1" applyProtection="1">
      <alignment horizontal="center"/>
      <protection/>
    </xf>
    <xf numFmtId="0" fontId="75" fillId="0" borderId="47" xfId="70" applyFont="1" applyBorder="1" applyAlignment="1" applyProtection="1">
      <alignment horizontal="center"/>
      <protection/>
    </xf>
    <xf numFmtId="166" fontId="13" fillId="0" borderId="60" xfId="70" applyNumberFormat="1" applyFont="1" applyBorder="1" applyAlignment="1" applyProtection="1">
      <alignment horizontal="center"/>
      <protection/>
    </xf>
    <xf numFmtId="166" fontId="13" fillId="0" borderId="47" xfId="70" applyNumberFormat="1" applyFont="1" applyBorder="1" applyAlignment="1" applyProtection="1">
      <alignment horizontal="center"/>
      <protection/>
    </xf>
    <xf numFmtId="0" fontId="75" fillId="0" borderId="60" xfId="70" applyFont="1" applyBorder="1" applyAlignment="1" applyProtection="1">
      <alignment horizontal="center"/>
      <protection locked="0"/>
    </xf>
    <xf numFmtId="0" fontId="75" fillId="0" borderId="47" xfId="70" applyFont="1" applyBorder="1" applyAlignment="1" applyProtection="1">
      <alignment horizontal="center"/>
      <protection locked="0"/>
    </xf>
    <xf numFmtId="0" fontId="30" fillId="0" borderId="16" xfId="70" applyFont="1" applyBorder="1" applyAlignment="1" applyProtection="1" quotePrefix="1">
      <alignment horizontal="center" vertical="center" wrapText="1"/>
      <protection/>
    </xf>
    <xf numFmtId="0" fontId="30" fillId="0" borderId="17" xfId="70" applyFont="1" applyBorder="1" applyAlignment="1" applyProtection="1" quotePrefix="1">
      <alignment horizontal="center" vertical="center" wrapText="1"/>
      <protection/>
    </xf>
    <xf numFmtId="0" fontId="30" fillId="0" borderId="16" xfId="70" applyFont="1" applyBorder="1" applyAlignment="1" applyProtection="1">
      <alignment horizontal="center" vertical="center"/>
      <protection/>
    </xf>
    <xf numFmtId="0" fontId="30" fillId="0" borderId="17" xfId="70" applyFont="1" applyBorder="1" applyAlignment="1" applyProtection="1">
      <alignment horizontal="center" vertical="center"/>
      <protection/>
    </xf>
    <xf numFmtId="0" fontId="13" fillId="0" borderId="65" xfId="70" applyFont="1" applyBorder="1" applyAlignment="1">
      <alignment horizontal="center"/>
      <protection/>
    </xf>
    <xf numFmtId="0" fontId="13" fillId="0" borderId="67" xfId="70" applyFont="1" applyBorder="1" applyAlignment="1">
      <alignment horizontal="center"/>
      <protection/>
    </xf>
    <xf numFmtId="0" fontId="13" fillId="0" borderId="65" xfId="70" applyFont="1" applyFill="1" applyBorder="1" applyAlignment="1">
      <alignment horizontal="center"/>
      <protection/>
    </xf>
    <xf numFmtId="0" fontId="13" fillId="0" borderId="67" xfId="70" applyFont="1" applyFill="1" applyBorder="1" applyAlignment="1">
      <alignment horizontal="center"/>
      <protection/>
    </xf>
    <xf numFmtId="166" fontId="13" fillId="0" borderId="60" xfId="70" applyNumberFormat="1" applyFont="1" applyBorder="1" applyAlignment="1" applyProtection="1" quotePrefix="1">
      <alignment horizontal="center"/>
      <protection/>
    </xf>
    <xf numFmtId="166" fontId="13" fillId="0" borderId="32" xfId="70" applyNumberFormat="1" applyFont="1" applyBorder="1" applyAlignment="1" applyProtection="1" quotePrefix="1">
      <alignment horizontal="center"/>
      <protection/>
    </xf>
    <xf numFmtId="166" fontId="13" fillId="0" borderId="47" xfId="70" applyNumberFormat="1" applyFont="1" applyBorder="1" applyAlignment="1" applyProtection="1" quotePrefix="1">
      <alignment horizontal="center"/>
      <protection/>
    </xf>
    <xf numFmtId="0" fontId="30" fillId="0" borderId="16" xfId="70" applyFont="1" applyFill="1" applyBorder="1" applyAlignment="1" applyProtection="1">
      <alignment horizontal="center" vertical="center"/>
      <protection/>
    </xf>
    <xf numFmtId="0" fontId="30" fillId="0" borderId="22" xfId="70" applyFont="1" applyFill="1" applyBorder="1" applyAlignment="1" applyProtection="1">
      <alignment horizontal="center" vertical="center"/>
      <protection/>
    </xf>
    <xf numFmtId="0" fontId="30" fillId="0" borderId="17" xfId="70" applyFont="1" applyFill="1" applyBorder="1" applyAlignment="1" applyProtection="1">
      <alignment horizontal="center" vertical="center"/>
      <protection/>
    </xf>
    <xf numFmtId="0" fontId="13" fillId="0" borderId="73" xfId="70" applyFont="1" applyFill="1" applyBorder="1" applyAlignment="1">
      <alignment horizontal="center"/>
      <protection/>
    </xf>
    <xf numFmtId="0" fontId="30" fillId="0" borderId="16" xfId="70" applyFont="1" applyFill="1" applyBorder="1" applyAlignment="1" applyProtection="1" quotePrefix="1">
      <alignment horizontal="center" vertical="center" wrapText="1"/>
      <protection/>
    </xf>
    <xf numFmtId="0" fontId="30" fillId="0" borderId="17" xfId="70" applyFont="1" applyFill="1" applyBorder="1" applyAlignment="1" applyProtection="1" quotePrefix="1">
      <alignment horizontal="center" vertical="center" wrapText="1"/>
      <protection/>
    </xf>
    <xf numFmtId="164" fontId="13" fillId="0" borderId="60" xfId="70" applyNumberFormat="1" applyFont="1" applyBorder="1" applyAlignment="1" applyProtection="1">
      <alignment horizontal="center"/>
      <protection/>
    </xf>
    <xf numFmtId="164" fontId="13" fillId="0" borderId="47" xfId="70" applyNumberFormat="1" applyFont="1" applyBorder="1" applyAlignment="1" applyProtection="1">
      <alignment horizontal="center"/>
      <protection/>
    </xf>
    <xf numFmtId="166" fontId="13" fillId="0" borderId="69" xfId="70" applyNumberFormat="1" applyFont="1" applyBorder="1" applyAlignment="1" applyProtection="1">
      <alignment horizontal="center"/>
      <protection/>
    </xf>
    <xf numFmtId="0" fontId="75" fillId="0" borderId="72" xfId="64" applyFont="1" applyBorder="1" applyAlignment="1" applyProtection="1">
      <alignment horizontal="center"/>
      <protection/>
    </xf>
    <xf numFmtId="0" fontId="75" fillId="0" borderId="71" xfId="64" applyFont="1" applyBorder="1" applyAlignment="1" applyProtection="1">
      <alignment horizontal="center"/>
      <protection/>
    </xf>
    <xf numFmtId="7" fontId="48" fillId="0" borderId="0" xfId="64" applyNumberFormat="1" applyFont="1" applyFill="1" applyBorder="1" applyAlignment="1">
      <alignment horizontal="center"/>
      <protection/>
    </xf>
    <xf numFmtId="7" fontId="48" fillId="0" borderId="61" xfId="64" applyNumberFormat="1" applyFont="1" applyFill="1" applyBorder="1" applyAlignment="1">
      <alignment horizontal="center"/>
      <protection/>
    </xf>
    <xf numFmtId="0" fontId="21" fillId="0" borderId="0" xfId="64" applyFont="1" applyBorder="1" applyAlignment="1" applyProtection="1">
      <alignment horizontal="center"/>
      <protection/>
    </xf>
    <xf numFmtId="0" fontId="13" fillId="0" borderId="60" xfId="72" applyFont="1" applyBorder="1" applyAlignment="1" applyProtection="1">
      <alignment horizontal="center"/>
      <protection locked="0"/>
    </xf>
    <xf numFmtId="0" fontId="0" fillId="0" borderId="47" xfId="56" applyBorder="1" applyAlignment="1">
      <alignment horizontal="center"/>
      <protection/>
    </xf>
    <xf numFmtId="0" fontId="30" fillId="0" borderId="22" xfId="64" applyFont="1" applyBorder="1" applyAlignment="1" applyProtection="1">
      <alignment horizontal="center" vertical="center"/>
      <protection/>
    </xf>
    <xf numFmtId="0" fontId="75" fillId="0" borderId="60" xfId="64" applyFont="1" applyBorder="1" applyAlignment="1" applyProtection="1">
      <alignment horizontal="center"/>
      <protection/>
    </xf>
    <xf numFmtId="0" fontId="75" fillId="0" borderId="47" xfId="64" applyFont="1" applyBorder="1" applyAlignment="1" applyProtection="1">
      <alignment horizontal="center"/>
      <protection/>
    </xf>
    <xf numFmtId="0" fontId="75" fillId="0" borderId="65" xfId="64" applyFont="1" applyBorder="1" applyAlignment="1" applyProtection="1">
      <alignment horizontal="center"/>
      <protection/>
    </xf>
    <xf numFmtId="0" fontId="75" fillId="0" borderId="67" xfId="64" applyFont="1" applyBorder="1" applyAlignment="1" applyProtection="1">
      <alignment horizontal="center"/>
      <protection/>
    </xf>
    <xf numFmtId="0" fontId="30" fillId="0" borderId="22" xfId="64" applyFont="1" applyFill="1" applyBorder="1" applyAlignment="1" applyProtection="1">
      <alignment horizontal="center" vertical="center"/>
      <protection/>
    </xf>
    <xf numFmtId="0" fontId="13" fillId="0" borderId="73" xfId="64" applyFont="1" applyFill="1" applyBorder="1" applyAlignment="1">
      <alignment horizontal="center"/>
      <protection/>
    </xf>
    <xf numFmtId="166" fontId="13" fillId="0" borderId="60" xfId="64" applyNumberFormat="1" applyFont="1" applyBorder="1" applyAlignment="1" applyProtection="1" quotePrefix="1">
      <alignment horizontal="center"/>
      <protection/>
    </xf>
    <xf numFmtId="166" fontId="13" fillId="0" borderId="32" xfId="64" applyNumberFormat="1" applyFont="1" applyBorder="1" applyAlignment="1" applyProtection="1" quotePrefix="1">
      <alignment horizontal="center"/>
      <protection/>
    </xf>
    <xf numFmtId="166" fontId="13" fillId="0" borderId="47" xfId="64" applyNumberFormat="1" applyFont="1" applyBorder="1" applyAlignment="1" applyProtection="1" quotePrefix="1">
      <alignment horizontal="center"/>
      <protection/>
    </xf>
    <xf numFmtId="0" fontId="13" fillId="0" borderId="60" xfId="64" applyFont="1" applyBorder="1" applyAlignment="1" applyProtection="1">
      <alignment horizontal="center"/>
      <protection/>
    </xf>
    <xf numFmtId="0" fontId="13" fillId="0" borderId="47" xfId="64" applyFont="1" applyBorder="1" applyAlignment="1" applyProtection="1">
      <alignment horizontal="center"/>
      <protection/>
    </xf>
    <xf numFmtId="166" fontId="13" fillId="0" borderId="69" xfId="64" applyNumberFormat="1" applyFont="1" applyBorder="1" applyAlignment="1" applyProtection="1">
      <alignment horizontal="center"/>
      <protection/>
    </xf>
    <xf numFmtId="0" fontId="3" fillId="0" borderId="71" xfId="64" applyBorder="1" applyAlignment="1">
      <alignment horizontal="center"/>
      <protection/>
    </xf>
    <xf numFmtId="0" fontId="3" fillId="0" borderId="17" xfId="64" applyBorder="1" applyAlignment="1">
      <alignment horizontal="center" vertical="center" wrapText="1"/>
      <protection/>
    </xf>
    <xf numFmtId="0" fontId="3" fillId="0" borderId="65" xfId="64" applyBorder="1" applyAlignment="1">
      <alignment/>
      <protection/>
    </xf>
    <xf numFmtId="0" fontId="3" fillId="0" borderId="67" xfId="64" applyBorder="1" applyAlignment="1">
      <alignment/>
      <protection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F0911NER" xfId="53"/>
    <cellStyle name="Moneda_Transener_V8" xfId="54"/>
    <cellStyle name="Neutral" xfId="55"/>
    <cellStyle name="Normal 2" xfId="56"/>
    <cellStyle name="Normal_A0101 ANEXO I NEA" xfId="57"/>
    <cellStyle name="Normal_A0101 ANEXO I NEA 2" xfId="58"/>
    <cellStyle name="Normal_EDENOR9604" xfId="59"/>
    <cellStyle name="Normal_EDENOR9604 2" xfId="60"/>
    <cellStyle name="Normal_EDENOR9604 3" xfId="61"/>
    <cellStyle name="Normal_F0711NER" xfId="62"/>
    <cellStyle name="Normal_F0711NER 2" xfId="63"/>
    <cellStyle name="Normal_F0911NER" xfId="64"/>
    <cellStyle name="Normal_F0911NER_A0914NER Anexo IV" xfId="65"/>
    <cellStyle name="Normal_líneas" xfId="66"/>
    <cellStyle name="Normal_TRANS" xfId="67"/>
    <cellStyle name="Normal_TRANS 2" xfId="68"/>
    <cellStyle name="Normal_TRANS 2 2" xfId="69"/>
    <cellStyle name="Normal_Transener_V8" xfId="70"/>
    <cellStyle name="Normal_Transener_V8 2" xfId="71"/>
    <cellStyle name="Normal_Transener_V8 2 2" xfId="72"/>
    <cellStyle name="Normal_Transener_V8_F0314NER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3</xdr:col>
      <xdr:colOff>304800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4953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400050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400050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0</xdr:rowOff>
    </xdr:from>
    <xdr:to>
      <xdr:col>3</xdr:col>
      <xdr:colOff>428625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524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381000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381000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1</xdr:col>
      <xdr:colOff>581025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73380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400050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9525</xdr:rowOff>
    </xdr:from>
    <xdr:to>
      <xdr:col>0</xdr:col>
      <xdr:colOff>1323975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1076325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3267075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2</xdr:col>
      <xdr:colOff>85725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6286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28575</xdr:rowOff>
    </xdr:from>
    <xdr:to>
      <xdr:col>1</xdr:col>
      <xdr:colOff>57150</xdr:colOff>
      <xdr:row>1</xdr:row>
      <xdr:rowOff>238125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4953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28575</xdr:rowOff>
    </xdr:from>
    <xdr:to>
      <xdr:col>3</xdr:col>
      <xdr:colOff>361950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28575</xdr:rowOff>
    </xdr:from>
    <xdr:to>
      <xdr:col>3</xdr:col>
      <xdr:colOff>381000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8575"/>
          <a:ext cx="6286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409575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28575</xdr:rowOff>
    </xdr:from>
    <xdr:to>
      <xdr:col>3</xdr:col>
      <xdr:colOff>428625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304800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3</xdr:col>
      <xdr:colOff>323850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3</xdr:col>
      <xdr:colOff>400050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711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3\F0713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3\F0413N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311N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yola\AppData\Local\Temp\notesF87098\F0914N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yola\AppData\Local\Temp\notesF87098\F1114N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711"/>
      <sheetName val="LI-07 (1)"/>
      <sheetName val="LI-07 (2)"/>
      <sheetName val="LI-YACY-07 (1)"/>
      <sheetName val="LI-INTESAR4-07 (1)"/>
      <sheetName val="LI-RIOJA-07 (1)"/>
      <sheetName val="TR-07 (1)"/>
      <sheetName val="TR-COBRA-06 (1)"/>
      <sheetName val="TR-LITSA-07 (1)"/>
      <sheetName val="TR-LINSA-07 (1)"/>
      <sheetName val="TR-INTESAR4-07 (1)"/>
      <sheetName val="SA-07 (1)"/>
      <sheetName val="SA-TIBA-07 (1)"/>
      <sheetName val=" SA- LITSA-07 (1)"/>
      <sheetName val="SA-LIMSA-07 (1)"/>
      <sheetName val="SA-INTESAR 4-07 (1)"/>
      <sheetName val="SA-TRANSPORTEL-07 (1)"/>
      <sheetName val="RE-07 (1)"/>
      <sheetName val="RE-IV-07 (1)"/>
      <sheetName val="CAUSAS-VST-07 (1)"/>
      <sheetName val="SUP-YACYLEC"/>
      <sheetName val="SUP-INTESAR 4"/>
      <sheetName val="SUP-LITSA"/>
      <sheetName val="SUP-TIBA"/>
      <sheetName val="SUP-LIMSA"/>
      <sheetName val="SUP-TRANSPORTEL"/>
      <sheetName val="SUP-COBRA"/>
      <sheetName val="TASA FALLA"/>
      <sheetName val="DATO"/>
      <sheetName val="TR-COBRA-07 (1)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712"/>
      <sheetName val="LI-07 (1)"/>
      <sheetName val="LI-07 (2)"/>
      <sheetName val="LI-INTESA4-07 (1)"/>
      <sheetName val="TR-07 (1)"/>
      <sheetName val="TR-TIBA-07 (1)"/>
      <sheetName val="SA-07 (1)"/>
      <sheetName val="SA-07 (2)"/>
      <sheetName val="SA-TIBA-07 (1)"/>
      <sheetName val="SA-INTESA3-07 (1)"/>
      <sheetName val="SA-LINSA-07 (1)"/>
      <sheetName val="RE-07(1)"/>
      <sheetName val="RE-YACYLEC-07 (1)"/>
      <sheetName val="SUP-YACYLEC"/>
      <sheetName val="SUP-LINSA"/>
      <sheetName val="SUP-TIBA"/>
      <sheetName val="SUP-INTESAR3"/>
      <sheetName val="SUP-INTESAR 4"/>
      <sheetName val="DAG"/>
      <sheetName val="DATO"/>
    </sheetNames>
    <definedNames>
      <definedName name="Actualizar_Referencia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412"/>
      <sheetName val="LI-04 (1)"/>
      <sheetName val="LI-YACY-04 (1)"/>
      <sheetName val="LI-IV-04 (1)"/>
      <sheetName val="TR-04 (1)"/>
      <sheetName val="SA-04 (1)"/>
      <sheetName val="SA-04 (2)"/>
      <sheetName val="SA-TIBA-04 (1)"/>
      <sheetName val="SA-LINSA-04 (1)"/>
      <sheetName val="SA-LICCSA-04 (1)"/>
      <sheetName val="RE-04 (1)"/>
      <sheetName val="RE IV-04 (1)"/>
      <sheetName val="SUP-YACYLEC"/>
      <sheetName val="SUP-TIBA"/>
      <sheetName val="SUP-LINSA"/>
      <sheetName val="SUP-LICCSA"/>
      <sheetName val="DATO"/>
    </sheetNames>
    <definedNames>
      <definedName name="Actualizar_Referencia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311"/>
      <sheetName val="LI-03 (1)"/>
      <sheetName val="LI-INTESAR-03 (1)"/>
      <sheetName val="LI-LINSA-03 (1)"/>
      <sheetName val="TR-03 (1)"/>
      <sheetName val="SA-03 (1)"/>
      <sheetName val="SA-03 (2)"/>
      <sheetName val="SA-LINSA (1)"/>
      <sheetName val="SA-TIBA-03 (1)"/>
      <sheetName val="RE-03 (1)"/>
      <sheetName val="RE-YACY-03 (1)"/>
      <sheetName val="RE-IV-03 (1)"/>
      <sheetName val="SUP-YACYLEC"/>
      <sheetName val="SUP-TIBA"/>
      <sheetName val="SUP-LINSA"/>
      <sheetName val="SUP-INTESAR 2"/>
      <sheetName val="TASA FALLA"/>
      <sheetName val="DATO"/>
    </sheetNames>
    <definedNames>
      <definedName name="Actualizar_Referencias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-0914"/>
      <sheetName val="LI-09 (1)"/>
      <sheetName val="LI-09 (2)"/>
      <sheetName val="LI-INTESA4-09 (1)"/>
      <sheetName val="LI-LIMSA-09 (1)"/>
      <sheetName val="TR-09 (1)"/>
      <sheetName val="TR-LIMSA-09 (1)"/>
      <sheetName val="TR-TIBA-09 (1)"/>
      <sheetName val="SA-09 (1)"/>
      <sheetName val="SA-09 (2)"/>
      <sheetName val="SA-ESPERANZA-09 (1)"/>
      <sheetName val="SA-LIMSA-09 (1)"/>
      <sheetName val="SA-LINSA-09 (1)"/>
      <sheetName val="SA-TIBA-09 (1)"/>
      <sheetName val="RE-09 (1)"/>
      <sheetName val="RE-Res.01_03"/>
      <sheetName val="RE-LITSA-09 (1)"/>
      <sheetName val="RE-LIMSA-09 (1)"/>
      <sheetName val="RE-YACY-09 (1)"/>
      <sheetName val="VST-09 (1)"/>
      <sheetName val="SUP-LITSA"/>
      <sheetName val="SUP-LIMSA"/>
      <sheetName val="SUP-LINSA"/>
      <sheetName val="SUP-TIBA"/>
      <sheetName val="SUP-YACYLEC"/>
      <sheetName val="DATO"/>
    </sheetNames>
    <definedNames>
      <definedName name="Actualizar_Referencias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-1114"/>
      <sheetName val="LI-11 (1)"/>
      <sheetName val="LI-11 (2)"/>
      <sheetName val="LI-INTESA4-11 (1)"/>
      <sheetName val="LI-YACY-11 (1)"/>
      <sheetName val="TR-11 (1)"/>
      <sheetName val="TR-ESPERANZA-11 (1)"/>
      <sheetName val="TR-ENECOR-11 (1)"/>
      <sheetName val="TR-INTESAR4-11 (1)"/>
      <sheetName val="TR-INTESAR-11 (1)"/>
      <sheetName val="TR-LITSA SG-11 (1)"/>
      <sheetName val="TR-TIBA-11 (1)"/>
      <sheetName val="SA-11 (1)"/>
      <sheetName val="SA-11 (2)"/>
      <sheetName val="SA-ESPERANZA-11 (1)"/>
      <sheetName val="SA-ENECOR-11 (1)"/>
      <sheetName val="SA-TESA-11 (1)"/>
      <sheetName val="SA-TIBA-11 (1)"/>
      <sheetName val="RE-11 (1)"/>
      <sheetName val="RE-LITSA-11 (1)"/>
      <sheetName val="RE-YACY-11 (1)"/>
      <sheetName val="VST-11- (1)"/>
      <sheetName val="SUP-ENECOR"/>
      <sheetName val="SUP-INTESAR"/>
      <sheetName val="SUP-LITSA"/>
      <sheetName val="SUP-LITSA T. SG"/>
      <sheetName val="SUP-TESA"/>
      <sheetName val="SUP-TIBA"/>
      <sheetName val="SUP-YACYLEC"/>
      <sheetName val="DATO"/>
    </sheetNames>
    <definedNames>
      <definedName name="Actualizar_Referencias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Grafico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EE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DY23">
            <v>1</v>
          </cell>
          <cell r="EA23">
            <v>1</v>
          </cell>
          <cell r="EG23">
            <v>1</v>
          </cell>
          <cell r="EI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EC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DZ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DX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DX46" t="str">
            <v>XXXX</v>
          </cell>
          <cell r="DY46" t="str">
            <v>XXXX</v>
          </cell>
          <cell r="DZ46" t="str">
            <v>XXXX</v>
          </cell>
          <cell r="EA46" t="str">
            <v>XXXX</v>
          </cell>
          <cell r="EB46" t="str">
            <v>XXXX</v>
          </cell>
          <cell r="EC46" t="str">
            <v>XXXX</v>
          </cell>
          <cell r="ED46" t="str">
            <v>XXXX</v>
          </cell>
          <cell r="EE46" t="str">
            <v>XXXX</v>
          </cell>
          <cell r="EF46" t="str">
            <v>XXXX</v>
          </cell>
          <cell r="EG46" t="str">
            <v>XXXX</v>
          </cell>
          <cell r="EH46" t="str">
            <v>XXXX</v>
          </cell>
          <cell r="EI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DX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  <cell r="DZ49">
            <v>1</v>
          </cell>
          <cell r="EF49">
            <v>2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EH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DX54" t="str">
            <v>XXXX</v>
          </cell>
          <cell r="DY54" t="str">
            <v>XXXX</v>
          </cell>
          <cell r="DZ54" t="str">
            <v>XXXX</v>
          </cell>
          <cell r="EA54" t="str">
            <v>XXXX</v>
          </cell>
          <cell r="EB54" t="str">
            <v>XXXX</v>
          </cell>
          <cell r="EC54" t="str">
            <v>XXXX</v>
          </cell>
          <cell r="ED54" t="str">
            <v>XXXX</v>
          </cell>
          <cell r="EE54" t="str">
            <v>XXXX</v>
          </cell>
          <cell r="EF54" t="str">
            <v>XXXX</v>
          </cell>
          <cell r="EG54" t="str">
            <v>XXXX</v>
          </cell>
          <cell r="EH54" t="str">
            <v>XXXX</v>
          </cell>
          <cell r="EI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DX57" t="str">
            <v>XXXX</v>
          </cell>
          <cell r="DY57" t="str">
            <v>XXXX</v>
          </cell>
          <cell r="DZ57" t="str">
            <v>XXXX</v>
          </cell>
          <cell r="EA57" t="str">
            <v>XXXX</v>
          </cell>
          <cell r="EB57" t="str">
            <v>XXXX</v>
          </cell>
          <cell r="EC57" t="str">
            <v>XXXX</v>
          </cell>
          <cell r="ED57" t="str">
            <v>XXXX</v>
          </cell>
          <cell r="EE57" t="str">
            <v>XXXX</v>
          </cell>
          <cell r="EF57" t="str">
            <v>XXXX</v>
          </cell>
          <cell r="EG57" t="str">
            <v>XXXX</v>
          </cell>
          <cell r="EH57" t="str">
            <v>XXXX</v>
          </cell>
          <cell r="EI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ED58">
            <v>1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ED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DX60">
            <v>1</v>
          </cell>
          <cell r="EE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DX61" t="str">
            <v>XXXX</v>
          </cell>
          <cell r="DY61" t="str">
            <v>XXXX</v>
          </cell>
          <cell r="DZ61" t="str">
            <v>XXXX</v>
          </cell>
          <cell r="EA61" t="str">
            <v>XXXX</v>
          </cell>
          <cell r="EB61" t="str">
            <v>XXXX</v>
          </cell>
          <cell r="EC61" t="str">
            <v>XXXX</v>
          </cell>
          <cell r="ED61" t="str">
            <v>XXXX</v>
          </cell>
          <cell r="EE61" t="str">
            <v>XXXX</v>
          </cell>
          <cell r="EF61" t="str">
            <v>XXXX</v>
          </cell>
          <cell r="EG61" t="str">
            <v>XXXX</v>
          </cell>
          <cell r="EH61" t="str">
            <v>XXXX</v>
          </cell>
          <cell r="EI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  <cell r="DY62">
            <v>1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EH67">
            <v>1</v>
          </cell>
          <cell r="EI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  <cell r="EH68">
            <v>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DY71">
            <v>1</v>
          </cell>
          <cell r="ED71">
            <v>1</v>
          </cell>
          <cell r="EI71">
            <v>2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  <cell r="DX72">
            <v>1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ED73">
            <v>1</v>
          </cell>
          <cell r="EF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  <cell r="EI75">
            <v>1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  <cell r="DX79">
            <v>1</v>
          </cell>
          <cell r="DY79">
            <v>1</v>
          </cell>
          <cell r="EA79">
            <v>1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  <cell r="EB87">
            <v>1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DX89" t="str">
            <v>XXXX</v>
          </cell>
          <cell r="DY89" t="str">
            <v>XXXX</v>
          </cell>
          <cell r="DZ89" t="str">
            <v>XXXX</v>
          </cell>
          <cell r="EA89" t="str">
            <v>XXXX</v>
          </cell>
          <cell r="EB89" t="str">
            <v>XXXX</v>
          </cell>
          <cell r="EC89" t="str">
            <v>XXXX</v>
          </cell>
          <cell r="ED89" t="str">
            <v>XXXX</v>
          </cell>
          <cell r="EE89" t="str">
            <v>XXXX</v>
          </cell>
          <cell r="EF89" t="str">
            <v>XXXX</v>
          </cell>
          <cell r="EG89" t="str">
            <v>XXXX</v>
          </cell>
          <cell r="EH89" t="str">
            <v>XXXX</v>
          </cell>
          <cell r="EI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</row>
        <row r="104">
          <cell r="DX104">
            <v>0.56</v>
          </cell>
          <cell r="DY104">
            <v>0.54</v>
          </cell>
          <cell r="DZ104">
            <v>0.54</v>
          </cell>
          <cell r="EA104">
            <v>0.52</v>
          </cell>
          <cell r="EB104">
            <v>0.47</v>
          </cell>
          <cell r="EC104">
            <v>0.43</v>
          </cell>
          <cell r="ED104">
            <v>0.36</v>
          </cell>
          <cell r="EE104">
            <v>0.37</v>
          </cell>
          <cell r="EF104">
            <v>0.36</v>
          </cell>
          <cell r="EG104">
            <v>0.34</v>
          </cell>
          <cell r="EH104">
            <v>0.34</v>
          </cell>
          <cell r="EI104">
            <v>0.34</v>
          </cell>
          <cell r="EJ104">
            <v>0.33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9.57421875" style="8" customWidth="1"/>
    <col min="6" max="6" width="17.00390625" style="8" customWidth="1"/>
    <col min="7" max="7" width="19.8515625" style="8" customWidth="1"/>
    <col min="8" max="8" width="39.421875" style="8" customWidth="1"/>
    <col min="9" max="9" width="22.140625" style="8" customWidth="1"/>
    <col min="10" max="10" width="5.57421875" style="8" customWidth="1"/>
    <col min="11" max="11" width="5.14062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386</v>
      </c>
      <c r="C2" s="6"/>
      <c r="D2" s="7"/>
      <c r="E2" s="7"/>
      <c r="F2" s="7"/>
      <c r="G2" s="7"/>
      <c r="H2" s="7"/>
      <c r="I2" s="7"/>
      <c r="J2" s="7"/>
    </row>
    <row r="3" spans="3:19" ht="12.75">
      <c r="C3" s="9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s="18" customFormat="1" ht="20.25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8" customFormat="1" ht="20.25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4:19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8" customFormat="1" ht="20.25">
      <c r="B11" s="19" t="s">
        <v>332</v>
      </c>
      <c r="C11" s="25"/>
      <c r="D11" s="26"/>
      <c r="E11" s="26"/>
      <c r="F11" s="21"/>
      <c r="G11" s="21"/>
      <c r="H11" s="21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</row>
    <row r="12" spans="4:19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7" customFormat="1" ht="16.5" thickTop="1">
      <c r="B13" s="30"/>
      <c r="C13" s="31"/>
      <c r="D13" s="31"/>
      <c r="E13" s="32"/>
      <c r="F13" s="31"/>
      <c r="G13" s="31"/>
      <c r="H13" s="31"/>
      <c r="I13" s="31"/>
      <c r="J13" s="3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4" customFormat="1" ht="19.5">
      <c r="B14" s="35" t="s">
        <v>191</v>
      </c>
      <c r="C14" s="36"/>
      <c r="D14" s="37"/>
      <c r="E14" s="38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8"/>
      <c r="K15" s="42"/>
      <c r="L15" s="42"/>
      <c r="M15" s="42"/>
      <c r="N15" s="42"/>
      <c r="O15" s="42"/>
      <c r="P15" s="42"/>
      <c r="Q15" s="42"/>
      <c r="R15" s="42"/>
      <c r="S15" s="42"/>
    </row>
    <row r="16" spans="2:19" s="34" customFormat="1" ht="19.5">
      <c r="B16" s="43"/>
      <c r="C16" s="2236" t="s">
        <v>4</v>
      </c>
      <c r="D16" s="2237" t="s">
        <v>5</v>
      </c>
      <c r="E16" s="2238"/>
      <c r="F16" s="2239"/>
      <c r="G16" s="2239"/>
      <c r="H16" s="2239"/>
      <c r="I16" s="50"/>
      <c r="J16" s="48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34" customFormat="1" ht="19.5">
      <c r="B17" s="43"/>
      <c r="C17" s="2236"/>
      <c r="D17" s="2237">
        <v>11</v>
      </c>
      <c r="E17" s="2240" t="s">
        <v>6</v>
      </c>
      <c r="F17" s="2239"/>
      <c r="G17" s="2239"/>
      <c r="H17" s="2239"/>
      <c r="I17" s="50">
        <f>'LI-12 (1)'!AE43</f>
        <v>511877.73</v>
      </c>
      <c r="J17" s="48"/>
      <c r="K17" s="42"/>
      <c r="L17" s="42"/>
      <c r="M17" s="42"/>
      <c r="N17" s="42"/>
      <c r="O17" s="42"/>
      <c r="P17" s="42"/>
      <c r="Q17" s="42"/>
      <c r="R17" s="42"/>
      <c r="S17" s="42"/>
    </row>
    <row r="18" spans="2:19" s="34" customFormat="1" ht="19.5">
      <c r="B18" s="43"/>
      <c r="C18" s="2236"/>
      <c r="D18" s="2237">
        <v>12</v>
      </c>
      <c r="E18" s="2240" t="s">
        <v>7</v>
      </c>
      <c r="F18" s="2239"/>
      <c r="G18" s="2239"/>
      <c r="H18" s="2239"/>
      <c r="I18" s="50">
        <f>'LI-YACY-12 (1)'!AE41</f>
        <v>9043.88</v>
      </c>
      <c r="J18" s="48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34" customFormat="1" ht="19.5">
      <c r="B19" s="43"/>
      <c r="C19" s="2236"/>
      <c r="D19" s="2237">
        <v>13</v>
      </c>
      <c r="E19" s="2240" t="s">
        <v>286</v>
      </c>
      <c r="F19" s="2239"/>
      <c r="G19" s="2239"/>
      <c r="H19" s="2239"/>
      <c r="I19" s="50">
        <f>'LI-LICCSA (1)'!AE41</f>
        <v>1800.52</v>
      </c>
      <c r="J19" s="48"/>
      <c r="K19" s="42"/>
      <c r="L19" s="42"/>
      <c r="M19" s="42"/>
      <c r="N19" s="42"/>
      <c r="O19" s="42"/>
      <c r="P19" s="42"/>
      <c r="Q19" s="42"/>
      <c r="R19" s="42"/>
      <c r="S19" s="42"/>
    </row>
    <row r="20" spans="2:19" s="34" customFormat="1" ht="19.5">
      <c r="B20" s="43"/>
      <c r="C20" s="2236"/>
      <c r="D20" s="2237">
        <v>14</v>
      </c>
      <c r="E20" s="2240" t="s">
        <v>9</v>
      </c>
      <c r="F20" s="2239"/>
      <c r="G20" s="2239"/>
      <c r="H20" s="2239"/>
      <c r="I20" s="50">
        <f>'LI-IV-12 (1)'!AE43</f>
        <v>40921.63</v>
      </c>
      <c r="J20" s="48"/>
      <c r="K20" s="42"/>
      <c r="L20" s="42"/>
      <c r="M20" s="42"/>
      <c r="N20" s="42"/>
      <c r="O20" s="42"/>
      <c r="P20" s="42"/>
      <c r="Q20" s="42"/>
      <c r="R20" s="42"/>
      <c r="S20" s="42"/>
    </row>
    <row r="21" spans="2:19" s="34" customFormat="1" ht="19.5">
      <c r="B21" s="43"/>
      <c r="C21" s="2236"/>
      <c r="D21" s="2237">
        <v>15</v>
      </c>
      <c r="E21" s="2240" t="s">
        <v>349</v>
      </c>
      <c r="F21" s="2239"/>
      <c r="G21" s="2239"/>
      <c r="H21" s="2239"/>
      <c r="I21" s="50">
        <f>'LI-INTESA4-10 (1)'!AE41</f>
        <v>605.67</v>
      </c>
      <c r="J21" s="48"/>
      <c r="K21" s="42"/>
      <c r="L21" s="42"/>
      <c r="M21" s="42"/>
      <c r="N21" s="42"/>
      <c r="O21" s="42"/>
      <c r="P21" s="42"/>
      <c r="Q21" s="42"/>
      <c r="R21" s="42"/>
      <c r="S21" s="42"/>
    </row>
    <row r="22" spans="2:19" s="34" customFormat="1" ht="19.5">
      <c r="B22" s="43"/>
      <c r="C22" s="2236"/>
      <c r="D22" s="2237"/>
      <c r="E22" s="2237" t="s">
        <v>336</v>
      </c>
      <c r="F22" s="2240" t="s">
        <v>353</v>
      </c>
      <c r="G22" s="2239"/>
      <c r="H22" s="2239"/>
      <c r="I22" s="50">
        <f>+'Incendio INTESAR 4'!AD28</f>
        <v>4651.93</v>
      </c>
      <c r="J22" s="48"/>
      <c r="K22" s="42"/>
      <c r="L22" s="42"/>
      <c r="M22" s="42"/>
      <c r="N22" s="42"/>
      <c r="O22" s="42"/>
      <c r="P22" s="42"/>
      <c r="Q22" s="42"/>
      <c r="R22" s="42"/>
      <c r="S22" s="42"/>
    </row>
    <row r="23" spans="2:19" s="34" customFormat="1" ht="19.5">
      <c r="B23" s="43"/>
      <c r="C23" s="2236"/>
      <c r="D23" s="2237">
        <v>16</v>
      </c>
      <c r="E23" s="2240" t="s">
        <v>19</v>
      </c>
      <c r="F23" s="2239"/>
      <c r="G23" s="2239"/>
      <c r="H23" s="2239"/>
      <c r="I23" s="50">
        <f>'LI-LINSA-04 (1)'!AE41</f>
        <v>192.22</v>
      </c>
      <c r="J23" s="48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.75" customHeight="1">
      <c r="A24" s="34"/>
      <c r="B24" s="53"/>
      <c r="C24" s="2241"/>
      <c r="D24" s="2237"/>
      <c r="E24" s="2242"/>
      <c r="F24" s="2243"/>
      <c r="G24" s="2243"/>
      <c r="H24" s="2243"/>
      <c r="I24" s="54"/>
      <c r="J24" s="55"/>
      <c r="K24" s="42"/>
      <c r="L24" s="11"/>
      <c r="M24" s="11"/>
      <c r="N24" s="11"/>
      <c r="O24" s="11"/>
      <c r="P24" s="11"/>
      <c r="Q24" s="11"/>
      <c r="R24" s="11"/>
      <c r="S24" s="11"/>
    </row>
    <row r="25" spans="2:19" s="34" customFormat="1" ht="19.5">
      <c r="B25" s="43"/>
      <c r="C25" s="2236" t="s">
        <v>10</v>
      </c>
      <c r="D25" s="2244" t="s">
        <v>11</v>
      </c>
      <c r="E25" s="2238"/>
      <c r="F25" s="2239"/>
      <c r="G25" s="2239"/>
      <c r="H25" s="2239"/>
      <c r="I25" s="52"/>
      <c r="J25" s="48"/>
      <c r="K25" s="42"/>
      <c r="L25" s="42"/>
      <c r="M25" s="42"/>
      <c r="N25" s="42"/>
      <c r="O25" s="42"/>
      <c r="P25" s="42"/>
      <c r="Q25" s="42"/>
      <c r="R25" s="42"/>
      <c r="S25" s="42"/>
    </row>
    <row r="26" spans="2:19" s="34" customFormat="1" ht="19.5">
      <c r="B26" s="43"/>
      <c r="C26" s="2236"/>
      <c r="D26" s="2237">
        <v>21</v>
      </c>
      <c r="E26" s="2240" t="s">
        <v>12</v>
      </c>
      <c r="F26" s="2239"/>
      <c r="G26" s="2239"/>
      <c r="H26" s="2239"/>
      <c r="I26" s="52"/>
      <c r="J26" s="48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4" customFormat="1" ht="19.5">
      <c r="B27" s="43"/>
      <c r="C27" s="2236"/>
      <c r="D27" s="2237"/>
      <c r="E27" s="2245">
        <v>211</v>
      </c>
      <c r="F27" s="2246" t="s">
        <v>6</v>
      </c>
      <c r="G27" s="2239"/>
      <c r="H27" s="2239"/>
      <c r="I27" s="52">
        <f>'TR-12 (1)'!AC43</f>
        <v>165144.6</v>
      </c>
      <c r="J27" s="48"/>
      <c r="K27" s="42"/>
      <c r="L27" s="42"/>
      <c r="M27" s="42"/>
      <c r="N27" s="42"/>
      <c r="O27" s="42"/>
      <c r="P27" s="42"/>
      <c r="Q27" s="42"/>
      <c r="R27" s="42"/>
      <c r="S27" s="42"/>
    </row>
    <row r="28" spans="1:19" s="34" customFormat="1" ht="19.5">
      <c r="A28" s="34" t="s">
        <v>385</v>
      </c>
      <c r="B28" s="43"/>
      <c r="C28" s="2236"/>
      <c r="D28" s="2237"/>
      <c r="E28" s="2245">
        <v>212</v>
      </c>
      <c r="F28" s="2246" t="s">
        <v>382</v>
      </c>
      <c r="G28" s="2239"/>
      <c r="H28" s="2239"/>
      <c r="I28" s="52">
        <f>'TR-LITSA SG-07 (1)'!AD43</f>
        <v>1818.13</v>
      </c>
      <c r="J28" s="48"/>
      <c r="K28" s="42"/>
      <c r="L28" s="42"/>
      <c r="M28" s="42"/>
      <c r="N28" s="42"/>
      <c r="O28" s="42"/>
      <c r="P28" s="42"/>
      <c r="Q28" s="42"/>
      <c r="R28" s="42"/>
      <c r="S28" s="42"/>
    </row>
    <row r="29" spans="2:19" s="34" customFormat="1" ht="19.5">
      <c r="B29" s="43"/>
      <c r="C29" s="2236"/>
      <c r="D29" s="2237"/>
      <c r="E29" s="2245">
        <v>213</v>
      </c>
      <c r="F29" s="2246" t="s">
        <v>13</v>
      </c>
      <c r="G29" s="2239"/>
      <c r="H29" s="2239"/>
      <c r="I29" s="52">
        <f>'TR-TIBA-12 (1)'!AC41</f>
        <v>3310.01</v>
      </c>
      <c r="J29" s="48"/>
      <c r="K29" s="42"/>
      <c r="L29" s="42"/>
      <c r="M29" s="42"/>
      <c r="N29" s="42"/>
      <c r="O29" s="42"/>
      <c r="P29" s="42"/>
      <c r="Q29" s="42"/>
      <c r="R29" s="42"/>
      <c r="S29" s="42"/>
    </row>
    <row r="30" spans="2:19" s="34" customFormat="1" ht="19.5">
      <c r="B30" s="43"/>
      <c r="C30" s="2236"/>
      <c r="D30" s="2237">
        <v>22</v>
      </c>
      <c r="E30" s="2240" t="s">
        <v>14</v>
      </c>
      <c r="F30" s="2239"/>
      <c r="G30" s="2239"/>
      <c r="H30" s="2239"/>
      <c r="I30" s="50"/>
      <c r="J30" s="48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34" customFormat="1" ht="19.5">
      <c r="B31" s="43"/>
      <c r="C31" s="2236"/>
      <c r="D31" s="2237"/>
      <c r="E31" s="2245">
        <v>221</v>
      </c>
      <c r="F31" s="2246" t="s">
        <v>6</v>
      </c>
      <c r="G31" s="2239"/>
      <c r="H31" s="2239"/>
      <c r="I31" s="50">
        <f>'SA-12 (1)'!V47</f>
        <v>183892.89</v>
      </c>
      <c r="J31" s="48"/>
      <c r="K31" s="42"/>
      <c r="L31" s="42"/>
      <c r="M31" s="42"/>
      <c r="N31" s="42"/>
      <c r="O31" s="42"/>
      <c r="P31" s="42"/>
      <c r="Q31" s="42"/>
      <c r="R31" s="42"/>
      <c r="S31" s="42"/>
    </row>
    <row r="32" spans="2:19" s="34" customFormat="1" ht="19.5">
      <c r="B32" s="43"/>
      <c r="C32" s="2236"/>
      <c r="D32" s="2237"/>
      <c r="E32" s="2245">
        <v>222</v>
      </c>
      <c r="F32" s="2246" t="s">
        <v>13</v>
      </c>
      <c r="G32" s="2239"/>
      <c r="H32" s="2239"/>
      <c r="I32" s="50">
        <f>'SA-TIBA-12 (1)'!V43</f>
        <v>47920.72</v>
      </c>
      <c r="J32" s="48"/>
      <c r="K32" s="42"/>
      <c r="L32" s="42"/>
      <c r="M32" s="42"/>
      <c r="N32" s="42"/>
      <c r="O32" s="42"/>
      <c r="P32" s="42"/>
      <c r="Q32" s="42"/>
      <c r="R32" s="42"/>
      <c r="S32" s="42"/>
    </row>
    <row r="33" spans="2:19" s="34" customFormat="1" ht="19.5">
      <c r="B33" s="43"/>
      <c r="C33" s="2236"/>
      <c r="D33" s="2237"/>
      <c r="E33" s="2245">
        <v>223</v>
      </c>
      <c r="F33" s="2246" t="s">
        <v>286</v>
      </c>
      <c r="G33" s="2239"/>
      <c r="H33" s="2239"/>
      <c r="I33" s="50">
        <f>'SA-LICCSA-03 (1)'!V45</f>
        <v>11861.51</v>
      </c>
      <c r="J33" s="48"/>
      <c r="K33" s="42"/>
      <c r="L33" s="42"/>
      <c r="M33" s="42"/>
      <c r="N33" s="42"/>
      <c r="O33" s="42"/>
      <c r="P33" s="42"/>
      <c r="Q33" s="42"/>
      <c r="R33" s="42"/>
      <c r="S33" s="42"/>
    </row>
    <row r="34" spans="2:19" s="34" customFormat="1" ht="19.5">
      <c r="B34" s="43"/>
      <c r="C34" s="2236"/>
      <c r="D34" s="2237"/>
      <c r="E34" s="2245">
        <v>224</v>
      </c>
      <c r="F34" s="2240" t="s">
        <v>352</v>
      </c>
      <c r="G34" s="2239"/>
      <c r="H34" s="2239"/>
      <c r="I34" s="52">
        <f>'SA-TRANSPORTEL-10 (1)'!V41</f>
        <v>2749.96</v>
      </c>
      <c r="J34" s="48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.75" customHeight="1">
      <c r="A35" s="34"/>
      <c r="B35" s="53"/>
      <c r="C35" s="2241"/>
      <c r="D35" s="2237"/>
      <c r="E35" s="2242"/>
      <c r="F35" s="2243"/>
      <c r="G35" s="2243"/>
      <c r="H35" s="2243"/>
      <c r="I35" s="58"/>
      <c r="J35" s="55"/>
      <c r="K35" s="42"/>
      <c r="L35" s="11"/>
      <c r="M35" s="11"/>
      <c r="N35" s="11"/>
      <c r="O35" s="11"/>
      <c r="P35" s="11"/>
      <c r="Q35" s="11"/>
      <c r="R35" s="11"/>
      <c r="S35" s="11"/>
    </row>
    <row r="36" spans="2:19" s="34" customFormat="1" ht="19.5">
      <c r="B36" s="43"/>
      <c r="C36" s="2236" t="s">
        <v>15</v>
      </c>
      <c r="D36" s="2244" t="s">
        <v>16</v>
      </c>
      <c r="E36" s="2238"/>
      <c r="F36" s="2239"/>
      <c r="G36" s="2239"/>
      <c r="H36" s="2239"/>
      <c r="I36" s="50"/>
      <c r="J36" s="48"/>
      <c r="K36" s="42"/>
      <c r="L36" s="42"/>
      <c r="M36" s="42"/>
      <c r="N36" s="42"/>
      <c r="O36" s="42"/>
      <c r="P36" s="42"/>
      <c r="Q36" s="42"/>
      <c r="R36" s="42"/>
      <c r="S36" s="42"/>
    </row>
    <row r="37" spans="2:19" s="34" customFormat="1" ht="19.5">
      <c r="B37" s="43"/>
      <c r="C37" s="2236"/>
      <c r="D37" s="2237">
        <v>31</v>
      </c>
      <c r="E37" s="2240" t="s">
        <v>6</v>
      </c>
      <c r="F37" s="2239"/>
      <c r="G37" s="2239"/>
      <c r="H37" s="2239"/>
      <c r="I37" s="50">
        <f>'RE-12 (1)'!Z36</f>
        <v>451201.79</v>
      </c>
      <c r="J37" s="48"/>
      <c r="K37" s="42"/>
      <c r="L37" s="42"/>
      <c r="M37" s="42"/>
      <c r="N37" s="42"/>
      <c r="O37" s="42"/>
      <c r="P37" s="42"/>
      <c r="Q37" s="42"/>
      <c r="R37" s="42"/>
      <c r="S37" s="42"/>
    </row>
    <row r="38" spans="2:19" s="34" customFormat="1" ht="19.5">
      <c r="B38" s="43"/>
      <c r="C38" s="2236"/>
      <c r="D38" s="2237">
        <v>32</v>
      </c>
      <c r="E38" s="2240" t="s">
        <v>7</v>
      </c>
      <c r="F38" s="2239"/>
      <c r="G38" s="2239"/>
      <c r="H38" s="2239"/>
      <c r="I38" s="50">
        <f>'RE-YACY-11 (1)'!Z43</f>
        <v>91327.4</v>
      </c>
      <c r="J38" s="48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34" customFormat="1" ht="19.5">
      <c r="B39" s="43"/>
      <c r="C39" s="2236"/>
      <c r="D39" s="2237">
        <v>33</v>
      </c>
      <c r="E39" s="2240" t="s">
        <v>8</v>
      </c>
      <c r="F39" s="2239"/>
      <c r="G39" s="2239"/>
      <c r="H39" s="2239"/>
      <c r="I39" s="50">
        <f>'RE-LINSA- (1)'!Z43</f>
        <v>6471.36</v>
      </c>
      <c r="J39" s="48"/>
      <c r="K39" s="42"/>
      <c r="L39" s="42"/>
      <c r="M39" s="42"/>
      <c r="N39" s="42"/>
      <c r="O39" s="42"/>
      <c r="P39" s="42"/>
      <c r="Q39" s="42"/>
      <c r="R39" s="42"/>
      <c r="S39" s="42"/>
    </row>
    <row r="40" spans="2:19" s="34" customFormat="1" ht="12.75" customHeight="1">
      <c r="B40" s="43"/>
      <c r="C40" s="2236"/>
      <c r="D40" s="2237"/>
      <c r="E40" s="2240"/>
      <c r="F40" s="2239"/>
      <c r="G40" s="2239"/>
      <c r="H40" s="2239"/>
      <c r="I40" s="50"/>
      <c r="J40" s="48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34" customFormat="1" ht="19.5">
      <c r="B41" s="43"/>
      <c r="C41" s="2236" t="s">
        <v>17</v>
      </c>
      <c r="D41" s="2244" t="s">
        <v>18</v>
      </c>
      <c r="E41" s="2238"/>
      <c r="F41" s="2239"/>
      <c r="G41" s="2239"/>
      <c r="H41" s="2239"/>
      <c r="I41" s="50"/>
      <c r="J41" s="48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34" customFormat="1" ht="19.5">
      <c r="B42" s="43"/>
      <c r="C42" s="2236"/>
      <c r="D42" s="2237">
        <v>41</v>
      </c>
      <c r="E42" s="2240" t="s">
        <v>7</v>
      </c>
      <c r="F42" s="2239"/>
      <c r="G42" s="2239"/>
      <c r="H42" s="2239"/>
      <c r="I42" s="50">
        <f>'SUP-YACYLEC (2)'!K71</f>
        <v>67684.71298735817</v>
      </c>
      <c r="J42" s="48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34" customFormat="1" ht="19.5">
      <c r="B43" s="43"/>
      <c r="C43" s="2236"/>
      <c r="D43" s="2237">
        <v>42</v>
      </c>
      <c r="E43" s="2240" t="s">
        <v>384</v>
      </c>
      <c r="F43" s="2239"/>
      <c r="G43" s="2239"/>
      <c r="H43" s="2239"/>
      <c r="I43" s="50">
        <f>'SUP-LITSA'!K78</f>
        <v>727.2528000000002</v>
      </c>
      <c r="J43" s="48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34" customFormat="1" ht="19.5">
      <c r="B44" s="43"/>
      <c r="C44" s="2236"/>
      <c r="D44" s="2237">
        <v>43</v>
      </c>
      <c r="E44" s="2240" t="s">
        <v>13</v>
      </c>
      <c r="F44" s="2239"/>
      <c r="G44" s="2239"/>
      <c r="H44" s="2239"/>
      <c r="I44" s="50">
        <f>'SUP-TIBA '!J80</f>
        <v>18481.921572515213</v>
      </c>
      <c r="J44" s="48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4" customFormat="1" ht="19.5">
      <c r="B45" s="43"/>
      <c r="C45" s="2236"/>
      <c r="D45" s="2237">
        <v>44</v>
      </c>
      <c r="E45" s="2240" t="s">
        <v>19</v>
      </c>
      <c r="F45" s="2239"/>
      <c r="G45" s="2239"/>
      <c r="H45" s="2239"/>
      <c r="I45" s="50">
        <f>+'SUP-LINSA'!K100</f>
        <v>2695.3379102224408</v>
      </c>
      <c r="J45" s="48"/>
      <c r="K45" s="42"/>
      <c r="L45" s="42"/>
      <c r="M45" s="42"/>
      <c r="N45" s="42"/>
      <c r="O45" s="42"/>
      <c r="P45" s="42"/>
      <c r="Q45" s="42"/>
      <c r="R45" s="42"/>
      <c r="S45" s="42"/>
    </row>
    <row r="46" spans="2:19" s="34" customFormat="1" ht="11.25" customHeight="1">
      <c r="B46" s="43"/>
      <c r="C46" s="49"/>
      <c r="D46" s="45"/>
      <c r="E46" s="51"/>
      <c r="F46" s="47"/>
      <c r="G46" s="47"/>
      <c r="H46" s="59"/>
      <c r="I46" s="50"/>
      <c r="J46" s="48"/>
      <c r="K46" s="42"/>
      <c r="L46" s="42"/>
      <c r="M46" s="42"/>
      <c r="N46" s="42"/>
      <c r="O46" s="42"/>
      <c r="P46" s="42"/>
      <c r="Q46" s="42"/>
      <c r="R46" s="42"/>
      <c r="S46" s="42"/>
    </row>
    <row r="47" spans="2:19" s="34" customFormat="1" ht="19.5">
      <c r="B47" s="43"/>
      <c r="C47" s="49" t="s">
        <v>20</v>
      </c>
      <c r="D47" s="56" t="s">
        <v>21</v>
      </c>
      <c r="E47" s="46"/>
      <c r="F47" s="47"/>
      <c r="G47" s="47"/>
      <c r="H47" s="47"/>
      <c r="I47" s="50">
        <f>DAG!R31+DAG!R43</f>
        <v>5474.1</v>
      </c>
      <c r="J47" s="48"/>
      <c r="K47" s="42"/>
      <c r="L47" s="42"/>
      <c r="M47" s="42"/>
      <c r="N47" s="42"/>
      <c r="O47" s="42"/>
      <c r="P47" s="42"/>
      <c r="Q47" s="42"/>
      <c r="R47" s="42"/>
      <c r="S47" s="42"/>
    </row>
    <row r="48" spans="2:19" s="34" customFormat="1" ht="20.25" thickBot="1">
      <c r="B48" s="43"/>
      <c r="C48" s="44"/>
      <c r="D48" s="45"/>
      <c r="E48" s="46"/>
      <c r="F48" s="47"/>
      <c r="G48" s="47"/>
      <c r="H48" s="47"/>
      <c r="I48" s="42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2:19" s="34" customFormat="1" ht="20.25" thickBot="1" thickTop="1">
      <c r="B49" s="43"/>
      <c r="C49" s="49"/>
      <c r="D49" s="49"/>
      <c r="F49" s="60" t="s">
        <v>22</v>
      </c>
      <c r="G49" s="61">
        <f>SUM(I16:I47)</f>
        <v>1629855.2752700958</v>
      </c>
      <c r="H49" s="62"/>
      <c r="J49" s="48"/>
      <c r="K49" s="42"/>
      <c r="L49" s="42"/>
      <c r="M49" s="42"/>
      <c r="N49" s="42"/>
      <c r="O49" s="42"/>
      <c r="P49" s="42"/>
      <c r="Q49" s="42"/>
      <c r="R49" s="42"/>
      <c r="S49" s="42"/>
    </row>
    <row r="50" spans="2:19" s="34" customFormat="1" ht="9.75" customHeight="1" thickTop="1">
      <c r="B50" s="43"/>
      <c r="C50" s="49"/>
      <c r="D50" s="49"/>
      <c r="F50" s="63"/>
      <c r="G50" s="62"/>
      <c r="H50" s="62"/>
      <c r="J50" s="48"/>
      <c r="K50" s="42"/>
      <c r="L50" s="42"/>
      <c r="M50" s="42"/>
      <c r="N50" s="42"/>
      <c r="O50" s="42"/>
      <c r="P50" s="42"/>
      <c r="Q50" s="42"/>
      <c r="R50" s="42"/>
      <c r="S50" s="42"/>
    </row>
    <row r="51" spans="2:19" s="34" customFormat="1" ht="18.75">
      <c r="B51" s="43"/>
      <c r="C51" s="2247" t="s">
        <v>334</v>
      </c>
      <c r="D51" s="49"/>
      <c r="F51" s="63"/>
      <c r="G51" s="62"/>
      <c r="H51" s="62"/>
      <c r="I51" s="64"/>
      <c r="J51" s="48"/>
      <c r="K51" s="42"/>
      <c r="L51" s="42"/>
      <c r="M51" s="42"/>
      <c r="N51" s="42"/>
      <c r="O51" s="42"/>
      <c r="P51" s="42"/>
      <c r="Q51" s="42"/>
      <c r="R51" s="42"/>
      <c r="S51" s="42"/>
    </row>
    <row r="52" spans="2:19" s="34" customFormat="1" ht="18.75">
      <c r="B52" s="43"/>
      <c r="C52" s="2247"/>
      <c r="D52" s="49"/>
      <c r="F52" s="63"/>
      <c r="G52" s="62"/>
      <c r="H52" s="62"/>
      <c r="I52" s="64"/>
      <c r="J52" s="48"/>
      <c r="K52" s="42"/>
      <c r="L52" s="42"/>
      <c r="M52" s="42"/>
      <c r="N52" s="42"/>
      <c r="O52" s="42"/>
      <c r="P52" s="42"/>
      <c r="Q52" s="42"/>
      <c r="R52" s="42"/>
      <c r="S52" s="42"/>
    </row>
    <row r="53" spans="2:19" s="27" customFormat="1" ht="10.5" customHeight="1" thickBot="1">
      <c r="B53" s="65"/>
      <c r="C53" s="66"/>
      <c r="D53" s="66"/>
      <c r="E53" s="67"/>
      <c r="F53" s="67"/>
      <c r="G53" s="67"/>
      <c r="H53" s="67"/>
      <c r="I53" s="67"/>
      <c r="J53" s="68"/>
      <c r="K53" s="29"/>
      <c r="L53" s="29"/>
      <c r="M53" s="69"/>
      <c r="N53" s="70"/>
      <c r="O53" s="70"/>
      <c r="P53" s="71"/>
      <c r="Q53" s="72"/>
      <c r="R53" s="29"/>
      <c r="S53" s="29"/>
    </row>
    <row r="54" spans="4:19" ht="13.5" thickTop="1">
      <c r="D54" s="11"/>
      <c r="F54" s="11"/>
      <c r="G54" s="11"/>
      <c r="H54" s="11"/>
      <c r="I54" s="11"/>
      <c r="J54" s="11"/>
      <c r="K54" s="11"/>
      <c r="L54" s="11"/>
      <c r="M54" s="73"/>
      <c r="N54" s="74"/>
      <c r="O54" s="74"/>
      <c r="P54" s="11"/>
      <c r="Q54" s="75"/>
      <c r="R54" s="11"/>
      <c r="S54" s="11"/>
    </row>
    <row r="55" spans="4:19" ht="12.75">
      <c r="D55" s="11"/>
      <c r="F55" s="11"/>
      <c r="G55" s="11"/>
      <c r="H55" s="11"/>
      <c r="I55" s="11"/>
      <c r="J55" s="11"/>
      <c r="K55" s="11"/>
      <c r="L55" s="11"/>
      <c r="M55" s="11"/>
      <c r="N55" s="76"/>
      <c r="O55" s="76"/>
      <c r="P55" s="77"/>
      <c r="Q55" s="75"/>
      <c r="R55" s="11"/>
      <c r="S55" s="11"/>
    </row>
    <row r="56" spans="4:19" ht="12.75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76"/>
      <c r="O56" s="76"/>
      <c r="P56" s="77"/>
      <c r="Q56" s="75"/>
      <c r="R56" s="11"/>
      <c r="S56" s="11"/>
    </row>
    <row r="57" spans="4:19" ht="12.75">
      <c r="D57" s="11"/>
      <c r="E57" s="11"/>
      <c r="L57" s="11"/>
      <c r="M57" s="11"/>
      <c r="N57" s="11"/>
      <c r="O57" s="11"/>
      <c r="P57" s="11"/>
      <c r="Q57" s="11"/>
      <c r="R57" s="11"/>
      <c r="S57" s="11"/>
    </row>
    <row r="58" spans="4:19" ht="12.75">
      <c r="D58" s="11"/>
      <c r="E58" s="11"/>
      <c r="P58" s="11"/>
      <c r="Q58" s="11"/>
      <c r="R58" s="11"/>
      <c r="S58" s="11"/>
    </row>
    <row r="59" spans="4:19" ht="12.75">
      <c r="D59" s="11"/>
      <c r="E59" s="11"/>
      <c r="P59" s="11"/>
      <c r="Q59" s="11"/>
      <c r="R59" s="11"/>
      <c r="S59" s="11"/>
    </row>
    <row r="60" spans="4:19" ht="12.75">
      <c r="D60" s="11"/>
      <c r="E60" s="11"/>
      <c r="P60" s="11"/>
      <c r="Q60" s="11"/>
      <c r="R60" s="11"/>
      <c r="S60" s="11"/>
    </row>
    <row r="61" spans="4:19" ht="12.75">
      <c r="D61" s="11"/>
      <c r="E61" s="11"/>
      <c r="P61" s="11"/>
      <c r="Q61" s="11"/>
      <c r="R61" s="11"/>
      <c r="S61" s="11"/>
    </row>
    <row r="62" spans="4:19" ht="12.75">
      <c r="D62" s="11"/>
      <c r="E62" s="11"/>
      <c r="P62" s="11"/>
      <c r="Q62" s="11"/>
      <c r="R62" s="11"/>
      <c r="S62" s="11"/>
    </row>
    <row r="63" spans="16:19" ht="12.75">
      <c r="P63" s="11"/>
      <c r="Q63" s="11"/>
      <c r="R63" s="11"/>
      <c r="S63" s="11"/>
    </row>
    <row r="64" spans="16:19" ht="12.75">
      <c r="P64" s="11"/>
      <c r="Q64" s="11"/>
      <c r="R64" s="11"/>
      <c r="S64" s="1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60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56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7.28125" style="1549" customWidth="1"/>
    <col min="2" max="2" width="4.140625" style="1549" customWidth="1"/>
    <col min="3" max="3" width="5.421875" style="1549" customWidth="1"/>
    <col min="4" max="4" width="15.00390625" style="1549" customWidth="1"/>
    <col min="5" max="5" width="14.421875" style="1549" customWidth="1"/>
    <col min="6" max="6" width="22.28125" style="1549" customWidth="1"/>
    <col min="7" max="7" width="20.28125" style="1549" customWidth="1"/>
    <col min="8" max="8" width="9.7109375" style="1549" customWidth="1"/>
    <col min="9" max="9" width="12.28125" style="1549" customWidth="1"/>
    <col min="10" max="10" width="7.57421875" style="1549" hidden="1" customWidth="1"/>
    <col min="11" max="11" width="16.421875" style="1549" customWidth="1"/>
    <col min="12" max="12" width="16.7109375" style="1549" customWidth="1"/>
    <col min="13" max="16" width="9.7109375" style="1549" customWidth="1"/>
    <col min="17" max="17" width="5.8515625" style="1549" customWidth="1"/>
    <col min="18" max="18" width="6.7109375" style="1549" bestFit="1" customWidth="1"/>
    <col min="19" max="19" width="4.140625" style="1549" hidden="1" customWidth="1"/>
    <col min="20" max="21" width="12.28125" style="1549" hidden="1" customWidth="1"/>
    <col min="22" max="25" width="6.421875" style="1549" hidden="1" customWidth="1"/>
    <col min="26" max="26" width="12.28125" style="1549" hidden="1" customWidth="1"/>
    <col min="27" max="27" width="13.421875" style="1549" hidden="1" customWidth="1"/>
    <col min="28" max="28" width="8.7109375" style="1549" customWidth="1"/>
    <col min="29" max="29" width="10.421875" style="1549" hidden="1" customWidth="1"/>
    <col min="30" max="30" width="15.7109375" style="1549" customWidth="1"/>
    <col min="31" max="31" width="4.140625" style="1549" customWidth="1"/>
    <col min="32" max="16384" width="11.421875" style="1549" customWidth="1"/>
  </cols>
  <sheetData>
    <row r="1" spans="2:31" s="1495" customFormat="1" ht="26.25"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1496"/>
      <c r="O1" s="1496"/>
      <c r="P1" s="1496"/>
      <c r="Q1" s="1496"/>
      <c r="R1" s="1496"/>
      <c r="S1" s="1496"/>
      <c r="T1" s="1496"/>
      <c r="U1" s="1496"/>
      <c r="V1" s="1496"/>
      <c r="W1" s="1496"/>
      <c r="X1" s="1496"/>
      <c r="Y1" s="1496"/>
      <c r="Z1" s="1496"/>
      <c r="AA1" s="1496"/>
      <c r="AB1" s="1496"/>
      <c r="AC1" s="1496"/>
      <c r="AD1" s="1496"/>
      <c r="AE1" s="1497"/>
    </row>
    <row r="2" spans="1:31" s="1495" customFormat="1" ht="26.25">
      <c r="A2" s="1496"/>
      <c r="B2" s="1498" t="str">
        <f>'TOT-1214'!B2</f>
        <v>ANEXO I al Memorándum D.T.E.E. N° 90 /2016</v>
      </c>
      <c r="C2" s="1498"/>
      <c r="D2" s="1498"/>
      <c r="E2" s="1498"/>
      <c r="F2" s="1498"/>
      <c r="G2" s="1499"/>
      <c r="H2" s="1498"/>
      <c r="I2" s="1498"/>
      <c r="J2" s="1498"/>
      <c r="K2" s="1498"/>
      <c r="L2" s="1498"/>
      <c r="M2" s="1498"/>
      <c r="N2" s="1498"/>
      <c r="O2" s="1498"/>
      <c r="P2" s="1498"/>
      <c r="Q2" s="1498"/>
      <c r="R2" s="1498"/>
      <c r="S2" s="1498"/>
      <c r="T2" s="1498"/>
      <c r="U2" s="1498"/>
      <c r="V2" s="1498"/>
      <c r="W2" s="1498"/>
      <c r="X2" s="1498"/>
      <c r="Y2" s="1498"/>
      <c r="Z2" s="1498"/>
      <c r="AA2" s="1498"/>
      <c r="AB2" s="1498"/>
      <c r="AC2" s="1498"/>
      <c r="AD2" s="1498"/>
      <c r="AE2" s="1498"/>
    </row>
    <row r="3" spans="1:31" s="1501" customFormat="1" ht="17.25" customHeight="1">
      <c r="A3" s="1500"/>
      <c r="B3" s="1500"/>
      <c r="C3" s="1500"/>
      <c r="D3" s="1500"/>
      <c r="E3" s="1500"/>
      <c r="F3" s="1500"/>
      <c r="G3" s="1500"/>
      <c r="H3" s="1500"/>
      <c r="I3" s="1500"/>
      <c r="J3" s="1500"/>
      <c r="K3" s="1500"/>
      <c r="L3" s="1500"/>
      <c r="M3" s="1500"/>
      <c r="N3" s="1500"/>
      <c r="O3" s="1500"/>
      <c r="P3" s="1500"/>
      <c r="Q3" s="1500"/>
      <c r="R3" s="1500"/>
      <c r="S3" s="1500"/>
      <c r="T3" s="1500"/>
      <c r="U3" s="1500"/>
      <c r="V3" s="1500"/>
      <c r="W3" s="1500"/>
      <c r="X3" s="1500"/>
      <c r="Y3" s="1500"/>
      <c r="Z3" s="1500"/>
      <c r="AA3" s="1500"/>
      <c r="AB3" s="1500"/>
      <c r="AC3" s="1500"/>
      <c r="AD3" s="1500"/>
      <c r="AE3" s="1500"/>
    </row>
    <row r="4" spans="1:31" s="1505" customFormat="1" ht="11.25">
      <c r="A4" s="1502" t="s">
        <v>53</v>
      </c>
      <c r="B4" s="1503"/>
      <c r="C4" s="1503"/>
      <c r="D4" s="1503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4"/>
      <c r="AD4" s="1504"/>
      <c r="AE4" s="1504"/>
    </row>
    <row r="5" spans="1:31" s="1505" customFormat="1" ht="11.25">
      <c r="A5" s="1502" t="s">
        <v>3</v>
      </c>
      <c r="B5" s="1503"/>
      <c r="C5" s="1503"/>
      <c r="D5" s="1503"/>
      <c r="E5" s="1504"/>
      <c r="F5" s="1504"/>
      <c r="G5" s="1504"/>
      <c r="H5" s="1504"/>
      <c r="I5" s="1504"/>
      <c r="J5" s="1504"/>
      <c r="K5" s="1504"/>
      <c r="L5" s="1504"/>
      <c r="M5" s="1504"/>
      <c r="N5" s="1504"/>
      <c r="O5" s="1504"/>
      <c r="P5" s="1504"/>
      <c r="Q5" s="1504"/>
      <c r="R5" s="1504"/>
      <c r="S5" s="1504"/>
      <c r="T5" s="1504"/>
      <c r="U5" s="1504"/>
      <c r="V5" s="1504"/>
      <c r="W5" s="1504"/>
      <c r="X5" s="1504"/>
      <c r="Y5" s="1504"/>
      <c r="Z5" s="1504"/>
      <c r="AA5" s="1504"/>
      <c r="AB5" s="1504"/>
      <c r="AC5" s="1504"/>
      <c r="AD5" s="1504"/>
      <c r="AE5" s="1504"/>
    </row>
    <row r="6" spans="1:31" s="1501" customFormat="1" ht="13.5" thickBot="1">
      <c r="A6" s="1500"/>
      <c r="B6" s="1500"/>
      <c r="C6" s="1500"/>
      <c r="D6" s="1500"/>
      <c r="E6" s="1500"/>
      <c r="F6" s="1500"/>
      <c r="G6" s="1500"/>
      <c r="H6" s="1500"/>
      <c r="I6" s="1500"/>
      <c r="J6" s="1500"/>
      <c r="K6" s="1500"/>
      <c r="L6" s="1500"/>
      <c r="M6" s="1500"/>
      <c r="N6" s="1500"/>
      <c r="O6" s="1500"/>
      <c r="P6" s="1500"/>
      <c r="Q6" s="1500"/>
      <c r="R6" s="1500"/>
      <c r="S6" s="1500"/>
      <c r="T6" s="1500"/>
      <c r="U6" s="1500"/>
      <c r="V6" s="1500"/>
      <c r="W6" s="1500"/>
      <c r="X6" s="1500"/>
      <c r="Y6" s="1500"/>
      <c r="Z6" s="1500"/>
      <c r="AA6" s="1500"/>
      <c r="AB6" s="1500"/>
      <c r="AC6" s="1500"/>
      <c r="AD6" s="1500"/>
      <c r="AE6" s="1500"/>
    </row>
    <row r="7" spans="1:31" s="1501" customFormat="1" ht="13.5" thickTop="1">
      <c r="A7" s="1500"/>
      <c r="B7" s="1506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507"/>
      <c r="Y7" s="1507"/>
      <c r="Z7" s="1507"/>
      <c r="AA7" s="1507"/>
      <c r="AB7" s="1507"/>
      <c r="AC7" s="1507"/>
      <c r="AD7" s="1507"/>
      <c r="AE7" s="1508"/>
    </row>
    <row r="8" spans="2:35" s="1509" customFormat="1" ht="20.25">
      <c r="B8" s="1510"/>
      <c r="C8" s="1511"/>
      <c r="D8" s="1511"/>
      <c r="E8" s="1511"/>
      <c r="F8" s="1512" t="s">
        <v>23</v>
      </c>
      <c r="G8" s="1511"/>
      <c r="H8" s="1511"/>
      <c r="I8" s="1511"/>
      <c r="J8" s="1511"/>
      <c r="Q8" s="1511"/>
      <c r="R8" s="1511"/>
      <c r="S8" s="1513"/>
      <c r="T8" s="1513"/>
      <c r="U8" s="1513"/>
      <c r="V8" s="1511"/>
      <c r="W8" s="1511"/>
      <c r="X8" s="1511"/>
      <c r="Y8" s="1511"/>
      <c r="Z8" s="1511"/>
      <c r="AA8" s="1511"/>
      <c r="AB8" s="1511"/>
      <c r="AC8" s="1511"/>
      <c r="AD8" s="1514"/>
      <c r="AE8" s="1515"/>
      <c r="AF8" s="1511"/>
      <c r="AG8" s="1511"/>
      <c r="AH8" s="1514"/>
      <c r="AI8" s="1514"/>
    </row>
    <row r="9" spans="1:31" s="1501" customFormat="1" ht="12.75">
      <c r="A9" s="1500"/>
      <c r="B9" s="1516"/>
      <c r="C9" s="1517"/>
      <c r="D9" s="1517"/>
      <c r="E9" s="1500"/>
      <c r="F9" s="1517"/>
      <c r="G9" s="1518"/>
      <c r="H9" s="1500"/>
      <c r="I9" s="1517"/>
      <c r="J9" s="1500"/>
      <c r="K9" s="1500"/>
      <c r="L9" s="1500"/>
      <c r="M9" s="1500"/>
      <c r="N9" s="1500"/>
      <c r="O9" s="1500"/>
      <c r="P9" s="1500"/>
      <c r="Q9" s="1500"/>
      <c r="R9" s="1500"/>
      <c r="S9" s="1500"/>
      <c r="T9" s="1517"/>
      <c r="U9" s="1517"/>
      <c r="V9" s="1517"/>
      <c r="W9" s="1517"/>
      <c r="X9" s="1517"/>
      <c r="Y9" s="1517"/>
      <c r="Z9" s="1517"/>
      <c r="AA9" s="1517"/>
      <c r="AB9" s="1517"/>
      <c r="AC9" s="1517"/>
      <c r="AD9" s="1500"/>
      <c r="AE9" s="1519"/>
    </row>
    <row r="10" spans="2:35" s="1520" customFormat="1" ht="33" customHeight="1">
      <c r="B10" s="1521"/>
      <c r="C10" s="1522"/>
      <c r="D10" s="1522"/>
      <c r="E10" s="1522"/>
      <c r="F10" s="1523" t="s">
        <v>54</v>
      </c>
      <c r="G10" s="1522"/>
      <c r="H10" s="1522"/>
      <c r="I10" s="1522"/>
      <c r="J10" s="1522"/>
      <c r="Q10" s="1522"/>
      <c r="R10" s="1522"/>
      <c r="S10" s="1524"/>
      <c r="T10" s="1524"/>
      <c r="U10" s="1524"/>
      <c r="V10" s="1522"/>
      <c r="W10" s="1522"/>
      <c r="X10" s="1522"/>
      <c r="Y10" s="1522"/>
      <c r="Z10" s="1522"/>
      <c r="AA10" s="1522"/>
      <c r="AB10" s="1522"/>
      <c r="AC10" s="1522"/>
      <c r="AD10" s="1525"/>
      <c r="AE10" s="1526"/>
      <c r="AF10" s="1522"/>
      <c r="AG10" s="1522"/>
      <c r="AH10" s="1525"/>
      <c r="AI10" s="1525"/>
    </row>
    <row r="11" spans="1:31" s="1533" customFormat="1" ht="33" customHeight="1">
      <c r="A11" s="1527"/>
      <c r="B11" s="1528"/>
      <c r="C11" s="1529"/>
      <c r="D11" s="1529"/>
      <c r="E11" s="1527"/>
      <c r="F11" s="1530" t="s">
        <v>317</v>
      </c>
      <c r="G11" s="1529"/>
      <c r="H11" s="1529"/>
      <c r="I11" s="1531"/>
      <c r="J11" s="1529"/>
      <c r="K11" s="1529"/>
      <c r="L11" s="1529"/>
      <c r="M11" s="1529"/>
      <c r="N11" s="1529"/>
      <c r="O11" s="1527"/>
      <c r="P11" s="1527"/>
      <c r="Q11" s="1527"/>
      <c r="R11" s="1527"/>
      <c r="S11" s="1527"/>
      <c r="T11" s="1529"/>
      <c r="U11" s="1529"/>
      <c r="V11" s="1529"/>
      <c r="W11" s="1529"/>
      <c r="X11" s="1529"/>
      <c r="Y11" s="1529"/>
      <c r="Z11" s="1529"/>
      <c r="AA11" s="1529"/>
      <c r="AB11" s="1529"/>
      <c r="AC11" s="1529"/>
      <c r="AD11" s="1527"/>
      <c r="AE11" s="1532"/>
    </row>
    <row r="12" spans="1:31" s="1540" customFormat="1" ht="19.5">
      <c r="A12" s="1534"/>
      <c r="B12" s="1065" t="str">
        <f>'TOT-1214'!B14</f>
        <v>Desde el 01 al 31 de diciembre de 2014</v>
      </c>
      <c r="C12" s="1535"/>
      <c r="D12" s="1535"/>
      <c r="E12" s="1536"/>
      <c r="F12" s="1537"/>
      <c r="G12" s="1537"/>
      <c r="H12" s="1537"/>
      <c r="I12" s="1537"/>
      <c r="J12" s="1537"/>
      <c r="K12" s="1537"/>
      <c r="L12" s="1537"/>
      <c r="M12" s="1537"/>
      <c r="N12" s="1537"/>
      <c r="O12" s="1536"/>
      <c r="P12" s="1536"/>
      <c r="Q12" s="1536"/>
      <c r="R12" s="1536"/>
      <c r="S12" s="1536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8"/>
      <c r="AE12" s="1539"/>
    </row>
    <row r="13" spans="1:31" s="1501" customFormat="1" ht="12.75">
      <c r="A13" s="1500"/>
      <c r="B13" s="1516"/>
      <c r="C13" s="1517"/>
      <c r="D13" s="1517"/>
      <c r="E13" s="1500"/>
      <c r="F13" s="1517"/>
      <c r="G13" s="1517"/>
      <c r="H13" s="1517"/>
      <c r="I13" s="1541"/>
      <c r="J13" s="1517"/>
      <c r="K13" s="1517"/>
      <c r="L13" s="1517"/>
      <c r="M13" s="1517"/>
      <c r="N13" s="1517"/>
      <c r="O13" s="1500"/>
      <c r="P13" s="1500"/>
      <c r="Q13" s="1500"/>
      <c r="R13" s="1500"/>
      <c r="S13" s="1500"/>
      <c r="T13" s="1517"/>
      <c r="U13" s="1517"/>
      <c r="V13" s="1517"/>
      <c r="W13" s="1517"/>
      <c r="X13" s="1517"/>
      <c r="Y13" s="1517"/>
      <c r="Z13" s="1517"/>
      <c r="AA13" s="1517"/>
      <c r="AB13" s="1517"/>
      <c r="AC13" s="1517"/>
      <c r="AD13" s="1500"/>
      <c r="AE13" s="1519"/>
    </row>
    <row r="14" spans="1:31" s="1501" customFormat="1" ht="16.5" customHeight="1" thickBot="1">
      <c r="A14" s="1500"/>
      <c r="B14" s="1516"/>
      <c r="C14" s="1517"/>
      <c r="D14" s="1517"/>
      <c r="E14" s="1500"/>
      <c r="F14" s="1542"/>
      <c r="G14" s="1543"/>
      <c r="H14" s="1544"/>
      <c r="I14" s="1541"/>
      <c r="J14" s="1517"/>
      <c r="K14" s="1517"/>
      <c r="L14" s="1517"/>
      <c r="M14" s="1517"/>
      <c r="N14" s="2511"/>
      <c r="O14" s="2511"/>
      <c r="P14" s="2511"/>
      <c r="Q14" s="2511"/>
      <c r="R14" s="2511"/>
      <c r="S14" s="1545"/>
      <c r="T14" s="1545"/>
      <c r="U14" s="1545"/>
      <c r="V14" s="1517"/>
      <c r="W14" s="1517"/>
      <c r="X14" s="1517"/>
      <c r="Y14" s="1517"/>
      <c r="Z14" s="1517"/>
      <c r="AA14" s="1517"/>
      <c r="AB14" s="1517"/>
      <c r="AC14" s="1517"/>
      <c r="AD14" s="1500"/>
      <c r="AE14" s="1519"/>
    </row>
    <row r="15" spans="1:31" s="1501" customFormat="1" ht="16.5" customHeight="1" thickBot="1" thickTop="1">
      <c r="A15" s="1500"/>
      <c r="B15" s="1516"/>
      <c r="C15" s="1517"/>
      <c r="D15" s="1517"/>
      <c r="E15" s="1500"/>
      <c r="F15" s="1546" t="s">
        <v>293</v>
      </c>
      <c r="G15" s="1547"/>
      <c r="H15" s="1548">
        <v>1.193</v>
      </c>
      <c r="I15" s="1549"/>
      <c r="J15" s="1500"/>
      <c r="K15" s="1550" t="s">
        <v>294</v>
      </c>
      <c r="L15" s="1500"/>
      <c r="M15" s="1500"/>
      <c r="N15" s="1551"/>
      <c r="O15" s="1551"/>
      <c r="P15" s="1551"/>
      <c r="Q15" s="1551"/>
      <c r="R15" s="1552"/>
      <c r="S15" s="1545"/>
      <c r="T15" s="1545"/>
      <c r="U15" s="1545"/>
      <c r="V15" s="1517"/>
      <c r="W15" s="1517"/>
      <c r="X15" s="1517"/>
      <c r="Y15" s="1517"/>
      <c r="Z15" s="1517"/>
      <c r="AA15" s="1517"/>
      <c r="AB15" s="1517"/>
      <c r="AC15" s="1517"/>
      <c r="AD15" s="1500"/>
      <c r="AE15" s="1519"/>
    </row>
    <row r="16" spans="1:31" s="1501" customFormat="1" ht="16.5" customHeight="1" thickBot="1" thickTop="1">
      <c r="A16" s="1500"/>
      <c r="B16" s="1516"/>
      <c r="C16" s="1517"/>
      <c r="D16" s="1517"/>
      <c r="E16" s="1500"/>
      <c r="F16" s="1553" t="s">
        <v>57</v>
      </c>
      <c r="G16" s="1554"/>
      <c r="H16" s="1555">
        <v>200</v>
      </c>
      <c r="I16" s="1549"/>
      <c r="J16" s="1517"/>
      <c r="L16" s="1556"/>
      <c r="M16" s="1517"/>
      <c r="N16" s="1551"/>
      <c r="O16" s="1551"/>
      <c r="P16" s="1551"/>
      <c r="Q16" s="1551"/>
      <c r="R16" s="1552"/>
      <c r="S16" s="1545"/>
      <c r="T16" s="1545"/>
      <c r="U16" s="1545"/>
      <c r="V16" s="1517"/>
      <c r="W16" s="1557"/>
      <c r="X16" s="1557"/>
      <c r="Y16" s="1557"/>
      <c r="Z16" s="1557"/>
      <c r="AA16" s="1557"/>
      <c r="AB16" s="1557"/>
      <c r="AC16" s="1500"/>
      <c r="AD16" s="1500"/>
      <c r="AE16" s="1519"/>
    </row>
    <row r="17" spans="1:31" s="1501" customFormat="1" ht="16.5" customHeight="1" thickTop="1">
      <c r="A17" s="1500"/>
      <c r="B17" s="1516"/>
      <c r="C17" s="1517"/>
      <c r="D17" s="1517"/>
      <c r="E17" s="1500"/>
      <c r="F17" s="1558"/>
      <c r="G17" s="1559"/>
      <c r="H17" s="1560"/>
      <c r="I17" s="1549"/>
      <c r="J17" s="1517"/>
      <c r="K17" s="1550"/>
      <c r="L17" s="1556"/>
      <c r="M17" s="1517"/>
      <c r="N17" s="1551"/>
      <c r="O17" s="1551"/>
      <c r="P17" s="1551"/>
      <c r="Q17" s="1551"/>
      <c r="R17" s="1552"/>
      <c r="S17" s="1545"/>
      <c r="T17" s="1545"/>
      <c r="U17" s="1545"/>
      <c r="V17" s="1517"/>
      <c r="W17" s="1557"/>
      <c r="X17" s="1557"/>
      <c r="Y17" s="1557"/>
      <c r="Z17" s="1557"/>
      <c r="AA17" s="1557"/>
      <c r="AB17" s="1557"/>
      <c r="AC17" s="1500"/>
      <c r="AD17" s="1500"/>
      <c r="AE17" s="1519"/>
    </row>
    <row r="18" spans="1:31" s="1501" customFormat="1" ht="16.5" customHeight="1" thickBot="1">
      <c r="A18" s="1500"/>
      <c r="B18" s="1516"/>
      <c r="C18" s="1561">
        <v>3</v>
      </c>
      <c r="D18" s="1561">
        <v>4</v>
      </c>
      <c r="E18" s="1561">
        <v>5</v>
      </c>
      <c r="F18" s="1561">
        <v>6</v>
      </c>
      <c r="G18" s="1561">
        <v>7</v>
      </c>
      <c r="H18" s="1561">
        <v>8</v>
      </c>
      <c r="I18" s="1561">
        <v>9</v>
      </c>
      <c r="J18" s="1561">
        <v>10</v>
      </c>
      <c r="K18" s="1561">
        <v>11</v>
      </c>
      <c r="L18" s="1561">
        <v>12</v>
      </c>
      <c r="M18" s="1561">
        <v>13</v>
      </c>
      <c r="N18" s="1561">
        <v>14</v>
      </c>
      <c r="O18" s="1561">
        <v>15</v>
      </c>
      <c r="P18" s="1561">
        <v>16</v>
      </c>
      <c r="Q18" s="1561">
        <v>17</v>
      </c>
      <c r="R18" s="1561">
        <v>18</v>
      </c>
      <c r="S18" s="1561">
        <v>19</v>
      </c>
      <c r="T18" s="1561">
        <v>20</v>
      </c>
      <c r="U18" s="1561">
        <v>21</v>
      </c>
      <c r="V18" s="1561">
        <v>22</v>
      </c>
      <c r="W18" s="1561">
        <v>23</v>
      </c>
      <c r="X18" s="1561">
        <v>24</v>
      </c>
      <c r="Y18" s="1561">
        <v>25</v>
      </c>
      <c r="Z18" s="1561">
        <v>26</v>
      </c>
      <c r="AA18" s="1561">
        <v>27</v>
      </c>
      <c r="AB18" s="1561">
        <v>28</v>
      </c>
      <c r="AC18" s="1561">
        <v>29</v>
      </c>
      <c r="AD18" s="1561">
        <v>30</v>
      </c>
      <c r="AE18" s="1519"/>
    </row>
    <row r="19" spans="1:31" s="1501" customFormat="1" ht="33.75" customHeight="1" thickBot="1" thickTop="1">
      <c r="A19" s="1500"/>
      <c r="B19" s="1516"/>
      <c r="C19" s="1562" t="s">
        <v>28</v>
      </c>
      <c r="D19" s="1563" t="s">
        <v>29</v>
      </c>
      <c r="E19" s="1563" t="s">
        <v>30</v>
      </c>
      <c r="F19" s="1564" t="s">
        <v>58</v>
      </c>
      <c r="G19" s="1565" t="s">
        <v>59</v>
      </c>
      <c r="H19" s="1566" t="s">
        <v>60</v>
      </c>
      <c r="I19" s="1567" t="s">
        <v>31</v>
      </c>
      <c r="J19" s="1568" t="s">
        <v>35</v>
      </c>
      <c r="K19" s="1565" t="s">
        <v>36</v>
      </c>
      <c r="L19" s="1565" t="s">
        <v>37</v>
      </c>
      <c r="M19" s="1564" t="s">
        <v>61</v>
      </c>
      <c r="N19" s="1564" t="s">
        <v>39</v>
      </c>
      <c r="O19" s="1569" t="s">
        <v>179</v>
      </c>
      <c r="P19" s="1569" t="s">
        <v>40</v>
      </c>
      <c r="Q19" s="1570" t="s">
        <v>42</v>
      </c>
      <c r="R19" s="1570" t="s">
        <v>62</v>
      </c>
      <c r="S19" s="1571" t="s">
        <v>34</v>
      </c>
      <c r="T19" s="1572" t="s">
        <v>43</v>
      </c>
      <c r="U19" s="1573" t="s">
        <v>44</v>
      </c>
      <c r="V19" s="1574" t="s">
        <v>63</v>
      </c>
      <c r="W19" s="1575"/>
      <c r="X19" s="1576" t="s">
        <v>64</v>
      </c>
      <c r="Y19" s="1577"/>
      <c r="Z19" s="1578" t="s">
        <v>47</v>
      </c>
      <c r="AA19" s="1579" t="s">
        <v>48</v>
      </c>
      <c r="AB19" s="1580" t="s">
        <v>49</v>
      </c>
      <c r="AC19" s="1581" t="s">
        <v>295</v>
      </c>
      <c r="AD19" s="1567" t="s">
        <v>50</v>
      </c>
      <c r="AE19" s="1519"/>
    </row>
    <row r="20" spans="1:31" s="1501" customFormat="1" ht="16.5" customHeight="1" thickTop="1">
      <c r="A20" s="1500"/>
      <c r="B20" s="1516"/>
      <c r="C20" s="1582"/>
      <c r="D20" s="1582"/>
      <c r="E20" s="1582"/>
      <c r="F20" s="1583"/>
      <c r="G20" s="1583"/>
      <c r="H20" s="1583"/>
      <c r="I20" s="1584"/>
      <c r="J20" s="1585"/>
      <c r="K20" s="1583"/>
      <c r="L20" s="1583"/>
      <c r="M20" s="1583"/>
      <c r="N20" s="1583"/>
      <c r="O20" s="1583"/>
      <c r="P20" s="1586"/>
      <c r="Q20" s="1587"/>
      <c r="R20" s="1583"/>
      <c r="S20" s="1588"/>
      <c r="T20" s="1589"/>
      <c r="U20" s="1590"/>
      <c r="V20" s="1591"/>
      <c r="W20" s="1592"/>
      <c r="X20" s="1593"/>
      <c r="Y20" s="1594"/>
      <c r="Z20" s="1595"/>
      <c r="AA20" s="1596"/>
      <c r="AB20" s="1587"/>
      <c r="AC20" s="1597"/>
      <c r="AD20" s="1598"/>
      <c r="AE20" s="1519"/>
    </row>
    <row r="21" spans="1:31" s="1501" customFormat="1" ht="16.5" customHeight="1">
      <c r="A21" s="1500"/>
      <c r="B21" s="1516"/>
      <c r="C21" s="1599"/>
      <c r="D21" s="1599"/>
      <c r="E21" s="1599"/>
      <c r="F21" s="1599"/>
      <c r="G21" s="1599"/>
      <c r="H21" s="1599"/>
      <c r="I21" s="1600"/>
      <c r="J21" s="1601"/>
      <c r="K21" s="1599"/>
      <c r="L21" s="1599"/>
      <c r="M21" s="1599"/>
      <c r="N21" s="1599"/>
      <c r="O21" s="1599"/>
      <c r="P21" s="1602"/>
      <c r="Q21" s="1603"/>
      <c r="R21" s="1599"/>
      <c r="S21" s="1604"/>
      <c r="T21" s="1605"/>
      <c r="U21" s="1606"/>
      <c r="V21" s="1607"/>
      <c r="W21" s="1608"/>
      <c r="X21" s="1609"/>
      <c r="Y21" s="1610"/>
      <c r="Z21" s="1611"/>
      <c r="AA21" s="1612"/>
      <c r="AB21" s="1603"/>
      <c r="AC21" s="1613"/>
      <c r="AD21" s="1614"/>
      <c r="AE21" s="1519"/>
    </row>
    <row r="22" spans="1:31" s="1501" customFormat="1" ht="16.5" customHeight="1">
      <c r="A22" s="1500"/>
      <c r="B22" s="1516"/>
      <c r="C22" s="1599">
        <v>26</v>
      </c>
      <c r="D22" s="1599">
        <v>282216</v>
      </c>
      <c r="E22" s="1615">
        <v>3754</v>
      </c>
      <c r="F22" s="1616" t="s">
        <v>296</v>
      </c>
      <c r="G22" s="1617" t="s">
        <v>297</v>
      </c>
      <c r="H22" s="1618">
        <v>150</v>
      </c>
      <c r="I22" s="1619" t="s">
        <v>162</v>
      </c>
      <c r="J22" s="1620">
        <f>H22*$H$15</f>
        <v>178.95000000000002</v>
      </c>
      <c r="K22" s="1621">
        <v>41979.26180555556</v>
      </c>
      <c r="L22" s="1621">
        <v>41979.47361111111</v>
      </c>
      <c r="M22" s="1622">
        <f>IF(F22="","",(L22-K22)*24)</f>
        <v>5.083333333313931</v>
      </c>
      <c r="N22" s="1623">
        <f>IF(F22="","",ROUND((L22-K22)*24*60,0))</f>
        <v>305</v>
      </c>
      <c r="O22" s="1624" t="s">
        <v>198</v>
      </c>
      <c r="P22" s="1625" t="str">
        <f>IF(F22="","","--")</f>
        <v>--</v>
      </c>
      <c r="Q22" s="1626" t="str">
        <f>IF(F22="","",IF(OR(O22="P",O22="RP"),"--","NO"))</f>
        <v>--</v>
      </c>
      <c r="R22" s="1627" t="s">
        <v>298</v>
      </c>
      <c r="S22" s="1604">
        <f aca="true" t="shared" si="0" ref="S22:S41">$H$16*IF(OR(O22="P",O22="RP"),0.1,1)*IF(R22="SI",1,0.1)</f>
        <v>2</v>
      </c>
      <c r="T22" s="1628">
        <f aca="true" t="shared" si="1" ref="T22:T41">IF(O22="P",J22*S22*ROUND(N22/60,2),"--")</f>
        <v>1818.1320000000003</v>
      </c>
      <c r="U22" s="1629" t="str">
        <f aca="true" t="shared" si="2" ref="U22:U41">IF(O22="RP",J22*S22*P22/100*ROUND(N22/60,2),"--")</f>
        <v>--</v>
      </c>
      <c r="V22" s="1630" t="str">
        <f aca="true" t="shared" si="3" ref="V22:V41">IF(AND(O22="F",Q22="NO"),J22*S22,"--")</f>
        <v>--</v>
      </c>
      <c r="W22" s="1631" t="str">
        <f aca="true" t="shared" si="4" ref="W22:W41">IF(O22="F",J22*S22*ROUND(N22/60,2),"--")</f>
        <v>--</v>
      </c>
      <c r="X22" s="1632" t="str">
        <f aca="true" t="shared" si="5" ref="X22:X41">IF(AND(O22="R",Q22="NO"),J22*S22*P22/100,"--")</f>
        <v>--</v>
      </c>
      <c r="Y22" s="1633" t="str">
        <f aca="true" t="shared" si="6" ref="Y22:Y41">IF(O22="R",J22*S22*P22/100*ROUND(N22/60,2),"--")</f>
        <v>--</v>
      </c>
      <c r="Z22" s="1634" t="str">
        <f aca="true" t="shared" si="7" ref="Z22:Z41">IF(O22="RF",J22*S22*ROUND(N22/60,2),"--")</f>
        <v>--</v>
      </c>
      <c r="AA22" s="1635" t="str">
        <f aca="true" t="shared" si="8" ref="AA22:AA41">IF(O22="RR",J22*S22*P22/100*ROUND(N22/60,2),"--")</f>
        <v>--</v>
      </c>
      <c r="AB22" s="1636" t="str">
        <f aca="true" t="shared" si="9" ref="AB22:AB41">IF(F22="","","SI")</f>
        <v>SI</v>
      </c>
      <c r="AC22" s="1637">
        <f aca="true" t="shared" si="10" ref="AC22:AC41">SUM(T22:AA22)*IF(AB22="SI",1,2)</f>
        <v>1818.1320000000003</v>
      </c>
      <c r="AD22" s="1638">
        <f>IF(F22="","",AC22*IF(AND(P22&lt;&gt;"--",O22="RF"),P22/100,1))</f>
        <v>1818.1320000000003</v>
      </c>
      <c r="AE22" s="1519"/>
    </row>
    <row r="23" spans="1:31" s="1501" customFormat="1" ht="16.5" customHeight="1">
      <c r="A23" s="1500"/>
      <c r="B23" s="1516"/>
      <c r="C23" s="1599"/>
      <c r="D23" s="1599"/>
      <c r="E23" s="1615"/>
      <c r="F23" s="1616"/>
      <c r="G23" s="1617"/>
      <c r="H23" s="1618"/>
      <c r="I23" s="1619"/>
      <c r="J23" s="1620">
        <f>H23*$H$15</f>
        <v>0</v>
      </c>
      <c r="K23" s="1639"/>
      <c r="L23" s="1639"/>
      <c r="M23" s="1622">
        <f>IF(F23="","",(L23-K23)*24)</f>
      </c>
      <c r="N23" s="1623">
        <f>IF(F23="","",ROUND((L23-K23)*24*60,0))</f>
      </c>
      <c r="O23" s="1640"/>
      <c r="P23" s="1625">
        <f>IF(F23="","","--")</f>
      </c>
      <c r="Q23" s="1626">
        <f>IF(F23="","",IF(OR(O23="P",O23="RP"),"--","NO"))</f>
      </c>
      <c r="R23" s="1627"/>
      <c r="S23" s="1604">
        <f t="shared" si="0"/>
        <v>20</v>
      </c>
      <c r="T23" s="1628" t="str">
        <f t="shared" si="1"/>
        <v>--</v>
      </c>
      <c r="U23" s="1629" t="str">
        <f t="shared" si="2"/>
        <v>--</v>
      </c>
      <c r="V23" s="1630" t="str">
        <f t="shared" si="3"/>
        <v>--</v>
      </c>
      <c r="W23" s="1631" t="str">
        <f t="shared" si="4"/>
        <v>--</v>
      </c>
      <c r="X23" s="1632" t="str">
        <f t="shared" si="5"/>
        <v>--</v>
      </c>
      <c r="Y23" s="1633" t="str">
        <f t="shared" si="6"/>
        <v>--</v>
      </c>
      <c r="Z23" s="1634" t="str">
        <f t="shared" si="7"/>
        <v>--</v>
      </c>
      <c r="AA23" s="1635" t="str">
        <f t="shared" si="8"/>
        <v>--</v>
      </c>
      <c r="AB23" s="1636">
        <f t="shared" si="9"/>
      </c>
      <c r="AC23" s="1637">
        <f t="shared" si="10"/>
        <v>0</v>
      </c>
      <c r="AD23" s="1638">
        <f>IF(F23="","",AC23*IF(AND(P23&lt;&gt;"--",O23="RF"),P23/100,1))</f>
      </c>
      <c r="AE23" s="1519"/>
    </row>
    <row r="24" spans="1:31" s="1501" customFormat="1" ht="16.5" customHeight="1">
      <c r="A24" s="1500"/>
      <c r="B24" s="1516"/>
      <c r="C24" s="1599"/>
      <c r="D24" s="1599"/>
      <c r="E24" s="1615"/>
      <c r="F24" s="1616"/>
      <c r="G24" s="1617"/>
      <c r="H24" s="1618"/>
      <c r="I24" s="1619"/>
      <c r="J24" s="1620">
        <f aca="true" t="shared" si="11" ref="J24:J41">IF(F24="RINCÓN",H24*$H$15,H24*$H$14)</f>
        <v>0</v>
      </c>
      <c r="K24" s="1639"/>
      <c r="L24" s="1639"/>
      <c r="M24" s="1622"/>
      <c r="N24" s="1623"/>
      <c r="O24" s="1640"/>
      <c r="P24" s="1625"/>
      <c r="Q24" s="1626"/>
      <c r="R24" s="1627"/>
      <c r="S24" s="1604">
        <f t="shared" si="0"/>
        <v>20</v>
      </c>
      <c r="T24" s="1628" t="str">
        <f t="shared" si="1"/>
        <v>--</v>
      </c>
      <c r="U24" s="1629" t="str">
        <f t="shared" si="2"/>
        <v>--</v>
      </c>
      <c r="V24" s="1630" t="str">
        <f t="shared" si="3"/>
        <v>--</v>
      </c>
      <c r="W24" s="1631" t="str">
        <f t="shared" si="4"/>
        <v>--</v>
      </c>
      <c r="X24" s="1632" t="str">
        <f t="shared" si="5"/>
        <v>--</v>
      </c>
      <c r="Y24" s="1633" t="str">
        <f t="shared" si="6"/>
        <v>--</v>
      </c>
      <c r="Z24" s="1634" t="str">
        <f t="shared" si="7"/>
        <v>--</v>
      </c>
      <c r="AA24" s="1635" t="str">
        <f t="shared" si="8"/>
        <v>--</v>
      </c>
      <c r="AB24" s="1636">
        <f t="shared" si="9"/>
      </c>
      <c r="AC24" s="1637">
        <f t="shared" si="10"/>
        <v>0</v>
      </c>
      <c r="AD24" s="1638">
        <f aca="true" t="shared" si="12" ref="AD24:AD41">IF(F24="","",AC24*$L$16*IF(AND(P24&lt;&gt;"--",O24="RF"),P24/100,1))</f>
      </c>
      <c r="AE24" s="1519"/>
    </row>
    <row r="25" spans="1:31" s="1501" customFormat="1" ht="16.5" customHeight="1">
      <c r="A25" s="1500"/>
      <c r="B25" s="1516"/>
      <c r="C25" s="1599"/>
      <c r="D25" s="1599"/>
      <c r="E25" s="1599"/>
      <c r="F25" s="1616"/>
      <c r="G25" s="1617"/>
      <c r="H25" s="1618"/>
      <c r="I25" s="1641"/>
      <c r="J25" s="1620">
        <f t="shared" si="11"/>
        <v>0</v>
      </c>
      <c r="K25" s="1639"/>
      <c r="L25" s="1639"/>
      <c r="M25" s="1622">
        <f aca="true" t="shared" si="13" ref="M25:M41">IF(F25="","",(L25-K25)*24)</f>
      </c>
      <c r="N25" s="1623">
        <f aca="true" t="shared" si="14" ref="N25:N41">IF(F25="","",ROUND((L25-K25)*24*60,0))</f>
      </c>
      <c r="O25" s="1640"/>
      <c r="P25" s="1625">
        <f aca="true" t="shared" si="15" ref="P25:P41">IF(F25="","","--")</f>
      </c>
      <c r="Q25" s="1626">
        <f aca="true" t="shared" si="16" ref="Q25:Q41">IF(F25="","",IF(OR(O25="P",O25="RP"),"--","NO"))</f>
      </c>
      <c r="R25" s="1627">
        <f aca="true" t="shared" si="17" ref="R25:R41">IF(F25="","","NO")</f>
      </c>
      <c r="S25" s="1604">
        <f t="shared" si="0"/>
        <v>20</v>
      </c>
      <c r="T25" s="1628" t="str">
        <f t="shared" si="1"/>
        <v>--</v>
      </c>
      <c r="U25" s="1629" t="str">
        <f t="shared" si="2"/>
        <v>--</v>
      </c>
      <c r="V25" s="1630" t="str">
        <f t="shared" si="3"/>
        <v>--</v>
      </c>
      <c r="W25" s="1631" t="str">
        <f t="shared" si="4"/>
        <v>--</v>
      </c>
      <c r="X25" s="1632" t="str">
        <f t="shared" si="5"/>
        <v>--</v>
      </c>
      <c r="Y25" s="1633" t="str">
        <f t="shared" si="6"/>
        <v>--</v>
      </c>
      <c r="Z25" s="1634" t="str">
        <f t="shared" si="7"/>
        <v>--</v>
      </c>
      <c r="AA25" s="1635" t="str">
        <f t="shared" si="8"/>
        <v>--</v>
      </c>
      <c r="AB25" s="1636">
        <f t="shared" si="9"/>
      </c>
      <c r="AC25" s="1637">
        <f t="shared" si="10"/>
        <v>0</v>
      </c>
      <c r="AD25" s="1638">
        <f t="shared" si="12"/>
      </c>
      <c r="AE25" s="1519"/>
    </row>
    <row r="26" spans="1:31" s="1501" customFormat="1" ht="16.5" customHeight="1">
      <c r="A26" s="1500"/>
      <c r="B26" s="1516"/>
      <c r="C26" s="1599"/>
      <c r="D26" s="1599"/>
      <c r="E26" s="1615"/>
      <c r="F26" s="1616"/>
      <c r="G26" s="1617"/>
      <c r="H26" s="1618"/>
      <c r="I26" s="1641"/>
      <c r="J26" s="1620">
        <f t="shared" si="11"/>
        <v>0</v>
      </c>
      <c r="K26" s="1639"/>
      <c r="L26" s="1639"/>
      <c r="M26" s="1622">
        <f t="shared" si="13"/>
      </c>
      <c r="N26" s="1623">
        <f t="shared" si="14"/>
      </c>
      <c r="O26" s="1640"/>
      <c r="P26" s="1625">
        <f t="shared" si="15"/>
      </c>
      <c r="Q26" s="1626">
        <f t="shared" si="16"/>
      </c>
      <c r="R26" s="1627">
        <f t="shared" si="17"/>
      </c>
      <c r="S26" s="1604">
        <f t="shared" si="0"/>
        <v>20</v>
      </c>
      <c r="T26" s="1628" t="str">
        <f t="shared" si="1"/>
        <v>--</v>
      </c>
      <c r="U26" s="1629" t="str">
        <f t="shared" si="2"/>
        <v>--</v>
      </c>
      <c r="V26" s="1630" t="str">
        <f t="shared" si="3"/>
        <v>--</v>
      </c>
      <c r="W26" s="1631" t="str">
        <f t="shared" si="4"/>
        <v>--</v>
      </c>
      <c r="X26" s="1632" t="str">
        <f t="shared" si="5"/>
        <v>--</v>
      </c>
      <c r="Y26" s="1633" t="str">
        <f t="shared" si="6"/>
        <v>--</v>
      </c>
      <c r="Z26" s="1634" t="str">
        <f t="shared" si="7"/>
        <v>--</v>
      </c>
      <c r="AA26" s="1635" t="str">
        <f t="shared" si="8"/>
        <v>--</v>
      </c>
      <c r="AB26" s="1636">
        <f t="shared" si="9"/>
      </c>
      <c r="AC26" s="1637">
        <f t="shared" si="10"/>
        <v>0</v>
      </c>
      <c r="AD26" s="1638">
        <f t="shared" si="12"/>
      </c>
      <c r="AE26" s="1519"/>
    </row>
    <row r="27" spans="1:31" s="1501" customFormat="1" ht="16.5" customHeight="1">
      <c r="A27" s="1500"/>
      <c r="B27" s="1516"/>
      <c r="C27" s="1599"/>
      <c r="D27" s="1599"/>
      <c r="E27" s="1599"/>
      <c r="F27" s="1616"/>
      <c r="G27" s="1617"/>
      <c r="H27" s="1618"/>
      <c r="I27" s="1641"/>
      <c r="J27" s="1620">
        <f t="shared" si="11"/>
        <v>0</v>
      </c>
      <c r="K27" s="1639"/>
      <c r="L27" s="1639"/>
      <c r="M27" s="1622">
        <f t="shared" si="13"/>
      </c>
      <c r="N27" s="1623">
        <f t="shared" si="14"/>
      </c>
      <c r="O27" s="1640"/>
      <c r="P27" s="1625">
        <f t="shared" si="15"/>
      </c>
      <c r="Q27" s="1626">
        <f t="shared" si="16"/>
      </c>
      <c r="R27" s="1627">
        <f t="shared" si="17"/>
      </c>
      <c r="S27" s="1604">
        <f t="shared" si="0"/>
        <v>20</v>
      </c>
      <c r="T27" s="1628" t="str">
        <f t="shared" si="1"/>
        <v>--</v>
      </c>
      <c r="U27" s="1629" t="str">
        <f t="shared" si="2"/>
        <v>--</v>
      </c>
      <c r="V27" s="1630" t="str">
        <f t="shared" si="3"/>
        <v>--</v>
      </c>
      <c r="W27" s="1631" t="str">
        <f t="shared" si="4"/>
        <v>--</v>
      </c>
      <c r="X27" s="1632" t="str">
        <f t="shared" si="5"/>
        <v>--</v>
      </c>
      <c r="Y27" s="1633" t="str">
        <f t="shared" si="6"/>
        <v>--</v>
      </c>
      <c r="Z27" s="1634" t="str">
        <f t="shared" si="7"/>
        <v>--</v>
      </c>
      <c r="AA27" s="1635" t="str">
        <f t="shared" si="8"/>
        <v>--</v>
      </c>
      <c r="AB27" s="1636">
        <f t="shared" si="9"/>
      </c>
      <c r="AC27" s="1637">
        <f t="shared" si="10"/>
        <v>0</v>
      </c>
      <c r="AD27" s="1638">
        <f t="shared" si="12"/>
      </c>
      <c r="AE27" s="1519"/>
    </row>
    <row r="28" spans="1:32" s="1501" customFormat="1" ht="16.5" customHeight="1">
      <c r="A28" s="1500"/>
      <c r="B28" s="1516"/>
      <c r="C28" s="1599"/>
      <c r="D28" s="1599"/>
      <c r="E28" s="1615"/>
      <c r="F28" s="1616"/>
      <c r="G28" s="1617"/>
      <c r="H28" s="1618"/>
      <c r="I28" s="1641"/>
      <c r="J28" s="1620">
        <f t="shared" si="11"/>
        <v>0</v>
      </c>
      <c r="K28" s="1639"/>
      <c r="L28" s="1639"/>
      <c r="M28" s="1622">
        <f t="shared" si="13"/>
      </c>
      <c r="N28" s="1623">
        <f t="shared" si="14"/>
      </c>
      <c r="O28" s="1640"/>
      <c r="P28" s="1625">
        <f t="shared" si="15"/>
      </c>
      <c r="Q28" s="1626">
        <f t="shared" si="16"/>
      </c>
      <c r="R28" s="1627">
        <f t="shared" si="17"/>
      </c>
      <c r="S28" s="1604">
        <f t="shared" si="0"/>
        <v>20</v>
      </c>
      <c r="T28" s="1628" t="str">
        <f t="shared" si="1"/>
        <v>--</v>
      </c>
      <c r="U28" s="1629" t="str">
        <f t="shared" si="2"/>
        <v>--</v>
      </c>
      <c r="V28" s="1630" t="str">
        <f t="shared" si="3"/>
        <v>--</v>
      </c>
      <c r="W28" s="1631" t="str">
        <f t="shared" si="4"/>
        <v>--</v>
      </c>
      <c r="X28" s="1632" t="str">
        <f t="shared" si="5"/>
        <v>--</v>
      </c>
      <c r="Y28" s="1633" t="str">
        <f t="shared" si="6"/>
        <v>--</v>
      </c>
      <c r="Z28" s="1634" t="str">
        <f t="shared" si="7"/>
        <v>--</v>
      </c>
      <c r="AA28" s="1635" t="str">
        <f t="shared" si="8"/>
        <v>--</v>
      </c>
      <c r="AB28" s="1636">
        <f t="shared" si="9"/>
      </c>
      <c r="AC28" s="1637">
        <f t="shared" si="10"/>
        <v>0</v>
      </c>
      <c r="AD28" s="1638">
        <f t="shared" si="12"/>
      </c>
      <c r="AE28" s="1519"/>
      <c r="AF28" s="1517"/>
    </row>
    <row r="29" spans="1:31" s="1501" customFormat="1" ht="16.5" customHeight="1">
      <c r="A29" s="1500"/>
      <c r="B29" s="1516"/>
      <c r="C29" s="1599"/>
      <c r="D29" s="1599"/>
      <c r="E29" s="1599"/>
      <c r="F29" s="1616"/>
      <c r="G29" s="1617"/>
      <c r="H29" s="1618"/>
      <c r="I29" s="1641"/>
      <c r="J29" s="1620">
        <f t="shared" si="11"/>
        <v>0</v>
      </c>
      <c r="K29" s="1639"/>
      <c r="L29" s="1639"/>
      <c r="M29" s="1622">
        <f t="shared" si="13"/>
      </c>
      <c r="N29" s="1623">
        <f t="shared" si="14"/>
      </c>
      <c r="O29" s="1640"/>
      <c r="P29" s="1625">
        <f t="shared" si="15"/>
      </c>
      <c r="Q29" s="1626">
        <f t="shared" si="16"/>
      </c>
      <c r="R29" s="1627">
        <f t="shared" si="17"/>
      </c>
      <c r="S29" s="1604">
        <f t="shared" si="0"/>
        <v>20</v>
      </c>
      <c r="T29" s="1628" t="str">
        <f t="shared" si="1"/>
        <v>--</v>
      </c>
      <c r="U29" s="1629" t="str">
        <f t="shared" si="2"/>
        <v>--</v>
      </c>
      <c r="V29" s="1630" t="str">
        <f t="shared" si="3"/>
        <v>--</v>
      </c>
      <c r="W29" s="1631" t="str">
        <f t="shared" si="4"/>
        <v>--</v>
      </c>
      <c r="X29" s="1632" t="str">
        <f t="shared" si="5"/>
        <v>--</v>
      </c>
      <c r="Y29" s="1633" t="str">
        <f t="shared" si="6"/>
        <v>--</v>
      </c>
      <c r="Z29" s="1634" t="str">
        <f t="shared" si="7"/>
        <v>--</v>
      </c>
      <c r="AA29" s="1635" t="str">
        <f t="shared" si="8"/>
        <v>--</v>
      </c>
      <c r="AB29" s="1636">
        <f t="shared" si="9"/>
      </c>
      <c r="AC29" s="1637">
        <f t="shared" si="10"/>
        <v>0</v>
      </c>
      <c r="AD29" s="1638">
        <f t="shared" si="12"/>
      </c>
      <c r="AE29" s="1519"/>
    </row>
    <row r="30" spans="1:31" s="1501" customFormat="1" ht="16.5" customHeight="1">
      <c r="A30" s="1500"/>
      <c r="B30" s="1516"/>
      <c r="C30" s="1599"/>
      <c r="D30" s="1599"/>
      <c r="E30" s="1615"/>
      <c r="F30" s="1616"/>
      <c r="G30" s="1617"/>
      <c r="H30" s="1618"/>
      <c r="I30" s="1641"/>
      <c r="J30" s="1620">
        <f t="shared" si="11"/>
        <v>0</v>
      </c>
      <c r="K30" s="1639"/>
      <c r="L30" s="1639"/>
      <c r="M30" s="1622">
        <f t="shared" si="13"/>
      </c>
      <c r="N30" s="1623">
        <f t="shared" si="14"/>
      </c>
      <c r="O30" s="1640"/>
      <c r="P30" s="1625">
        <f t="shared" si="15"/>
      </c>
      <c r="Q30" s="1626">
        <f t="shared" si="16"/>
      </c>
      <c r="R30" s="1627">
        <f t="shared" si="17"/>
      </c>
      <c r="S30" s="1604">
        <f t="shared" si="0"/>
        <v>20</v>
      </c>
      <c r="T30" s="1628" t="str">
        <f t="shared" si="1"/>
        <v>--</v>
      </c>
      <c r="U30" s="1629" t="str">
        <f t="shared" si="2"/>
        <v>--</v>
      </c>
      <c r="V30" s="1630" t="str">
        <f t="shared" si="3"/>
        <v>--</v>
      </c>
      <c r="W30" s="1631" t="str">
        <f t="shared" si="4"/>
        <v>--</v>
      </c>
      <c r="X30" s="1632" t="str">
        <f t="shared" si="5"/>
        <v>--</v>
      </c>
      <c r="Y30" s="1633" t="str">
        <f t="shared" si="6"/>
        <v>--</v>
      </c>
      <c r="Z30" s="1634" t="str">
        <f t="shared" si="7"/>
        <v>--</v>
      </c>
      <c r="AA30" s="1635" t="str">
        <f t="shared" si="8"/>
        <v>--</v>
      </c>
      <c r="AB30" s="1636">
        <f t="shared" si="9"/>
      </c>
      <c r="AC30" s="1637">
        <f t="shared" si="10"/>
        <v>0</v>
      </c>
      <c r="AD30" s="1638">
        <f t="shared" si="12"/>
      </c>
      <c r="AE30" s="1519"/>
    </row>
    <row r="31" spans="1:31" s="1501" customFormat="1" ht="16.5" customHeight="1">
      <c r="A31" s="1500"/>
      <c r="B31" s="1516"/>
      <c r="C31" s="1599"/>
      <c r="D31" s="1599"/>
      <c r="E31" s="1599"/>
      <c r="F31" s="1616"/>
      <c r="G31" s="1617"/>
      <c r="H31" s="1618"/>
      <c r="I31" s="1641"/>
      <c r="J31" s="1620">
        <f t="shared" si="11"/>
        <v>0</v>
      </c>
      <c r="K31" s="1639"/>
      <c r="L31" s="1639"/>
      <c r="M31" s="1622">
        <f t="shared" si="13"/>
      </c>
      <c r="N31" s="1623">
        <f t="shared" si="14"/>
      </c>
      <c r="O31" s="1640"/>
      <c r="P31" s="1625">
        <f t="shared" si="15"/>
      </c>
      <c r="Q31" s="1626">
        <f t="shared" si="16"/>
      </c>
      <c r="R31" s="1627">
        <f t="shared" si="17"/>
      </c>
      <c r="S31" s="1604">
        <f t="shared" si="0"/>
        <v>20</v>
      </c>
      <c r="T31" s="1628" t="str">
        <f t="shared" si="1"/>
        <v>--</v>
      </c>
      <c r="U31" s="1629" t="str">
        <f t="shared" si="2"/>
        <v>--</v>
      </c>
      <c r="V31" s="1630" t="str">
        <f t="shared" si="3"/>
        <v>--</v>
      </c>
      <c r="W31" s="1631" t="str">
        <f t="shared" si="4"/>
        <v>--</v>
      </c>
      <c r="X31" s="1632" t="str">
        <f t="shared" si="5"/>
        <v>--</v>
      </c>
      <c r="Y31" s="1633" t="str">
        <f t="shared" si="6"/>
        <v>--</v>
      </c>
      <c r="Z31" s="1634" t="str">
        <f t="shared" si="7"/>
        <v>--</v>
      </c>
      <c r="AA31" s="1635" t="str">
        <f t="shared" si="8"/>
        <v>--</v>
      </c>
      <c r="AB31" s="1636">
        <f t="shared" si="9"/>
      </c>
      <c r="AC31" s="1637">
        <f t="shared" si="10"/>
        <v>0</v>
      </c>
      <c r="AD31" s="1638">
        <f t="shared" si="12"/>
      </c>
      <c r="AE31" s="1519"/>
    </row>
    <row r="32" spans="1:31" s="1501" customFormat="1" ht="16.5" customHeight="1">
      <c r="A32" s="1500"/>
      <c r="B32" s="1516"/>
      <c r="C32" s="1599"/>
      <c r="D32" s="1599"/>
      <c r="E32" s="1615"/>
      <c r="F32" s="1616"/>
      <c r="G32" s="1642"/>
      <c r="H32" s="1618"/>
      <c r="I32" s="1641"/>
      <c r="J32" s="1620">
        <f t="shared" si="11"/>
        <v>0</v>
      </c>
      <c r="K32" s="1639"/>
      <c r="L32" s="1639"/>
      <c r="M32" s="1622">
        <f t="shared" si="13"/>
      </c>
      <c r="N32" s="1623">
        <f t="shared" si="14"/>
      </c>
      <c r="O32" s="1640"/>
      <c r="P32" s="1625">
        <f t="shared" si="15"/>
      </c>
      <c r="Q32" s="1626">
        <f t="shared" si="16"/>
      </c>
      <c r="R32" s="1627">
        <f t="shared" si="17"/>
      </c>
      <c r="S32" s="1604">
        <f t="shared" si="0"/>
        <v>20</v>
      </c>
      <c r="T32" s="1628" t="str">
        <f t="shared" si="1"/>
        <v>--</v>
      </c>
      <c r="U32" s="1629" t="str">
        <f t="shared" si="2"/>
        <v>--</v>
      </c>
      <c r="V32" s="1630" t="str">
        <f t="shared" si="3"/>
        <v>--</v>
      </c>
      <c r="W32" s="1631" t="str">
        <f t="shared" si="4"/>
        <v>--</v>
      </c>
      <c r="X32" s="1632" t="str">
        <f t="shared" si="5"/>
        <v>--</v>
      </c>
      <c r="Y32" s="1633" t="str">
        <f t="shared" si="6"/>
        <v>--</v>
      </c>
      <c r="Z32" s="1634" t="str">
        <f t="shared" si="7"/>
        <v>--</v>
      </c>
      <c r="AA32" s="1635" t="str">
        <f t="shared" si="8"/>
        <v>--</v>
      </c>
      <c r="AB32" s="1636">
        <f t="shared" si="9"/>
      </c>
      <c r="AC32" s="1637">
        <f t="shared" si="10"/>
        <v>0</v>
      </c>
      <c r="AD32" s="1638">
        <f t="shared" si="12"/>
      </c>
      <c r="AE32" s="1519"/>
    </row>
    <row r="33" spans="1:31" s="1501" customFormat="1" ht="16.5" customHeight="1">
      <c r="A33" s="1500"/>
      <c r="B33" s="1516"/>
      <c r="C33" s="1599"/>
      <c r="D33" s="1599"/>
      <c r="E33" s="1599"/>
      <c r="F33" s="1616"/>
      <c r="G33" s="1642"/>
      <c r="H33" s="1618"/>
      <c r="I33" s="1641"/>
      <c r="J33" s="1620">
        <f t="shared" si="11"/>
        <v>0</v>
      </c>
      <c r="K33" s="1639"/>
      <c r="L33" s="1639"/>
      <c r="M33" s="1622">
        <f t="shared" si="13"/>
      </c>
      <c r="N33" s="1623">
        <f t="shared" si="14"/>
      </c>
      <c r="O33" s="1640"/>
      <c r="P33" s="1625">
        <f t="shared" si="15"/>
      </c>
      <c r="Q33" s="1626">
        <f t="shared" si="16"/>
      </c>
      <c r="R33" s="1627">
        <f t="shared" si="17"/>
      </c>
      <c r="S33" s="1604">
        <f t="shared" si="0"/>
        <v>20</v>
      </c>
      <c r="T33" s="1628" t="str">
        <f t="shared" si="1"/>
        <v>--</v>
      </c>
      <c r="U33" s="1629" t="str">
        <f t="shared" si="2"/>
        <v>--</v>
      </c>
      <c r="V33" s="1630" t="str">
        <f t="shared" si="3"/>
        <v>--</v>
      </c>
      <c r="W33" s="1631" t="str">
        <f t="shared" si="4"/>
        <v>--</v>
      </c>
      <c r="X33" s="1632" t="str">
        <f t="shared" si="5"/>
        <v>--</v>
      </c>
      <c r="Y33" s="1633" t="str">
        <f t="shared" si="6"/>
        <v>--</v>
      </c>
      <c r="Z33" s="1634" t="str">
        <f t="shared" si="7"/>
        <v>--</v>
      </c>
      <c r="AA33" s="1635" t="str">
        <f t="shared" si="8"/>
        <v>--</v>
      </c>
      <c r="AB33" s="1636">
        <f t="shared" si="9"/>
      </c>
      <c r="AC33" s="1637">
        <f t="shared" si="10"/>
        <v>0</v>
      </c>
      <c r="AD33" s="1638">
        <f t="shared" si="12"/>
      </c>
      <c r="AE33" s="1519"/>
    </row>
    <row r="34" spans="1:31" s="1501" customFormat="1" ht="16.5" customHeight="1">
      <c r="A34" s="1500"/>
      <c r="B34" s="1516"/>
      <c r="C34" s="1599"/>
      <c r="D34" s="1599"/>
      <c r="E34" s="1615"/>
      <c r="F34" s="1616"/>
      <c r="G34" s="1642"/>
      <c r="H34" s="1618"/>
      <c r="I34" s="1641"/>
      <c r="J34" s="1620">
        <f t="shared" si="11"/>
        <v>0</v>
      </c>
      <c r="K34" s="1639"/>
      <c r="L34" s="1639"/>
      <c r="M34" s="1622">
        <f t="shared" si="13"/>
      </c>
      <c r="N34" s="1623">
        <f t="shared" si="14"/>
      </c>
      <c r="O34" s="1640"/>
      <c r="P34" s="1625">
        <f t="shared" si="15"/>
      </c>
      <c r="Q34" s="1626">
        <f t="shared" si="16"/>
      </c>
      <c r="R34" s="1627">
        <f t="shared" si="17"/>
      </c>
      <c r="S34" s="1604">
        <f t="shared" si="0"/>
        <v>20</v>
      </c>
      <c r="T34" s="1628" t="str">
        <f t="shared" si="1"/>
        <v>--</v>
      </c>
      <c r="U34" s="1629" t="str">
        <f t="shared" si="2"/>
        <v>--</v>
      </c>
      <c r="V34" s="1630" t="str">
        <f t="shared" si="3"/>
        <v>--</v>
      </c>
      <c r="W34" s="1631" t="str">
        <f t="shared" si="4"/>
        <v>--</v>
      </c>
      <c r="X34" s="1632" t="str">
        <f t="shared" si="5"/>
        <v>--</v>
      </c>
      <c r="Y34" s="1633" t="str">
        <f t="shared" si="6"/>
        <v>--</v>
      </c>
      <c r="Z34" s="1634" t="str">
        <f t="shared" si="7"/>
        <v>--</v>
      </c>
      <c r="AA34" s="1635" t="str">
        <f t="shared" si="8"/>
        <v>--</v>
      </c>
      <c r="AB34" s="1636">
        <f t="shared" si="9"/>
      </c>
      <c r="AC34" s="1637">
        <f t="shared" si="10"/>
        <v>0</v>
      </c>
      <c r="AD34" s="1638">
        <f t="shared" si="12"/>
      </c>
      <c r="AE34" s="1519"/>
    </row>
    <row r="35" spans="1:31" s="1501" customFormat="1" ht="16.5" customHeight="1">
      <c r="A35" s="1500"/>
      <c r="B35" s="1516"/>
      <c r="C35" s="1599"/>
      <c r="D35" s="1599"/>
      <c r="E35" s="1599"/>
      <c r="F35" s="1616"/>
      <c r="G35" s="1642"/>
      <c r="H35" s="1618"/>
      <c r="I35" s="1641"/>
      <c r="J35" s="1620">
        <f t="shared" si="11"/>
        <v>0</v>
      </c>
      <c r="K35" s="1639"/>
      <c r="L35" s="1639"/>
      <c r="M35" s="1622">
        <f t="shared" si="13"/>
      </c>
      <c r="N35" s="1623">
        <f t="shared" si="14"/>
      </c>
      <c r="O35" s="1640"/>
      <c r="P35" s="1625">
        <f t="shared" si="15"/>
      </c>
      <c r="Q35" s="1626">
        <f t="shared" si="16"/>
      </c>
      <c r="R35" s="1627">
        <f t="shared" si="17"/>
      </c>
      <c r="S35" s="1604">
        <f t="shared" si="0"/>
        <v>20</v>
      </c>
      <c r="T35" s="1628" t="str">
        <f t="shared" si="1"/>
        <v>--</v>
      </c>
      <c r="U35" s="1629" t="str">
        <f t="shared" si="2"/>
        <v>--</v>
      </c>
      <c r="V35" s="1630" t="str">
        <f t="shared" si="3"/>
        <v>--</v>
      </c>
      <c r="W35" s="1631" t="str">
        <f t="shared" si="4"/>
        <v>--</v>
      </c>
      <c r="X35" s="1632" t="str">
        <f t="shared" si="5"/>
        <v>--</v>
      </c>
      <c r="Y35" s="1633" t="str">
        <f t="shared" si="6"/>
        <v>--</v>
      </c>
      <c r="Z35" s="1634" t="str">
        <f t="shared" si="7"/>
        <v>--</v>
      </c>
      <c r="AA35" s="1635" t="str">
        <f t="shared" si="8"/>
        <v>--</v>
      </c>
      <c r="AB35" s="1636">
        <f t="shared" si="9"/>
      </c>
      <c r="AC35" s="1637">
        <f t="shared" si="10"/>
        <v>0</v>
      </c>
      <c r="AD35" s="1638">
        <f t="shared" si="12"/>
      </c>
      <c r="AE35" s="1519"/>
    </row>
    <row r="36" spans="1:31" s="1501" customFormat="1" ht="16.5" customHeight="1">
      <c r="A36" s="1500"/>
      <c r="B36" s="1516"/>
      <c r="C36" s="1599"/>
      <c r="D36" s="1599"/>
      <c r="E36" s="1615"/>
      <c r="F36" s="1616"/>
      <c r="G36" s="1642"/>
      <c r="H36" s="1618"/>
      <c r="I36" s="1641"/>
      <c r="J36" s="1620">
        <f t="shared" si="11"/>
        <v>0</v>
      </c>
      <c r="K36" s="1639"/>
      <c r="L36" s="1639"/>
      <c r="M36" s="1622">
        <f t="shared" si="13"/>
      </c>
      <c r="N36" s="1623">
        <f t="shared" si="14"/>
      </c>
      <c r="O36" s="1640"/>
      <c r="P36" s="1625">
        <f t="shared" si="15"/>
      </c>
      <c r="Q36" s="1626">
        <f t="shared" si="16"/>
      </c>
      <c r="R36" s="1627">
        <f t="shared" si="17"/>
      </c>
      <c r="S36" s="1604">
        <f t="shared" si="0"/>
        <v>20</v>
      </c>
      <c r="T36" s="1628" t="str">
        <f t="shared" si="1"/>
        <v>--</v>
      </c>
      <c r="U36" s="1629" t="str">
        <f t="shared" si="2"/>
        <v>--</v>
      </c>
      <c r="V36" s="1630" t="str">
        <f t="shared" si="3"/>
        <v>--</v>
      </c>
      <c r="W36" s="1631" t="str">
        <f t="shared" si="4"/>
        <v>--</v>
      </c>
      <c r="X36" s="1632" t="str">
        <f t="shared" si="5"/>
        <v>--</v>
      </c>
      <c r="Y36" s="1633" t="str">
        <f t="shared" si="6"/>
        <v>--</v>
      </c>
      <c r="Z36" s="1634" t="str">
        <f t="shared" si="7"/>
        <v>--</v>
      </c>
      <c r="AA36" s="1635" t="str">
        <f t="shared" si="8"/>
        <v>--</v>
      </c>
      <c r="AB36" s="1636">
        <f t="shared" si="9"/>
      </c>
      <c r="AC36" s="1637">
        <f t="shared" si="10"/>
        <v>0</v>
      </c>
      <c r="AD36" s="1638">
        <f t="shared" si="12"/>
      </c>
      <c r="AE36" s="1519"/>
    </row>
    <row r="37" spans="1:31" s="1501" customFormat="1" ht="16.5" customHeight="1">
      <c r="A37" s="1500"/>
      <c r="B37" s="1516"/>
      <c r="C37" s="1599"/>
      <c r="D37" s="1599"/>
      <c r="E37" s="1599"/>
      <c r="F37" s="1616"/>
      <c r="G37" s="1642"/>
      <c r="H37" s="1618"/>
      <c r="I37" s="1641"/>
      <c r="J37" s="1620">
        <f t="shared" si="11"/>
        <v>0</v>
      </c>
      <c r="K37" s="1639"/>
      <c r="L37" s="1639"/>
      <c r="M37" s="1622">
        <f t="shared" si="13"/>
      </c>
      <c r="N37" s="1623">
        <f t="shared" si="14"/>
      </c>
      <c r="O37" s="1640"/>
      <c r="P37" s="1625">
        <f t="shared" si="15"/>
      </c>
      <c r="Q37" s="1626">
        <f t="shared" si="16"/>
      </c>
      <c r="R37" s="1627">
        <f t="shared" si="17"/>
      </c>
      <c r="S37" s="1604">
        <f t="shared" si="0"/>
        <v>20</v>
      </c>
      <c r="T37" s="1628" t="str">
        <f t="shared" si="1"/>
        <v>--</v>
      </c>
      <c r="U37" s="1629" t="str">
        <f t="shared" si="2"/>
        <v>--</v>
      </c>
      <c r="V37" s="1630" t="str">
        <f t="shared" si="3"/>
        <v>--</v>
      </c>
      <c r="W37" s="1631" t="str">
        <f t="shared" si="4"/>
        <v>--</v>
      </c>
      <c r="X37" s="1632" t="str">
        <f t="shared" si="5"/>
        <v>--</v>
      </c>
      <c r="Y37" s="1633" t="str">
        <f t="shared" si="6"/>
        <v>--</v>
      </c>
      <c r="Z37" s="1634" t="str">
        <f t="shared" si="7"/>
        <v>--</v>
      </c>
      <c r="AA37" s="1635" t="str">
        <f t="shared" si="8"/>
        <v>--</v>
      </c>
      <c r="AB37" s="1636">
        <f t="shared" si="9"/>
      </c>
      <c r="AC37" s="1637">
        <f t="shared" si="10"/>
        <v>0</v>
      </c>
      <c r="AD37" s="1638">
        <f t="shared" si="12"/>
      </c>
      <c r="AE37" s="1519"/>
    </row>
    <row r="38" spans="1:31" s="1501" customFormat="1" ht="16.5" customHeight="1">
      <c r="A38" s="1500"/>
      <c r="B38" s="1516"/>
      <c r="C38" s="1599"/>
      <c r="D38" s="1599"/>
      <c r="E38" s="1615"/>
      <c r="F38" s="1616"/>
      <c r="G38" s="1642"/>
      <c r="H38" s="1618"/>
      <c r="I38" s="1641"/>
      <c r="J38" s="1620">
        <f t="shared" si="11"/>
        <v>0</v>
      </c>
      <c r="K38" s="1639"/>
      <c r="L38" s="1639"/>
      <c r="M38" s="1622">
        <f t="shared" si="13"/>
      </c>
      <c r="N38" s="1623">
        <f t="shared" si="14"/>
      </c>
      <c r="O38" s="1640"/>
      <c r="P38" s="1625">
        <f t="shared" si="15"/>
      </c>
      <c r="Q38" s="1626">
        <f t="shared" si="16"/>
      </c>
      <c r="R38" s="1627">
        <f t="shared" si="17"/>
      </c>
      <c r="S38" s="1604">
        <f t="shared" si="0"/>
        <v>20</v>
      </c>
      <c r="T38" s="1628" t="str">
        <f t="shared" si="1"/>
        <v>--</v>
      </c>
      <c r="U38" s="1629" t="str">
        <f t="shared" si="2"/>
        <v>--</v>
      </c>
      <c r="V38" s="1630" t="str">
        <f t="shared" si="3"/>
        <v>--</v>
      </c>
      <c r="W38" s="1631" t="str">
        <f t="shared" si="4"/>
        <v>--</v>
      </c>
      <c r="X38" s="1632" t="str">
        <f t="shared" si="5"/>
        <v>--</v>
      </c>
      <c r="Y38" s="1633" t="str">
        <f t="shared" si="6"/>
        <v>--</v>
      </c>
      <c r="Z38" s="1634" t="str">
        <f t="shared" si="7"/>
        <v>--</v>
      </c>
      <c r="AA38" s="1635" t="str">
        <f t="shared" si="8"/>
        <v>--</v>
      </c>
      <c r="AB38" s="1636">
        <f t="shared" si="9"/>
      </c>
      <c r="AC38" s="1637">
        <f t="shared" si="10"/>
        <v>0</v>
      </c>
      <c r="AD38" s="1638">
        <f t="shared" si="12"/>
      </c>
      <c r="AE38" s="1519"/>
    </row>
    <row r="39" spans="1:31" s="1501" customFormat="1" ht="16.5" customHeight="1">
      <c r="A39" s="1500"/>
      <c r="B39" s="1516"/>
      <c r="C39" s="1599"/>
      <c r="D39" s="1599"/>
      <c r="E39" s="1599"/>
      <c r="F39" s="1616"/>
      <c r="G39" s="1642"/>
      <c r="H39" s="1618"/>
      <c r="I39" s="1641"/>
      <c r="J39" s="1620">
        <f t="shared" si="11"/>
        <v>0</v>
      </c>
      <c r="K39" s="1639"/>
      <c r="L39" s="1639"/>
      <c r="M39" s="1622">
        <f t="shared" si="13"/>
      </c>
      <c r="N39" s="1623">
        <f t="shared" si="14"/>
      </c>
      <c r="O39" s="1640"/>
      <c r="P39" s="1625">
        <f t="shared" si="15"/>
      </c>
      <c r="Q39" s="1626">
        <f t="shared" si="16"/>
      </c>
      <c r="R39" s="1627">
        <f t="shared" si="17"/>
      </c>
      <c r="S39" s="1604">
        <f t="shared" si="0"/>
        <v>20</v>
      </c>
      <c r="T39" s="1628" t="str">
        <f t="shared" si="1"/>
        <v>--</v>
      </c>
      <c r="U39" s="1629" t="str">
        <f t="shared" si="2"/>
        <v>--</v>
      </c>
      <c r="V39" s="1630" t="str">
        <f t="shared" si="3"/>
        <v>--</v>
      </c>
      <c r="W39" s="1631" t="str">
        <f t="shared" si="4"/>
        <v>--</v>
      </c>
      <c r="X39" s="1632" t="str">
        <f t="shared" si="5"/>
        <v>--</v>
      </c>
      <c r="Y39" s="1633" t="str">
        <f t="shared" si="6"/>
        <v>--</v>
      </c>
      <c r="Z39" s="1634" t="str">
        <f t="shared" si="7"/>
        <v>--</v>
      </c>
      <c r="AA39" s="1635" t="str">
        <f t="shared" si="8"/>
        <v>--</v>
      </c>
      <c r="AB39" s="1636">
        <f t="shared" si="9"/>
      </c>
      <c r="AC39" s="1637">
        <f t="shared" si="10"/>
        <v>0</v>
      </c>
      <c r="AD39" s="1638">
        <f t="shared" si="12"/>
      </c>
      <c r="AE39" s="1519"/>
    </row>
    <row r="40" spans="1:31" s="1501" customFormat="1" ht="16.5" customHeight="1">
      <c r="A40" s="1500"/>
      <c r="B40" s="1516"/>
      <c r="C40" s="1599"/>
      <c r="D40" s="1599"/>
      <c r="E40" s="1615"/>
      <c r="F40" s="1616"/>
      <c r="G40" s="1642"/>
      <c r="H40" s="1618"/>
      <c r="I40" s="1641"/>
      <c r="J40" s="1620">
        <f t="shared" si="11"/>
        <v>0</v>
      </c>
      <c r="K40" s="1639"/>
      <c r="L40" s="1639"/>
      <c r="M40" s="1622">
        <f t="shared" si="13"/>
      </c>
      <c r="N40" s="1623">
        <f t="shared" si="14"/>
      </c>
      <c r="O40" s="1640"/>
      <c r="P40" s="1625">
        <f t="shared" si="15"/>
      </c>
      <c r="Q40" s="1626">
        <f t="shared" si="16"/>
      </c>
      <c r="R40" s="1627">
        <f t="shared" si="17"/>
      </c>
      <c r="S40" s="1604">
        <f t="shared" si="0"/>
        <v>20</v>
      </c>
      <c r="T40" s="1628" t="str">
        <f t="shared" si="1"/>
        <v>--</v>
      </c>
      <c r="U40" s="1629" t="str">
        <f t="shared" si="2"/>
        <v>--</v>
      </c>
      <c r="V40" s="1630" t="str">
        <f t="shared" si="3"/>
        <v>--</v>
      </c>
      <c r="W40" s="1631" t="str">
        <f t="shared" si="4"/>
        <v>--</v>
      </c>
      <c r="X40" s="1632" t="str">
        <f t="shared" si="5"/>
        <v>--</v>
      </c>
      <c r="Y40" s="1633" t="str">
        <f t="shared" si="6"/>
        <v>--</v>
      </c>
      <c r="Z40" s="1634" t="str">
        <f t="shared" si="7"/>
        <v>--</v>
      </c>
      <c r="AA40" s="1635" t="str">
        <f t="shared" si="8"/>
        <v>--</v>
      </c>
      <c r="AB40" s="1636">
        <f t="shared" si="9"/>
      </c>
      <c r="AC40" s="1637">
        <f t="shared" si="10"/>
        <v>0</v>
      </c>
      <c r="AD40" s="1638">
        <f t="shared" si="12"/>
      </c>
      <c r="AE40" s="1519"/>
    </row>
    <row r="41" spans="1:31" s="1501" customFormat="1" ht="16.5" customHeight="1">
      <c r="A41" s="1500"/>
      <c r="B41" s="1516"/>
      <c r="C41" s="1599"/>
      <c r="D41" s="1599"/>
      <c r="E41" s="1599"/>
      <c r="F41" s="1616"/>
      <c r="G41" s="1642"/>
      <c r="H41" s="1618"/>
      <c r="I41" s="1641"/>
      <c r="J41" s="1620">
        <f t="shared" si="11"/>
        <v>0</v>
      </c>
      <c r="K41" s="1639"/>
      <c r="L41" s="1639"/>
      <c r="M41" s="1622">
        <f t="shared" si="13"/>
      </c>
      <c r="N41" s="1623">
        <f t="shared" si="14"/>
      </c>
      <c r="O41" s="1640"/>
      <c r="P41" s="1625">
        <f t="shared" si="15"/>
      </c>
      <c r="Q41" s="1626">
        <f t="shared" si="16"/>
      </c>
      <c r="R41" s="1627">
        <f t="shared" si="17"/>
      </c>
      <c r="S41" s="1604">
        <f t="shared" si="0"/>
        <v>20</v>
      </c>
      <c r="T41" s="1628" t="str">
        <f t="shared" si="1"/>
        <v>--</v>
      </c>
      <c r="U41" s="1629" t="str">
        <f t="shared" si="2"/>
        <v>--</v>
      </c>
      <c r="V41" s="1630" t="str">
        <f t="shared" si="3"/>
        <v>--</v>
      </c>
      <c r="W41" s="1631" t="str">
        <f t="shared" si="4"/>
        <v>--</v>
      </c>
      <c r="X41" s="1632" t="str">
        <f t="shared" si="5"/>
        <v>--</v>
      </c>
      <c r="Y41" s="1633" t="str">
        <f t="shared" si="6"/>
        <v>--</v>
      </c>
      <c r="Z41" s="1634" t="str">
        <f t="shared" si="7"/>
        <v>--</v>
      </c>
      <c r="AA41" s="1635" t="str">
        <f t="shared" si="8"/>
        <v>--</v>
      </c>
      <c r="AB41" s="1636">
        <f t="shared" si="9"/>
      </c>
      <c r="AC41" s="1637">
        <f t="shared" si="10"/>
        <v>0</v>
      </c>
      <c r="AD41" s="1638">
        <f t="shared" si="12"/>
      </c>
      <c r="AE41" s="1519"/>
    </row>
    <row r="42" spans="1:31" s="1501" customFormat="1" ht="16.5" customHeight="1" thickBot="1">
      <c r="A42" s="1500"/>
      <c r="B42" s="1516"/>
      <c r="C42" s="1643"/>
      <c r="D42" s="1643"/>
      <c r="E42" s="1643"/>
      <c r="F42" s="1643"/>
      <c r="G42" s="1643"/>
      <c r="H42" s="1643"/>
      <c r="I42" s="1644"/>
      <c r="J42" s="1645"/>
      <c r="K42" s="1646"/>
      <c r="L42" s="1647"/>
      <c r="M42" s="1648"/>
      <c r="N42" s="1649"/>
      <c r="O42" s="1650"/>
      <c r="P42" s="1651"/>
      <c r="Q42" s="1652"/>
      <c r="R42" s="1652"/>
      <c r="S42" s="1653"/>
      <c r="T42" s="1654"/>
      <c r="U42" s="1655"/>
      <c r="V42" s="1656"/>
      <c r="W42" s="1657"/>
      <c r="X42" s="1658"/>
      <c r="Y42" s="1659"/>
      <c r="Z42" s="1660"/>
      <c r="AA42" s="1661"/>
      <c r="AB42" s="1662"/>
      <c r="AC42" s="1663"/>
      <c r="AD42" s="1664"/>
      <c r="AE42" s="1519"/>
    </row>
    <row r="43" spans="1:31" s="1501" customFormat="1" ht="16.5" customHeight="1" thickBot="1" thickTop="1">
      <c r="A43" s="1500"/>
      <c r="B43" s="1516"/>
      <c r="C43" s="1665" t="s">
        <v>288</v>
      </c>
      <c r="D43" s="1666" t="s">
        <v>287</v>
      </c>
      <c r="E43" s="1667"/>
      <c r="F43" s="1668"/>
      <c r="G43" s="1517"/>
      <c r="H43" s="1517"/>
      <c r="I43" s="1517"/>
      <c r="J43" s="1517"/>
      <c r="K43" s="1517"/>
      <c r="L43" s="1557"/>
      <c r="M43" s="1517"/>
      <c r="N43" s="1517"/>
      <c r="O43" s="1517"/>
      <c r="P43" s="1517"/>
      <c r="Q43" s="1517"/>
      <c r="R43" s="1517"/>
      <c r="S43" s="1669"/>
      <c r="T43" s="1670">
        <f aca="true" t="shared" si="18" ref="T43:AA43">SUM(T20:T42)</f>
        <v>1818.1320000000003</v>
      </c>
      <c r="U43" s="1671">
        <f t="shared" si="18"/>
        <v>0</v>
      </c>
      <c r="V43" s="1672">
        <f t="shared" si="18"/>
        <v>0</v>
      </c>
      <c r="W43" s="1673">
        <f t="shared" si="18"/>
        <v>0</v>
      </c>
      <c r="X43" s="1674">
        <f t="shared" si="18"/>
        <v>0</v>
      </c>
      <c r="Y43" s="1675">
        <f t="shared" si="18"/>
        <v>0</v>
      </c>
      <c r="Z43" s="1676">
        <f t="shared" si="18"/>
        <v>0</v>
      </c>
      <c r="AA43" s="1677">
        <f t="shared" si="18"/>
        <v>0</v>
      </c>
      <c r="AB43" s="1500"/>
      <c r="AC43" s="1678">
        <f>ROUND(SUM(AC20:AC42),2)</f>
        <v>1818.13</v>
      </c>
      <c r="AD43" s="1679">
        <f>ROUND(SUM(AD20:AD42),2)</f>
        <v>1818.13</v>
      </c>
      <c r="AE43" s="1519"/>
    </row>
    <row r="44" spans="1:31" s="1501" customFormat="1" ht="16.5" customHeight="1" thickBot="1" thickTop="1">
      <c r="A44" s="1500"/>
      <c r="B44" s="1680"/>
      <c r="C44" s="1681"/>
      <c r="D44" s="1681"/>
      <c r="E44" s="1681"/>
      <c r="F44" s="1681"/>
      <c r="G44" s="1681"/>
      <c r="H44" s="1681"/>
      <c r="I44" s="1681"/>
      <c r="J44" s="1681"/>
      <c r="K44" s="1681"/>
      <c r="L44" s="1681"/>
      <c r="M44" s="1681"/>
      <c r="N44" s="1681"/>
      <c r="O44" s="1681"/>
      <c r="P44" s="1681"/>
      <c r="Q44" s="1681"/>
      <c r="R44" s="1681"/>
      <c r="S44" s="1681"/>
      <c r="T44" s="1681"/>
      <c r="U44" s="1681"/>
      <c r="V44" s="1681"/>
      <c r="W44" s="1681"/>
      <c r="X44" s="1681"/>
      <c r="Y44" s="1681"/>
      <c r="Z44" s="1681"/>
      <c r="AA44" s="1681"/>
      <c r="AB44" s="1681"/>
      <c r="AC44" s="1681"/>
      <c r="AD44" s="1681"/>
      <c r="AE44" s="1682"/>
    </row>
    <row r="45" spans="1:32" ht="16.5" customHeight="1" thickTop="1">
      <c r="A45" s="1683"/>
      <c r="F45" s="1684"/>
      <c r="G45" s="1684"/>
      <c r="H45" s="1684"/>
      <c r="I45" s="1684"/>
      <c r="J45" s="1684"/>
      <c r="K45" s="1684"/>
      <c r="L45" s="1684"/>
      <c r="M45" s="1684"/>
      <c r="N45" s="1684"/>
      <c r="O45" s="1684"/>
      <c r="P45" s="1684"/>
      <c r="Q45" s="1684"/>
      <c r="R45" s="1684"/>
      <c r="S45" s="1684"/>
      <c r="T45" s="1684"/>
      <c r="U45" s="1684"/>
      <c r="V45" s="1684"/>
      <c r="W45" s="1684"/>
      <c r="X45" s="1684"/>
      <c r="Y45" s="1684"/>
      <c r="Z45" s="1684"/>
      <c r="AA45" s="1684"/>
      <c r="AB45" s="1684"/>
      <c r="AC45" s="1684"/>
      <c r="AD45" s="1684"/>
      <c r="AE45" s="1684"/>
      <c r="AF45" s="1684"/>
    </row>
    <row r="46" spans="1:32" ht="16.5" customHeight="1">
      <c r="A46" s="1683"/>
      <c r="F46" s="1684"/>
      <c r="G46" s="1684"/>
      <c r="H46" s="1684"/>
      <c r="I46" s="1684"/>
      <c r="J46" s="1684"/>
      <c r="K46" s="1684"/>
      <c r="L46" s="1684"/>
      <c r="M46" s="1684"/>
      <c r="N46" s="1684"/>
      <c r="O46" s="1684"/>
      <c r="P46" s="1684"/>
      <c r="Q46" s="1684"/>
      <c r="R46" s="1684"/>
      <c r="S46" s="1684"/>
      <c r="T46" s="1684"/>
      <c r="U46" s="1684"/>
      <c r="V46" s="1684"/>
      <c r="W46" s="1684"/>
      <c r="X46" s="1684"/>
      <c r="Y46" s="1684"/>
      <c r="Z46" s="1684"/>
      <c r="AA46" s="1684"/>
      <c r="AB46" s="1684"/>
      <c r="AC46" s="1684"/>
      <c r="AD46" s="1684"/>
      <c r="AE46" s="1684"/>
      <c r="AF46" s="1684"/>
    </row>
    <row r="47" spans="1:32" ht="16.5" customHeight="1">
      <c r="A47" s="1683"/>
      <c r="F47" s="1684"/>
      <c r="G47" s="1684"/>
      <c r="H47" s="1684"/>
      <c r="I47" s="1684"/>
      <c r="J47" s="1684"/>
      <c r="K47" s="1684"/>
      <c r="L47" s="1684"/>
      <c r="M47" s="1684"/>
      <c r="N47" s="1684"/>
      <c r="O47" s="1684"/>
      <c r="P47" s="1684"/>
      <c r="Q47" s="1684"/>
      <c r="R47" s="1684"/>
      <c r="S47" s="1684"/>
      <c r="T47" s="1684"/>
      <c r="U47" s="1684"/>
      <c r="V47" s="1684"/>
      <c r="W47" s="1684"/>
      <c r="X47" s="1684"/>
      <c r="Y47" s="1684"/>
      <c r="Z47" s="1684"/>
      <c r="AA47" s="1684"/>
      <c r="AB47" s="1684"/>
      <c r="AC47" s="1684"/>
      <c r="AD47" s="1684"/>
      <c r="AE47" s="1684"/>
      <c r="AF47" s="1684"/>
    </row>
    <row r="48" spans="1:32" ht="16.5" customHeight="1">
      <c r="A48" s="1683"/>
      <c r="F48" s="1684"/>
      <c r="G48" s="1684"/>
      <c r="H48" s="1684"/>
      <c r="I48" s="1684"/>
      <c r="J48" s="1684"/>
      <c r="K48" s="1684"/>
      <c r="L48" s="1684"/>
      <c r="M48" s="1684"/>
      <c r="N48" s="1684"/>
      <c r="O48" s="1684"/>
      <c r="P48" s="1684"/>
      <c r="Q48" s="1684"/>
      <c r="R48" s="1684"/>
      <c r="S48" s="1684"/>
      <c r="T48" s="1684"/>
      <c r="U48" s="1684"/>
      <c r="V48" s="1684"/>
      <c r="W48" s="1684"/>
      <c r="X48" s="1684"/>
      <c r="Y48" s="1684"/>
      <c r="Z48" s="1684"/>
      <c r="AA48" s="1684"/>
      <c r="AB48" s="1684"/>
      <c r="AC48" s="1684"/>
      <c r="AD48" s="1684"/>
      <c r="AE48" s="1684"/>
      <c r="AF48" s="1684"/>
    </row>
    <row r="49" spans="6:32" ht="16.5" customHeight="1">
      <c r="F49" s="1684"/>
      <c r="G49" s="1684"/>
      <c r="H49" s="1684"/>
      <c r="I49" s="1684"/>
      <c r="J49" s="1684"/>
      <c r="K49" s="1684"/>
      <c r="L49" s="1684"/>
      <c r="M49" s="1684"/>
      <c r="N49" s="1684"/>
      <c r="O49" s="1684"/>
      <c r="P49" s="1684"/>
      <c r="Q49" s="1684"/>
      <c r="R49" s="1684"/>
      <c r="S49" s="1684"/>
      <c r="T49" s="1684"/>
      <c r="U49" s="1684"/>
      <c r="V49" s="1684"/>
      <c r="W49" s="1684"/>
      <c r="X49" s="1684"/>
      <c r="Y49" s="1684"/>
      <c r="Z49" s="1684"/>
      <c r="AA49" s="1684"/>
      <c r="AB49" s="1684"/>
      <c r="AC49" s="1684"/>
      <c r="AD49" s="1684"/>
      <c r="AE49" s="1684"/>
      <c r="AF49" s="1684"/>
    </row>
    <row r="50" spans="6:32" ht="16.5" customHeight="1">
      <c r="F50" s="1684"/>
      <c r="G50" s="1684"/>
      <c r="H50" s="1684"/>
      <c r="I50" s="1684"/>
      <c r="J50" s="1684"/>
      <c r="K50" s="1684"/>
      <c r="L50" s="1684"/>
      <c r="M50" s="1684"/>
      <c r="N50" s="1684"/>
      <c r="O50" s="1684"/>
      <c r="P50" s="1684"/>
      <c r="Q50" s="1684"/>
      <c r="R50" s="1684"/>
      <c r="S50" s="1684"/>
      <c r="T50" s="1684"/>
      <c r="U50" s="1684"/>
      <c r="V50" s="1684"/>
      <c r="W50" s="1684"/>
      <c r="X50" s="1684"/>
      <c r="Y50" s="1684"/>
      <c r="Z50" s="1684"/>
      <c r="AA50" s="1684"/>
      <c r="AB50" s="1684"/>
      <c r="AC50" s="1684"/>
      <c r="AD50" s="1684"/>
      <c r="AE50" s="1684"/>
      <c r="AF50" s="1684"/>
    </row>
    <row r="51" spans="6:32" ht="16.5" customHeight="1">
      <c r="F51" s="1684"/>
      <c r="G51" s="1684"/>
      <c r="H51" s="1684"/>
      <c r="I51" s="1684"/>
      <c r="J51" s="1684"/>
      <c r="K51" s="1684"/>
      <c r="L51" s="1684"/>
      <c r="M51" s="1684"/>
      <c r="N51" s="1684"/>
      <c r="O51" s="1684"/>
      <c r="P51" s="1684"/>
      <c r="Q51" s="1684"/>
      <c r="R51" s="1684"/>
      <c r="S51" s="1684"/>
      <c r="T51" s="1684"/>
      <c r="U51" s="1684"/>
      <c r="V51" s="1684"/>
      <c r="W51" s="1684"/>
      <c r="X51" s="1684"/>
      <c r="Y51" s="1684"/>
      <c r="Z51" s="1684"/>
      <c r="AA51" s="1684"/>
      <c r="AB51" s="1684"/>
      <c r="AC51" s="1684"/>
      <c r="AD51" s="1684"/>
      <c r="AE51" s="1684"/>
      <c r="AF51" s="1684"/>
    </row>
    <row r="52" spans="6:32" ht="16.5" customHeight="1">
      <c r="F52" s="1684"/>
      <c r="G52" s="1684"/>
      <c r="H52" s="1684"/>
      <c r="I52" s="1684"/>
      <c r="J52" s="1684"/>
      <c r="K52" s="1684"/>
      <c r="L52" s="1684"/>
      <c r="M52" s="1684"/>
      <c r="N52" s="1684"/>
      <c r="O52" s="1684"/>
      <c r="P52" s="1684"/>
      <c r="Q52" s="1684"/>
      <c r="R52" s="1684"/>
      <c r="S52" s="1684"/>
      <c r="T52" s="1684"/>
      <c r="U52" s="1684"/>
      <c r="V52" s="1684"/>
      <c r="W52" s="1684"/>
      <c r="X52" s="1684"/>
      <c r="Y52" s="1684"/>
      <c r="Z52" s="1684"/>
      <c r="AA52" s="1684"/>
      <c r="AB52" s="1684"/>
      <c r="AC52" s="1684"/>
      <c r="AD52" s="1684"/>
      <c r="AE52" s="1684"/>
      <c r="AF52" s="1684"/>
    </row>
    <row r="53" spans="6:32" ht="16.5" customHeight="1">
      <c r="F53" s="1684"/>
      <c r="G53" s="1684"/>
      <c r="H53" s="1684"/>
      <c r="I53" s="1684"/>
      <c r="J53" s="1684"/>
      <c r="K53" s="1684"/>
      <c r="L53" s="1684"/>
      <c r="M53" s="1684"/>
      <c r="N53" s="1684"/>
      <c r="O53" s="1684"/>
      <c r="P53" s="1684"/>
      <c r="Q53" s="1684"/>
      <c r="R53" s="1684"/>
      <c r="S53" s="1684"/>
      <c r="T53" s="1684"/>
      <c r="U53" s="1684"/>
      <c r="V53" s="1684"/>
      <c r="W53" s="1684"/>
      <c r="X53" s="1684"/>
      <c r="Y53" s="1684"/>
      <c r="Z53" s="1684"/>
      <c r="AA53" s="1684"/>
      <c r="AB53" s="1684"/>
      <c r="AC53" s="1684"/>
      <c r="AD53" s="1684"/>
      <c r="AE53" s="1684"/>
      <c r="AF53" s="1684"/>
    </row>
    <row r="54" spans="6:32" ht="16.5" customHeight="1">
      <c r="F54" s="1684"/>
      <c r="G54" s="1684"/>
      <c r="H54" s="1684"/>
      <c r="I54" s="1684"/>
      <c r="J54" s="1684"/>
      <c r="K54" s="1684"/>
      <c r="L54" s="1684"/>
      <c r="M54" s="1684"/>
      <c r="N54" s="1684"/>
      <c r="O54" s="1684"/>
      <c r="P54" s="1684"/>
      <c r="Q54" s="1684"/>
      <c r="R54" s="1684"/>
      <c r="S54" s="1684"/>
      <c r="T54" s="1684"/>
      <c r="U54" s="1684"/>
      <c r="V54" s="1684"/>
      <c r="W54" s="1684"/>
      <c r="X54" s="1684"/>
      <c r="Y54" s="1684"/>
      <c r="Z54" s="1684"/>
      <c r="AA54" s="1684"/>
      <c r="AB54" s="1684"/>
      <c r="AC54" s="1684"/>
      <c r="AD54" s="1684"/>
      <c r="AE54" s="1684"/>
      <c r="AF54" s="1684"/>
    </row>
    <row r="55" spans="6:32" ht="16.5" customHeight="1">
      <c r="F55" s="1684"/>
      <c r="G55" s="1684"/>
      <c r="H55" s="1684"/>
      <c r="I55" s="1684"/>
      <c r="J55" s="1684"/>
      <c r="K55" s="1684"/>
      <c r="L55" s="1684"/>
      <c r="M55" s="1684"/>
      <c r="N55" s="1684"/>
      <c r="O55" s="1684"/>
      <c r="P55" s="1684"/>
      <c r="Q55" s="1684"/>
      <c r="R55" s="1684"/>
      <c r="S55" s="1684"/>
      <c r="T55" s="1684"/>
      <c r="U55" s="1684"/>
      <c r="V55" s="1684"/>
      <c r="W55" s="1684"/>
      <c r="X55" s="1684"/>
      <c r="Y55" s="1684"/>
      <c r="Z55" s="1684"/>
      <c r="AA55" s="1684"/>
      <c r="AB55" s="1684"/>
      <c r="AC55" s="1684"/>
      <c r="AD55" s="1684"/>
      <c r="AE55" s="1684"/>
      <c r="AF55" s="1684"/>
    </row>
    <row r="56" spans="6:32" ht="16.5" customHeight="1">
      <c r="F56" s="1684"/>
      <c r="G56" s="1684"/>
      <c r="H56" s="1684"/>
      <c r="I56" s="1684"/>
      <c r="J56" s="1684"/>
      <c r="K56" s="1684"/>
      <c r="L56" s="1684"/>
      <c r="M56" s="1684"/>
      <c r="N56" s="1684"/>
      <c r="O56" s="1684"/>
      <c r="P56" s="1684"/>
      <c r="Q56" s="1684"/>
      <c r="R56" s="1684"/>
      <c r="S56" s="1684"/>
      <c r="T56" s="1684"/>
      <c r="U56" s="1684"/>
      <c r="V56" s="1684"/>
      <c r="W56" s="1684"/>
      <c r="X56" s="1684"/>
      <c r="Y56" s="1684"/>
      <c r="Z56" s="1684"/>
      <c r="AA56" s="1684"/>
      <c r="AB56" s="1684"/>
      <c r="AC56" s="1684"/>
      <c r="AD56" s="1684"/>
      <c r="AE56" s="1684"/>
      <c r="AF56" s="1684"/>
    </row>
    <row r="57" spans="6:32" ht="16.5" customHeight="1">
      <c r="F57" s="1684"/>
      <c r="G57" s="1684"/>
      <c r="H57" s="1684"/>
      <c r="I57" s="1684"/>
      <c r="J57" s="1684"/>
      <c r="K57" s="1684"/>
      <c r="L57" s="1684"/>
      <c r="M57" s="1684"/>
      <c r="N57" s="1684"/>
      <c r="O57" s="1684"/>
      <c r="P57" s="1684"/>
      <c r="Q57" s="1684"/>
      <c r="R57" s="1684"/>
      <c r="S57" s="1684"/>
      <c r="T57" s="1684"/>
      <c r="U57" s="1684"/>
      <c r="V57" s="1684"/>
      <c r="W57" s="1684"/>
      <c r="X57" s="1684"/>
      <c r="Y57" s="1684"/>
      <c r="Z57" s="1684"/>
      <c r="AA57" s="1684"/>
      <c r="AB57" s="1684"/>
      <c r="AC57" s="1684"/>
      <c r="AD57" s="1684"/>
      <c r="AE57" s="1684"/>
      <c r="AF57" s="1684"/>
    </row>
    <row r="58" spans="6:32" ht="16.5" customHeight="1">
      <c r="F58" s="1684"/>
      <c r="G58" s="1684"/>
      <c r="H58" s="1684"/>
      <c r="I58" s="1684"/>
      <c r="J58" s="1684"/>
      <c r="K58" s="1684"/>
      <c r="L58" s="1684"/>
      <c r="M58" s="1684"/>
      <c r="N58" s="1684"/>
      <c r="O58" s="1684"/>
      <c r="P58" s="1684"/>
      <c r="Q58" s="1684"/>
      <c r="R58" s="1684"/>
      <c r="S58" s="1684"/>
      <c r="T58" s="1684"/>
      <c r="U58" s="1684"/>
      <c r="V58" s="1684"/>
      <c r="W58" s="1684"/>
      <c r="X58" s="1684"/>
      <c r="Y58" s="1684"/>
      <c r="Z58" s="1684"/>
      <c r="AA58" s="1684"/>
      <c r="AB58" s="1684"/>
      <c r="AC58" s="1684"/>
      <c r="AD58" s="1684"/>
      <c r="AE58" s="1684"/>
      <c r="AF58" s="1684"/>
    </row>
    <row r="59" spans="6:32" ht="16.5" customHeight="1">
      <c r="F59" s="1684"/>
      <c r="G59" s="1684"/>
      <c r="H59" s="1684"/>
      <c r="I59" s="1684"/>
      <c r="J59" s="1684"/>
      <c r="K59" s="1684"/>
      <c r="L59" s="1684"/>
      <c r="M59" s="1684"/>
      <c r="N59" s="1684"/>
      <c r="O59" s="1684"/>
      <c r="P59" s="1684"/>
      <c r="Q59" s="1684"/>
      <c r="R59" s="1684"/>
      <c r="S59" s="1684"/>
      <c r="T59" s="1684"/>
      <c r="U59" s="1684"/>
      <c r="V59" s="1684"/>
      <c r="W59" s="1684"/>
      <c r="X59" s="1684"/>
      <c r="Y59" s="1684"/>
      <c r="Z59" s="1684"/>
      <c r="AA59" s="1684"/>
      <c r="AB59" s="1684"/>
      <c r="AC59" s="1684"/>
      <c r="AD59" s="1684"/>
      <c r="AE59" s="1684"/>
      <c r="AF59" s="1684"/>
    </row>
    <row r="60" spans="6:32" ht="16.5" customHeight="1">
      <c r="F60" s="1684"/>
      <c r="G60" s="1684"/>
      <c r="H60" s="1684"/>
      <c r="I60" s="1684"/>
      <c r="J60" s="1684"/>
      <c r="K60" s="1684"/>
      <c r="L60" s="1684"/>
      <c r="M60" s="1684"/>
      <c r="N60" s="1684"/>
      <c r="O60" s="1684"/>
      <c r="P60" s="1684"/>
      <c r="Q60" s="1684"/>
      <c r="R60" s="1684"/>
      <c r="S60" s="1684"/>
      <c r="T60" s="1684"/>
      <c r="U60" s="1684"/>
      <c r="V60" s="1684"/>
      <c r="W60" s="1684"/>
      <c r="X60" s="1684"/>
      <c r="Y60" s="1684"/>
      <c r="Z60" s="1684"/>
      <c r="AA60" s="1684"/>
      <c r="AB60" s="1684"/>
      <c r="AC60" s="1684"/>
      <c r="AD60" s="1684"/>
      <c r="AE60" s="1684"/>
      <c r="AF60" s="1684"/>
    </row>
    <row r="61" spans="6:32" ht="16.5" customHeight="1">
      <c r="F61" s="1684"/>
      <c r="G61" s="1684"/>
      <c r="H61" s="1684"/>
      <c r="I61" s="1684"/>
      <c r="J61" s="1684"/>
      <c r="K61" s="1684"/>
      <c r="L61" s="1684"/>
      <c r="M61" s="1684"/>
      <c r="N61" s="1684"/>
      <c r="O61" s="1684"/>
      <c r="P61" s="1684"/>
      <c r="Q61" s="1684"/>
      <c r="R61" s="1684"/>
      <c r="S61" s="1684"/>
      <c r="T61" s="1684"/>
      <c r="U61" s="1684"/>
      <c r="V61" s="1684"/>
      <c r="W61" s="1684"/>
      <c r="X61" s="1684"/>
      <c r="Y61" s="1684"/>
      <c r="Z61" s="1684"/>
      <c r="AA61" s="1684"/>
      <c r="AB61" s="1684"/>
      <c r="AC61" s="1684"/>
      <c r="AD61" s="1684"/>
      <c r="AE61" s="1684"/>
      <c r="AF61" s="1684"/>
    </row>
    <row r="62" spans="6:32" ht="16.5" customHeight="1">
      <c r="F62" s="1684"/>
      <c r="G62" s="1684"/>
      <c r="H62" s="1684"/>
      <c r="I62" s="1684"/>
      <c r="J62" s="1684"/>
      <c r="K62" s="1684"/>
      <c r="L62" s="1684"/>
      <c r="M62" s="1684"/>
      <c r="N62" s="1684"/>
      <c r="O62" s="1684"/>
      <c r="P62" s="1684"/>
      <c r="Q62" s="1684"/>
      <c r="R62" s="1684"/>
      <c r="S62" s="1684"/>
      <c r="T62" s="1684"/>
      <c r="U62" s="1684"/>
      <c r="V62" s="1684"/>
      <c r="W62" s="1684"/>
      <c r="X62" s="1684"/>
      <c r="Y62" s="1684"/>
      <c r="Z62" s="1684"/>
      <c r="AA62" s="1684"/>
      <c r="AB62" s="1684"/>
      <c r="AC62" s="1684"/>
      <c r="AD62" s="1684"/>
      <c r="AE62" s="1684"/>
      <c r="AF62" s="1684"/>
    </row>
    <row r="63" spans="6:32" ht="16.5" customHeight="1">
      <c r="F63" s="1684"/>
      <c r="G63" s="1684"/>
      <c r="H63" s="1684"/>
      <c r="I63" s="1684"/>
      <c r="J63" s="1684"/>
      <c r="K63" s="1684"/>
      <c r="L63" s="1684"/>
      <c r="M63" s="1684"/>
      <c r="N63" s="1684"/>
      <c r="O63" s="1684"/>
      <c r="P63" s="1684"/>
      <c r="Q63" s="1684"/>
      <c r="R63" s="1684"/>
      <c r="S63" s="1684"/>
      <c r="T63" s="1684"/>
      <c r="U63" s="1684"/>
      <c r="V63" s="1684"/>
      <c r="W63" s="1684"/>
      <c r="X63" s="1684"/>
      <c r="Y63" s="1684"/>
      <c r="Z63" s="1684"/>
      <c r="AA63" s="1684"/>
      <c r="AB63" s="1684"/>
      <c r="AC63" s="1684"/>
      <c r="AD63" s="1684"/>
      <c r="AE63" s="1684"/>
      <c r="AF63" s="1684"/>
    </row>
    <row r="64" spans="6:32" ht="16.5" customHeight="1">
      <c r="F64" s="1684"/>
      <c r="G64" s="1684"/>
      <c r="H64" s="1684"/>
      <c r="I64" s="1684"/>
      <c r="J64" s="1684"/>
      <c r="K64" s="1684"/>
      <c r="L64" s="1684"/>
      <c r="M64" s="1684"/>
      <c r="N64" s="1684"/>
      <c r="O64" s="1684"/>
      <c r="P64" s="1684"/>
      <c r="Q64" s="1684"/>
      <c r="R64" s="1684"/>
      <c r="S64" s="1684"/>
      <c r="T64" s="1684"/>
      <c r="U64" s="1684"/>
      <c r="V64" s="1684"/>
      <c r="W64" s="1684"/>
      <c r="X64" s="1684"/>
      <c r="Y64" s="1684"/>
      <c r="Z64" s="1684"/>
      <c r="AA64" s="1684"/>
      <c r="AB64" s="1684"/>
      <c r="AC64" s="1684"/>
      <c r="AD64" s="1684"/>
      <c r="AE64" s="1684"/>
      <c r="AF64" s="1684"/>
    </row>
    <row r="65" spans="6:32" ht="16.5" customHeight="1">
      <c r="F65" s="1684"/>
      <c r="G65" s="1684"/>
      <c r="H65" s="1684"/>
      <c r="I65" s="1684"/>
      <c r="J65" s="1684"/>
      <c r="K65" s="1684"/>
      <c r="L65" s="1684"/>
      <c r="M65" s="1684"/>
      <c r="N65" s="1684"/>
      <c r="O65" s="1684"/>
      <c r="P65" s="1684"/>
      <c r="Q65" s="1684"/>
      <c r="R65" s="1684"/>
      <c r="S65" s="1684"/>
      <c r="T65" s="1684"/>
      <c r="U65" s="1684"/>
      <c r="V65" s="1684"/>
      <c r="W65" s="1684"/>
      <c r="X65" s="1684"/>
      <c r="Y65" s="1684"/>
      <c r="Z65" s="1684"/>
      <c r="AA65" s="1684"/>
      <c r="AB65" s="1684"/>
      <c r="AC65" s="1684"/>
      <c r="AD65" s="1684"/>
      <c r="AE65" s="1684"/>
      <c r="AF65" s="1684"/>
    </row>
    <row r="66" spans="6:32" ht="16.5" customHeight="1">
      <c r="F66" s="1684"/>
      <c r="G66" s="1684"/>
      <c r="H66" s="1684"/>
      <c r="I66" s="1684"/>
      <c r="J66" s="1684"/>
      <c r="K66" s="1684"/>
      <c r="L66" s="1684"/>
      <c r="M66" s="1684"/>
      <c r="N66" s="1684"/>
      <c r="O66" s="1684"/>
      <c r="P66" s="1684"/>
      <c r="Q66" s="1684"/>
      <c r="R66" s="1684"/>
      <c r="S66" s="1684"/>
      <c r="T66" s="1684"/>
      <c r="U66" s="1684"/>
      <c r="V66" s="1684"/>
      <c r="W66" s="1684"/>
      <c r="X66" s="1684"/>
      <c r="Y66" s="1684"/>
      <c r="Z66" s="1684"/>
      <c r="AA66" s="1684"/>
      <c r="AB66" s="1684"/>
      <c r="AC66" s="1684"/>
      <c r="AD66" s="1684"/>
      <c r="AE66" s="1684"/>
      <c r="AF66" s="1684"/>
    </row>
    <row r="67" spans="6:32" ht="16.5" customHeight="1">
      <c r="F67" s="1684"/>
      <c r="G67" s="1684"/>
      <c r="H67" s="1684"/>
      <c r="I67" s="1684"/>
      <c r="J67" s="1684"/>
      <c r="K67" s="1684"/>
      <c r="L67" s="1684"/>
      <c r="M67" s="1684"/>
      <c r="N67" s="1684"/>
      <c r="O67" s="1684"/>
      <c r="P67" s="1684"/>
      <c r="Q67" s="1684"/>
      <c r="R67" s="1684"/>
      <c r="S67" s="1684"/>
      <c r="T67" s="1684"/>
      <c r="U67" s="1684"/>
      <c r="V67" s="1684"/>
      <c r="W67" s="1684"/>
      <c r="X67" s="1684"/>
      <c r="Y67" s="1684"/>
      <c r="Z67" s="1684"/>
      <c r="AA67" s="1684"/>
      <c r="AB67" s="1684"/>
      <c r="AC67" s="1684"/>
      <c r="AD67" s="1684"/>
      <c r="AE67" s="1684"/>
      <c r="AF67" s="1684"/>
    </row>
    <row r="68" spans="6:32" ht="16.5" customHeight="1">
      <c r="F68" s="1684"/>
      <c r="G68" s="1684"/>
      <c r="H68" s="1684"/>
      <c r="I68" s="1684"/>
      <c r="J68" s="1684"/>
      <c r="K68" s="1684"/>
      <c r="L68" s="1684"/>
      <c r="M68" s="1684"/>
      <c r="N68" s="1684"/>
      <c r="O68" s="1684"/>
      <c r="P68" s="1684"/>
      <c r="Q68" s="1684"/>
      <c r="R68" s="1684"/>
      <c r="S68" s="1684"/>
      <c r="T68" s="1684"/>
      <c r="U68" s="1684"/>
      <c r="V68" s="1684"/>
      <c r="W68" s="1684"/>
      <c r="X68" s="1684"/>
      <c r="Y68" s="1684"/>
      <c r="Z68" s="1684"/>
      <c r="AA68" s="1684"/>
      <c r="AB68" s="1684"/>
      <c r="AC68" s="1684"/>
      <c r="AD68" s="1684"/>
      <c r="AE68" s="1684"/>
      <c r="AF68" s="1684"/>
    </row>
    <row r="69" spans="6:32" ht="16.5" customHeight="1">
      <c r="F69" s="1684"/>
      <c r="G69" s="1684"/>
      <c r="H69" s="1684"/>
      <c r="I69" s="1684"/>
      <c r="J69" s="1684"/>
      <c r="K69" s="1684"/>
      <c r="L69" s="1684"/>
      <c r="M69" s="1684"/>
      <c r="N69" s="1684"/>
      <c r="O69" s="1684"/>
      <c r="P69" s="1684"/>
      <c r="Q69" s="1684"/>
      <c r="R69" s="1684"/>
      <c r="S69" s="1684"/>
      <c r="T69" s="1684"/>
      <c r="U69" s="1684"/>
      <c r="V69" s="1684"/>
      <c r="W69" s="1684"/>
      <c r="X69" s="1684"/>
      <c r="Y69" s="1684"/>
      <c r="Z69" s="1684"/>
      <c r="AA69" s="1684"/>
      <c r="AB69" s="1684"/>
      <c r="AC69" s="1684"/>
      <c r="AD69" s="1684"/>
      <c r="AE69" s="1684"/>
      <c r="AF69" s="1684"/>
    </row>
    <row r="70" spans="6:32" ht="16.5" customHeight="1">
      <c r="F70" s="1684"/>
      <c r="G70" s="1684"/>
      <c r="H70" s="1684"/>
      <c r="I70" s="1684"/>
      <c r="J70" s="1684"/>
      <c r="K70" s="1684"/>
      <c r="L70" s="1684"/>
      <c r="M70" s="1684"/>
      <c r="N70" s="1684"/>
      <c r="O70" s="1684"/>
      <c r="P70" s="1684"/>
      <c r="Q70" s="1684"/>
      <c r="R70" s="1684"/>
      <c r="S70" s="1684"/>
      <c r="T70" s="1684"/>
      <c r="U70" s="1684"/>
      <c r="V70" s="1684"/>
      <c r="W70" s="1684"/>
      <c r="X70" s="1684"/>
      <c r="Y70" s="1684"/>
      <c r="Z70" s="1684"/>
      <c r="AA70" s="1684"/>
      <c r="AB70" s="1684"/>
      <c r="AC70" s="1684"/>
      <c r="AD70" s="1684"/>
      <c r="AE70" s="1684"/>
      <c r="AF70" s="1684"/>
    </row>
    <row r="71" spans="6:32" ht="16.5" customHeight="1">
      <c r="F71" s="1684"/>
      <c r="G71" s="1684"/>
      <c r="H71" s="1684"/>
      <c r="I71" s="1684"/>
      <c r="J71" s="1684"/>
      <c r="K71" s="1684"/>
      <c r="L71" s="1684"/>
      <c r="M71" s="1684"/>
      <c r="N71" s="1684"/>
      <c r="O71" s="1684"/>
      <c r="P71" s="1684"/>
      <c r="Q71" s="1684"/>
      <c r="R71" s="1684"/>
      <c r="S71" s="1684"/>
      <c r="T71" s="1684"/>
      <c r="U71" s="1684"/>
      <c r="V71" s="1684"/>
      <c r="W71" s="1684"/>
      <c r="X71" s="1684"/>
      <c r="Y71" s="1684"/>
      <c r="Z71" s="1684"/>
      <c r="AA71" s="1684"/>
      <c r="AB71" s="1684"/>
      <c r="AC71" s="1684"/>
      <c r="AD71" s="1684"/>
      <c r="AE71" s="1684"/>
      <c r="AF71" s="1684"/>
    </row>
    <row r="72" spans="6:32" ht="16.5" customHeight="1">
      <c r="F72" s="1684"/>
      <c r="G72" s="1684"/>
      <c r="H72" s="1684"/>
      <c r="I72" s="1684"/>
      <c r="J72" s="1684"/>
      <c r="K72" s="1684"/>
      <c r="L72" s="1684"/>
      <c r="M72" s="1684"/>
      <c r="N72" s="1684"/>
      <c r="O72" s="1684"/>
      <c r="P72" s="1684"/>
      <c r="Q72" s="1684"/>
      <c r="R72" s="1684"/>
      <c r="S72" s="1684"/>
      <c r="T72" s="1684"/>
      <c r="U72" s="1684"/>
      <c r="V72" s="1684"/>
      <c r="W72" s="1684"/>
      <c r="X72" s="1684"/>
      <c r="Y72" s="1684"/>
      <c r="Z72" s="1684"/>
      <c r="AA72" s="1684"/>
      <c r="AB72" s="1684"/>
      <c r="AC72" s="1684"/>
      <c r="AD72" s="1684"/>
      <c r="AE72" s="1684"/>
      <c r="AF72" s="1684"/>
    </row>
    <row r="73" spans="6:32" ht="16.5" customHeight="1">
      <c r="F73" s="1684"/>
      <c r="G73" s="1684"/>
      <c r="H73" s="1684"/>
      <c r="I73" s="1684"/>
      <c r="J73" s="1684"/>
      <c r="K73" s="1684"/>
      <c r="L73" s="1684"/>
      <c r="M73" s="1684"/>
      <c r="N73" s="1684"/>
      <c r="O73" s="1684"/>
      <c r="P73" s="1684"/>
      <c r="Q73" s="1684"/>
      <c r="R73" s="1684"/>
      <c r="S73" s="1684"/>
      <c r="T73" s="1684"/>
      <c r="U73" s="1684"/>
      <c r="V73" s="1684"/>
      <c r="W73" s="1684"/>
      <c r="X73" s="1684"/>
      <c r="Y73" s="1684"/>
      <c r="Z73" s="1684"/>
      <c r="AA73" s="1684"/>
      <c r="AB73" s="1684"/>
      <c r="AC73" s="1684"/>
      <c r="AD73" s="1684"/>
      <c r="AE73" s="1684"/>
      <c r="AF73" s="1684"/>
    </row>
    <row r="74" spans="6:32" ht="16.5" customHeight="1">
      <c r="F74" s="1684"/>
      <c r="G74" s="1684"/>
      <c r="H74" s="1684"/>
      <c r="I74" s="1684"/>
      <c r="J74" s="1684"/>
      <c r="K74" s="1684"/>
      <c r="L74" s="1684"/>
      <c r="M74" s="1684"/>
      <c r="N74" s="1684"/>
      <c r="O74" s="1684"/>
      <c r="P74" s="1684"/>
      <c r="Q74" s="1684"/>
      <c r="R74" s="1684"/>
      <c r="S74" s="1684"/>
      <c r="T74" s="1684"/>
      <c r="U74" s="1684"/>
      <c r="V74" s="1684"/>
      <c r="W74" s="1684"/>
      <c r="X74" s="1684"/>
      <c r="Y74" s="1684"/>
      <c r="Z74" s="1684"/>
      <c r="AA74" s="1684"/>
      <c r="AB74" s="1684"/>
      <c r="AC74" s="1684"/>
      <c r="AD74" s="1684"/>
      <c r="AE74" s="1684"/>
      <c r="AF74" s="1684"/>
    </row>
    <row r="75" spans="6:32" ht="16.5" customHeight="1">
      <c r="F75" s="1684"/>
      <c r="G75" s="1684"/>
      <c r="H75" s="1684"/>
      <c r="I75" s="1684"/>
      <c r="J75" s="1684"/>
      <c r="K75" s="1684"/>
      <c r="L75" s="1684"/>
      <c r="M75" s="1684"/>
      <c r="N75" s="1684"/>
      <c r="O75" s="1684"/>
      <c r="P75" s="1684"/>
      <c r="Q75" s="1684"/>
      <c r="R75" s="1684"/>
      <c r="S75" s="1684"/>
      <c r="T75" s="1684"/>
      <c r="U75" s="1684"/>
      <c r="V75" s="1684"/>
      <c r="W75" s="1684"/>
      <c r="X75" s="1684"/>
      <c r="Y75" s="1684"/>
      <c r="Z75" s="1684"/>
      <c r="AA75" s="1684"/>
      <c r="AB75" s="1684"/>
      <c r="AC75" s="1684"/>
      <c r="AD75" s="1684"/>
      <c r="AE75" s="1684"/>
      <c r="AF75" s="1684"/>
    </row>
    <row r="76" spans="6:32" ht="16.5" customHeight="1">
      <c r="F76" s="1684"/>
      <c r="G76" s="1684"/>
      <c r="H76" s="1684"/>
      <c r="I76" s="1684"/>
      <c r="J76" s="1684"/>
      <c r="K76" s="1684"/>
      <c r="L76" s="1684"/>
      <c r="M76" s="1684"/>
      <c r="N76" s="1684"/>
      <c r="O76" s="1684"/>
      <c r="P76" s="1684"/>
      <c r="Q76" s="1684"/>
      <c r="R76" s="1684"/>
      <c r="S76" s="1684"/>
      <c r="T76" s="1684"/>
      <c r="U76" s="1684"/>
      <c r="V76" s="1684"/>
      <c r="W76" s="1684"/>
      <c r="X76" s="1684"/>
      <c r="Y76" s="1684"/>
      <c r="Z76" s="1684"/>
      <c r="AA76" s="1684"/>
      <c r="AB76" s="1684"/>
      <c r="AC76" s="1684"/>
      <c r="AD76" s="1684"/>
      <c r="AE76" s="1684"/>
      <c r="AF76" s="1684"/>
    </row>
    <row r="77" spans="6:32" ht="16.5" customHeight="1">
      <c r="F77" s="1684"/>
      <c r="G77" s="1684"/>
      <c r="H77" s="1684"/>
      <c r="I77" s="1684"/>
      <c r="J77" s="1684"/>
      <c r="K77" s="1684"/>
      <c r="L77" s="1684"/>
      <c r="M77" s="1684"/>
      <c r="N77" s="1684"/>
      <c r="O77" s="1684"/>
      <c r="P77" s="1684"/>
      <c r="Q77" s="1684"/>
      <c r="R77" s="1684"/>
      <c r="S77" s="1684"/>
      <c r="T77" s="1684"/>
      <c r="U77" s="1684"/>
      <c r="V77" s="1684"/>
      <c r="W77" s="1684"/>
      <c r="X77" s="1684"/>
      <c r="Y77" s="1684"/>
      <c r="Z77" s="1684"/>
      <c r="AA77" s="1684"/>
      <c r="AB77" s="1684"/>
      <c r="AC77" s="1684"/>
      <c r="AD77" s="1684"/>
      <c r="AE77" s="1684"/>
      <c r="AF77" s="1684"/>
    </row>
    <row r="78" spans="6:32" ht="16.5" customHeight="1">
      <c r="F78" s="1684"/>
      <c r="G78" s="1684"/>
      <c r="H78" s="1684"/>
      <c r="I78" s="1684"/>
      <c r="J78" s="1684"/>
      <c r="K78" s="1684"/>
      <c r="L78" s="1684"/>
      <c r="M78" s="1684"/>
      <c r="N78" s="1684"/>
      <c r="O78" s="1684"/>
      <c r="P78" s="1684"/>
      <c r="Q78" s="1684"/>
      <c r="R78" s="1684"/>
      <c r="S78" s="1684"/>
      <c r="T78" s="1684"/>
      <c r="U78" s="1684"/>
      <c r="V78" s="1684"/>
      <c r="W78" s="1684"/>
      <c r="X78" s="1684"/>
      <c r="Y78" s="1684"/>
      <c r="Z78" s="1684"/>
      <c r="AA78" s="1684"/>
      <c r="AB78" s="1684"/>
      <c r="AC78" s="1684"/>
      <c r="AD78" s="1684"/>
      <c r="AE78" s="1684"/>
      <c r="AF78" s="1684"/>
    </row>
    <row r="79" spans="6:32" ht="16.5" customHeight="1">
      <c r="F79" s="1684"/>
      <c r="G79" s="1684"/>
      <c r="H79" s="1684"/>
      <c r="I79" s="1684"/>
      <c r="J79" s="1684"/>
      <c r="K79" s="1684"/>
      <c r="L79" s="1684"/>
      <c r="M79" s="1684"/>
      <c r="N79" s="1684"/>
      <c r="O79" s="1684"/>
      <c r="P79" s="1684"/>
      <c r="Q79" s="1684"/>
      <c r="R79" s="1684"/>
      <c r="S79" s="1684"/>
      <c r="T79" s="1684"/>
      <c r="U79" s="1684"/>
      <c r="V79" s="1684"/>
      <c r="W79" s="1684"/>
      <c r="X79" s="1684"/>
      <c r="Y79" s="1684"/>
      <c r="Z79" s="1684"/>
      <c r="AA79" s="1684"/>
      <c r="AB79" s="1684"/>
      <c r="AC79" s="1684"/>
      <c r="AD79" s="1684"/>
      <c r="AE79" s="1684"/>
      <c r="AF79" s="1684"/>
    </row>
    <row r="80" spans="6:32" ht="16.5" customHeight="1">
      <c r="F80" s="1684"/>
      <c r="G80" s="1684"/>
      <c r="H80" s="1684"/>
      <c r="I80" s="1684"/>
      <c r="J80" s="1684"/>
      <c r="K80" s="1684"/>
      <c r="L80" s="1684"/>
      <c r="M80" s="1684"/>
      <c r="N80" s="1684"/>
      <c r="O80" s="1684"/>
      <c r="P80" s="1684"/>
      <c r="Q80" s="1684"/>
      <c r="R80" s="1684"/>
      <c r="S80" s="1684"/>
      <c r="T80" s="1684"/>
      <c r="U80" s="1684"/>
      <c r="V80" s="1684"/>
      <c r="W80" s="1684"/>
      <c r="X80" s="1684"/>
      <c r="Y80" s="1684"/>
      <c r="Z80" s="1684"/>
      <c r="AA80" s="1684"/>
      <c r="AB80" s="1684"/>
      <c r="AC80" s="1684"/>
      <c r="AD80" s="1684"/>
      <c r="AE80" s="1684"/>
      <c r="AF80" s="1684"/>
    </row>
    <row r="81" spans="6:32" ht="16.5" customHeight="1">
      <c r="F81" s="1684"/>
      <c r="G81" s="1684"/>
      <c r="H81" s="1684"/>
      <c r="I81" s="1684"/>
      <c r="J81" s="1684"/>
      <c r="K81" s="1684"/>
      <c r="L81" s="1684"/>
      <c r="M81" s="1684"/>
      <c r="N81" s="1684"/>
      <c r="O81" s="1684"/>
      <c r="P81" s="1684"/>
      <c r="Q81" s="1684"/>
      <c r="R81" s="1684"/>
      <c r="S81" s="1684"/>
      <c r="T81" s="1684"/>
      <c r="U81" s="1684"/>
      <c r="V81" s="1684"/>
      <c r="W81" s="1684"/>
      <c r="X81" s="1684"/>
      <c r="Y81" s="1684"/>
      <c r="Z81" s="1684"/>
      <c r="AA81" s="1684"/>
      <c r="AB81" s="1684"/>
      <c r="AC81" s="1684"/>
      <c r="AD81" s="1684"/>
      <c r="AE81" s="1684"/>
      <c r="AF81" s="1684"/>
    </row>
    <row r="82" spans="6:32" ht="16.5" customHeight="1">
      <c r="F82" s="1684"/>
      <c r="G82" s="1684"/>
      <c r="H82" s="1684"/>
      <c r="I82" s="1684"/>
      <c r="J82" s="1684"/>
      <c r="K82" s="1684"/>
      <c r="L82" s="1684"/>
      <c r="M82" s="1684"/>
      <c r="N82" s="1684"/>
      <c r="O82" s="1684"/>
      <c r="P82" s="1684"/>
      <c r="Q82" s="1684"/>
      <c r="R82" s="1684"/>
      <c r="S82" s="1684"/>
      <c r="T82" s="1684"/>
      <c r="U82" s="1684"/>
      <c r="V82" s="1684"/>
      <c r="W82" s="1684"/>
      <c r="X82" s="1684"/>
      <c r="Y82" s="1684"/>
      <c r="Z82" s="1684"/>
      <c r="AA82" s="1684"/>
      <c r="AB82" s="1684"/>
      <c r="AC82" s="1684"/>
      <c r="AD82" s="1684"/>
      <c r="AE82" s="1684"/>
      <c r="AF82" s="1684"/>
    </row>
    <row r="83" spans="6:32" ht="16.5" customHeight="1">
      <c r="F83" s="1684"/>
      <c r="G83" s="1684"/>
      <c r="H83" s="1684"/>
      <c r="I83" s="1684"/>
      <c r="J83" s="1684"/>
      <c r="K83" s="1684"/>
      <c r="L83" s="1684"/>
      <c r="M83" s="1684"/>
      <c r="N83" s="1684"/>
      <c r="O83" s="1684"/>
      <c r="P83" s="1684"/>
      <c r="Q83" s="1684"/>
      <c r="R83" s="1684"/>
      <c r="S83" s="1684"/>
      <c r="T83" s="1684"/>
      <c r="U83" s="1684"/>
      <c r="V83" s="1684"/>
      <c r="W83" s="1684"/>
      <c r="X83" s="1684"/>
      <c r="Y83" s="1684"/>
      <c r="Z83" s="1684"/>
      <c r="AA83" s="1684"/>
      <c r="AB83" s="1684"/>
      <c r="AC83" s="1684"/>
      <c r="AD83" s="1684"/>
      <c r="AE83" s="1684"/>
      <c r="AF83" s="1684"/>
    </row>
    <row r="84" spans="6:32" ht="16.5" customHeight="1">
      <c r="F84" s="1684"/>
      <c r="G84" s="1684"/>
      <c r="H84" s="1684"/>
      <c r="I84" s="1684"/>
      <c r="J84" s="1684"/>
      <c r="K84" s="1684"/>
      <c r="L84" s="1684"/>
      <c r="M84" s="1684"/>
      <c r="N84" s="1684"/>
      <c r="O84" s="1684"/>
      <c r="P84" s="1684"/>
      <c r="Q84" s="1684"/>
      <c r="R84" s="1684"/>
      <c r="S84" s="1684"/>
      <c r="T84" s="1684"/>
      <c r="U84" s="1684"/>
      <c r="V84" s="1684"/>
      <c r="W84" s="1684"/>
      <c r="X84" s="1684"/>
      <c r="Y84" s="1684"/>
      <c r="Z84" s="1684"/>
      <c r="AA84" s="1684"/>
      <c r="AB84" s="1684"/>
      <c r="AC84" s="1684"/>
      <c r="AD84" s="1684"/>
      <c r="AE84" s="1684"/>
      <c r="AF84" s="1684"/>
    </row>
    <row r="85" spans="6:32" ht="16.5" customHeight="1">
      <c r="F85" s="1684"/>
      <c r="G85" s="1684"/>
      <c r="H85" s="1684"/>
      <c r="I85" s="1684"/>
      <c r="J85" s="1684"/>
      <c r="K85" s="1684"/>
      <c r="L85" s="1684"/>
      <c r="M85" s="1684"/>
      <c r="N85" s="1684"/>
      <c r="O85" s="1684"/>
      <c r="P85" s="1684"/>
      <c r="Q85" s="1684"/>
      <c r="R85" s="1684"/>
      <c r="S85" s="1684"/>
      <c r="T85" s="1684"/>
      <c r="U85" s="1684"/>
      <c r="V85" s="1684"/>
      <c r="W85" s="1684"/>
      <c r="X85" s="1684"/>
      <c r="Y85" s="1684"/>
      <c r="Z85" s="1684"/>
      <c r="AA85" s="1684"/>
      <c r="AB85" s="1684"/>
      <c r="AC85" s="1684"/>
      <c r="AD85" s="1684"/>
      <c r="AE85" s="1684"/>
      <c r="AF85" s="1684"/>
    </row>
    <row r="86" spans="6:32" ht="16.5" customHeight="1">
      <c r="F86" s="1684"/>
      <c r="G86" s="1684"/>
      <c r="H86" s="1684"/>
      <c r="I86" s="1684"/>
      <c r="J86" s="1684"/>
      <c r="K86" s="1684"/>
      <c r="L86" s="1684"/>
      <c r="M86" s="1684"/>
      <c r="N86" s="1684"/>
      <c r="O86" s="1684"/>
      <c r="P86" s="1684"/>
      <c r="Q86" s="1684"/>
      <c r="R86" s="1684"/>
      <c r="S86" s="1684"/>
      <c r="T86" s="1684"/>
      <c r="U86" s="1684"/>
      <c r="V86" s="1684"/>
      <c r="W86" s="1684"/>
      <c r="X86" s="1684"/>
      <c r="Y86" s="1684"/>
      <c r="Z86" s="1684"/>
      <c r="AA86" s="1684"/>
      <c r="AB86" s="1684"/>
      <c r="AC86" s="1684"/>
      <c r="AD86" s="1684"/>
      <c r="AE86" s="1684"/>
      <c r="AF86" s="1684"/>
    </row>
    <row r="87" spans="6:32" ht="16.5" customHeight="1">
      <c r="F87" s="1684"/>
      <c r="G87" s="1684"/>
      <c r="H87" s="1684"/>
      <c r="I87" s="1684"/>
      <c r="J87" s="1684"/>
      <c r="K87" s="1684"/>
      <c r="L87" s="1684"/>
      <c r="M87" s="1684"/>
      <c r="N87" s="1684"/>
      <c r="O87" s="1684"/>
      <c r="P87" s="1684"/>
      <c r="Q87" s="1684"/>
      <c r="R87" s="1684"/>
      <c r="S87" s="1684"/>
      <c r="T87" s="1684"/>
      <c r="U87" s="1684"/>
      <c r="V87" s="1684"/>
      <c r="W87" s="1684"/>
      <c r="X87" s="1684"/>
      <c r="Y87" s="1684"/>
      <c r="Z87" s="1684"/>
      <c r="AA87" s="1684"/>
      <c r="AB87" s="1684"/>
      <c r="AC87" s="1684"/>
      <c r="AD87" s="1684"/>
      <c r="AE87" s="1684"/>
      <c r="AF87" s="1684"/>
    </row>
    <row r="88" spans="6:32" ht="16.5" customHeight="1">
      <c r="F88" s="1684"/>
      <c r="G88" s="1684"/>
      <c r="H88" s="1684"/>
      <c r="I88" s="1684"/>
      <c r="J88" s="1684"/>
      <c r="K88" s="1684"/>
      <c r="L88" s="1684"/>
      <c r="M88" s="1684"/>
      <c r="N88" s="1684"/>
      <c r="O88" s="1684"/>
      <c r="P88" s="1684"/>
      <c r="Q88" s="1684"/>
      <c r="R88" s="1684"/>
      <c r="S88" s="1684"/>
      <c r="T88" s="1684"/>
      <c r="U88" s="1684"/>
      <c r="V88" s="1684"/>
      <c r="W88" s="1684"/>
      <c r="X88" s="1684"/>
      <c r="Y88" s="1684"/>
      <c r="Z88" s="1684"/>
      <c r="AA88" s="1684"/>
      <c r="AB88" s="1684"/>
      <c r="AC88" s="1684"/>
      <c r="AD88" s="1684"/>
      <c r="AE88" s="1684"/>
      <c r="AF88" s="1684"/>
    </row>
    <row r="89" spans="6:32" ht="16.5" customHeight="1">
      <c r="F89" s="1684"/>
      <c r="G89" s="1684"/>
      <c r="H89" s="1684"/>
      <c r="I89" s="1684"/>
      <c r="J89" s="1684"/>
      <c r="K89" s="1684"/>
      <c r="L89" s="1684"/>
      <c r="M89" s="1684"/>
      <c r="N89" s="1684"/>
      <c r="O89" s="1684"/>
      <c r="P89" s="1684"/>
      <c r="Q89" s="1684"/>
      <c r="R89" s="1684"/>
      <c r="S89" s="1684"/>
      <c r="T89" s="1684"/>
      <c r="U89" s="1684"/>
      <c r="V89" s="1684"/>
      <c r="W89" s="1684"/>
      <c r="X89" s="1684"/>
      <c r="Y89" s="1684"/>
      <c r="Z89" s="1684"/>
      <c r="AA89" s="1684"/>
      <c r="AB89" s="1684"/>
      <c r="AC89" s="1684"/>
      <c r="AD89" s="1684"/>
      <c r="AE89" s="1684"/>
      <c r="AF89" s="1684"/>
    </row>
    <row r="90" spans="6:32" ht="16.5" customHeight="1">
      <c r="F90" s="1684"/>
      <c r="G90" s="1684"/>
      <c r="H90" s="1684"/>
      <c r="I90" s="1684"/>
      <c r="J90" s="1684"/>
      <c r="K90" s="1684"/>
      <c r="L90" s="1684"/>
      <c r="M90" s="1684"/>
      <c r="N90" s="1684"/>
      <c r="O90" s="1684"/>
      <c r="P90" s="1684"/>
      <c r="Q90" s="1684"/>
      <c r="R90" s="1684"/>
      <c r="S90" s="1684"/>
      <c r="T90" s="1684"/>
      <c r="U90" s="1684"/>
      <c r="V90" s="1684"/>
      <c r="W90" s="1684"/>
      <c r="X90" s="1684"/>
      <c r="Y90" s="1684"/>
      <c r="Z90" s="1684"/>
      <c r="AA90" s="1684"/>
      <c r="AB90" s="1684"/>
      <c r="AC90" s="1684"/>
      <c r="AD90" s="1684"/>
      <c r="AE90" s="1684"/>
      <c r="AF90" s="1684"/>
    </row>
    <row r="91" spans="6:32" ht="16.5" customHeight="1">
      <c r="F91" s="1684"/>
      <c r="G91" s="1684"/>
      <c r="H91" s="1684"/>
      <c r="I91" s="1684"/>
      <c r="J91" s="1684"/>
      <c r="K91" s="1684"/>
      <c r="L91" s="1684"/>
      <c r="M91" s="1684"/>
      <c r="N91" s="1684"/>
      <c r="O91" s="1684"/>
      <c r="P91" s="1684"/>
      <c r="Q91" s="1684"/>
      <c r="R91" s="1684"/>
      <c r="S91" s="1684"/>
      <c r="T91" s="1684"/>
      <c r="U91" s="1684"/>
      <c r="V91" s="1684"/>
      <c r="W91" s="1684"/>
      <c r="X91" s="1684"/>
      <c r="Y91" s="1684"/>
      <c r="Z91" s="1684"/>
      <c r="AA91" s="1684"/>
      <c r="AB91" s="1684"/>
      <c r="AC91" s="1684"/>
      <c r="AD91" s="1684"/>
      <c r="AE91" s="1684"/>
      <c r="AF91" s="1684"/>
    </row>
    <row r="92" spans="6:32" ht="16.5" customHeight="1">
      <c r="F92" s="1684"/>
      <c r="G92" s="1684"/>
      <c r="H92" s="1684"/>
      <c r="I92" s="1684"/>
      <c r="J92" s="1684"/>
      <c r="K92" s="1684"/>
      <c r="L92" s="1684"/>
      <c r="M92" s="1684"/>
      <c r="N92" s="1684"/>
      <c r="O92" s="1684"/>
      <c r="P92" s="1684"/>
      <c r="Q92" s="1684"/>
      <c r="R92" s="1684"/>
      <c r="S92" s="1684"/>
      <c r="T92" s="1684"/>
      <c r="U92" s="1684"/>
      <c r="V92" s="1684"/>
      <c r="W92" s="1684"/>
      <c r="X92" s="1684"/>
      <c r="Y92" s="1684"/>
      <c r="Z92" s="1684"/>
      <c r="AA92" s="1684"/>
      <c r="AB92" s="1684"/>
      <c r="AC92" s="1684"/>
      <c r="AD92" s="1684"/>
      <c r="AE92" s="1684"/>
      <c r="AF92" s="1684"/>
    </row>
    <row r="93" spans="6:32" ht="16.5" customHeight="1">
      <c r="F93" s="1684"/>
      <c r="G93" s="1684"/>
      <c r="H93" s="1684"/>
      <c r="I93" s="1684"/>
      <c r="J93" s="1684"/>
      <c r="K93" s="1684"/>
      <c r="L93" s="1684"/>
      <c r="M93" s="1684"/>
      <c r="N93" s="1684"/>
      <c r="O93" s="1684"/>
      <c r="P93" s="1684"/>
      <c r="Q93" s="1684"/>
      <c r="R93" s="1684"/>
      <c r="S93" s="1684"/>
      <c r="T93" s="1684"/>
      <c r="U93" s="1684"/>
      <c r="V93" s="1684"/>
      <c r="W93" s="1684"/>
      <c r="X93" s="1684"/>
      <c r="Y93" s="1684"/>
      <c r="Z93" s="1684"/>
      <c r="AA93" s="1684"/>
      <c r="AB93" s="1684"/>
      <c r="AC93" s="1684"/>
      <c r="AD93" s="1684"/>
      <c r="AE93" s="1684"/>
      <c r="AF93" s="1684"/>
    </row>
    <row r="94" spans="6:32" ht="16.5" customHeight="1">
      <c r="F94" s="1684"/>
      <c r="G94" s="1684"/>
      <c r="H94" s="1684"/>
      <c r="I94" s="1684"/>
      <c r="J94" s="1684"/>
      <c r="K94" s="1684"/>
      <c r="L94" s="1684"/>
      <c r="M94" s="1684"/>
      <c r="N94" s="1684"/>
      <c r="O94" s="1684"/>
      <c r="P94" s="1684"/>
      <c r="Q94" s="1684"/>
      <c r="R94" s="1684"/>
      <c r="S94" s="1684"/>
      <c r="T94" s="1684"/>
      <c r="U94" s="1684"/>
      <c r="V94" s="1684"/>
      <c r="W94" s="1684"/>
      <c r="X94" s="1684"/>
      <c r="Y94" s="1684"/>
      <c r="Z94" s="1684"/>
      <c r="AA94" s="1684"/>
      <c r="AB94" s="1684"/>
      <c r="AC94" s="1684"/>
      <c r="AD94" s="1684"/>
      <c r="AE94" s="1684"/>
      <c r="AF94" s="1684"/>
    </row>
    <row r="95" spans="6:32" ht="16.5" customHeight="1">
      <c r="F95" s="1684"/>
      <c r="G95" s="1684"/>
      <c r="H95" s="1684"/>
      <c r="I95" s="1684"/>
      <c r="J95" s="1684"/>
      <c r="K95" s="1684"/>
      <c r="L95" s="1684"/>
      <c r="M95" s="1684"/>
      <c r="N95" s="1684"/>
      <c r="O95" s="1684"/>
      <c r="P95" s="1684"/>
      <c r="Q95" s="1684"/>
      <c r="R95" s="1684"/>
      <c r="S95" s="1684"/>
      <c r="T95" s="1684"/>
      <c r="U95" s="1684"/>
      <c r="V95" s="1684"/>
      <c r="W95" s="1684"/>
      <c r="X95" s="1684"/>
      <c r="Y95" s="1684"/>
      <c r="Z95" s="1684"/>
      <c r="AA95" s="1684"/>
      <c r="AB95" s="1684"/>
      <c r="AC95" s="1684"/>
      <c r="AD95" s="1684"/>
      <c r="AE95" s="1684"/>
      <c r="AF95" s="1684"/>
    </row>
    <row r="96" spans="6:32" ht="16.5" customHeight="1">
      <c r="F96" s="1684"/>
      <c r="G96" s="1684"/>
      <c r="H96" s="1684"/>
      <c r="I96" s="1684"/>
      <c r="J96" s="1684"/>
      <c r="K96" s="1684"/>
      <c r="L96" s="1684"/>
      <c r="M96" s="1684"/>
      <c r="N96" s="1684"/>
      <c r="O96" s="1684"/>
      <c r="P96" s="1684"/>
      <c r="Q96" s="1684"/>
      <c r="R96" s="1684"/>
      <c r="S96" s="1684"/>
      <c r="T96" s="1684"/>
      <c r="U96" s="1684"/>
      <c r="V96" s="1684"/>
      <c r="W96" s="1684"/>
      <c r="X96" s="1684"/>
      <c r="Y96" s="1684"/>
      <c r="Z96" s="1684"/>
      <c r="AA96" s="1684"/>
      <c r="AB96" s="1684"/>
      <c r="AC96" s="1684"/>
      <c r="AD96" s="1684"/>
      <c r="AE96" s="1684"/>
      <c r="AF96" s="1684"/>
    </row>
    <row r="97" spans="6:32" ht="16.5" customHeight="1">
      <c r="F97" s="1684"/>
      <c r="G97" s="1684"/>
      <c r="H97" s="1684"/>
      <c r="I97" s="1684"/>
      <c r="J97" s="1684"/>
      <c r="K97" s="1684"/>
      <c r="L97" s="1684"/>
      <c r="M97" s="1684"/>
      <c r="N97" s="1684"/>
      <c r="O97" s="1684"/>
      <c r="P97" s="1684"/>
      <c r="Q97" s="1684"/>
      <c r="R97" s="1684"/>
      <c r="S97" s="1684"/>
      <c r="T97" s="1684"/>
      <c r="U97" s="1684"/>
      <c r="V97" s="1684"/>
      <c r="W97" s="1684"/>
      <c r="X97" s="1684"/>
      <c r="Y97" s="1684"/>
      <c r="Z97" s="1684"/>
      <c r="AA97" s="1684"/>
      <c r="AB97" s="1684"/>
      <c r="AC97" s="1684"/>
      <c r="AD97" s="1684"/>
      <c r="AE97" s="1684"/>
      <c r="AF97" s="1684"/>
    </row>
    <row r="98" spans="6:32" ht="16.5" customHeight="1">
      <c r="F98" s="1684"/>
      <c r="G98" s="1684"/>
      <c r="H98" s="1684"/>
      <c r="I98" s="1684"/>
      <c r="J98" s="1684"/>
      <c r="K98" s="1684"/>
      <c r="L98" s="1684"/>
      <c r="M98" s="1684"/>
      <c r="N98" s="1684"/>
      <c r="O98" s="1684"/>
      <c r="P98" s="1684"/>
      <c r="Q98" s="1684"/>
      <c r="R98" s="1684"/>
      <c r="S98" s="1684"/>
      <c r="T98" s="1684"/>
      <c r="U98" s="1684"/>
      <c r="V98" s="1684"/>
      <c r="W98" s="1684"/>
      <c r="X98" s="1684"/>
      <c r="Y98" s="1684"/>
      <c r="Z98" s="1684"/>
      <c r="AA98" s="1684"/>
      <c r="AB98" s="1684"/>
      <c r="AC98" s="1684"/>
      <c r="AD98" s="1684"/>
      <c r="AE98" s="1684"/>
      <c r="AF98" s="1684"/>
    </row>
    <row r="99" spans="6:32" ht="16.5" customHeight="1">
      <c r="F99" s="1684"/>
      <c r="G99" s="1684"/>
      <c r="H99" s="1684"/>
      <c r="I99" s="1684"/>
      <c r="J99" s="1684"/>
      <c r="K99" s="1684"/>
      <c r="L99" s="1684"/>
      <c r="M99" s="1684"/>
      <c r="N99" s="1684"/>
      <c r="O99" s="1684"/>
      <c r="P99" s="1684"/>
      <c r="Q99" s="1684"/>
      <c r="R99" s="1684"/>
      <c r="S99" s="1684"/>
      <c r="T99" s="1684"/>
      <c r="U99" s="1684"/>
      <c r="V99" s="1684"/>
      <c r="W99" s="1684"/>
      <c r="X99" s="1684"/>
      <c r="Y99" s="1684"/>
      <c r="Z99" s="1684"/>
      <c r="AA99" s="1684"/>
      <c r="AB99" s="1684"/>
      <c r="AC99" s="1684"/>
      <c r="AD99" s="1684"/>
      <c r="AE99" s="1684"/>
      <c r="AF99" s="1684"/>
    </row>
    <row r="100" spans="6:32" ht="16.5" customHeight="1">
      <c r="F100" s="1684"/>
      <c r="G100" s="1684"/>
      <c r="H100" s="1684"/>
      <c r="I100" s="1684"/>
      <c r="J100" s="1684"/>
      <c r="K100" s="1684"/>
      <c r="L100" s="1684"/>
      <c r="M100" s="1684"/>
      <c r="N100" s="1684"/>
      <c r="O100" s="1684"/>
      <c r="P100" s="1684"/>
      <c r="Q100" s="1684"/>
      <c r="R100" s="1684"/>
      <c r="S100" s="1684"/>
      <c r="T100" s="1684"/>
      <c r="U100" s="1684"/>
      <c r="V100" s="1684"/>
      <c r="W100" s="1684"/>
      <c r="X100" s="1684"/>
      <c r="Y100" s="1684"/>
      <c r="Z100" s="1684"/>
      <c r="AA100" s="1684"/>
      <c r="AB100" s="1684"/>
      <c r="AC100" s="1684"/>
      <c r="AD100" s="1684"/>
      <c r="AE100" s="1684"/>
      <c r="AF100" s="1684"/>
    </row>
    <row r="101" spans="6:32" ht="16.5" customHeight="1">
      <c r="F101" s="1684"/>
      <c r="G101" s="1684"/>
      <c r="H101" s="1684"/>
      <c r="I101" s="1684"/>
      <c r="J101" s="1684"/>
      <c r="K101" s="1684"/>
      <c r="L101" s="1684"/>
      <c r="M101" s="1684"/>
      <c r="N101" s="1684"/>
      <c r="O101" s="1684"/>
      <c r="P101" s="1684"/>
      <c r="Q101" s="1684"/>
      <c r="R101" s="1684"/>
      <c r="S101" s="1684"/>
      <c r="T101" s="1684"/>
      <c r="U101" s="1684"/>
      <c r="V101" s="1684"/>
      <c r="W101" s="1684"/>
      <c r="X101" s="1684"/>
      <c r="Y101" s="1684"/>
      <c r="Z101" s="1684"/>
      <c r="AA101" s="1684"/>
      <c r="AB101" s="1684"/>
      <c r="AC101" s="1684"/>
      <c r="AD101" s="1684"/>
      <c r="AE101" s="1684"/>
      <c r="AF101" s="1684"/>
    </row>
    <row r="102" spans="6:32" ht="16.5" customHeight="1">
      <c r="F102" s="1684"/>
      <c r="G102" s="1684"/>
      <c r="H102" s="1684"/>
      <c r="I102" s="1684"/>
      <c r="J102" s="1684"/>
      <c r="K102" s="1684"/>
      <c r="L102" s="1684"/>
      <c r="M102" s="1684"/>
      <c r="N102" s="1684"/>
      <c r="O102" s="1684"/>
      <c r="P102" s="1684"/>
      <c r="Q102" s="1684"/>
      <c r="R102" s="1684"/>
      <c r="S102" s="1684"/>
      <c r="T102" s="1684"/>
      <c r="U102" s="1684"/>
      <c r="V102" s="1684"/>
      <c r="W102" s="1684"/>
      <c r="X102" s="1684"/>
      <c r="Y102" s="1684"/>
      <c r="Z102" s="1684"/>
      <c r="AA102" s="1684"/>
      <c r="AB102" s="1684"/>
      <c r="AC102" s="1684"/>
      <c r="AD102" s="1684"/>
      <c r="AE102" s="1684"/>
      <c r="AF102" s="1684"/>
    </row>
    <row r="103" spans="6:32" ht="16.5" customHeight="1">
      <c r="F103" s="1684"/>
      <c r="G103" s="1684"/>
      <c r="H103" s="1684"/>
      <c r="I103" s="1684"/>
      <c r="J103" s="1684"/>
      <c r="K103" s="1684"/>
      <c r="L103" s="1684"/>
      <c r="M103" s="1684"/>
      <c r="N103" s="1684"/>
      <c r="O103" s="1684"/>
      <c r="P103" s="1684"/>
      <c r="Q103" s="1684"/>
      <c r="R103" s="1684"/>
      <c r="S103" s="1684"/>
      <c r="T103" s="1684"/>
      <c r="U103" s="1684"/>
      <c r="V103" s="1684"/>
      <c r="W103" s="1684"/>
      <c r="X103" s="1684"/>
      <c r="Y103" s="1684"/>
      <c r="Z103" s="1684"/>
      <c r="AA103" s="1684"/>
      <c r="AB103" s="1684"/>
      <c r="AC103" s="1684"/>
      <c r="AD103" s="1684"/>
      <c r="AE103" s="1684"/>
      <c r="AF103" s="1684"/>
    </row>
    <row r="104" spans="6:32" ht="16.5" customHeight="1">
      <c r="F104" s="1684"/>
      <c r="G104" s="1684"/>
      <c r="H104" s="1684"/>
      <c r="I104" s="1684"/>
      <c r="J104" s="1684"/>
      <c r="K104" s="1684"/>
      <c r="L104" s="1684"/>
      <c r="M104" s="1684"/>
      <c r="N104" s="1684"/>
      <c r="O104" s="1684"/>
      <c r="P104" s="1684"/>
      <c r="Q104" s="1684"/>
      <c r="R104" s="1684"/>
      <c r="S104" s="1684"/>
      <c r="T104" s="1684"/>
      <c r="U104" s="1684"/>
      <c r="V104" s="1684"/>
      <c r="W104" s="1684"/>
      <c r="X104" s="1684"/>
      <c r="Y104" s="1684"/>
      <c r="Z104" s="1684"/>
      <c r="AA104" s="1684"/>
      <c r="AB104" s="1684"/>
      <c r="AC104" s="1684"/>
      <c r="AD104" s="1684"/>
      <c r="AE104" s="1684"/>
      <c r="AF104" s="1684"/>
    </row>
    <row r="105" spans="6:32" ht="16.5" customHeight="1">
      <c r="F105" s="1684"/>
      <c r="G105" s="1684"/>
      <c r="H105" s="1684"/>
      <c r="I105" s="1684"/>
      <c r="J105" s="1684"/>
      <c r="K105" s="1684"/>
      <c r="L105" s="1684"/>
      <c r="M105" s="1684"/>
      <c r="N105" s="1684"/>
      <c r="O105" s="1684"/>
      <c r="P105" s="1684"/>
      <c r="Q105" s="1684"/>
      <c r="R105" s="1684"/>
      <c r="S105" s="1684"/>
      <c r="T105" s="1684"/>
      <c r="U105" s="1684"/>
      <c r="V105" s="1684"/>
      <c r="W105" s="1684"/>
      <c r="X105" s="1684"/>
      <c r="Y105" s="1684"/>
      <c r="Z105" s="1684"/>
      <c r="AA105" s="1684"/>
      <c r="AB105" s="1684"/>
      <c r="AC105" s="1684"/>
      <c r="AD105" s="1684"/>
      <c r="AE105" s="1684"/>
      <c r="AF105" s="1684"/>
    </row>
    <row r="106" spans="6:32" ht="16.5" customHeight="1">
      <c r="F106" s="1684"/>
      <c r="G106" s="1684"/>
      <c r="H106" s="1684"/>
      <c r="I106" s="1684"/>
      <c r="J106" s="1684"/>
      <c r="K106" s="1684"/>
      <c r="L106" s="1684"/>
      <c r="M106" s="1684"/>
      <c r="N106" s="1684"/>
      <c r="O106" s="1684"/>
      <c r="P106" s="1684"/>
      <c r="Q106" s="1684"/>
      <c r="R106" s="1684"/>
      <c r="S106" s="1684"/>
      <c r="T106" s="1684"/>
      <c r="U106" s="1684"/>
      <c r="V106" s="1684"/>
      <c r="W106" s="1684"/>
      <c r="X106" s="1684"/>
      <c r="Y106" s="1684"/>
      <c r="Z106" s="1684"/>
      <c r="AA106" s="1684"/>
      <c r="AB106" s="1684"/>
      <c r="AC106" s="1684"/>
      <c r="AD106" s="1684"/>
      <c r="AE106" s="1684"/>
      <c r="AF106" s="1684"/>
    </row>
    <row r="107" spans="6:32" ht="16.5" customHeight="1">
      <c r="F107" s="1684"/>
      <c r="G107" s="1684"/>
      <c r="H107" s="1684"/>
      <c r="I107" s="1684"/>
      <c r="J107" s="1684"/>
      <c r="K107" s="1684"/>
      <c r="L107" s="1684"/>
      <c r="M107" s="1684"/>
      <c r="N107" s="1684"/>
      <c r="O107" s="1684"/>
      <c r="P107" s="1684"/>
      <c r="Q107" s="1684"/>
      <c r="R107" s="1684"/>
      <c r="S107" s="1684"/>
      <c r="T107" s="1684"/>
      <c r="U107" s="1684"/>
      <c r="V107" s="1684"/>
      <c r="W107" s="1684"/>
      <c r="X107" s="1684"/>
      <c r="Y107" s="1684"/>
      <c r="Z107" s="1684"/>
      <c r="AA107" s="1684"/>
      <c r="AB107" s="1684"/>
      <c r="AC107" s="1684"/>
      <c r="AD107" s="1684"/>
      <c r="AE107" s="1684"/>
      <c r="AF107" s="1684"/>
    </row>
    <row r="108" spans="6:32" ht="16.5" customHeight="1">
      <c r="F108" s="1684"/>
      <c r="G108" s="1684"/>
      <c r="H108" s="1684"/>
      <c r="I108" s="1684"/>
      <c r="J108" s="1684"/>
      <c r="K108" s="1684"/>
      <c r="L108" s="1684"/>
      <c r="M108" s="1684"/>
      <c r="N108" s="1684"/>
      <c r="O108" s="1684"/>
      <c r="P108" s="1684"/>
      <c r="Q108" s="1684"/>
      <c r="R108" s="1684"/>
      <c r="S108" s="1684"/>
      <c r="T108" s="1684"/>
      <c r="U108" s="1684"/>
      <c r="V108" s="1684"/>
      <c r="W108" s="1684"/>
      <c r="X108" s="1684"/>
      <c r="Y108" s="1684"/>
      <c r="Z108" s="1684"/>
      <c r="AA108" s="1684"/>
      <c r="AB108" s="1684"/>
      <c r="AC108" s="1684"/>
      <c r="AD108" s="1684"/>
      <c r="AE108" s="1684"/>
      <c r="AF108" s="1684"/>
    </row>
    <row r="109" spans="6:32" ht="16.5" customHeight="1">
      <c r="F109" s="1684"/>
      <c r="G109" s="1684"/>
      <c r="H109" s="1684"/>
      <c r="I109" s="1684"/>
      <c r="J109" s="1684"/>
      <c r="K109" s="1684"/>
      <c r="L109" s="1684"/>
      <c r="M109" s="1684"/>
      <c r="N109" s="1684"/>
      <c r="O109" s="1684"/>
      <c r="P109" s="1684"/>
      <c r="Q109" s="1684"/>
      <c r="R109" s="1684"/>
      <c r="S109" s="1684"/>
      <c r="T109" s="1684"/>
      <c r="U109" s="1684"/>
      <c r="V109" s="1684"/>
      <c r="W109" s="1684"/>
      <c r="X109" s="1684"/>
      <c r="Y109" s="1684"/>
      <c r="Z109" s="1684"/>
      <c r="AA109" s="1684"/>
      <c r="AB109" s="1684"/>
      <c r="AC109" s="1684"/>
      <c r="AD109" s="1684"/>
      <c r="AE109" s="1684"/>
      <c r="AF109" s="1684"/>
    </row>
    <row r="110" spans="6:32" ht="16.5" customHeight="1">
      <c r="F110" s="1684"/>
      <c r="G110" s="1684"/>
      <c r="H110" s="1684"/>
      <c r="I110" s="1684"/>
      <c r="J110" s="1684"/>
      <c r="K110" s="1684"/>
      <c r="L110" s="1684"/>
      <c r="M110" s="1684"/>
      <c r="N110" s="1684"/>
      <c r="O110" s="1684"/>
      <c r="P110" s="1684"/>
      <c r="Q110" s="1684"/>
      <c r="R110" s="1684"/>
      <c r="S110" s="1684"/>
      <c r="T110" s="1684"/>
      <c r="U110" s="1684"/>
      <c r="V110" s="1684"/>
      <c r="W110" s="1684"/>
      <c r="X110" s="1684"/>
      <c r="Y110" s="1684"/>
      <c r="Z110" s="1684"/>
      <c r="AA110" s="1684"/>
      <c r="AB110" s="1684"/>
      <c r="AC110" s="1684"/>
      <c r="AD110" s="1684"/>
      <c r="AE110" s="1684"/>
      <c r="AF110" s="1684"/>
    </row>
    <row r="111" spans="6:32" ht="16.5" customHeight="1">
      <c r="F111" s="1684"/>
      <c r="G111" s="1684"/>
      <c r="H111" s="1684"/>
      <c r="I111" s="1684"/>
      <c r="J111" s="1684"/>
      <c r="K111" s="1684"/>
      <c r="L111" s="1684"/>
      <c r="M111" s="1684"/>
      <c r="N111" s="1684"/>
      <c r="O111" s="1684"/>
      <c r="P111" s="1684"/>
      <c r="Q111" s="1684"/>
      <c r="R111" s="1684"/>
      <c r="S111" s="1684"/>
      <c r="T111" s="1684"/>
      <c r="U111" s="1684"/>
      <c r="V111" s="1684"/>
      <c r="W111" s="1684"/>
      <c r="X111" s="1684"/>
      <c r="Y111" s="1684"/>
      <c r="Z111" s="1684"/>
      <c r="AA111" s="1684"/>
      <c r="AB111" s="1684"/>
      <c r="AC111" s="1684"/>
      <c r="AD111" s="1684"/>
      <c r="AE111" s="1684"/>
      <c r="AF111" s="1684"/>
    </row>
    <row r="112" spans="6:32" ht="16.5" customHeight="1">
      <c r="F112" s="1684"/>
      <c r="G112" s="1684"/>
      <c r="H112" s="1684"/>
      <c r="I112" s="1684"/>
      <c r="J112" s="1684"/>
      <c r="K112" s="1684"/>
      <c r="L112" s="1684"/>
      <c r="M112" s="1684"/>
      <c r="N112" s="1684"/>
      <c r="O112" s="1684"/>
      <c r="P112" s="1684"/>
      <c r="Q112" s="1684"/>
      <c r="R112" s="1684"/>
      <c r="S112" s="1684"/>
      <c r="T112" s="1684"/>
      <c r="U112" s="1684"/>
      <c r="V112" s="1684"/>
      <c r="W112" s="1684"/>
      <c r="X112" s="1684"/>
      <c r="Y112" s="1684"/>
      <c r="Z112" s="1684"/>
      <c r="AA112" s="1684"/>
      <c r="AB112" s="1684"/>
      <c r="AC112" s="1684"/>
      <c r="AD112" s="1684"/>
      <c r="AE112" s="1684"/>
      <c r="AF112" s="1684"/>
    </row>
    <row r="113" spans="6:32" ht="16.5" customHeight="1">
      <c r="F113" s="1684"/>
      <c r="G113" s="1684"/>
      <c r="H113" s="1684"/>
      <c r="I113" s="1684"/>
      <c r="J113" s="1684"/>
      <c r="K113" s="1684"/>
      <c r="L113" s="1684"/>
      <c r="M113" s="1684"/>
      <c r="N113" s="1684"/>
      <c r="O113" s="1684"/>
      <c r="P113" s="1684"/>
      <c r="Q113" s="1684"/>
      <c r="R113" s="1684"/>
      <c r="S113" s="1684"/>
      <c r="T113" s="1684"/>
      <c r="U113" s="1684"/>
      <c r="V113" s="1684"/>
      <c r="W113" s="1684"/>
      <c r="X113" s="1684"/>
      <c r="Y113" s="1684"/>
      <c r="Z113" s="1684"/>
      <c r="AA113" s="1684"/>
      <c r="AB113" s="1684"/>
      <c r="AC113" s="1684"/>
      <c r="AD113" s="1684"/>
      <c r="AE113" s="1684"/>
      <c r="AF113" s="1684"/>
    </row>
    <row r="114" spans="6:32" ht="16.5" customHeight="1">
      <c r="F114" s="1684"/>
      <c r="G114" s="1684"/>
      <c r="H114" s="1684"/>
      <c r="I114" s="1684"/>
      <c r="J114" s="1684"/>
      <c r="K114" s="1684"/>
      <c r="L114" s="1684"/>
      <c r="M114" s="1684"/>
      <c r="N114" s="1684"/>
      <c r="O114" s="1684"/>
      <c r="P114" s="1684"/>
      <c r="Q114" s="1684"/>
      <c r="R114" s="1684"/>
      <c r="S114" s="1684"/>
      <c r="T114" s="1684"/>
      <c r="U114" s="1684"/>
      <c r="V114" s="1684"/>
      <c r="W114" s="1684"/>
      <c r="X114" s="1684"/>
      <c r="Y114" s="1684"/>
      <c r="Z114" s="1684"/>
      <c r="AA114" s="1684"/>
      <c r="AB114" s="1684"/>
      <c r="AC114" s="1684"/>
      <c r="AD114" s="1684"/>
      <c r="AE114" s="1684"/>
      <c r="AF114" s="1684"/>
    </row>
    <row r="115" spans="6:32" ht="16.5" customHeight="1">
      <c r="F115" s="1684"/>
      <c r="G115" s="1684"/>
      <c r="H115" s="1684"/>
      <c r="I115" s="1684"/>
      <c r="J115" s="1684"/>
      <c r="K115" s="1684"/>
      <c r="L115" s="1684"/>
      <c r="M115" s="1684"/>
      <c r="N115" s="1684"/>
      <c r="O115" s="1684"/>
      <c r="P115" s="1684"/>
      <c r="Q115" s="1684"/>
      <c r="R115" s="1684"/>
      <c r="S115" s="1684"/>
      <c r="T115" s="1684"/>
      <c r="U115" s="1684"/>
      <c r="V115" s="1684"/>
      <c r="W115" s="1684"/>
      <c r="X115" s="1684"/>
      <c r="Y115" s="1684"/>
      <c r="Z115" s="1684"/>
      <c r="AA115" s="1684"/>
      <c r="AB115" s="1684"/>
      <c r="AC115" s="1684"/>
      <c r="AD115" s="1684"/>
      <c r="AE115" s="1684"/>
      <c r="AF115" s="1684"/>
    </row>
    <row r="116" spans="6:32" ht="16.5" customHeight="1">
      <c r="F116" s="1684"/>
      <c r="G116" s="1684"/>
      <c r="H116" s="1684"/>
      <c r="I116" s="1684"/>
      <c r="J116" s="1684"/>
      <c r="K116" s="1684"/>
      <c r="L116" s="1684"/>
      <c r="M116" s="1684"/>
      <c r="N116" s="1684"/>
      <c r="O116" s="1684"/>
      <c r="P116" s="1684"/>
      <c r="Q116" s="1684"/>
      <c r="R116" s="1684"/>
      <c r="S116" s="1684"/>
      <c r="T116" s="1684"/>
      <c r="U116" s="1684"/>
      <c r="V116" s="1684"/>
      <c r="W116" s="1684"/>
      <c r="X116" s="1684"/>
      <c r="Y116" s="1684"/>
      <c r="Z116" s="1684"/>
      <c r="AA116" s="1684"/>
      <c r="AB116" s="1684"/>
      <c r="AC116" s="1684"/>
      <c r="AD116" s="1684"/>
      <c r="AE116" s="1684"/>
      <c r="AF116" s="1684"/>
    </row>
    <row r="117" spans="6:32" ht="16.5" customHeight="1">
      <c r="F117" s="1684"/>
      <c r="G117" s="1684"/>
      <c r="H117" s="1684"/>
      <c r="I117" s="1684"/>
      <c r="J117" s="1684"/>
      <c r="K117" s="1684"/>
      <c r="L117" s="1684"/>
      <c r="M117" s="1684"/>
      <c r="N117" s="1684"/>
      <c r="O117" s="1684"/>
      <c r="P117" s="1684"/>
      <c r="Q117" s="1684"/>
      <c r="R117" s="1684"/>
      <c r="S117" s="1684"/>
      <c r="T117" s="1684"/>
      <c r="U117" s="1684"/>
      <c r="V117" s="1684"/>
      <c r="W117" s="1684"/>
      <c r="X117" s="1684"/>
      <c r="Y117" s="1684"/>
      <c r="Z117" s="1684"/>
      <c r="AA117" s="1684"/>
      <c r="AB117" s="1684"/>
      <c r="AC117" s="1684"/>
      <c r="AD117" s="1684"/>
      <c r="AE117" s="1684"/>
      <c r="AF117" s="1684"/>
    </row>
    <row r="118" spans="6:32" ht="16.5" customHeight="1">
      <c r="F118" s="1684"/>
      <c r="G118" s="1684"/>
      <c r="H118" s="1684"/>
      <c r="I118" s="1684"/>
      <c r="J118" s="1684"/>
      <c r="K118" s="1684"/>
      <c r="L118" s="1684"/>
      <c r="M118" s="1684"/>
      <c r="N118" s="1684"/>
      <c r="O118" s="1684"/>
      <c r="P118" s="1684"/>
      <c r="Q118" s="1684"/>
      <c r="R118" s="1684"/>
      <c r="S118" s="1684"/>
      <c r="T118" s="1684"/>
      <c r="U118" s="1684"/>
      <c r="V118" s="1684"/>
      <c r="W118" s="1684"/>
      <c r="X118" s="1684"/>
      <c r="Y118" s="1684"/>
      <c r="Z118" s="1684"/>
      <c r="AA118" s="1684"/>
      <c r="AB118" s="1684"/>
      <c r="AC118" s="1684"/>
      <c r="AD118" s="1684"/>
      <c r="AE118" s="1684"/>
      <c r="AF118" s="1684"/>
    </row>
    <row r="119" spans="6:32" ht="16.5" customHeight="1">
      <c r="F119" s="1684"/>
      <c r="G119" s="1684"/>
      <c r="H119" s="1684"/>
      <c r="I119" s="1684"/>
      <c r="J119" s="1684"/>
      <c r="K119" s="1684"/>
      <c r="L119" s="1684"/>
      <c r="M119" s="1684"/>
      <c r="N119" s="1684"/>
      <c r="O119" s="1684"/>
      <c r="P119" s="1684"/>
      <c r="Q119" s="1684"/>
      <c r="R119" s="1684"/>
      <c r="S119" s="1684"/>
      <c r="T119" s="1684"/>
      <c r="U119" s="1684"/>
      <c r="V119" s="1684"/>
      <c r="W119" s="1684"/>
      <c r="X119" s="1684"/>
      <c r="Y119" s="1684"/>
      <c r="Z119" s="1684"/>
      <c r="AA119" s="1684"/>
      <c r="AB119" s="1684"/>
      <c r="AC119" s="1684"/>
      <c r="AD119" s="1684"/>
      <c r="AE119" s="1684"/>
      <c r="AF119" s="1684"/>
    </row>
    <row r="120" spans="6:32" ht="16.5" customHeight="1">
      <c r="F120" s="1684"/>
      <c r="G120" s="1684"/>
      <c r="H120" s="1684"/>
      <c r="I120" s="1684"/>
      <c r="J120" s="1684"/>
      <c r="K120" s="1684"/>
      <c r="L120" s="1684"/>
      <c r="M120" s="1684"/>
      <c r="N120" s="1684"/>
      <c r="O120" s="1684"/>
      <c r="P120" s="1684"/>
      <c r="Q120" s="1684"/>
      <c r="R120" s="1684"/>
      <c r="S120" s="1684"/>
      <c r="T120" s="1684"/>
      <c r="U120" s="1684"/>
      <c r="V120" s="1684"/>
      <c r="W120" s="1684"/>
      <c r="X120" s="1684"/>
      <c r="Y120" s="1684"/>
      <c r="Z120" s="1684"/>
      <c r="AA120" s="1684"/>
      <c r="AB120" s="1684"/>
      <c r="AC120" s="1684"/>
      <c r="AD120" s="1684"/>
      <c r="AE120" s="1684"/>
      <c r="AF120" s="1684"/>
    </row>
    <row r="121" spans="6:32" ht="16.5" customHeight="1">
      <c r="F121" s="1684"/>
      <c r="G121" s="1684"/>
      <c r="H121" s="1684"/>
      <c r="I121" s="1684"/>
      <c r="J121" s="1684"/>
      <c r="K121" s="1684"/>
      <c r="L121" s="1684"/>
      <c r="M121" s="1684"/>
      <c r="N121" s="1684"/>
      <c r="O121" s="1684"/>
      <c r="P121" s="1684"/>
      <c r="Q121" s="1684"/>
      <c r="R121" s="1684"/>
      <c r="S121" s="1684"/>
      <c r="T121" s="1684"/>
      <c r="U121" s="1684"/>
      <c r="V121" s="1684"/>
      <c r="W121" s="1684"/>
      <c r="X121" s="1684"/>
      <c r="Y121" s="1684"/>
      <c r="Z121" s="1684"/>
      <c r="AA121" s="1684"/>
      <c r="AB121" s="1684"/>
      <c r="AC121" s="1684"/>
      <c r="AD121" s="1684"/>
      <c r="AE121" s="1684"/>
      <c r="AF121" s="1684"/>
    </row>
    <row r="122" spans="6:32" ht="16.5" customHeight="1">
      <c r="F122" s="1684"/>
      <c r="G122" s="1684"/>
      <c r="H122" s="1684"/>
      <c r="I122" s="1684"/>
      <c r="J122" s="1684"/>
      <c r="K122" s="1684"/>
      <c r="L122" s="1684"/>
      <c r="M122" s="1684"/>
      <c r="N122" s="1684"/>
      <c r="O122" s="1684"/>
      <c r="P122" s="1684"/>
      <c r="Q122" s="1684"/>
      <c r="R122" s="1684"/>
      <c r="S122" s="1684"/>
      <c r="T122" s="1684"/>
      <c r="U122" s="1684"/>
      <c r="V122" s="1684"/>
      <c r="W122" s="1684"/>
      <c r="X122" s="1684"/>
      <c r="Y122" s="1684"/>
      <c r="Z122" s="1684"/>
      <c r="AA122" s="1684"/>
      <c r="AB122" s="1684"/>
      <c r="AC122" s="1684"/>
      <c r="AD122" s="1684"/>
      <c r="AE122" s="1684"/>
      <c r="AF122" s="1684"/>
    </row>
    <row r="123" spans="6:32" ht="16.5" customHeight="1">
      <c r="F123" s="1684"/>
      <c r="G123" s="1684"/>
      <c r="H123" s="1684"/>
      <c r="I123" s="1684"/>
      <c r="J123" s="1684"/>
      <c r="K123" s="1684"/>
      <c r="L123" s="1684"/>
      <c r="M123" s="1684"/>
      <c r="N123" s="1684"/>
      <c r="O123" s="1684"/>
      <c r="P123" s="1684"/>
      <c r="Q123" s="1684"/>
      <c r="R123" s="1684"/>
      <c r="S123" s="1684"/>
      <c r="T123" s="1684"/>
      <c r="U123" s="1684"/>
      <c r="V123" s="1684"/>
      <c r="W123" s="1684"/>
      <c r="X123" s="1684"/>
      <c r="Y123" s="1684"/>
      <c r="Z123" s="1684"/>
      <c r="AA123" s="1684"/>
      <c r="AB123" s="1684"/>
      <c r="AC123" s="1684"/>
      <c r="AD123" s="1684"/>
      <c r="AE123" s="1684"/>
      <c r="AF123" s="1684"/>
    </row>
    <row r="124" spans="6:32" ht="16.5" customHeight="1">
      <c r="F124" s="1684"/>
      <c r="G124" s="1684"/>
      <c r="H124" s="1684"/>
      <c r="I124" s="1684"/>
      <c r="J124" s="1684"/>
      <c r="K124" s="1684"/>
      <c r="L124" s="1684"/>
      <c r="M124" s="1684"/>
      <c r="N124" s="1684"/>
      <c r="O124" s="1684"/>
      <c r="P124" s="1684"/>
      <c r="Q124" s="1684"/>
      <c r="R124" s="1684"/>
      <c r="S124" s="1684"/>
      <c r="T124" s="1684"/>
      <c r="U124" s="1684"/>
      <c r="V124" s="1684"/>
      <c r="W124" s="1684"/>
      <c r="X124" s="1684"/>
      <c r="Y124" s="1684"/>
      <c r="Z124" s="1684"/>
      <c r="AA124" s="1684"/>
      <c r="AB124" s="1684"/>
      <c r="AC124" s="1684"/>
      <c r="AD124" s="1684"/>
      <c r="AE124" s="1684"/>
      <c r="AF124" s="1684"/>
    </row>
    <row r="125" spans="6:32" ht="16.5" customHeight="1">
      <c r="F125" s="1684"/>
      <c r="G125" s="1684"/>
      <c r="H125" s="1684"/>
      <c r="I125" s="1684"/>
      <c r="J125" s="1684"/>
      <c r="K125" s="1684"/>
      <c r="L125" s="1684"/>
      <c r="M125" s="1684"/>
      <c r="N125" s="1684"/>
      <c r="O125" s="1684"/>
      <c r="P125" s="1684"/>
      <c r="Q125" s="1684"/>
      <c r="R125" s="1684"/>
      <c r="S125" s="1684"/>
      <c r="T125" s="1684"/>
      <c r="U125" s="1684"/>
      <c r="V125" s="1684"/>
      <c r="W125" s="1684"/>
      <c r="X125" s="1684"/>
      <c r="Y125" s="1684"/>
      <c r="Z125" s="1684"/>
      <c r="AA125" s="1684"/>
      <c r="AB125" s="1684"/>
      <c r="AC125" s="1684"/>
      <c r="AD125" s="1684"/>
      <c r="AE125" s="1684"/>
      <c r="AF125" s="1684"/>
    </row>
    <row r="126" spans="6:32" ht="16.5" customHeight="1">
      <c r="F126" s="1684"/>
      <c r="G126" s="1684"/>
      <c r="H126" s="1684"/>
      <c r="I126" s="1684"/>
      <c r="J126" s="1684"/>
      <c r="K126" s="1684"/>
      <c r="L126" s="1684"/>
      <c r="M126" s="1684"/>
      <c r="N126" s="1684"/>
      <c r="O126" s="1684"/>
      <c r="P126" s="1684"/>
      <c r="Q126" s="1684"/>
      <c r="R126" s="1684"/>
      <c r="S126" s="1684"/>
      <c r="T126" s="1684"/>
      <c r="U126" s="1684"/>
      <c r="V126" s="1684"/>
      <c r="W126" s="1684"/>
      <c r="X126" s="1684"/>
      <c r="Y126" s="1684"/>
      <c r="Z126" s="1684"/>
      <c r="AA126" s="1684"/>
      <c r="AB126" s="1684"/>
      <c r="AC126" s="1684"/>
      <c r="AD126" s="1684"/>
      <c r="AE126" s="1684"/>
      <c r="AF126" s="1684"/>
    </row>
    <row r="127" spans="6:32" ht="16.5" customHeight="1">
      <c r="F127" s="1684"/>
      <c r="G127" s="1684"/>
      <c r="H127" s="1684"/>
      <c r="I127" s="1684"/>
      <c r="J127" s="1684"/>
      <c r="K127" s="1684"/>
      <c r="L127" s="1684"/>
      <c r="M127" s="1684"/>
      <c r="N127" s="1684"/>
      <c r="O127" s="1684"/>
      <c r="P127" s="1684"/>
      <c r="Q127" s="1684"/>
      <c r="R127" s="1684"/>
      <c r="S127" s="1684"/>
      <c r="T127" s="1684"/>
      <c r="U127" s="1684"/>
      <c r="V127" s="1684"/>
      <c r="W127" s="1684"/>
      <c r="X127" s="1684"/>
      <c r="Y127" s="1684"/>
      <c r="Z127" s="1684"/>
      <c r="AA127" s="1684"/>
      <c r="AB127" s="1684"/>
      <c r="AC127" s="1684"/>
      <c r="AD127" s="1684"/>
      <c r="AE127" s="1684"/>
      <c r="AF127" s="1684"/>
    </row>
    <row r="128" spans="6:32" ht="16.5" customHeight="1">
      <c r="F128" s="1684"/>
      <c r="G128" s="1684"/>
      <c r="H128" s="1684"/>
      <c r="I128" s="1684"/>
      <c r="J128" s="1684"/>
      <c r="K128" s="1684"/>
      <c r="L128" s="1684"/>
      <c r="M128" s="1684"/>
      <c r="N128" s="1684"/>
      <c r="O128" s="1684"/>
      <c r="P128" s="1684"/>
      <c r="Q128" s="1684"/>
      <c r="R128" s="1684"/>
      <c r="S128" s="1684"/>
      <c r="T128" s="1684"/>
      <c r="U128" s="1684"/>
      <c r="V128" s="1684"/>
      <c r="W128" s="1684"/>
      <c r="X128" s="1684"/>
      <c r="Y128" s="1684"/>
      <c r="Z128" s="1684"/>
      <c r="AA128" s="1684"/>
      <c r="AB128" s="1684"/>
      <c r="AC128" s="1684"/>
      <c r="AD128" s="1684"/>
      <c r="AE128" s="1684"/>
      <c r="AF128" s="1684"/>
    </row>
    <row r="129" spans="6:32" ht="16.5" customHeight="1">
      <c r="F129" s="1684"/>
      <c r="G129" s="1684"/>
      <c r="H129" s="1684"/>
      <c r="I129" s="1684"/>
      <c r="J129" s="1684"/>
      <c r="K129" s="1684"/>
      <c r="L129" s="1684"/>
      <c r="M129" s="1684"/>
      <c r="N129" s="1684"/>
      <c r="O129" s="1684"/>
      <c r="P129" s="1684"/>
      <c r="Q129" s="1684"/>
      <c r="R129" s="1684"/>
      <c r="S129" s="1684"/>
      <c r="T129" s="1684"/>
      <c r="U129" s="1684"/>
      <c r="V129" s="1684"/>
      <c r="W129" s="1684"/>
      <c r="X129" s="1684"/>
      <c r="Y129" s="1684"/>
      <c r="Z129" s="1684"/>
      <c r="AA129" s="1684"/>
      <c r="AB129" s="1684"/>
      <c r="AC129" s="1684"/>
      <c r="AD129" s="1684"/>
      <c r="AE129" s="1684"/>
      <c r="AF129" s="1684"/>
    </row>
    <row r="130" spans="6:32" ht="16.5" customHeight="1">
      <c r="F130" s="1684"/>
      <c r="G130" s="1684"/>
      <c r="H130" s="1684"/>
      <c r="I130" s="1684"/>
      <c r="J130" s="1684"/>
      <c r="K130" s="1684"/>
      <c r="L130" s="1684"/>
      <c r="M130" s="1684"/>
      <c r="N130" s="1684"/>
      <c r="O130" s="1684"/>
      <c r="P130" s="1684"/>
      <c r="Q130" s="1684"/>
      <c r="R130" s="1684"/>
      <c r="S130" s="1684"/>
      <c r="T130" s="1684"/>
      <c r="U130" s="1684"/>
      <c r="V130" s="1684"/>
      <c r="W130" s="1684"/>
      <c r="X130" s="1684"/>
      <c r="Y130" s="1684"/>
      <c r="Z130" s="1684"/>
      <c r="AA130" s="1684"/>
      <c r="AB130" s="1684"/>
      <c r="AC130" s="1684"/>
      <c r="AD130" s="1684"/>
      <c r="AE130" s="1684"/>
      <c r="AF130" s="1684"/>
    </row>
    <row r="131" spans="6:32" ht="16.5" customHeight="1">
      <c r="F131" s="1684"/>
      <c r="G131" s="1684"/>
      <c r="H131" s="1684"/>
      <c r="I131" s="1684"/>
      <c r="J131" s="1684"/>
      <c r="K131" s="1684"/>
      <c r="L131" s="1684"/>
      <c r="M131" s="1684"/>
      <c r="N131" s="1684"/>
      <c r="O131" s="1684"/>
      <c r="P131" s="1684"/>
      <c r="Q131" s="1684"/>
      <c r="R131" s="1684"/>
      <c r="S131" s="1684"/>
      <c r="T131" s="1684"/>
      <c r="U131" s="1684"/>
      <c r="V131" s="1684"/>
      <c r="W131" s="1684"/>
      <c r="X131" s="1684"/>
      <c r="Y131" s="1684"/>
      <c r="Z131" s="1684"/>
      <c r="AA131" s="1684"/>
      <c r="AB131" s="1684"/>
      <c r="AC131" s="1684"/>
      <c r="AD131" s="1684"/>
      <c r="AE131" s="1684"/>
      <c r="AF131" s="1684"/>
    </row>
    <row r="132" spans="6:32" ht="16.5" customHeight="1">
      <c r="F132" s="1684"/>
      <c r="G132" s="1684"/>
      <c r="H132" s="1684"/>
      <c r="I132" s="1684"/>
      <c r="J132" s="1684"/>
      <c r="K132" s="1684"/>
      <c r="L132" s="1684"/>
      <c r="M132" s="1684"/>
      <c r="N132" s="1684"/>
      <c r="O132" s="1684"/>
      <c r="P132" s="1684"/>
      <c r="Q132" s="1684"/>
      <c r="R132" s="1684"/>
      <c r="S132" s="1684"/>
      <c r="T132" s="1684"/>
      <c r="U132" s="1684"/>
      <c r="V132" s="1684"/>
      <c r="W132" s="1684"/>
      <c r="X132" s="1684"/>
      <c r="Y132" s="1684"/>
      <c r="Z132" s="1684"/>
      <c r="AA132" s="1684"/>
      <c r="AB132" s="1684"/>
      <c r="AC132" s="1684"/>
      <c r="AD132" s="1684"/>
      <c r="AE132" s="1684"/>
      <c r="AF132" s="1684"/>
    </row>
    <row r="133" spans="6:32" ht="16.5" customHeight="1">
      <c r="F133" s="1684"/>
      <c r="G133" s="1684"/>
      <c r="H133" s="1684"/>
      <c r="I133" s="1684"/>
      <c r="J133" s="1684"/>
      <c r="K133" s="1684"/>
      <c r="L133" s="1684"/>
      <c r="M133" s="1684"/>
      <c r="N133" s="1684"/>
      <c r="O133" s="1684"/>
      <c r="P133" s="1684"/>
      <c r="Q133" s="1684"/>
      <c r="R133" s="1684"/>
      <c r="S133" s="1684"/>
      <c r="T133" s="1684"/>
      <c r="U133" s="1684"/>
      <c r="V133" s="1684"/>
      <c r="W133" s="1684"/>
      <c r="X133" s="1684"/>
      <c r="Y133" s="1684"/>
      <c r="Z133" s="1684"/>
      <c r="AA133" s="1684"/>
      <c r="AB133" s="1684"/>
      <c r="AC133" s="1684"/>
      <c r="AD133" s="1684"/>
      <c r="AE133" s="1684"/>
      <c r="AF133" s="1684"/>
    </row>
    <row r="134" spans="6:32" ht="16.5" customHeight="1">
      <c r="F134" s="1684"/>
      <c r="G134" s="1684"/>
      <c r="H134" s="1684"/>
      <c r="I134" s="1684"/>
      <c r="J134" s="1684"/>
      <c r="K134" s="1684"/>
      <c r="L134" s="1684"/>
      <c r="M134" s="1684"/>
      <c r="N134" s="1684"/>
      <c r="O134" s="1684"/>
      <c r="P134" s="1684"/>
      <c r="Q134" s="1684"/>
      <c r="R134" s="1684"/>
      <c r="S134" s="1684"/>
      <c r="T134" s="1684"/>
      <c r="U134" s="1684"/>
      <c r="V134" s="1684"/>
      <c r="W134" s="1684"/>
      <c r="X134" s="1684"/>
      <c r="Y134" s="1684"/>
      <c r="Z134" s="1684"/>
      <c r="AA134" s="1684"/>
      <c r="AB134" s="1684"/>
      <c r="AC134" s="1684"/>
      <c r="AD134" s="1684"/>
      <c r="AE134" s="1684"/>
      <c r="AF134" s="1684"/>
    </row>
    <row r="135" spans="6:32" ht="16.5" customHeight="1">
      <c r="F135" s="1684"/>
      <c r="G135" s="1684"/>
      <c r="H135" s="1684"/>
      <c r="I135" s="1684"/>
      <c r="J135" s="1684"/>
      <c r="K135" s="1684"/>
      <c r="L135" s="1684"/>
      <c r="M135" s="1684"/>
      <c r="N135" s="1684"/>
      <c r="O135" s="1684"/>
      <c r="P135" s="1684"/>
      <c r="Q135" s="1684"/>
      <c r="R135" s="1684"/>
      <c r="S135" s="1684"/>
      <c r="T135" s="1684"/>
      <c r="U135" s="1684"/>
      <c r="V135" s="1684"/>
      <c r="W135" s="1684"/>
      <c r="X135" s="1684"/>
      <c r="Y135" s="1684"/>
      <c r="Z135" s="1684"/>
      <c r="AA135" s="1684"/>
      <c r="AB135" s="1684"/>
      <c r="AC135" s="1684"/>
      <c r="AD135" s="1684"/>
      <c r="AE135" s="1684"/>
      <c r="AF135" s="1684"/>
    </row>
    <row r="136" spans="6:32" ht="16.5" customHeight="1">
      <c r="F136" s="1684"/>
      <c r="G136" s="1684"/>
      <c r="H136" s="1684"/>
      <c r="I136" s="1684"/>
      <c r="J136" s="1684"/>
      <c r="K136" s="1684"/>
      <c r="L136" s="1684"/>
      <c r="M136" s="1684"/>
      <c r="N136" s="1684"/>
      <c r="O136" s="1684"/>
      <c r="P136" s="1684"/>
      <c r="Q136" s="1684"/>
      <c r="R136" s="1684"/>
      <c r="S136" s="1684"/>
      <c r="T136" s="1684"/>
      <c r="U136" s="1684"/>
      <c r="V136" s="1684"/>
      <c r="W136" s="1684"/>
      <c r="X136" s="1684"/>
      <c r="Y136" s="1684"/>
      <c r="Z136" s="1684"/>
      <c r="AA136" s="1684"/>
      <c r="AB136" s="1684"/>
      <c r="AC136" s="1684"/>
      <c r="AD136" s="1684"/>
      <c r="AE136" s="1684"/>
      <c r="AF136" s="1684"/>
    </row>
    <row r="137" spans="6:32" ht="16.5" customHeight="1">
      <c r="F137" s="1684"/>
      <c r="G137" s="1684"/>
      <c r="H137" s="1684"/>
      <c r="I137" s="1684"/>
      <c r="J137" s="1684"/>
      <c r="K137" s="1684"/>
      <c r="L137" s="1684"/>
      <c r="M137" s="1684"/>
      <c r="N137" s="1684"/>
      <c r="O137" s="1684"/>
      <c r="P137" s="1684"/>
      <c r="Q137" s="1684"/>
      <c r="R137" s="1684"/>
      <c r="S137" s="1684"/>
      <c r="T137" s="1684"/>
      <c r="U137" s="1684"/>
      <c r="V137" s="1684"/>
      <c r="W137" s="1684"/>
      <c r="X137" s="1684"/>
      <c r="Y137" s="1684"/>
      <c r="Z137" s="1684"/>
      <c r="AA137" s="1684"/>
      <c r="AB137" s="1684"/>
      <c r="AC137" s="1684"/>
      <c r="AD137" s="1684"/>
      <c r="AE137" s="1684"/>
      <c r="AF137" s="1684"/>
    </row>
    <row r="138" spans="6:32" ht="16.5" customHeight="1">
      <c r="F138" s="1684"/>
      <c r="G138" s="1684"/>
      <c r="H138" s="1684"/>
      <c r="I138" s="1684"/>
      <c r="J138" s="1684"/>
      <c r="K138" s="1684"/>
      <c r="L138" s="1684"/>
      <c r="M138" s="1684"/>
      <c r="N138" s="1684"/>
      <c r="O138" s="1684"/>
      <c r="P138" s="1684"/>
      <c r="Q138" s="1684"/>
      <c r="R138" s="1684"/>
      <c r="S138" s="1684"/>
      <c r="T138" s="1684"/>
      <c r="U138" s="1684"/>
      <c r="V138" s="1684"/>
      <c r="W138" s="1684"/>
      <c r="X138" s="1684"/>
      <c r="Y138" s="1684"/>
      <c r="Z138" s="1684"/>
      <c r="AA138" s="1684"/>
      <c r="AB138" s="1684"/>
      <c r="AC138" s="1684"/>
      <c r="AD138" s="1684"/>
      <c r="AE138" s="1684"/>
      <c r="AF138" s="1684"/>
    </row>
    <row r="139" spans="6:32" ht="16.5" customHeight="1">
      <c r="F139" s="1684"/>
      <c r="G139" s="1684"/>
      <c r="H139" s="1684"/>
      <c r="I139" s="1684"/>
      <c r="J139" s="1684"/>
      <c r="K139" s="1684"/>
      <c r="L139" s="1684"/>
      <c r="M139" s="1684"/>
      <c r="N139" s="1684"/>
      <c r="O139" s="1684"/>
      <c r="P139" s="1684"/>
      <c r="Q139" s="1684"/>
      <c r="R139" s="1684"/>
      <c r="S139" s="1684"/>
      <c r="T139" s="1684"/>
      <c r="U139" s="1684"/>
      <c r="V139" s="1684"/>
      <c r="W139" s="1684"/>
      <c r="X139" s="1684"/>
      <c r="Y139" s="1684"/>
      <c r="Z139" s="1684"/>
      <c r="AA139" s="1684"/>
      <c r="AB139" s="1684"/>
      <c r="AC139" s="1684"/>
      <c r="AD139" s="1684"/>
      <c r="AE139" s="1684"/>
      <c r="AF139" s="1684"/>
    </row>
    <row r="140" spans="6:32" ht="16.5" customHeight="1">
      <c r="F140" s="1684"/>
      <c r="G140" s="1684"/>
      <c r="H140" s="1684"/>
      <c r="I140" s="1684"/>
      <c r="J140" s="1684"/>
      <c r="K140" s="1684"/>
      <c r="L140" s="1684"/>
      <c r="M140" s="1684"/>
      <c r="N140" s="1684"/>
      <c r="O140" s="1684"/>
      <c r="P140" s="1684"/>
      <c r="Q140" s="1684"/>
      <c r="R140" s="1684"/>
      <c r="S140" s="1684"/>
      <c r="T140" s="1684"/>
      <c r="U140" s="1684"/>
      <c r="V140" s="1684"/>
      <c r="W140" s="1684"/>
      <c r="X140" s="1684"/>
      <c r="Y140" s="1684"/>
      <c r="Z140" s="1684"/>
      <c r="AA140" s="1684"/>
      <c r="AB140" s="1684"/>
      <c r="AC140" s="1684"/>
      <c r="AD140" s="1684"/>
      <c r="AE140" s="1684"/>
      <c r="AF140" s="1684"/>
    </row>
    <row r="141" spans="6:32" ht="16.5" customHeight="1">
      <c r="F141" s="1684"/>
      <c r="G141" s="1684"/>
      <c r="H141" s="1684"/>
      <c r="I141" s="1684"/>
      <c r="J141" s="1684"/>
      <c r="K141" s="1684"/>
      <c r="L141" s="1684"/>
      <c r="M141" s="1684"/>
      <c r="N141" s="1684"/>
      <c r="O141" s="1684"/>
      <c r="P141" s="1684"/>
      <c r="Q141" s="1684"/>
      <c r="R141" s="1684"/>
      <c r="S141" s="1684"/>
      <c r="T141" s="1684"/>
      <c r="U141" s="1684"/>
      <c r="V141" s="1684"/>
      <c r="W141" s="1684"/>
      <c r="X141" s="1684"/>
      <c r="Y141" s="1684"/>
      <c r="Z141" s="1684"/>
      <c r="AA141" s="1684"/>
      <c r="AB141" s="1684"/>
      <c r="AC141" s="1684"/>
      <c r="AD141" s="1684"/>
      <c r="AE141" s="1684"/>
      <c r="AF141" s="1684"/>
    </row>
    <row r="142" spans="6:32" ht="16.5" customHeight="1">
      <c r="F142" s="1684"/>
      <c r="G142" s="1684"/>
      <c r="H142" s="1684"/>
      <c r="I142" s="1684"/>
      <c r="J142" s="1684"/>
      <c r="K142" s="1684"/>
      <c r="L142" s="1684"/>
      <c r="M142" s="1684"/>
      <c r="N142" s="1684"/>
      <c r="O142" s="1684"/>
      <c r="P142" s="1684"/>
      <c r="Q142" s="1684"/>
      <c r="R142" s="1684"/>
      <c r="S142" s="1684"/>
      <c r="T142" s="1684"/>
      <c r="U142" s="1684"/>
      <c r="V142" s="1684"/>
      <c r="W142" s="1684"/>
      <c r="X142" s="1684"/>
      <c r="Y142" s="1684"/>
      <c r="Z142" s="1684"/>
      <c r="AA142" s="1684"/>
      <c r="AB142" s="1684"/>
      <c r="AC142" s="1684"/>
      <c r="AD142" s="1684"/>
      <c r="AE142" s="1684"/>
      <c r="AF142" s="1684"/>
    </row>
    <row r="143" spans="6:32" ht="16.5" customHeight="1">
      <c r="F143" s="1684"/>
      <c r="G143" s="1684"/>
      <c r="H143" s="1684"/>
      <c r="I143" s="1684"/>
      <c r="J143" s="1684"/>
      <c r="K143" s="1684"/>
      <c r="L143" s="1684"/>
      <c r="M143" s="1684"/>
      <c r="N143" s="1684"/>
      <c r="O143" s="1684"/>
      <c r="P143" s="1684"/>
      <c r="Q143" s="1684"/>
      <c r="R143" s="1684"/>
      <c r="S143" s="1684"/>
      <c r="T143" s="1684"/>
      <c r="U143" s="1684"/>
      <c r="V143" s="1684"/>
      <c r="W143" s="1684"/>
      <c r="X143" s="1684"/>
      <c r="Y143" s="1684"/>
      <c r="Z143" s="1684"/>
      <c r="AA143" s="1684"/>
      <c r="AB143" s="1684"/>
      <c r="AC143" s="1684"/>
      <c r="AD143" s="1684"/>
      <c r="AE143" s="1684"/>
      <c r="AF143" s="1684"/>
    </row>
    <row r="144" spans="6:32" ht="16.5" customHeight="1">
      <c r="F144" s="1684"/>
      <c r="G144" s="1684"/>
      <c r="H144" s="1684"/>
      <c r="I144" s="1684"/>
      <c r="J144" s="1684"/>
      <c r="K144" s="1684"/>
      <c r="L144" s="1684"/>
      <c r="M144" s="1684"/>
      <c r="N144" s="1684"/>
      <c r="O144" s="1684"/>
      <c r="P144" s="1684"/>
      <c r="Q144" s="1684"/>
      <c r="R144" s="1684"/>
      <c r="S144" s="1684"/>
      <c r="T144" s="1684"/>
      <c r="U144" s="1684"/>
      <c r="V144" s="1684"/>
      <c r="W144" s="1684"/>
      <c r="X144" s="1684"/>
      <c r="Y144" s="1684"/>
      <c r="Z144" s="1684"/>
      <c r="AA144" s="1684"/>
      <c r="AB144" s="1684"/>
      <c r="AC144" s="1684"/>
      <c r="AD144" s="1684"/>
      <c r="AE144" s="1684"/>
      <c r="AF144" s="1684"/>
    </row>
    <row r="145" spans="6:32" ht="16.5" customHeight="1">
      <c r="F145" s="1684"/>
      <c r="G145" s="1684"/>
      <c r="H145" s="1684"/>
      <c r="I145" s="1684"/>
      <c r="J145" s="1684"/>
      <c r="K145" s="1684"/>
      <c r="L145" s="1684"/>
      <c r="M145" s="1684"/>
      <c r="N145" s="1684"/>
      <c r="O145" s="1684"/>
      <c r="P145" s="1684"/>
      <c r="Q145" s="1684"/>
      <c r="R145" s="1684"/>
      <c r="S145" s="1684"/>
      <c r="T145" s="1684"/>
      <c r="U145" s="1684"/>
      <c r="V145" s="1684"/>
      <c r="W145" s="1684"/>
      <c r="X145" s="1684"/>
      <c r="Y145" s="1684"/>
      <c r="Z145" s="1684"/>
      <c r="AA145" s="1684"/>
      <c r="AB145" s="1684"/>
      <c r="AC145" s="1684"/>
      <c r="AD145" s="1684"/>
      <c r="AE145" s="1684"/>
      <c r="AF145" s="1684"/>
    </row>
    <row r="146" spans="6:32" ht="16.5" customHeight="1">
      <c r="F146" s="1684"/>
      <c r="G146" s="1684"/>
      <c r="H146" s="1684"/>
      <c r="I146" s="1684"/>
      <c r="J146" s="1684"/>
      <c r="K146" s="1684"/>
      <c r="L146" s="1684"/>
      <c r="M146" s="1684"/>
      <c r="N146" s="1684"/>
      <c r="O146" s="1684"/>
      <c r="P146" s="1684"/>
      <c r="Q146" s="1684"/>
      <c r="R146" s="1684"/>
      <c r="S146" s="1684"/>
      <c r="T146" s="1684"/>
      <c r="U146" s="1684"/>
      <c r="V146" s="1684"/>
      <c r="W146" s="1684"/>
      <c r="X146" s="1684"/>
      <c r="Y146" s="1684"/>
      <c r="Z146" s="1684"/>
      <c r="AA146" s="1684"/>
      <c r="AB146" s="1684"/>
      <c r="AC146" s="1684"/>
      <c r="AD146" s="1684"/>
      <c r="AE146" s="1684"/>
      <c r="AF146" s="1684"/>
    </row>
    <row r="147" spans="6:32" ht="16.5" customHeight="1">
      <c r="F147" s="1684"/>
      <c r="G147" s="1684"/>
      <c r="H147" s="1684"/>
      <c r="I147" s="1684"/>
      <c r="J147" s="1684"/>
      <c r="K147" s="1684"/>
      <c r="L147" s="1684"/>
      <c r="M147" s="1684"/>
      <c r="N147" s="1684"/>
      <c r="O147" s="1684"/>
      <c r="P147" s="1684"/>
      <c r="Q147" s="1684"/>
      <c r="R147" s="1684"/>
      <c r="S147" s="1684"/>
      <c r="T147" s="1684"/>
      <c r="U147" s="1684"/>
      <c r="V147" s="1684"/>
      <c r="W147" s="1684"/>
      <c r="X147" s="1684"/>
      <c r="Y147" s="1684"/>
      <c r="Z147" s="1684"/>
      <c r="AA147" s="1684"/>
      <c r="AB147" s="1684"/>
      <c r="AC147" s="1684"/>
      <c r="AD147" s="1684"/>
      <c r="AE147" s="1684"/>
      <c r="AF147" s="1684"/>
    </row>
    <row r="148" spans="6:32" ht="16.5" customHeight="1">
      <c r="F148" s="1684"/>
      <c r="G148" s="1684"/>
      <c r="H148" s="1684"/>
      <c r="I148" s="1684"/>
      <c r="J148" s="1684"/>
      <c r="K148" s="1684"/>
      <c r="L148" s="1684"/>
      <c r="M148" s="1684"/>
      <c r="N148" s="1684"/>
      <c r="O148" s="1684"/>
      <c r="P148" s="1684"/>
      <c r="Q148" s="1684"/>
      <c r="R148" s="1684"/>
      <c r="S148" s="1684"/>
      <c r="T148" s="1684"/>
      <c r="U148" s="1684"/>
      <c r="V148" s="1684"/>
      <c r="W148" s="1684"/>
      <c r="X148" s="1684"/>
      <c r="Y148" s="1684"/>
      <c r="Z148" s="1684"/>
      <c r="AA148" s="1684"/>
      <c r="AB148" s="1684"/>
      <c r="AC148" s="1684"/>
      <c r="AD148" s="1684"/>
      <c r="AE148" s="1684"/>
      <c r="AF148" s="1684"/>
    </row>
    <row r="149" spans="6:32" ht="16.5" customHeight="1">
      <c r="F149" s="1684"/>
      <c r="G149" s="1684"/>
      <c r="H149" s="1684"/>
      <c r="I149" s="1684"/>
      <c r="J149" s="1684"/>
      <c r="K149" s="1684"/>
      <c r="L149" s="1684"/>
      <c r="M149" s="1684"/>
      <c r="N149" s="1684"/>
      <c r="O149" s="1684"/>
      <c r="P149" s="1684"/>
      <c r="Q149" s="1684"/>
      <c r="R149" s="1684"/>
      <c r="S149" s="1684"/>
      <c r="T149" s="1684"/>
      <c r="U149" s="1684"/>
      <c r="V149" s="1684"/>
      <c r="W149" s="1684"/>
      <c r="X149" s="1684"/>
      <c r="Y149" s="1684"/>
      <c r="Z149" s="1684"/>
      <c r="AA149" s="1684"/>
      <c r="AB149" s="1684"/>
      <c r="AC149" s="1684"/>
      <c r="AD149" s="1684"/>
      <c r="AE149" s="1684"/>
      <c r="AF149" s="1684"/>
    </row>
    <row r="150" spans="6:32" ht="16.5" customHeight="1">
      <c r="F150" s="1684"/>
      <c r="G150" s="1684"/>
      <c r="H150" s="1684"/>
      <c r="I150" s="1684"/>
      <c r="J150" s="1684"/>
      <c r="K150" s="1684"/>
      <c r="L150" s="1684"/>
      <c r="M150" s="1684"/>
      <c r="N150" s="1684"/>
      <c r="O150" s="1684"/>
      <c r="P150" s="1684"/>
      <c r="Q150" s="1684"/>
      <c r="R150" s="1684"/>
      <c r="S150" s="1684"/>
      <c r="T150" s="1684"/>
      <c r="U150" s="1684"/>
      <c r="V150" s="1684"/>
      <c r="W150" s="1684"/>
      <c r="X150" s="1684"/>
      <c r="Y150" s="1684"/>
      <c r="Z150" s="1684"/>
      <c r="AA150" s="1684"/>
      <c r="AB150" s="1684"/>
      <c r="AC150" s="1684"/>
      <c r="AD150" s="1684"/>
      <c r="AE150" s="1684"/>
      <c r="AF150" s="1684"/>
    </row>
    <row r="151" spans="6:32" ht="16.5" customHeight="1">
      <c r="F151" s="1684"/>
      <c r="G151" s="1684"/>
      <c r="H151" s="1684"/>
      <c r="I151" s="1684"/>
      <c r="J151" s="1684"/>
      <c r="K151" s="1684"/>
      <c r="L151" s="1684"/>
      <c r="M151" s="1684"/>
      <c r="N151" s="1684"/>
      <c r="O151" s="1684"/>
      <c r="P151" s="1684"/>
      <c r="Q151" s="1684"/>
      <c r="R151" s="1684"/>
      <c r="S151" s="1684"/>
      <c r="T151" s="1684"/>
      <c r="U151" s="1684"/>
      <c r="V151" s="1684"/>
      <c r="W151" s="1684"/>
      <c r="X151" s="1684"/>
      <c r="Y151" s="1684"/>
      <c r="Z151" s="1684"/>
      <c r="AA151" s="1684"/>
      <c r="AB151" s="1684"/>
      <c r="AC151" s="1684"/>
      <c r="AD151" s="1684"/>
      <c r="AE151" s="1684"/>
      <c r="AF151" s="1684"/>
    </row>
    <row r="152" spans="6:32" ht="16.5" customHeight="1">
      <c r="F152" s="1684"/>
      <c r="G152" s="1684"/>
      <c r="H152" s="1684"/>
      <c r="I152" s="1684"/>
      <c r="J152" s="1684"/>
      <c r="K152" s="1684"/>
      <c r="L152" s="1684"/>
      <c r="M152" s="1684"/>
      <c r="N152" s="1684"/>
      <c r="O152" s="1684"/>
      <c r="P152" s="1684"/>
      <c r="Q152" s="1684"/>
      <c r="R152" s="1684"/>
      <c r="S152" s="1684"/>
      <c r="T152" s="1684"/>
      <c r="U152" s="1684"/>
      <c r="V152" s="1684"/>
      <c r="W152" s="1684"/>
      <c r="X152" s="1684"/>
      <c r="Y152" s="1684"/>
      <c r="Z152" s="1684"/>
      <c r="AA152" s="1684"/>
      <c r="AB152" s="1684"/>
      <c r="AC152" s="1684"/>
      <c r="AD152" s="1684"/>
      <c r="AE152" s="1684"/>
      <c r="AF152" s="1684"/>
    </row>
    <row r="153" ht="16.5" customHeight="1">
      <c r="AF153" s="1684"/>
    </row>
    <row r="154" ht="16.5" customHeight="1">
      <c r="AF154" s="1684"/>
    </row>
    <row r="155" ht="16.5" customHeight="1">
      <c r="AF155" s="1684"/>
    </row>
    <row r="156" ht="16.5" customHeight="1">
      <c r="AF156" s="1684"/>
    </row>
    <row r="157" ht="16.5" customHeight="1"/>
    <row r="158" ht="16.5" customHeight="1"/>
    <row r="159" ht="16.5" customHeight="1"/>
  </sheetData>
  <sheetProtection/>
  <mergeCells count="1">
    <mergeCell ref="N14:R14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276"/>
    </row>
    <row r="2" spans="1:30" s="3" customFormat="1" ht="26.25">
      <c r="A2" s="78"/>
      <c r="B2" s="277" t="str">
        <f>+'TOT-1214'!B2</f>
        <v>ANEXO I al Memorándum D.T.E.E. N° 90 /2016</v>
      </c>
      <c r="C2" s="277"/>
      <c r="D2" s="277"/>
      <c r="E2" s="277"/>
      <c r="F2" s="277"/>
      <c r="G2" s="2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</row>
    <row r="3" spans="1:30" s="8" customFormat="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30" s="14" customFormat="1" ht="11.25">
      <c r="A4" s="278" t="s">
        <v>53</v>
      </c>
      <c r="B4" s="279"/>
      <c r="C4" s="279"/>
      <c r="D4" s="279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</row>
    <row r="5" spans="1:30" s="14" customFormat="1" ht="11.25">
      <c r="A5" s="278" t="s">
        <v>3</v>
      </c>
      <c r="B5" s="279"/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</row>
    <row r="6" spans="1:30" s="8" customFormat="1" ht="13.5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30" s="8" customFormat="1" ht="13.5" thickTop="1">
      <c r="A7" s="79"/>
      <c r="B7" s="281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84"/>
    </row>
    <row r="8" spans="1:30" s="18" customFormat="1" ht="20.25">
      <c r="A8" s="283"/>
      <c r="B8" s="284"/>
      <c r="C8" s="285"/>
      <c r="D8" s="285"/>
      <c r="E8" s="283"/>
      <c r="F8" s="286" t="s">
        <v>23</v>
      </c>
      <c r="G8" s="283"/>
      <c r="H8" s="283"/>
      <c r="I8" s="287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88"/>
    </row>
    <row r="9" spans="1:30" s="8" customFormat="1" ht="12.75">
      <c r="A9" s="79"/>
      <c r="B9" s="288"/>
      <c r="C9" s="73"/>
      <c r="D9" s="73"/>
      <c r="E9" s="79"/>
      <c r="F9" s="73"/>
      <c r="G9" s="289"/>
      <c r="H9" s="79"/>
      <c r="I9" s="73"/>
      <c r="J9" s="79"/>
      <c r="K9" s="79"/>
      <c r="L9" s="79"/>
      <c r="M9" s="79"/>
      <c r="N9" s="79"/>
      <c r="O9" s="79"/>
      <c r="P9" s="79"/>
      <c r="Q9" s="79"/>
      <c r="R9" s="79"/>
      <c r="S9" s="79"/>
      <c r="T9" s="73"/>
      <c r="U9" s="73"/>
      <c r="V9" s="73"/>
      <c r="W9" s="73"/>
      <c r="X9" s="73"/>
      <c r="Y9" s="73"/>
      <c r="Z9" s="73"/>
      <c r="AA9" s="73"/>
      <c r="AB9" s="73"/>
      <c r="AC9" s="73"/>
      <c r="AD9" s="89"/>
    </row>
    <row r="10" spans="1:30" s="239" customFormat="1" ht="33" customHeight="1">
      <c r="A10" s="433"/>
      <c r="B10" s="434"/>
      <c r="C10" s="435"/>
      <c r="D10" s="435"/>
      <c r="E10" s="433"/>
      <c r="F10" s="414" t="s">
        <v>54</v>
      </c>
      <c r="G10" s="433"/>
      <c r="H10" s="436"/>
      <c r="I10" s="435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243"/>
    </row>
    <row r="11" spans="1:30" s="244" customFormat="1" ht="33" customHeight="1">
      <c r="A11" s="415"/>
      <c r="B11" s="416"/>
      <c r="C11" s="417"/>
      <c r="D11" s="417"/>
      <c r="E11" s="415"/>
      <c r="F11" s="264" t="s">
        <v>318</v>
      </c>
      <c r="G11" s="417"/>
      <c r="H11" s="417"/>
      <c r="I11" s="418"/>
      <c r="J11" s="417"/>
      <c r="K11" s="417"/>
      <c r="L11" s="417"/>
      <c r="M11" s="417"/>
      <c r="N11" s="417"/>
      <c r="O11" s="415"/>
      <c r="P11" s="415"/>
      <c r="Q11" s="415"/>
      <c r="R11" s="415"/>
      <c r="S11" s="415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248"/>
    </row>
    <row r="12" spans="1:30" s="34" customFormat="1" ht="19.5">
      <c r="A12" s="305"/>
      <c r="B12" s="35" t="str">
        <f>'TOT-1214'!B14</f>
        <v>Desde el 01 al 31 de diciembre de 2014</v>
      </c>
      <c r="C12" s="39"/>
      <c r="D12" s="39"/>
      <c r="E12" s="306"/>
      <c r="F12" s="307"/>
      <c r="G12" s="307"/>
      <c r="H12" s="307"/>
      <c r="I12" s="307"/>
      <c r="J12" s="307"/>
      <c r="K12" s="307"/>
      <c r="L12" s="307"/>
      <c r="M12" s="307"/>
      <c r="N12" s="307"/>
      <c r="O12" s="306"/>
      <c r="P12" s="306"/>
      <c r="Q12" s="306"/>
      <c r="R12" s="306"/>
      <c r="S12" s="306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8"/>
    </row>
    <row r="13" spans="1:30" s="8" customFormat="1" ht="13.5" thickBot="1">
      <c r="A13" s="79"/>
      <c r="B13" s="288"/>
      <c r="C13" s="73"/>
      <c r="D13" s="73"/>
      <c r="E13" s="79"/>
      <c r="F13" s="73"/>
      <c r="G13" s="73"/>
      <c r="H13" s="73"/>
      <c r="I13" s="304"/>
      <c r="J13" s="73"/>
      <c r="K13" s="73"/>
      <c r="L13" s="73"/>
      <c r="M13" s="73"/>
      <c r="N13" s="73"/>
      <c r="O13" s="79"/>
      <c r="P13" s="79"/>
      <c r="Q13" s="79"/>
      <c r="R13" s="79"/>
      <c r="S13" s="79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89"/>
    </row>
    <row r="14" spans="1:30" s="8" customFormat="1" ht="16.5" customHeight="1" thickBot="1" thickTop="1">
      <c r="A14" s="79"/>
      <c r="B14" s="288"/>
      <c r="C14" s="73"/>
      <c r="D14" s="73"/>
      <c r="E14" s="79"/>
      <c r="F14" s="309" t="s">
        <v>56</v>
      </c>
      <c r="G14" s="310"/>
      <c r="H14" s="311">
        <v>0.412</v>
      </c>
      <c r="J14" s="79"/>
      <c r="K14" s="79"/>
      <c r="L14" s="79"/>
      <c r="M14" s="79"/>
      <c r="N14" s="79"/>
      <c r="O14" s="79"/>
      <c r="P14" s="79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89"/>
    </row>
    <row r="15" spans="1:30" s="8" customFormat="1" ht="16.5" customHeight="1" thickBot="1" thickTop="1">
      <c r="A15" s="79"/>
      <c r="B15" s="288"/>
      <c r="C15" s="73"/>
      <c r="D15" s="73"/>
      <c r="E15" s="79"/>
      <c r="F15" s="312" t="s">
        <v>57</v>
      </c>
      <c r="G15" s="313"/>
      <c r="H15" s="314">
        <v>200</v>
      </c>
      <c r="I15" s="9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315"/>
      <c r="X15" s="315"/>
      <c r="Y15" s="315"/>
      <c r="Z15" s="315"/>
      <c r="AA15" s="315"/>
      <c r="AB15" s="315"/>
      <c r="AC15" s="79"/>
      <c r="AD15" s="89"/>
    </row>
    <row r="16" spans="1:30" s="8" customFormat="1" ht="16.5" customHeight="1" thickBot="1" thickTop="1">
      <c r="A16" s="79"/>
      <c r="B16" s="288"/>
      <c r="C16" s="316">
        <v>3</v>
      </c>
      <c r="D16" s="316">
        <v>4</v>
      </c>
      <c r="E16" s="316">
        <v>5</v>
      </c>
      <c r="F16" s="316">
        <v>6</v>
      </c>
      <c r="G16" s="316">
        <v>7</v>
      </c>
      <c r="H16" s="316">
        <v>8</v>
      </c>
      <c r="I16" s="316">
        <v>9</v>
      </c>
      <c r="J16" s="316">
        <v>10</v>
      </c>
      <c r="K16" s="316">
        <v>11</v>
      </c>
      <c r="L16" s="316">
        <v>12</v>
      </c>
      <c r="M16" s="316">
        <v>13</v>
      </c>
      <c r="N16" s="316">
        <v>14</v>
      </c>
      <c r="O16" s="316">
        <v>15</v>
      </c>
      <c r="P16" s="316">
        <v>16</v>
      </c>
      <c r="Q16" s="316">
        <v>17</v>
      </c>
      <c r="R16" s="316">
        <v>18</v>
      </c>
      <c r="S16" s="316">
        <v>19</v>
      </c>
      <c r="T16" s="316">
        <v>20</v>
      </c>
      <c r="U16" s="316">
        <v>21</v>
      </c>
      <c r="V16" s="316">
        <v>22</v>
      </c>
      <c r="W16" s="316">
        <v>23</v>
      </c>
      <c r="X16" s="316">
        <v>24</v>
      </c>
      <c r="Y16" s="316">
        <v>25</v>
      </c>
      <c r="Z16" s="316">
        <v>26</v>
      </c>
      <c r="AA16" s="316">
        <v>27</v>
      </c>
      <c r="AB16" s="316">
        <v>28</v>
      </c>
      <c r="AC16" s="316">
        <v>29</v>
      </c>
      <c r="AD16" s="89"/>
    </row>
    <row r="17" spans="1:30" s="8" customFormat="1" ht="33.75" customHeight="1" thickBot="1" thickTop="1">
      <c r="A17" s="79"/>
      <c r="B17" s="288"/>
      <c r="C17" s="317" t="s">
        <v>28</v>
      </c>
      <c r="D17" s="101" t="s">
        <v>29</v>
      </c>
      <c r="E17" s="101" t="s">
        <v>30</v>
      </c>
      <c r="F17" s="318" t="s">
        <v>58</v>
      </c>
      <c r="G17" s="319" t="s">
        <v>59</v>
      </c>
      <c r="H17" s="320" t="s">
        <v>60</v>
      </c>
      <c r="I17" s="321" t="s">
        <v>31</v>
      </c>
      <c r="J17" s="322" t="s">
        <v>35</v>
      </c>
      <c r="K17" s="319" t="s">
        <v>36</v>
      </c>
      <c r="L17" s="319" t="s">
        <v>37</v>
      </c>
      <c r="M17" s="318" t="s">
        <v>61</v>
      </c>
      <c r="N17" s="318" t="s">
        <v>39</v>
      </c>
      <c r="O17" s="109" t="s">
        <v>179</v>
      </c>
      <c r="P17" s="109" t="s">
        <v>40</v>
      </c>
      <c r="Q17" s="323" t="s">
        <v>42</v>
      </c>
      <c r="R17" s="319" t="s">
        <v>62</v>
      </c>
      <c r="S17" s="324" t="s">
        <v>34</v>
      </c>
      <c r="T17" s="325" t="s">
        <v>43</v>
      </c>
      <c r="U17" s="326" t="s">
        <v>44</v>
      </c>
      <c r="V17" s="112" t="s">
        <v>63</v>
      </c>
      <c r="W17" s="114"/>
      <c r="X17" s="327" t="s">
        <v>64</v>
      </c>
      <c r="Y17" s="328"/>
      <c r="Z17" s="329" t="s">
        <v>47</v>
      </c>
      <c r="AA17" s="330" t="s">
        <v>48</v>
      </c>
      <c r="AB17" s="120" t="s">
        <v>49</v>
      </c>
      <c r="AC17" s="321" t="s">
        <v>50</v>
      </c>
      <c r="AD17" s="89"/>
    </row>
    <row r="18" spans="1:30" s="8" customFormat="1" ht="16.5" customHeight="1" thickTop="1">
      <c r="A18" s="79"/>
      <c r="B18" s="288"/>
      <c r="C18" s="331"/>
      <c r="D18" s="331"/>
      <c r="E18" s="331"/>
      <c r="F18" s="331"/>
      <c r="G18" s="331"/>
      <c r="H18" s="331"/>
      <c r="I18" s="332"/>
      <c r="J18" s="333"/>
      <c r="K18" s="140"/>
      <c r="L18" s="140"/>
      <c r="M18" s="331"/>
      <c r="N18" s="331"/>
      <c r="O18" s="331"/>
      <c r="P18" s="122"/>
      <c r="Q18" s="334"/>
      <c r="R18" s="331"/>
      <c r="S18" s="335"/>
      <c r="T18" s="336"/>
      <c r="U18" s="337"/>
      <c r="V18" s="338"/>
      <c r="W18" s="339"/>
      <c r="X18" s="340"/>
      <c r="Y18" s="341"/>
      <c r="Z18" s="342"/>
      <c r="AA18" s="343"/>
      <c r="AB18" s="334"/>
      <c r="AC18" s="344"/>
      <c r="AD18" s="89"/>
    </row>
    <row r="19" spans="1:30" s="8" customFormat="1" ht="16.5" customHeight="1">
      <c r="A19" s="79"/>
      <c r="B19" s="288"/>
      <c r="C19" s="140"/>
      <c r="D19" s="1685"/>
      <c r="E19" s="1685"/>
      <c r="F19" s="1685"/>
      <c r="G19" s="1686"/>
      <c r="H19" s="1687"/>
      <c r="I19" s="1688"/>
      <c r="J19" s="346"/>
      <c r="K19" s="140"/>
      <c r="L19" s="140"/>
      <c r="M19" s="140"/>
      <c r="N19" s="140"/>
      <c r="O19" s="140"/>
      <c r="P19" s="147"/>
      <c r="Q19" s="347"/>
      <c r="R19" s="140"/>
      <c r="S19" s="348"/>
      <c r="T19" s="349"/>
      <c r="U19" s="350"/>
      <c r="V19" s="351"/>
      <c r="W19" s="352"/>
      <c r="X19" s="353"/>
      <c r="Y19" s="354"/>
      <c r="Z19" s="355"/>
      <c r="AA19" s="356"/>
      <c r="AB19" s="347"/>
      <c r="AC19" s="357"/>
      <c r="AD19" s="89"/>
    </row>
    <row r="20" spans="1:30" s="8" customFormat="1" ht="16.5" customHeight="1">
      <c r="A20" s="79"/>
      <c r="B20" s="288"/>
      <c r="C20" s="140">
        <v>27</v>
      </c>
      <c r="D20" s="140">
        <v>282205</v>
      </c>
      <c r="E20" s="159">
        <v>2581</v>
      </c>
      <c r="F20" s="358" t="s">
        <v>299</v>
      </c>
      <c r="G20" s="378" t="s">
        <v>300</v>
      </c>
      <c r="H20" s="360">
        <v>300</v>
      </c>
      <c r="I20" s="361" t="s">
        <v>162</v>
      </c>
      <c r="J20" s="362">
        <f aca="true" t="shared" si="0" ref="J20:J39">H20*$H$14</f>
        <v>123.6</v>
      </c>
      <c r="K20" s="363">
        <v>41976.370138888895</v>
      </c>
      <c r="L20" s="363">
        <v>41976.47083333333</v>
      </c>
      <c r="M20" s="364">
        <f aca="true" t="shared" si="1" ref="M20:M39">IF(F20="","",(L20-K20)*24)</f>
        <v>2.4166666665114462</v>
      </c>
      <c r="N20" s="365">
        <f aca="true" t="shared" si="2" ref="N20:N39">IF(F20="","",ROUND((L20-K20)*24*60,0))</f>
        <v>145</v>
      </c>
      <c r="O20" s="366" t="s">
        <v>198</v>
      </c>
      <c r="P20" s="272" t="str">
        <f aca="true" t="shared" si="3" ref="P20:P39">IF(F20="","","--")</f>
        <v>--</v>
      </c>
      <c r="Q20" s="367" t="str">
        <f>IF(F20="","",IF(OR(O20="P",O20="RP"),"--","NO"))</f>
        <v>--</v>
      </c>
      <c r="R20" s="170" t="str">
        <f aca="true" t="shared" si="4" ref="R20:R39">IF(F20="","","NO")</f>
        <v>NO</v>
      </c>
      <c r="S20" s="368">
        <f aca="true" t="shared" si="5" ref="S20:S39">$H$15*IF(OR(O20="P",O20="RP"),0.1,1)*IF(R20="SI",1,0.1)</f>
        <v>2</v>
      </c>
      <c r="T20" s="421">
        <f aca="true" t="shared" si="6" ref="T20:T39">IF(O20="P",J20*S20*ROUND(N20/60,2),"--")</f>
        <v>598.2239999999999</v>
      </c>
      <c r="U20" s="422" t="str">
        <f aca="true" t="shared" si="7" ref="U20:U39">IF(O20="RP",J20*S20*P20/100*ROUND(N20/60,2),"--")</f>
        <v>--</v>
      </c>
      <c r="V20" s="371" t="str">
        <f aca="true" t="shared" si="8" ref="V20:V39">IF(AND(O20="F",Q20="NO"),J20*S20,"--")</f>
        <v>--</v>
      </c>
      <c r="W20" s="372" t="str">
        <f aca="true" t="shared" si="9" ref="W20:W39">IF(O20="F",J20*S20*ROUND(N20/60,2),"--")</f>
        <v>--</v>
      </c>
      <c r="X20" s="373" t="str">
        <f aca="true" t="shared" si="10" ref="X20:X39">IF(AND(O20="R",Q20="NO"),J20*S20*P20/100,"--")</f>
        <v>--</v>
      </c>
      <c r="Y20" s="374" t="str">
        <f aca="true" t="shared" si="11" ref="Y20:Y39">IF(O20="R",J20*S20*P20/100*ROUND(N20/60,2),"--")</f>
        <v>--</v>
      </c>
      <c r="Z20" s="375" t="str">
        <f aca="true" t="shared" si="12" ref="Z20:Z39">IF(O20="RF",J20*S20*ROUND(N20/60,2),"--")</f>
        <v>--</v>
      </c>
      <c r="AA20" s="376" t="str">
        <f aca="true" t="shared" si="13" ref="AA20:AA39">IF(O20="RR",J20*S20*P20/100*ROUND(N20/60,2),"--")</f>
        <v>--</v>
      </c>
      <c r="AB20" s="437" t="str">
        <f aca="true" t="shared" si="14" ref="AB20:AB39">IF(F20="","","SI")</f>
        <v>SI</v>
      </c>
      <c r="AC20" s="438">
        <f aca="true" t="shared" si="15" ref="AC20:AC39">IF(F20="","",SUM(T20:AA20)*IF(AB20="SI",1,2)*IF(AND(P22&lt;&gt;"--",O22="RF"),P22/100,1))</f>
        <v>598.2239999999999</v>
      </c>
      <c r="AD20" s="89"/>
    </row>
    <row r="21" spans="1:30" s="8" customFormat="1" ht="16.5" customHeight="1">
      <c r="A21" s="79"/>
      <c r="B21" s="288"/>
      <c r="C21" s="140">
        <v>28</v>
      </c>
      <c r="D21" s="140">
        <v>282211</v>
      </c>
      <c r="E21" s="159">
        <v>2581</v>
      </c>
      <c r="F21" s="358" t="s">
        <v>299</v>
      </c>
      <c r="G21" s="378" t="s">
        <v>300</v>
      </c>
      <c r="H21" s="360">
        <v>300</v>
      </c>
      <c r="I21" s="361" t="s">
        <v>162</v>
      </c>
      <c r="J21" s="362">
        <f t="shared" si="0"/>
        <v>123.6</v>
      </c>
      <c r="K21" s="363">
        <v>41978.379166666666</v>
      </c>
      <c r="L21" s="363">
        <v>41978.57986111111</v>
      </c>
      <c r="M21" s="364">
        <f t="shared" si="1"/>
        <v>4.816666666651145</v>
      </c>
      <c r="N21" s="365">
        <f t="shared" si="2"/>
        <v>289</v>
      </c>
      <c r="O21" s="366" t="s">
        <v>198</v>
      </c>
      <c r="P21" s="272" t="str">
        <f t="shared" si="3"/>
        <v>--</v>
      </c>
      <c r="Q21" s="367" t="str">
        <f aca="true" t="shared" si="16" ref="Q21:Q39">IF(F21="","",IF(O21="P","--","NO"))</f>
        <v>--</v>
      </c>
      <c r="R21" s="170" t="str">
        <f t="shared" si="4"/>
        <v>NO</v>
      </c>
      <c r="S21" s="368">
        <f t="shared" si="5"/>
        <v>2</v>
      </c>
      <c r="T21" s="421">
        <f t="shared" si="6"/>
        <v>1191.504</v>
      </c>
      <c r="U21" s="422" t="str">
        <f t="shared" si="7"/>
        <v>--</v>
      </c>
      <c r="V21" s="371" t="str">
        <f t="shared" si="8"/>
        <v>--</v>
      </c>
      <c r="W21" s="372" t="str">
        <f t="shared" si="9"/>
        <v>--</v>
      </c>
      <c r="X21" s="373" t="str">
        <f t="shared" si="10"/>
        <v>--</v>
      </c>
      <c r="Y21" s="374" t="str">
        <f t="shared" si="11"/>
        <v>--</v>
      </c>
      <c r="Z21" s="375" t="str">
        <f t="shared" si="12"/>
        <v>--</v>
      </c>
      <c r="AA21" s="376" t="str">
        <f t="shared" si="13"/>
        <v>--</v>
      </c>
      <c r="AB21" s="437" t="str">
        <f t="shared" si="14"/>
        <v>SI</v>
      </c>
      <c r="AC21" s="438">
        <f t="shared" si="15"/>
        <v>1191.504</v>
      </c>
      <c r="AD21" s="89"/>
    </row>
    <row r="22" spans="1:30" s="8" customFormat="1" ht="16.5" customHeight="1">
      <c r="A22" s="79"/>
      <c r="B22" s="288"/>
      <c r="C22" s="140">
        <v>29</v>
      </c>
      <c r="D22" s="140">
        <v>282223</v>
      </c>
      <c r="E22" s="159">
        <v>2591</v>
      </c>
      <c r="F22" s="358" t="s">
        <v>246</v>
      </c>
      <c r="G22" s="378" t="s">
        <v>301</v>
      </c>
      <c r="H22" s="360">
        <v>300</v>
      </c>
      <c r="I22" s="361" t="s">
        <v>162</v>
      </c>
      <c r="J22" s="362">
        <f t="shared" si="0"/>
        <v>123.6</v>
      </c>
      <c r="K22" s="363">
        <v>41980.367361111115</v>
      </c>
      <c r="L22" s="363">
        <v>41980.38958333333</v>
      </c>
      <c r="M22" s="364">
        <f t="shared" si="1"/>
        <v>0.5333333331509493</v>
      </c>
      <c r="N22" s="365">
        <f t="shared" si="2"/>
        <v>32</v>
      </c>
      <c r="O22" s="366" t="s">
        <v>198</v>
      </c>
      <c r="P22" s="272" t="str">
        <f t="shared" si="3"/>
        <v>--</v>
      </c>
      <c r="Q22" s="367" t="str">
        <f t="shared" si="16"/>
        <v>--</v>
      </c>
      <c r="R22" s="170" t="str">
        <f t="shared" si="4"/>
        <v>NO</v>
      </c>
      <c r="S22" s="368">
        <f t="shared" si="5"/>
        <v>2</v>
      </c>
      <c r="T22" s="421">
        <f t="shared" si="6"/>
        <v>131.016</v>
      </c>
      <c r="U22" s="422" t="str">
        <f t="shared" si="7"/>
        <v>--</v>
      </c>
      <c r="V22" s="371" t="str">
        <f t="shared" si="8"/>
        <v>--</v>
      </c>
      <c r="W22" s="372" t="str">
        <f t="shared" si="9"/>
        <v>--</v>
      </c>
      <c r="X22" s="373" t="str">
        <f t="shared" si="10"/>
        <v>--</v>
      </c>
      <c r="Y22" s="374" t="str">
        <f t="shared" si="11"/>
        <v>--</v>
      </c>
      <c r="Z22" s="375" t="str">
        <f t="shared" si="12"/>
        <v>--</v>
      </c>
      <c r="AA22" s="376" t="str">
        <f t="shared" si="13"/>
        <v>--</v>
      </c>
      <c r="AB22" s="437" t="str">
        <f t="shared" si="14"/>
        <v>SI</v>
      </c>
      <c r="AC22" s="438">
        <f t="shared" si="15"/>
        <v>131.016</v>
      </c>
      <c r="AD22" s="89"/>
    </row>
    <row r="23" spans="1:30" s="8" customFormat="1" ht="16.5" customHeight="1">
      <c r="A23" s="79"/>
      <c r="B23" s="288"/>
      <c r="C23" s="140">
        <v>30</v>
      </c>
      <c r="D23" s="140">
        <v>282553</v>
      </c>
      <c r="E23" s="159">
        <v>2591</v>
      </c>
      <c r="F23" s="358" t="s">
        <v>246</v>
      </c>
      <c r="G23" s="378" t="s">
        <v>301</v>
      </c>
      <c r="H23" s="360">
        <v>300</v>
      </c>
      <c r="I23" s="361" t="s">
        <v>162</v>
      </c>
      <c r="J23" s="362">
        <f t="shared" si="0"/>
        <v>123.6</v>
      </c>
      <c r="K23" s="363">
        <v>41982.279861111114</v>
      </c>
      <c r="L23" s="363">
        <v>41982.28055555555</v>
      </c>
      <c r="M23" s="364">
        <f t="shared" si="1"/>
        <v>0.016666666546370834</v>
      </c>
      <c r="N23" s="365">
        <f t="shared" si="2"/>
        <v>1</v>
      </c>
      <c r="O23" s="366" t="s">
        <v>198</v>
      </c>
      <c r="P23" s="272" t="str">
        <f t="shared" si="3"/>
        <v>--</v>
      </c>
      <c r="Q23" s="367" t="str">
        <f t="shared" si="16"/>
        <v>--</v>
      </c>
      <c r="R23" s="170" t="str">
        <f t="shared" si="4"/>
        <v>NO</v>
      </c>
      <c r="S23" s="368">
        <f t="shared" si="5"/>
        <v>2</v>
      </c>
      <c r="T23" s="421">
        <f t="shared" si="6"/>
        <v>4.944</v>
      </c>
      <c r="U23" s="422" t="str">
        <f t="shared" si="7"/>
        <v>--</v>
      </c>
      <c r="V23" s="371" t="str">
        <f t="shared" si="8"/>
        <v>--</v>
      </c>
      <c r="W23" s="372" t="str">
        <f t="shared" si="9"/>
        <v>--</v>
      </c>
      <c r="X23" s="373" t="str">
        <f t="shared" si="10"/>
        <v>--</v>
      </c>
      <c r="Y23" s="374" t="str">
        <f t="shared" si="11"/>
        <v>--</v>
      </c>
      <c r="Z23" s="375" t="str">
        <f t="shared" si="12"/>
        <v>--</v>
      </c>
      <c r="AA23" s="376" t="str">
        <f t="shared" si="13"/>
        <v>--</v>
      </c>
      <c r="AB23" s="437" t="str">
        <f t="shared" si="14"/>
        <v>SI</v>
      </c>
      <c r="AC23" s="438">
        <f t="shared" si="15"/>
        <v>4.944</v>
      </c>
      <c r="AD23" s="89"/>
    </row>
    <row r="24" spans="1:30" s="8" customFormat="1" ht="16.5" customHeight="1">
      <c r="A24" s="79"/>
      <c r="B24" s="288"/>
      <c r="C24" s="140">
        <v>31</v>
      </c>
      <c r="D24" s="140">
        <v>282580</v>
      </c>
      <c r="E24" s="159">
        <v>4619</v>
      </c>
      <c r="F24" s="358" t="s">
        <v>302</v>
      </c>
      <c r="G24" s="378" t="s">
        <v>301</v>
      </c>
      <c r="H24" s="360">
        <v>300</v>
      </c>
      <c r="I24" s="361" t="s">
        <v>162</v>
      </c>
      <c r="J24" s="362">
        <f t="shared" si="0"/>
        <v>123.6</v>
      </c>
      <c r="K24" s="363">
        <v>41987.35555555556</v>
      </c>
      <c r="L24" s="363">
        <v>41987.588888888895</v>
      </c>
      <c r="M24" s="364">
        <f t="shared" si="1"/>
        <v>5.600000000093132</v>
      </c>
      <c r="N24" s="365">
        <f t="shared" si="2"/>
        <v>336</v>
      </c>
      <c r="O24" s="366" t="s">
        <v>198</v>
      </c>
      <c r="P24" s="272" t="str">
        <f t="shared" si="3"/>
        <v>--</v>
      </c>
      <c r="Q24" s="367" t="str">
        <f t="shared" si="16"/>
        <v>--</v>
      </c>
      <c r="R24" s="170" t="str">
        <f t="shared" si="4"/>
        <v>NO</v>
      </c>
      <c r="S24" s="368">
        <f t="shared" si="5"/>
        <v>2</v>
      </c>
      <c r="T24" s="421">
        <f t="shared" si="6"/>
        <v>1384.32</v>
      </c>
      <c r="U24" s="422" t="str">
        <f t="shared" si="7"/>
        <v>--</v>
      </c>
      <c r="V24" s="371" t="str">
        <f t="shared" si="8"/>
        <v>--</v>
      </c>
      <c r="W24" s="372" t="str">
        <f t="shared" si="9"/>
        <v>--</v>
      </c>
      <c r="X24" s="373" t="str">
        <f t="shared" si="10"/>
        <v>--</v>
      </c>
      <c r="Y24" s="374" t="str">
        <f t="shared" si="11"/>
        <v>--</v>
      </c>
      <c r="Z24" s="375" t="str">
        <f t="shared" si="12"/>
        <v>--</v>
      </c>
      <c r="AA24" s="376" t="str">
        <f t="shared" si="13"/>
        <v>--</v>
      </c>
      <c r="AB24" s="437" t="str">
        <f t="shared" si="14"/>
        <v>SI</v>
      </c>
      <c r="AC24" s="438">
        <f t="shared" si="15"/>
        <v>1384.32</v>
      </c>
      <c r="AD24" s="89"/>
    </row>
    <row r="25" spans="1:30" s="8" customFormat="1" ht="16.5" customHeight="1">
      <c r="A25" s="79"/>
      <c r="B25" s="288"/>
      <c r="C25" s="140"/>
      <c r="D25" s="140"/>
      <c r="E25" s="140"/>
      <c r="F25" s="358"/>
      <c r="G25" s="359"/>
      <c r="H25" s="360"/>
      <c r="I25" s="361"/>
      <c r="J25" s="362">
        <f t="shared" si="0"/>
        <v>0</v>
      </c>
      <c r="K25" s="363"/>
      <c r="L25" s="363"/>
      <c r="M25" s="364">
        <f t="shared" si="1"/>
      </c>
      <c r="N25" s="365">
        <f t="shared" si="2"/>
      </c>
      <c r="O25" s="366"/>
      <c r="P25" s="272">
        <f t="shared" si="3"/>
      </c>
      <c r="Q25" s="367">
        <f t="shared" si="16"/>
      </c>
      <c r="R25" s="170">
        <f t="shared" si="4"/>
      </c>
      <c r="S25" s="368">
        <f t="shared" si="5"/>
        <v>20</v>
      </c>
      <c r="T25" s="421" t="str">
        <f t="shared" si="6"/>
        <v>--</v>
      </c>
      <c r="U25" s="422" t="str">
        <f t="shared" si="7"/>
        <v>--</v>
      </c>
      <c r="V25" s="371" t="str">
        <f t="shared" si="8"/>
        <v>--</v>
      </c>
      <c r="W25" s="372" t="str">
        <f t="shared" si="9"/>
        <v>--</v>
      </c>
      <c r="X25" s="373" t="str">
        <f t="shared" si="10"/>
        <v>--</v>
      </c>
      <c r="Y25" s="374" t="str">
        <f t="shared" si="11"/>
        <v>--</v>
      </c>
      <c r="Z25" s="375" t="str">
        <f t="shared" si="12"/>
        <v>--</v>
      </c>
      <c r="AA25" s="376" t="str">
        <f t="shared" si="13"/>
        <v>--</v>
      </c>
      <c r="AB25" s="437">
        <f t="shared" si="14"/>
      </c>
      <c r="AC25" s="438">
        <f t="shared" si="15"/>
      </c>
      <c r="AD25" s="89"/>
    </row>
    <row r="26" spans="1:31" s="8" customFormat="1" ht="16.5" customHeight="1">
      <c r="A26" s="79"/>
      <c r="B26" s="288"/>
      <c r="C26" s="140"/>
      <c r="D26" s="140"/>
      <c r="E26" s="159"/>
      <c r="F26" s="358"/>
      <c r="G26" s="359"/>
      <c r="H26" s="360"/>
      <c r="I26" s="361"/>
      <c r="J26" s="362">
        <f t="shared" si="0"/>
        <v>0</v>
      </c>
      <c r="K26" s="363"/>
      <c r="L26" s="363"/>
      <c r="M26" s="364">
        <f t="shared" si="1"/>
      </c>
      <c r="N26" s="365">
        <f t="shared" si="2"/>
      </c>
      <c r="O26" s="366"/>
      <c r="P26" s="272">
        <f t="shared" si="3"/>
      </c>
      <c r="Q26" s="367">
        <f t="shared" si="16"/>
      </c>
      <c r="R26" s="170">
        <f t="shared" si="4"/>
      </c>
      <c r="S26" s="368">
        <f t="shared" si="5"/>
        <v>20</v>
      </c>
      <c r="T26" s="421" t="str">
        <f t="shared" si="6"/>
        <v>--</v>
      </c>
      <c r="U26" s="422" t="str">
        <f t="shared" si="7"/>
        <v>--</v>
      </c>
      <c r="V26" s="371" t="str">
        <f t="shared" si="8"/>
        <v>--</v>
      </c>
      <c r="W26" s="372" t="str">
        <f t="shared" si="9"/>
        <v>--</v>
      </c>
      <c r="X26" s="373" t="str">
        <f t="shared" si="10"/>
        <v>--</v>
      </c>
      <c r="Y26" s="374" t="str">
        <f t="shared" si="11"/>
        <v>--</v>
      </c>
      <c r="Z26" s="375" t="str">
        <f t="shared" si="12"/>
        <v>--</v>
      </c>
      <c r="AA26" s="376" t="str">
        <f t="shared" si="13"/>
        <v>--</v>
      </c>
      <c r="AB26" s="437">
        <f t="shared" si="14"/>
      </c>
      <c r="AC26" s="438">
        <f t="shared" si="15"/>
      </c>
      <c r="AD26" s="89"/>
      <c r="AE26" s="73"/>
    </row>
    <row r="27" spans="1:30" s="8" customFormat="1" ht="16.5" customHeight="1">
      <c r="A27" s="79"/>
      <c r="B27" s="288"/>
      <c r="C27" s="140"/>
      <c r="D27" s="140"/>
      <c r="E27" s="140"/>
      <c r="F27" s="358"/>
      <c r="G27" s="359"/>
      <c r="H27" s="360"/>
      <c r="I27" s="361"/>
      <c r="J27" s="362">
        <f t="shared" si="0"/>
        <v>0</v>
      </c>
      <c r="K27" s="363"/>
      <c r="L27" s="363"/>
      <c r="M27" s="364">
        <f t="shared" si="1"/>
      </c>
      <c r="N27" s="365">
        <f t="shared" si="2"/>
      </c>
      <c r="O27" s="366"/>
      <c r="P27" s="272">
        <f t="shared" si="3"/>
      </c>
      <c r="Q27" s="367">
        <f t="shared" si="16"/>
      </c>
      <c r="R27" s="170">
        <f t="shared" si="4"/>
      </c>
      <c r="S27" s="368">
        <f t="shared" si="5"/>
        <v>20</v>
      </c>
      <c r="T27" s="421" t="str">
        <f t="shared" si="6"/>
        <v>--</v>
      </c>
      <c r="U27" s="422" t="str">
        <f t="shared" si="7"/>
        <v>--</v>
      </c>
      <c r="V27" s="371" t="str">
        <f t="shared" si="8"/>
        <v>--</v>
      </c>
      <c r="W27" s="372" t="str">
        <f t="shared" si="9"/>
        <v>--</v>
      </c>
      <c r="X27" s="373" t="str">
        <f t="shared" si="10"/>
        <v>--</v>
      </c>
      <c r="Y27" s="374" t="str">
        <f t="shared" si="11"/>
        <v>--</v>
      </c>
      <c r="Z27" s="375" t="str">
        <f t="shared" si="12"/>
        <v>--</v>
      </c>
      <c r="AA27" s="376" t="str">
        <f t="shared" si="13"/>
        <v>--</v>
      </c>
      <c r="AB27" s="437">
        <f t="shared" si="14"/>
      </c>
      <c r="AC27" s="438">
        <f t="shared" si="15"/>
      </c>
      <c r="AD27" s="89"/>
    </row>
    <row r="28" spans="1:30" s="8" customFormat="1" ht="16.5" customHeight="1">
      <c r="A28" s="79"/>
      <c r="B28" s="288"/>
      <c r="C28" s="140"/>
      <c r="D28" s="140"/>
      <c r="E28" s="159"/>
      <c r="F28" s="358"/>
      <c r="G28" s="359"/>
      <c r="H28" s="360"/>
      <c r="I28" s="361"/>
      <c r="J28" s="362">
        <f t="shared" si="0"/>
        <v>0</v>
      </c>
      <c r="K28" s="363"/>
      <c r="L28" s="363"/>
      <c r="M28" s="364">
        <f t="shared" si="1"/>
      </c>
      <c r="N28" s="365">
        <f t="shared" si="2"/>
      </c>
      <c r="O28" s="366"/>
      <c r="P28" s="272">
        <f t="shared" si="3"/>
      </c>
      <c r="Q28" s="367">
        <f t="shared" si="16"/>
      </c>
      <c r="R28" s="170">
        <f t="shared" si="4"/>
      </c>
      <c r="S28" s="368">
        <f t="shared" si="5"/>
        <v>20</v>
      </c>
      <c r="T28" s="421" t="str">
        <f t="shared" si="6"/>
        <v>--</v>
      </c>
      <c r="U28" s="422" t="str">
        <f t="shared" si="7"/>
        <v>--</v>
      </c>
      <c r="V28" s="371" t="str">
        <f t="shared" si="8"/>
        <v>--</v>
      </c>
      <c r="W28" s="372" t="str">
        <f t="shared" si="9"/>
        <v>--</v>
      </c>
      <c r="X28" s="373" t="str">
        <f t="shared" si="10"/>
        <v>--</v>
      </c>
      <c r="Y28" s="374" t="str">
        <f t="shared" si="11"/>
        <v>--</v>
      </c>
      <c r="Z28" s="375" t="str">
        <f t="shared" si="12"/>
        <v>--</v>
      </c>
      <c r="AA28" s="376" t="str">
        <f t="shared" si="13"/>
        <v>--</v>
      </c>
      <c r="AB28" s="437">
        <f t="shared" si="14"/>
      </c>
      <c r="AC28" s="438">
        <f t="shared" si="15"/>
      </c>
      <c r="AD28" s="89"/>
    </row>
    <row r="29" spans="1:30" s="8" customFormat="1" ht="16.5" customHeight="1">
      <c r="A29" s="79"/>
      <c r="B29" s="288"/>
      <c r="C29" s="140"/>
      <c r="D29" s="140"/>
      <c r="E29" s="140"/>
      <c r="F29" s="358"/>
      <c r="G29" s="359"/>
      <c r="H29" s="360"/>
      <c r="I29" s="361"/>
      <c r="J29" s="362">
        <f t="shared" si="0"/>
        <v>0</v>
      </c>
      <c r="K29" s="363"/>
      <c r="L29" s="363"/>
      <c r="M29" s="364">
        <f t="shared" si="1"/>
      </c>
      <c r="N29" s="365">
        <f t="shared" si="2"/>
      </c>
      <c r="O29" s="366"/>
      <c r="P29" s="272">
        <f t="shared" si="3"/>
      </c>
      <c r="Q29" s="367">
        <f t="shared" si="16"/>
      </c>
      <c r="R29" s="170">
        <f t="shared" si="4"/>
      </c>
      <c r="S29" s="368">
        <f t="shared" si="5"/>
        <v>20</v>
      </c>
      <c r="T29" s="421" t="str">
        <f t="shared" si="6"/>
        <v>--</v>
      </c>
      <c r="U29" s="422" t="str">
        <f t="shared" si="7"/>
        <v>--</v>
      </c>
      <c r="V29" s="371" t="str">
        <f t="shared" si="8"/>
        <v>--</v>
      </c>
      <c r="W29" s="372" t="str">
        <f t="shared" si="9"/>
        <v>--</v>
      </c>
      <c r="X29" s="373" t="str">
        <f t="shared" si="10"/>
        <v>--</v>
      </c>
      <c r="Y29" s="374" t="str">
        <f t="shared" si="11"/>
        <v>--</v>
      </c>
      <c r="Z29" s="375" t="str">
        <f t="shared" si="12"/>
        <v>--</v>
      </c>
      <c r="AA29" s="376" t="str">
        <f t="shared" si="13"/>
        <v>--</v>
      </c>
      <c r="AB29" s="437">
        <f t="shared" si="14"/>
      </c>
      <c r="AC29" s="438">
        <f t="shared" si="15"/>
      </c>
      <c r="AD29" s="89"/>
    </row>
    <row r="30" spans="1:30" s="8" customFormat="1" ht="16.5" customHeight="1">
      <c r="A30" s="79"/>
      <c r="B30" s="288"/>
      <c r="C30" s="140"/>
      <c r="D30" s="140"/>
      <c r="E30" s="159"/>
      <c r="F30" s="358"/>
      <c r="G30" s="378"/>
      <c r="H30" s="360"/>
      <c r="I30" s="361"/>
      <c r="J30" s="362">
        <f t="shared" si="0"/>
        <v>0</v>
      </c>
      <c r="K30" s="363"/>
      <c r="L30" s="363"/>
      <c r="M30" s="364">
        <f t="shared" si="1"/>
      </c>
      <c r="N30" s="365">
        <f t="shared" si="2"/>
      </c>
      <c r="O30" s="366"/>
      <c r="P30" s="272">
        <f t="shared" si="3"/>
      </c>
      <c r="Q30" s="367">
        <f t="shared" si="16"/>
      </c>
      <c r="R30" s="170">
        <f t="shared" si="4"/>
      </c>
      <c r="S30" s="368">
        <f t="shared" si="5"/>
        <v>20</v>
      </c>
      <c r="T30" s="421" t="str">
        <f t="shared" si="6"/>
        <v>--</v>
      </c>
      <c r="U30" s="422" t="str">
        <f t="shared" si="7"/>
        <v>--</v>
      </c>
      <c r="V30" s="371" t="str">
        <f t="shared" si="8"/>
        <v>--</v>
      </c>
      <c r="W30" s="372" t="str">
        <f t="shared" si="9"/>
        <v>--</v>
      </c>
      <c r="X30" s="373" t="str">
        <f t="shared" si="10"/>
        <v>--</v>
      </c>
      <c r="Y30" s="374" t="str">
        <f t="shared" si="11"/>
        <v>--</v>
      </c>
      <c r="Z30" s="375" t="str">
        <f t="shared" si="12"/>
        <v>--</v>
      </c>
      <c r="AA30" s="376" t="str">
        <f t="shared" si="13"/>
        <v>--</v>
      </c>
      <c r="AB30" s="437">
        <f t="shared" si="14"/>
      </c>
      <c r="AC30" s="438">
        <f t="shared" si="15"/>
      </c>
      <c r="AD30" s="89"/>
    </row>
    <row r="31" spans="1:30" s="8" customFormat="1" ht="16.5" customHeight="1">
      <c r="A31" s="79"/>
      <c r="B31" s="288"/>
      <c r="C31" s="140"/>
      <c r="D31" s="140"/>
      <c r="E31" s="140"/>
      <c r="F31" s="358"/>
      <c r="G31" s="378"/>
      <c r="H31" s="360"/>
      <c r="I31" s="361"/>
      <c r="J31" s="362">
        <f t="shared" si="0"/>
        <v>0</v>
      </c>
      <c r="K31" s="363"/>
      <c r="L31" s="363"/>
      <c r="M31" s="364">
        <f t="shared" si="1"/>
      </c>
      <c r="N31" s="365">
        <f t="shared" si="2"/>
      </c>
      <c r="O31" s="366"/>
      <c r="P31" s="272">
        <f t="shared" si="3"/>
      </c>
      <c r="Q31" s="367">
        <f t="shared" si="16"/>
      </c>
      <c r="R31" s="170">
        <f t="shared" si="4"/>
      </c>
      <c r="S31" s="368">
        <f t="shared" si="5"/>
        <v>20</v>
      </c>
      <c r="T31" s="421" t="str">
        <f t="shared" si="6"/>
        <v>--</v>
      </c>
      <c r="U31" s="422" t="str">
        <f t="shared" si="7"/>
        <v>--</v>
      </c>
      <c r="V31" s="371" t="str">
        <f t="shared" si="8"/>
        <v>--</v>
      </c>
      <c r="W31" s="372" t="str">
        <f t="shared" si="9"/>
        <v>--</v>
      </c>
      <c r="X31" s="373" t="str">
        <f t="shared" si="10"/>
        <v>--</v>
      </c>
      <c r="Y31" s="374" t="str">
        <f t="shared" si="11"/>
        <v>--</v>
      </c>
      <c r="Z31" s="375" t="str">
        <f t="shared" si="12"/>
        <v>--</v>
      </c>
      <c r="AA31" s="376" t="str">
        <f t="shared" si="13"/>
        <v>--</v>
      </c>
      <c r="AB31" s="437">
        <f t="shared" si="14"/>
      </c>
      <c r="AC31" s="438">
        <f t="shared" si="15"/>
      </c>
      <c r="AD31" s="89"/>
    </row>
    <row r="32" spans="1:30" s="8" customFormat="1" ht="16.5" customHeight="1">
      <c r="A32" s="79"/>
      <c r="B32" s="288"/>
      <c r="C32" s="140"/>
      <c r="D32" s="140"/>
      <c r="E32" s="159"/>
      <c r="F32" s="358"/>
      <c r="G32" s="378"/>
      <c r="H32" s="360"/>
      <c r="I32" s="361"/>
      <c r="J32" s="362">
        <f t="shared" si="0"/>
        <v>0</v>
      </c>
      <c r="K32" s="363"/>
      <c r="L32" s="363"/>
      <c r="M32" s="364">
        <f t="shared" si="1"/>
      </c>
      <c r="N32" s="365">
        <f t="shared" si="2"/>
      </c>
      <c r="O32" s="366"/>
      <c r="P32" s="272">
        <f t="shared" si="3"/>
      </c>
      <c r="Q32" s="367">
        <f t="shared" si="16"/>
      </c>
      <c r="R32" s="170">
        <f t="shared" si="4"/>
      </c>
      <c r="S32" s="368">
        <f t="shared" si="5"/>
        <v>20</v>
      </c>
      <c r="T32" s="421" t="str">
        <f t="shared" si="6"/>
        <v>--</v>
      </c>
      <c r="U32" s="422" t="str">
        <f t="shared" si="7"/>
        <v>--</v>
      </c>
      <c r="V32" s="371" t="str">
        <f t="shared" si="8"/>
        <v>--</v>
      </c>
      <c r="W32" s="372" t="str">
        <f t="shared" si="9"/>
        <v>--</v>
      </c>
      <c r="X32" s="373" t="str">
        <f t="shared" si="10"/>
        <v>--</v>
      </c>
      <c r="Y32" s="374" t="str">
        <f t="shared" si="11"/>
        <v>--</v>
      </c>
      <c r="Z32" s="375" t="str">
        <f t="shared" si="12"/>
        <v>--</v>
      </c>
      <c r="AA32" s="376" t="str">
        <f t="shared" si="13"/>
        <v>--</v>
      </c>
      <c r="AB32" s="437">
        <f t="shared" si="14"/>
      </c>
      <c r="AC32" s="438">
        <f t="shared" si="15"/>
      </c>
      <c r="AD32" s="89"/>
    </row>
    <row r="33" spans="1:30" s="8" customFormat="1" ht="16.5" customHeight="1">
      <c r="A33" s="79"/>
      <c r="B33" s="288"/>
      <c r="C33" s="140"/>
      <c r="D33" s="140"/>
      <c r="E33" s="140"/>
      <c r="F33" s="358"/>
      <c r="G33" s="378"/>
      <c r="H33" s="360"/>
      <c r="I33" s="361"/>
      <c r="J33" s="362">
        <f t="shared" si="0"/>
        <v>0</v>
      </c>
      <c r="K33" s="363"/>
      <c r="L33" s="363"/>
      <c r="M33" s="364">
        <f t="shared" si="1"/>
      </c>
      <c r="N33" s="365">
        <f t="shared" si="2"/>
      </c>
      <c r="O33" s="366"/>
      <c r="P33" s="272">
        <f t="shared" si="3"/>
      </c>
      <c r="Q33" s="367">
        <f t="shared" si="16"/>
      </c>
      <c r="R33" s="170">
        <f t="shared" si="4"/>
      </c>
      <c r="S33" s="368">
        <f t="shared" si="5"/>
        <v>20</v>
      </c>
      <c r="T33" s="421" t="str">
        <f t="shared" si="6"/>
        <v>--</v>
      </c>
      <c r="U33" s="422" t="str">
        <f t="shared" si="7"/>
        <v>--</v>
      </c>
      <c r="V33" s="371" t="str">
        <f t="shared" si="8"/>
        <v>--</v>
      </c>
      <c r="W33" s="372" t="str">
        <f t="shared" si="9"/>
        <v>--</v>
      </c>
      <c r="X33" s="373" t="str">
        <f t="shared" si="10"/>
        <v>--</v>
      </c>
      <c r="Y33" s="374" t="str">
        <f t="shared" si="11"/>
        <v>--</v>
      </c>
      <c r="Z33" s="375" t="str">
        <f t="shared" si="12"/>
        <v>--</v>
      </c>
      <c r="AA33" s="376" t="str">
        <f t="shared" si="13"/>
        <v>--</v>
      </c>
      <c r="AB33" s="437">
        <f t="shared" si="14"/>
      </c>
      <c r="AC33" s="438">
        <f t="shared" si="15"/>
      </c>
      <c r="AD33" s="89"/>
    </row>
    <row r="34" spans="1:30" s="8" customFormat="1" ht="16.5" customHeight="1">
      <c r="A34" s="79"/>
      <c r="B34" s="288"/>
      <c r="C34" s="140"/>
      <c r="D34" s="140"/>
      <c r="E34" s="159"/>
      <c r="F34" s="358"/>
      <c r="G34" s="378"/>
      <c r="H34" s="360"/>
      <c r="I34" s="361"/>
      <c r="J34" s="362">
        <f t="shared" si="0"/>
        <v>0</v>
      </c>
      <c r="K34" s="363"/>
      <c r="L34" s="363"/>
      <c r="M34" s="364">
        <f t="shared" si="1"/>
      </c>
      <c r="N34" s="365">
        <f t="shared" si="2"/>
      </c>
      <c r="O34" s="366"/>
      <c r="P34" s="272">
        <f t="shared" si="3"/>
      </c>
      <c r="Q34" s="367">
        <f t="shared" si="16"/>
      </c>
      <c r="R34" s="170">
        <f t="shared" si="4"/>
      </c>
      <c r="S34" s="368">
        <f t="shared" si="5"/>
        <v>20</v>
      </c>
      <c r="T34" s="421" t="str">
        <f t="shared" si="6"/>
        <v>--</v>
      </c>
      <c r="U34" s="422" t="str">
        <f t="shared" si="7"/>
        <v>--</v>
      </c>
      <c r="V34" s="371" t="str">
        <f t="shared" si="8"/>
        <v>--</v>
      </c>
      <c r="W34" s="372" t="str">
        <f t="shared" si="9"/>
        <v>--</v>
      </c>
      <c r="X34" s="373" t="str">
        <f t="shared" si="10"/>
        <v>--</v>
      </c>
      <c r="Y34" s="374" t="str">
        <f t="shared" si="11"/>
        <v>--</v>
      </c>
      <c r="Z34" s="375" t="str">
        <f t="shared" si="12"/>
        <v>--</v>
      </c>
      <c r="AA34" s="376" t="str">
        <f t="shared" si="13"/>
        <v>--</v>
      </c>
      <c r="AB34" s="437">
        <f t="shared" si="14"/>
      </c>
      <c r="AC34" s="438">
        <f t="shared" si="15"/>
      </c>
      <c r="AD34" s="89"/>
    </row>
    <row r="35" spans="1:30" s="8" customFormat="1" ht="16.5" customHeight="1">
      <c r="A35" s="79"/>
      <c r="B35" s="288"/>
      <c r="C35" s="140"/>
      <c r="D35" s="140"/>
      <c r="E35" s="140"/>
      <c r="F35" s="358"/>
      <c r="G35" s="378"/>
      <c r="H35" s="360"/>
      <c r="I35" s="361"/>
      <c r="J35" s="362">
        <f t="shared" si="0"/>
        <v>0</v>
      </c>
      <c r="K35" s="363"/>
      <c r="L35" s="363"/>
      <c r="M35" s="364">
        <f t="shared" si="1"/>
      </c>
      <c r="N35" s="365">
        <f t="shared" si="2"/>
      </c>
      <c r="O35" s="366"/>
      <c r="P35" s="272">
        <f t="shared" si="3"/>
      </c>
      <c r="Q35" s="367">
        <f t="shared" si="16"/>
      </c>
      <c r="R35" s="170">
        <f t="shared" si="4"/>
      </c>
      <c r="S35" s="368">
        <f t="shared" si="5"/>
        <v>20</v>
      </c>
      <c r="T35" s="421" t="str">
        <f t="shared" si="6"/>
        <v>--</v>
      </c>
      <c r="U35" s="422" t="str">
        <f t="shared" si="7"/>
        <v>--</v>
      </c>
      <c r="V35" s="371" t="str">
        <f t="shared" si="8"/>
        <v>--</v>
      </c>
      <c r="W35" s="372" t="str">
        <f t="shared" si="9"/>
        <v>--</v>
      </c>
      <c r="X35" s="373" t="str">
        <f t="shared" si="10"/>
        <v>--</v>
      </c>
      <c r="Y35" s="374" t="str">
        <f t="shared" si="11"/>
        <v>--</v>
      </c>
      <c r="Z35" s="375" t="str">
        <f t="shared" si="12"/>
        <v>--</v>
      </c>
      <c r="AA35" s="376" t="str">
        <f t="shared" si="13"/>
        <v>--</v>
      </c>
      <c r="AB35" s="437">
        <f t="shared" si="14"/>
      </c>
      <c r="AC35" s="438">
        <f t="shared" si="15"/>
      </c>
      <c r="AD35" s="89"/>
    </row>
    <row r="36" spans="1:30" s="8" customFormat="1" ht="16.5" customHeight="1">
      <c r="A36" s="79"/>
      <c r="B36" s="288"/>
      <c r="C36" s="140"/>
      <c r="D36" s="140"/>
      <c r="E36" s="159"/>
      <c r="F36" s="358"/>
      <c r="G36" s="378"/>
      <c r="H36" s="360"/>
      <c r="I36" s="361"/>
      <c r="J36" s="362">
        <f t="shared" si="0"/>
        <v>0</v>
      </c>
      <c r="K36" s="363"/>
      <c r="L36" s="363"/>
      <c r="M36" s="364">
        <f t="shared" si="1"/>
      </c>
      <c r="N36" s="365">
        <f t="shared" si="2"/>
      </c>
      <c r="O36" s="366"/>
      <c r="P36" s="272">
        <f t="shared" si="3"/>
      </c>
      <c r="Q36" s="367">
        <f t="shared" si="16"/>
      </c>
      <c r="R36" s="170">
        <f t="shared" si="4"/>
      </c>
      <c r="S36" s="368">
        <f t="shared" si="5"/>
        <v>20</v>
      </c>
      <c r="T36" s="421" t="str">
        <f t="shared" si="6"/>
        <v>--</v>
      </c>
      <c r="U36" s="422" t="str">
        <f t="shared" si="7"/>
        <v>--</v>
      </c>
      <c r="V36" s="371" t="str">
        <f t="shared" si="8"/>
        <v>--</v>
      </c>
      <c r="W36" s="372" t="str">
        <f t="shared" si="9"/>
        <v>--</v>
      </c>
      <c r="X36" s="373" t="str">
        <f t="shared" si="10"/>
        <v>--</v>
      </c>
      <c r="Y36" s="374" t="str">
        <f t="shared" si="11"/>
        <v>--</v>
      </c>
      <c r="Z36" s="375" t="str">
        <f t="shared" si="12"/>
        <v>--</v>
      </c>
      <c r="AA36" s="376" t="str">
        <f t="shared" si="13"/>
        <v>--</v>
      </c>
      <c r="AB36" s="437">
        <f t="shared" si="14"/>
      </c>
      <c r="AC36" s="438">
        <f t="shared" si="15"/>
      </c>
      <c r="AD36" s="89"/>
    </row>
    <row r="37" spans="1:30" s="8" customFormat="1" ht="16.5" customHeight="1">
      <c r="A37" s="79"/>
      <c r="B37" s="288"/>
      <c r="C37" s="140"/>
      <c r="D37" s="140"/>
      <c r="E37" s="140"/>
      <c r="F37" s="358"/>
      <c r="G37" s="378"/>
      <c r="H37" s="360"/>
      <c r="I37" s="361"/>
      <c r="J37" s="362">
        <f t="shared" si="0"/>
        <v>0</v>
      </c>
      <c r="K37" s="363"/>
      <c r="L37" s="363"/>
      <c r="M37" s="364">
        <f t="shared" si="1"/>
      </c>
      <c r="N37" s="365">
        <f t="shared" si="2"/>
      </c>
      <c r="O37" s="366"/>
      <c r="P37" s="272">
        <f t="shared" si="3"/>
      </c>
      <c r="Q37" s="367">
        <f t="shared" si="16"/>
      </c>
      <c r="R37" s="170">
        <f t="shared" si="4"/>
      </c>
      <c r="S37" s="368">
        <f t="shared" si="5"/>
        <v>20</v>
      </c>
      <c r="T37" s="421" t="str">
        <f t="shared" si="6"/>
        <v>--</v>
      </c>
      <c r="U37" s="422" t="str">
        <f t="shared" si="7"/>
        <v>--</v>
      </c>
      <c r="V37" s="371" t="str">
        <f t="shared" si="8"/>
        <v>--</v>
      </c>
      <c r="W37" s="372" t="str">
        <f t="shared" si="9"/>
        <v>--</v>
      </c>
      <c r="X37" s="373" t="str">
        <f t="shared" si="10"/>
        <v>--</v>
      </c>
      <c r="Y37" s="374" t="str">
        <f t="shared" si="11"/>
        <v>--</v>
      </c>
      <c r="Z37" s="375" t="str">
        <f t="shared" si="12"/>
        <v>--</v>
      </c>
      <c r="AA37" s="376" t="str">
        <f t="shared" si="13"/>
        <v>--</v>
      </c>
      <c r="AB37" s="437">
        <f t="shared" si="14"/>
      </c>
      <c r="AC37" s="438">
        <f t="shared" si="15"/>
      </c>
      <c r="AD37" s="89"/>
    </row>
    <row r="38" spans="1:30" s="8" customFormat="1" ht="16.5" customHeight="1">
      <c r="A38" s="79"/>
      <c r="B38" s="288"/>
      <c r="C38" s="140"/>
      <c r="D38" s="140"/>
      <c r="E38" s="159"/>
      <c r="F38" s="358"/>
      <c r="G38" s="378"/>
      <c r="H38" s="360"/>
      <c r="I38" s="361"/>
      <c r="J38" s="362">
        <f t="shared" si="0"/>
        <v>0</v>
      </c>
      <c r="K38" s="363"/>
      <c r="L38" s="363"/>
      <c r="M38" s="364">
        <f t="shared" si="1"/>
      </c>
      <c r="N38" s="365">
        <f t="shared" si="2"/>
      </c>
      <c r="O38" s="366"/>
      <c r="P38" s="272">
        <f t="shared" si="3"/>
      </c>
      <c r="Q38" s="367">
        <f t="shared" si="16"/>
      </c>
      <c r="R38" s="170">
        <f t="shared" si="4"/>
      </c>
      <c r="S38" s="368">
        <f t="shared" si="5"/>
        <v>20</v>
      </c>
      <c r="T38" s="421" t="str">
        <f t="shared" si="6"/>
        <v>--</v>
      </c>
      <c r="U38" s="422" t="str">
        <f t="shared" si="7"/>
        <v>--</v>
      </c>
      <c r="V38" s="371" t="str">
        <f t="shared" si="8"/>
        <v>--</v>
      </c>
      <c r="W38" s="372" t="str">
        <f t="shared" si="9"/>
        <v>--</v>
      </c>
      <c r="X38" s="373" t="str">
        <f t="shared" si="10"/>
        <v>--</v>
      </c>
      <c r="Y38" s="374" t="str">
        <f t="shared" si="11"/>
        <v>--</v>
      </c>
      <c r="Z38" s="375" t="str">
        <f t="shared" si="12"/>
        <v>--</v>
      </c>
      <c r="AA38" s="376" t="str">
        <f t="shared" si="13"/>
        <v>--</v>
      </c>
      <c r="AB38" s="437">
        <f t="shared" si="14"/>
      </c>
      <c r="AC38" s="438">
        <f t="shared" si="15"/>
      </c>
      <c r="AD38" s="89"/>
    </row>
    <row r="39" spans="1:30" s="8" customFormat="1" ht="16.5" customHeight="1">
      <c r="A39" s="79"/>
      <c r="B39" s="288"/>
      <c r="C39" s="140"/>
      <c r="D39" s="140"/>
      <c r="E39" s="140"/>
      <c r="F39" s="358"/>
      <c r="G39" s="378"/>
      <c r="H39" s="360"/>
      <c r="I39" s="361"/>
      <c r="J39" s="362">
        <f t="shared" si="0"/>
        <v>0</v>
      </c>
      <c r="K39" s="363"/>
      <c r="L39" s="363"/>
      <c r="M39" s="364">
        <f t="shared" si="1"/>
      </c>
      <c r="N39" s="365">
        <f t="shared" si="2"/>
      </c>
      <c r="O39" s="366"/>
      <c r="P39" s="272">
        <f t="shared" si="3"/>
      </c>
      <c r="Q39" s="367">
        <f t="shared" si="16"/>
      </c>
      <c r="R39" s="170">
        <f t="shared" si="4"/>
      </c>
      <c r="S39" s="368">
        <f t="shared" si="5"/>
        <v>20</v>
      </c>
      <c r="T39" s="421" t="str">
        <f t="shared" si="6"/>
        <v>--</v>
      </c>
      <c r="U39" s="422" t="str">
        <f t="shared" si="7"/>
        <v>--</v>
      </c>
      <c r="V39" s="371" t="str">
        <f t="shared" si="8"/>
        <v>--</v>
      </c>
      <c r="W39" s="372" t="str">
        <f t="shared" si="9"/>
        <v>--</v>
      </c>
      <c r="X39" s="373" t="str">
        <f t="shared" si="10"/>
        <v>--</v>
      </c>
      <c r="Y39" s="374" t="str">
        <f t="shared" si="11"/>
        <v>--</v>
      </c>
      <c r="Z39" s="375" t="str">
        <f t="shared" si="12"/>
        <v>--</v>
      </c>
      <c r="AA39" s="376" t="str">
        <f t="shared" si="13"/>
        <v>--</v>
      </c>
      <c r="AB39" s="437">
        <f t="shared" si="14"/>
      </c>
      <c r="AC39" s="438">
        <f t="shared" si="15"/>
      </c>
      <c r="AD39" s="89"/>
    </row>
    <row r="40" spans="1:30" s="8" customFormat="1" ht="16.5" customHeight="1" thickBot="1">
      <c r="A40" s="79"/>
      <c r="B40" s="288"/>
      <c r="C40" s="379"/>
      <c r="D40" s="379"/>
      <c r="E40" s="379"/>
      <c r="F40" s="379"/>
      <c r="G40" s="379"/>
      <c r="H40" s="379"/>
      <c r="I40" s="381"/>
      <c r="J40" s="382"/>
      <c r="K40" s="383"/>
      <c r="L40" s="384"/>
      <c r="M40" s="385"/>
      <c r="N40" s="386"/>
      <c r="O40" s="387"/>
      <c r="P40" s="206"/>
      <c r="Q40" s="388"/>
      <c r="R40" s="387"/>
      <c r="S40" s="439"/>
      <c r="T40" s="423"/>
      <c r="U40" s="424"/>
      <c r="V40" s="425"/>
      <c r="W40" s="426"/>
      <c r="X40" s="427"/>
      <c r="Y40" s="428"/>
      <c r="Z40" s="429"/>
      <c r="AA40" s="430"/>
      <c r="AB40" s="431"/>
      <c r="AC40" s="399"/>
      <c r="AD40" s="89"/>
    </row>
    <row r="41" spans="1:30" s="8" customFormat="1" ht="16.5" customHeight="1" thickBot="1" thickTop="1">
      <c r="A41" s="79"/>
      <c r="B41" s="288"/>
      <c r="C41" s="219" t="s">
        <v>180</v>
      </c>
      <c r="D41" s="432"/>
      <c r="E41" s="219"/>
      <c r="F41" s="221"/>
      <c r="G41" s="73"/>
      <c r="H41" s="73"/>
      <c r="I41" s="73"/>
      <c r="J41" s="73"/>
      <c r="K41" s="73"/>
      <c r="L41" s="315"/>
      <c r="M41" s="73"/>
      <c r="N41" s="73"/>
      <c r="O41" s="73"/>
      <c r="P41" s="73"/>
      <c r="Q41" s="73"/>
      <c r="R41" s="73"/>
      <c r="S41" s="73"/>
      <c r="T41" s="400">
        <f aca="true" t="shared" si="17" ref="T41:AA41">SUM(T18:T40)</f>
        <v>3310.008</v>
      </c>
      <c r="U41" s="401">
        <f t="shared" si="17"/>
        <v>0</v>
      </c>
      <c r="V41" s="402">
        <f t="shared" si="17"/>
        <v>0</v>
      </c>
      <c r="W41" s="403">
        <f t="shared" si="17"/>
        <v>0</v>
      </c>
      <c r="X41" s="404">
        <f t="shared" si="17"/>
        <v>0</v>
      </c>
      <c r="Y41" s="405">
        <f t="shared" si="17"/>
        <v>0</v>
      </c>
      <c r="Z41" s="406">
        <f t="shared" si="17"/>
        <v>0</v>
      </c>
      <c r="AA41" s="407">
        <f t="shared" si="17"/>
        <v>0</v>
      </c>
      <c r="AB41" s="79"/>
      <c r="AC41" s="408">
        <f>ROUND(SUM(AC18:AC40),2)</f>
        <v>3310.01</v>
      </c>
      <c r="AD41" s="89"/>
    </row>
    <row r="42" spans="1:30" s="8" customFormat="1" ht="16.5" customHeight="1" thickBot="1" thickTop="1">
      <c r="A42" s="79"/>
      <c r="B42" s="409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1"/>
    </row>
    <row r="43" spans="1:31" ht="16.5" customHeight="1" thickTop="1">
      <c r="A43" s="412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</row>
    <row r="44" spans="1:31" ht="16.5" customHeight="1">
      <c r="A44" s="412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</row>
    <row r="45" spans="1:31" ht="16.5" customHeight="1">
      <c r="A45" s="412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</row>
    <row r="46" spans="1:31" ht="16.5" customHeight="1">
      <c r="A46" s="412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</row>
    <row r="47" spans="6:31" ht="16.5" customHeight="1"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</row>
    <row r="48" spans="6:31" ht="16.5" customHeight="1"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</row>
    <row r="49" spans="6:31" ht="16.5" customHeight="1"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</row>
    <row r="50" spans="6:31" ht="16.5" customHeight="1"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</row>
    <row r="51" spans="6:31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</row>
    <row r="52" spans="6:31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</row>
    <row r="53" spans="6:31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</row>
    <row r="54" spans="6:31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</row>
    <row r="55" spans="6:31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</row>
    <row r="56" spans="6:31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</row>
    <row r="57" spans="6:31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</row>
    <row r="58" spans="6:31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</row>
    <row r="59" spans="6:31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</row>
    <row r="60" spans="6:31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</row>
    <row r="61" spans="6:31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</row>
    <row r="62" spans="6:31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</row>
    <row r="63" spans="6:31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</row>
    <row r="64" spans="6:31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  <c r="AD64" s="413"/>
      <c r="AE64" s="413"/>
    </row>
    <row r="65" spans="6:31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3"/>
      <c r="AE65" s="413"/>
    </row>
    <row r="66" spans="6:31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13"/>
    </row>
    <row r="67" spans="6:31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  <c r="AD67" s="413"/>
      <c r="AE67" s="413"/>
    </row>
    <row r="68" spans="6:31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13"/>
    </row>
    <row r="69" spans="6:31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  <c r="AD69" s="413"/>
      <c r="AE69" s="413"/>
    </row>
    <row r="70" spans="6:31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  <c r="AD70" s="413"/>
      <c r="AE70" s="413"/>
    </row>
    <row r="71" spans="6:31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</row>
    <row r="72" spans="6:31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13"/>
    </row>
    <row r="73" spans="6:31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</row>
    <row r="74" spans="6:31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  <c r="AD74" s="413"/>
      <c r="AE74" s="413"/>
    </row>
    <row r="75" spans="6:31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</row>
    <row r="76" spans="6:31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  <c r="AD76" s="413"/>
      <c r="AE76" s="413"/>
    </row>
    <row r="77" spans="6:31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  <c r="AD77" s="413"/>
      <c r="AE77" s="413"/>
    </row>
    <row r="78" spans="6:31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  <c r="AD78" s="413"/>
      <c r="AE78" s="413"/>
    </row>
    <row r="79" spans="6:31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</row>
    <row r="80" spans="6:31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  <c r="AD80" s="413"/>
      <c r="AE80" s="413"/>
    </row>
    <row r="81" spans="6:31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</row>
    <row r="82" spans="6:31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  <c r="AD82" s="413"/>
      <c r="AE82" s="413"/>
    </row>
    <row r="83" spans="6:31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</row>
    <row r="84" spans="6:31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  <c r="AD84" s="413"/>
      <c r="AE84" s="413"/>
    </row>
    <row r="85" spans="6:31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</row>
    <row r="86" spans="6:31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  <c r="AD86" s="413"/>
      <c r="AE86" s="413"/>
    </row>
    <row r="87" spans="6:31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</row>
    <row r="88" spans="6:31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  <c r="AD88" s="413"/>
      <c r="AE88" s="413"/>
    </row>
    <row r="89" spans="6:31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</row>
    <row r="90" spans="6:31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</row>
    <row r="91" spans="6:31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</row>
    <row r="92" spans="6:31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  <c r="AD92" s="413"/>
      <c r="AE92" s="413"/>
    </row>
    <row r="93" spans="6:31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</row>
    <row r="94" spans="6:31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  <c r="AD94" s="413"/>
      <c r="AE94" s="413"/>
    </row>
    <row r="95" spans="6:31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</row>
    <row r="96" spans="6:31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  <c r="AD96" s="413"/>
      <c r="AE96" s="413"/>
    </row>
    <row r="97" spans="6:31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  <c r="AD97" s="413"/>
      <c r="AE97" s="413"/>
    </row>
    <row r="98" spans="6:31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  <c r="AD98" s="413"/>
      <c r="AE98" s="413"/>
    </row>
    <row r="99" spans="6:31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</row>
    <row r="100" spans="6:31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  <c r="AD100" s="413"/>
      <c r="AE100" s="413"/>
    </row>
    <row r="101" spans="6:31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  <c r="AD101" s="413"/>
      <c r="AE101" s="413"/>
    </row>
    <row r="102" spans="6:31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  <c r="AD102" s="413"/>
      <c r="AE102" s="413"/>
    </row>
    <row r="103" spans="6:31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</row>
    <row r="104" spans="6:31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  <c r="AD104" s="413"/>
      <c r="AE104" s="413"/>
    </row>
    <row r="105" spans="6:31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  <c r="AD105" s="413"/>
      <c r="AE105" s="413"/>
    </row>
    <row r="106" spans="6:31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  <c r="AD106" s="413"/>
      <c r="AE106" s="413"/>
    </row>
    <row r="107" spans="6:31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</row>
    <row r="108" spans="6:31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  <c r="AD108" s="413"/>
      <c r="AE108" s="413"/>
    </row>
    <row r="109" spans="6:31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  <c r="AD109" s="413"/>
      <c r="AE109" s="413"/>
    </row>
    <row r="110" spans="6:31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/>
      <c r="AE110" s="413"/>
    </row>
    <row r="111" spans="6:31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</row>
    <row r="112" spans="6:31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  <c r="AD112" s="413"/>
      <c r="AE112" s="413"/>
    </row>
    <row r="113" spans="6:31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  <c r="AD113" s="413"/>
      <c r="AE113" s="413"/>
    </row>
    <row r="114" spans="6:31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  <c r="AD114" s="413"/>
      <c r="AE114" s="413"/>
    </row>
    <row r="115" spans="6:31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  <c r="AD115" s="413"/>
      <c r="AE115" s="413"/>
    </row>
    <row r="116" spans="6:31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  <c r="AD116" s="413"/>
      <c r="AE116" s="413"/>
    </row>
    <row r="117" spans="6:31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  <c r="AD117" s="413"/>
      <c r="AE117" s="413"/>
    </row>
    <row r="118" spans="6:31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  <c r="AD118" s="413"/>
      <c r="AE118" s="413"/>
    </row>
    <row r="119" spans="6:31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</row>
    <row r="120" spans="6:31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  <c r="AD120" s="413"/>
      <c r="AE120" s="413"/>
    </row>
    <row r="121" spans="6:31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</row>
    <row r="122" spans="6:31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13"/>
      <c r="AD122" s="413"/>
      <c r="AE122" s="413"/>
    </row>
    <row r="123" spans="6:31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</row>
    <row r="124" spans="6:31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  <c r="AD124" s="413"/>
      <c r="AE124" s="413"/>
    </row>
    <row r="125" spans="6:31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  <c r="AD125" s="413"/>
      <c r="AE125" s="413"/>
    </row>
    <row r="126" spans="6:31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  <c r="AB126" s="413"/>
      <c r="AC126" s="413"/>
      <c r="AD126" s="413"/>
      <c r="AE126" s="413"/>
    </row>
    <row r="127" spans="6:31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  <c r="AD127" s="413"/>
      <c r="AE127" s="413"/>
    </row>
    <row r="128" spans="6:31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  <c r="AD128" s="413"/>
      <c r="AE128" s="413"/>
    </row>
    <row r="129" spans="6:31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  <c r="AD129" s="413"/>
      <c r="AE129" s="413"/>
    </row>
    <row r="130" spans="6:31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13"/>
      <c r="AD130" s="413"/>
      <c r="AE130" s="413"/>
    </row>
    <row r="131" spans="6:31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</row>
    <row r="132" spans="6:31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  <c r="AB132" s="413"/>
      <c r="AC132" s="413"/>
      <c r="AD132" s="413"/>
      <c r="AE132" s="413"/>
    </row>
    <row r="133" spans="6:31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</row>
    <row r="134" spans="6:31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</row>
    <row r="135" spans="6:31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</row>
    <row r="136" spans="6:31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  <c r="AD136" s="413"/>
      <c r="AE136" s="413"/>
    </row>
    <row r="137" spans="6:31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  <c r="AD137" s="413"/>
      <c r="AE137" s="413"/>
    </row>
    <row r="138" spans="6:31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  <c r="AD138" s="413"/>
      <c r="AE138" s="413"/>
    </row>
    <row r="139" spans="6:31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  <c r="AD139" s="413"/>
      <c r="AE139" s="413"/>
    </row>
    <row r="140" spans="6:31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  <c r="AD140" s="413"/>
      <c r="AE140" s="413"/>
    </row>
    <row r="141" spans="6:31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  <c r="AD141" s="413"/>
      <c r="AE141" s="413"/>
    </row>
    <row r="142" spans="6:31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  <c r="AD142" s="413"/>
      <c r="AE142" s="413"/>
    </row>
    <row r="143" spans="6:31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  <c r="AD143" s="413"/>
      <c r="AE143" s="413"/>
    </row>
    <row r="144" spans="6:31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  <c r="AD144" s="413"/>
      <c r="AE144" s="413"/>
    </row>
    <row r="145" spans="6:31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  <c r="AD145" s="413"/>
      <c r="AE145" s="413"/>
    </row>
    <row r="146" spans="6:31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  <c r="AB146" s="413"/>
      <c r="AC146" s="413"/>
      <c r="AD146" s="413"/>
      <c r="AE146" s="413"/>
    </row>
    <row r="147" spans="6:31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  <c r="AD147" s="413"/>
      <c r="AE147" s="413"/>
    </row>
    <row r="148" spans="6:31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  <c r="AD148" s="413"/>
      <c r="AE148" s="413"/>
    </row>
    <row r="149" spans="6:31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  <c r="AD149" s="413"/>
      <c r="AE149" s="413"/>
    </row>
    <row r="150" spans="6:31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  <c r="AD150" s="413"/>
      <c r="AE150" s="413"/>
    </row>
    <row r="151" ht="16.5" customHeight="1">
      <c r="AE151" s="413"/>
    </row>
    <row r="152" ht="16.5" customHeight="1">
      <c r="AE152" s="413"/>
    </row>
    <row r="153" ht="16.5" customHeight="1">
      <c r="AE153" s="413"/>
    </row>
    <row r="154" ht="16.5" customHeight="1">
      <c r="AE154" s="413"/>
    </row>
    <row r="155" ht="16.5" customHeight="1"/>
    <row r="156" ht="16.5" customHeight="1"/>
    <row r="1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1"/>
  <sheetViews>
    <sheetView zoomScale="70" zoomScaleNormal="70" zoomScalePageLayoutView="0" workbookViewId="0" topLeftCell="E16">
      <selection activeCell="B3" sqref="B3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78"/>
      <c r="B2" s="2" t="str">
        <f>+'TOT-1214'!B2</f>
        <v>ANEXO I al Memorándum D.T.E.E. N°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79"/>
    </row>
    <row r="4" spans="1:4" s="14" customFormat="1" ht="11.25">
      <c r="A4" s="12" t="s">
        <v>2</v>
      </c>
      <c r="B4" s="80"/>
      <c r="C4" s="80"/>
      <c r="D4" s="80"/>
    </row>
    <row r="5" spans="1:4" s="14" customFormat="1" ht="11.25">
      <c r="A5" s="12" t="s">
        <v>3</v>
      </c>
      <c r="B5" s="80"/>
      <c r="C5" s="80"/>
      <c r="D5" s="80"/>
    </row>
    <row r="6" s="8" customFormat="1" ht="13.5" thickBot="1"/>
    <row r="7" spans="2:23" s="8" customFormat="1" ht="13.5" thickTop="1"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440"/>
    </row>
    <row r="8" spans="2:23" s="18" customFormat="1" ht="20.25">
      <c r="B8" s="85"/>
      <c r="C8" s="23"/>
      <c r="D8" s="23"/>
      <c r="E8" s="23"/>
      <c r="F8" s="441" t="s">
        <v>23</v>
      </c>
      <c r="N8" s="283"/>
      <c r="O8" s="283"/>
      <c r="P8" s="285"/>
      <c r="Q8" s="23"/>
      <c r="R8" s="23"/>
      <c r="S8" s="23"/>
      <c r="T8" s="23"/>
      <c r="U8" s="23"/>
      <c r="V8" s="23"/>
      <c r="W8" s="442"/>
    </row>
    <row r="9" spans="2:23" s="8" customFormat="1" ht="12.75">
      <c r="B9" s="53"/>
      <c r="C9" s="11"/>
      <c r="D9" s="11"/>
      <c r="E9" s="11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11"/>
      <c r="R9" s="11"/>
      <c r="S9" s="11"/>
      <c r="T9" s="11"/>
      <c r="U9" s="11"/>
      <c r="V9" s="11"/>
      <c r="W9" s="55"/>
    </row>
    <row r="10" spans="2:23" s="18" customFormat="1" ht="20.25">
      <c r="B10" s="85"/>
      <c r="C10" s="23"/>
      <c r="D10" s="23"/>
      <c r="E10" s="23"/>
      <c r="F10" s="443" t="s">
        <v>65</v>
      </c>
      <c r="G10" s="444"/>
      <c r="H10" s="283"/>
      <c r="I10" s="445"/>
      <c r="K10" s="445"/>
      <c r="L10" s="445"/>
      <c r="M10" s="445"/>
      <c r="N10" s="445"/>
      <c r="O10" s="445"/>
      <c r="P10" s="445"/>
      <c r="Q10" s="23"/>
      <c r="R10" s="23"/>
      <c r="S10" s="23"/>
      <c r="T10" s="23"/>
      <c r="U10" s="23"/>
      <c r="V10" s="23"/>
      <c r="W10" s="442"/>
    </row>
    <row r="11" spans="2:23" s="8" customFormat="1" ht="13.5">
      <c r="B11" s="53"/>
      <c r="C11" s="11"/>
      <c r="D11" s="11"/>
      <c r="E11" s="11"/>
      <c r="F11" s="446"/>
      <c r="G11" s="446"/>
      <c r="H11" s="79"/>
      <c r="I11" s="447"/>
      <c r="J11" s="57"/>
      <c r="K11" s="447"/>
      <c r="L11" s="447"/>
      <c r="M11" s="447"/>
      <c r="N11" s="447"/>
      <c r="O11" s="447"/>
      <c r="P11" s="447"/>
      <c r="Q11" s="11"/>
      <c r="R11" s="11"/>
      <c r="S11" s="11"/>
      <c r="T11" s="11"/>
      <c r="U11" s="11"/>
      <c r="V11" s="11"/>
      <c r="W11" s="55"/>
    </row>
    <row r="12" spans="2:23" s="18" customFormat="1" ht="20.25">
      <c r="B12" s="85"/>
      <c r="C12" s="23"/>
      <c r="D12" s="23"/>
      <c r="E12" s="23"/>
      <c r="F12" s="443" t="s">
        <v>66</v>
      </c>
      <c r="G12" s="444"/>
      <c r="H12" s="283"/>
      <c r="I12" s="445"/>
      <c r="K12" s="445"/>
      <c r="L12" s="445"/>
      <c r="M12" s="445"/>
      <c r="N12" s="445"/>
      <c r="O12" s="445"/>
      <c r="P12" s="445"/>
      <c r="Q12" s="23"/>
      <c r="R12" s="23"/>
      <c r="S12" s="23"/>
      <c r="T12" s="23"/>
      <c r="U12" s="23"/>
      <c r="V12" s="23"/>
      <c r="W12" s="442"/>
    </row>
    <row r="13" spans="2:23" s="8" customFormat="1" ht="13.5">
      <c r="B13" s="53"/>
      <c r="C13" s="11"/>
      <c r="D13" s="11"/>
      <c r="E13" s="11"/>
      <c r="F13" s="446"/>
      <c r="G13" s="446"/>
      <c r="H13" s="79"/>
      <c r="I13" s="447"/>
      <c r="J13" s="57"/>
      <c r="K13" s="447"/>
      <c r="L13" s="447"/>
      <c r="M13" s="447"/>
      <c r="N13" s="447"/>
      <c r="O13" s="447"/>
      <c r="P13" s="447"/>
      <c r="Q13" s="11"/>
      <c r="R13" s="11"/>
      <c r="S13" s="11"/>
      <c r="T13" s="11"/>
      <c r="U13" s="11"/>
      <c r="V13" s="11"/>
      <c r="W13" s="55"/>
    </row>
    <row r="14" spans="2:23" s="8" customFormat="1" ht="19.5">
      <c r="B14" s="35" t="str">
        <f>'TOT-1214'!B14</f>
        <v>Desde el 01 al 31 de diciembre de 2014</v>
      </c>
      <c r="C14" s="39"/>
      <c r="D14" s="39"/>
      <c r="E14" s="39"/>
      <c r="F14" s="39"/>
      <c r="G14" s="39"/>
      <c r="H14" s="39"/>
      <c r="I14" s="448"/>
      <c r="J14" s="448"/>
      <c r="K14" s="448"/>
      <c r="L14" s="448"/>
      <c r="M14" s="448"/>
      <c r="N14" s="448"/>
      <c r="O14" s="448"/>
      <c r="P14" s="448"/>
      <c r="Q14" s="39"/>
      <c r="R14" s="39"/>
      <c r="S14" s="39"/>
      <c r="T14" s="39"/>
      <c r="U14" s="39"/>
      <c r="V14" s="39"/>
      <c r="W14" s="449"/>
    </row>
    <row r="15" spans="2:23" s="8" customFormat="1" ht="14.25" thickBot="1">
      <c r="B15" s="450"/>
      <c r="C15" s="451"/>
      <c r="D15" s="451"/>
      <c r="E15" s="451"/>
      <c r="F15" s="451"/>
      <c r="G15" s="451"/>
      <c r="H15" s="451"/>
      <c r="I15" s="452"/>
      <c r="J15" s="452"/>
      <c r="K15" s="452"/>
      <c r="L15" s="452"/>
      <c r="M15" s="452"/>
      <c r="N15" s="452"/>
      <c r="O15" s="452"/>
      <c r="P15" s="452"/>
      <c r="Q15" s="451"/>
      <c r="R15" s="451"/>
      <c r="S15" s="451"/>
      <c r="T15" s="451"/>
      <c r="U15" s="451"/>
      <c r="V15" s="451"/>
      <c r="W15" s="453"/>
    </row>
    <row r="16" spans="2:23" s="8" customFormat="1" ht="15" thickBot="1" thickTop="1">
      <c r="B16" s="53"/>
      <c r="C16" s="11"/>
      <c r="D16" s="11"/>
      <c r="E16" s="11"/>
      <c r="F16" s="454"/>
      <c r="G16" s="454"/>
      <c r="H16" s="455" t="s">
        <v>67</v>
      </c>
      <c r="I16" s="11"/>
      <c r="J16" s="5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55"/>
    </row>
    <row r="17" spans="2:23" s="8" customFormat="1" ht="16.5" customHeight="1" thickBot="1" thickTop="1">
      <c r="B17" s="53"/>
      <c r="C17" s="11"/>
      <c r="D17" s="11"/>
      <c r="E17" s="11"/>
      <c r="F17" s="456" t="s">
        <v>68</v>
      </c>
      <c r="G17" s="457">
        <v>236.734</v>
      </c>
      <c r="H17" s="458">
        <v>200</v>
      </c>
      <c r="V17" s="99"/>
      <c r="W17" s="55"/>
    </row>
    <row r="18" spans="2:23" s="8" customFormat="1" ht="16.5" customHeight="1" thickBot="1" thickTop="1">
      <c r="B18" s="53"/>
      <c r="C18" s="11"/>
      <c r="D18" s="11"/>
      <c r="E18" s="11"/>
      <c r="F18" s="459" t="s">
        <v>69</v>
      </c>
      <c r="G18" s="460">
        <v>213.03</v>
      </c>
      <c r="H18" s="458">
        <v>100</v>
      </c>
      <c r="O18" s="11"/>
      <c r="P18" s="11"/>
      <c r="Q18" s="11"/>
      <c r="R18" s="11"/>
      <c r="S18" s="11"/>
      <c r="T18" s="11"/>
      <c r="U18" s="11"/>
      <c r="V18" s="11"/>
      <c r="W18" s="55"/>
    </row>
    <row r="19" spans="2:23" s="8" customFormat="1" ht="16.5" customHeight="1" thickBot="1" thickTop="1">
      <c r="B19" s="53"/>
      <c r="C19" s="11"/>
      <c r="D19" s="11"/>
      <c r="E19" s="11"/>
      <c r="F19" s="461" t="s">
        <v>70</v>
      </c>
      <c r="G19" s="460">
        <v>189.391</v>
      </c>
      <c r="H19" s="458">
        <v>40</v>
      </c>
      <c r="K19" s="97"/>
      <c r="L19" s="98"/>
      <c r="M19" s="11"/>
      <c r="O19" s="11"/>
      <c r="Q19" s="11"/>
      <c r="R19" s="11"/>
      <c r="S19" s="11"/>
      <c r="T19" s="11"/>
      <c r="U19" s="11"/>
      <c r="V19" s="11"/>
      <c r="W19" s="55"/>
    </row>
    <row r="20" spans="2:23" s="8" customFormat="1" ht="16.5" customHeight="1" thickBot="1" thickTop="1">
      <c r="B20" s="53"/>
      <c r="C20" s="100">
        <v>3</v>
      </c>
      <c r="D20" s="100">
        <v>4</v>
      </c>
      <c r="E20" s="100">
        <v>5</v>
      </c>
      <c r="F20" s="100">
        <v>6</v>
      </c>
      <c r="G20" s="100">
        <v>7</v>
      </c>
      <c r="H20" s="100">
        <v>8</v>
      </c>
      <c r="I20" s="100">
        <v>9</v>
      </c>
      <c r="J20" s="100">
        <v>10</v>
      </c>
      <c r="K20" s="100">
        <v>11</v>
      </c>
      <c r="L20" s="100">
        <v>12</v>
      </c>
      <c r="M20" s="100">
        <v>13</v>
      </c>
      <c r="N20" s="100">
        <v>14</v>
      </c>
      <c r="O20" s="100">
        <v>15</v>
      </c>
      <c r="P20" s="100">
        <v>16</v>
      </c>
      <c r="Q20" s="100">
        <v>17</v>
      </c>
      <c r="R20" s="100">
        <v>18</v>
      </c>
      <c r="S20" s="100">
        <v>19</v>
      </c>
      <c r="T20" s="100">
        <v>20</v>
      </c>
      <c r="U20" s="100">
        <v>21</v>
      </c>
      <c r="V20" s="100">
        <v>22</v>
      </c>
      <c r="W20" s="55"/>
    </row>
    <row r="21" spans="2:23" s="8" customFormat="1" ht="33.75" customHeight="1" thickBot="1" thickTop="1">
      <c r="B21" s="53"/>
      <c r="C21" s="317" t="s">
        <v>28</v>
      </c>
      <c r="D21" s="101" t="s">
        <v>29</v>
      </c>
      <c r="E21" s="101" t="s">
        <v>30</v>
      </c>
      <c r="F21" s="104" t="s">
        <v>58</v>
      </c>
      <c r="G21" s="462" t="s">
        <v>59</v>
      </c>
      <c r="H21" s="463" t="s">
        <v>31</v>
      </c>
      <c r="I21" s="322" t="s">
        <v>35</v>
      </c>
      <c r="J21" s="102" t="s">
        <v>36</v>
      </c>
      <c r="K21" s="462" t="s">
        <v>37</v>
      </c>
      <c r="L21" s="464" t="s">
        <v>38</v>
      </c>
      <c r="M21" s="464" t="s">
        <v>39</v>
      </c>
      <c r="N21" s="109" t="s">
        <v>179</v>
      </c>
      <c r="O21" s="108" t="s">
        <v>42</v>
      </c>
      <c r="P21" s="465" t="s">
        <v>34</v>
      </c>
      <c r="Q21" s="466" t="s">
        <v>71</v>
      </c>
      <c r="R21" s="467" t="s">
        <v>72</v>
      </c>
      <c r="S21" s="468"/>
      <c r="T21" s="469" t="s">
        <v>47</v>
      </c>
      <c r="U21" s="120" t="s">
        <v>49</v>
      </c>
      <c r="V21" s="321" t="s">
        <v>50</v>
      </c>
      <c r="W21" s="55"/>
    </row>
    <row r="22" spans="2:23" s="8" customFormat="1" ht="16.5" customHeight="1" thickTop="1">
      <c r="B22" s="53"/>
      <c r="C22" s="331"/>
      <c r="D22" s="331"/>
      <c r="E22" s="331"/>
      <c r="F22" s="470"/>
      <c r="G22" s="470"/>
      <c r="H22" s="470"/>
      <c r="I22" s="271"/>
      <c r="J22" s="470"/>
      <c r="K22" s="470"/>
      <c r="L22" s="470"/>
      <c r="M22" s="470"/>
      <c r="N22" s="470"/>
      <c r="O22" s="470"/>
      <c r="P22" s="471"/>
      <c r="Q22" s="472"/>
      <c r="R22" s="473"/>
      <c r="S22" s="474"/>
      <c r="T22" s="475"/>
      <c r="U22" s="470"/>
      <c r="V22" s="476"/>
      <c r="W22" s="55"/>
    </row>
    <row r="23" spans="2:23" s="8" customFormat="1" ht="16.5" customHeight="1">
      <c r="B23" s="53"/>
      <c r="C23" s="140"/>
      <c r="D23" s="140"/>
      <c r="E23" s="140"/>
      <c r="F23" s="477"/>
      <c r="G23" s="477"/>
      <c r="H23" s="477"/>
      <c r="I23" s="478"/>
      <c r="J23" s="477"/>
      <c r="K23" s="477"/>
      <c r="L23" s="477"/>
      <c r="M23" s="477"/>
      <c r="N23" s="477"/>
      <c r="O23" s="477"/>
      <c r="P23" s="479"/>
      <c r="Q23" s="480"/>
      <c r="R23" s="481"/>
      <c r="S23" s="482"/>
      <c r="T23" s="483"/>
      <c r="U23" s="477"/>
      <c r="V23" s="484"/>
      <c r="W23" s="55"/>
    </row>
    <row r="24" spans="2:23" s="8" customFormat="1" ht="16.5" customHeight="1">
      <c r="B24" s="53"/>
      <c r="C24" s="140">
        <v>32</v>
      </c>
      <c r="D24" s="140">
        <v>282204</v>
      </c>
      <c r="E24" s="159">
        <v>2795</v>
      </c>
      <c r="F24" s="485" t="s">
        <v>214</v>
      </c>
      <c r="G24" s="485" t="s">
        <v>215</v>
      </c>
      <c r="H24" s="486">
        <v>132</v>
      </c>
      <c r="I24" s="487">
        <f aca="true" t="shared" si="0" ref="I24:I45">IF(H24=500,$G$17,IF(H24=220,$G$18,$G$19))</f>
        <v>189.391</v>
      </c>
      <c r="J24" s="488">
        <v>41976.34930555556</v>
      </c>
      <c r="K24" s="489">
        <v>41976.66180555556</v>
      </c>
      <c r="L24" s="490">
        <f aca="true" t="shared" si="1" ref="L24:L45">IF(F24="","",(K24-J24)*24)</f>
        <v>7.5</v>
      </c>
      <c r="M24" s="491">
        <f aca="true" t="shared" si="2" ref="M24:M45">IF(F24="","",ROUND((K24-J24)*24*60,0))</f>
        <v>450</v>
      </c>
      <c r="N24" s="168" t="s">
        <v>198</v>
      </c>
      <c r="O24" s="170" t="str">
        <f aca="true" t="shared" si="3" ref="O24:O45">IF(F24="","",IF(N24="P","--","NO"))</f>
        <v>--</v>
      </c>
      <c r="P24" s="492">
        <f aca="true" t="shared" si="4" ref="P24:P45">IF(H24=500,$H$17,IF(H24=220,$H$18,$H$19))</f>
        <v>40</v>
      </c>
      <c r="Q24" s="493">
        <f aca="true" t="shared" si="5" ref="Q24:Q45">IF(N24="P",I24*P24*ROUND(M24/60,2)*0.1,"--")</f>
        <v>5681.73</v>
      </c>
      <c r="R24" s="481" t="str">
        <f aca="true" t="shared" si="6" ref="R24:R45">IF(AND(N24="F",O24="NO"),I24*P24,"--")</f>
        <v>--</v>
      </c>
      <c r="S24" s="482" t="str">
        <f aca="true" t="shared" si="7" ref="S24:S45">IF(N24="F",I24*P24*ROUND(M24/60,2),"--")</f>
        <v>--</v>
      </c>
      <c r="T24" s="483" t="str">
        <f aca="true" t="shared" si="8" ref="T24:T45">IF(N24="RF",I24*P24*ROUND(M24/60,2),"--")</f>
        <v>--</v>
      </c>
      <c r="U24" s="170" t="s">
        <v>81</v>
      </c>
      <c r="V24" s="494">
        <f aca="true" t="shared" si="9" ref="V24:V45">IF(F24="","",SUM(Q24:T24)*IF(U24="SI",1,2))</f>
        <v>5681.73</v>
      </c>
      <c r="W24" s="55"/>
    </row>
    <row r="25" spans="2:23" s="8" customFormat="1" ht="16.5" customHeight="1">
      <c r="B25" s="53"/>
      <c r="C25" s="140">
        <v>33</v>
      </c>
      <c r="D25" s="140">
        <v>282213</v>
      </c>
      <c r="E25" s="140">
        <v>100</v>
      </c>
      <c r="F25" s="485" t="s">
        <v>216</v>
      </c>
      <c r="G25" s="485" t="s">
        <v>217</v>
      </c>
      <c r="H25" s="486">
        <v>500</v>
      </c>
      <c r="I25" s="487">
        <f t="shared" si="0"/>
        <v>236.734</v>
      </c>
      <c r="J25" s="488">
        <v>41978.70625</v>
      </c>
      <c r="K25" s="489">
        <v>41978.71041666667</v>
      </c>
      <c r="L25" s="490">
        <f t="shared" si="1"/>
        <v>0.09999999997671694</v>
      </c>
      <c r="M25" s="491">
        <f t="shared" si="2"/>
        <v>6</v>
      </c>
      <c r="N25" s="168" t="s">
        <v>194</v>
      </c>
      <c r="O25" s="170" t="s">
        <v>81</v>
      </c>
      <c r="P25" s="492">
        <f t="shared" si="4"/>
        <v>200</v>
      </c>
      <c r="Q25" s="493" t="str">
        <f t="shared" si="5"/>
        <v>--</v>
      </c>
      <c r="R25" s="481" t="str">
        <f t="shared" si="6"/>
        <v>--</v>
      </c>
      <c r="S25" s="482">
        <f t="shared" si="7"/>
        <v>4734.68</v>
      </c>
      <c r="T25" s="483" t="str">
        <f t="shared" si="8"/>
        <v>--</v>
      </c>
      <c r="U25" s="170" t="s">
        <v>81</v>
      </c>
      <c r="V25" s="494">
        <f t="shared" si="9"/>
        <v>4734.68</v>
      </c>
      <c r="W25" s="55"/>
    </row>
    <row r="26" spans="2:23" s="8" customFormat="1" ht="16.5" customHeight="1">
      <c r="B26" s="53"/>
      <c r="C26" s="140">
        <v>34</v>
      </c>
      <c r="D26" s="140">
        <v>282217</v>
      </c>
      <c r="E26" s="159">
        <v>3266</v>
      </c>
      <c r="F26" s="485" t="s">
        <v>218</v>
      </c>
      <c r="G26" s="485" t="s">
        <v>219</v>
      </c>
      <c r="H26" s="486">
        <v>132</v>
      </c>
      <c r="I26" s="487">
        <f t="shared" si="0"/>
        <v>189.391</v>
      </c>
      <c r="J26" s="488">
        <v>41979.57847222222</v>
      </c>
      <c r="K26" s="489">
        <v>41979.99513888889</v>
      </c>
      <c r="L26" s="490">
        <f t="shared" si="1"/>
        <v>9.999999999941792</v>
      </c>
      <c r="M26" s="491">
        <f t="shared" si="2"/>
        <v>600</v>
      </c>
      <c r="N26" s="168" t="s">
        <v>198</v>
      </c>
      <c r="O26" s="170" t="str">
        <f t="shared" si="3"/>
        <v>--</v>
      </c>
      <c r="P26" s="492">
        <f t="shared" si="4"/>
        <v>40</v>
      </c>
      <c r="Q26" s="493">
        <f t="shared" si="5"/>
        <v>7575.639999999999</v>
      </c>
      <c r="R26" s="481" t="str">
        <f t="shared" si="6"/>
        <v>--</v>
      </c>
      <c r="S26" s="482" t="str">
        <f t="shared" si="7"/>
        <v>--</v>
      </c>
      <c r="T26" s="483" t="str">
        <f t="shared" si="8"/>
        <v>--</v>
      </c>
      <c r="U26" s="170" t="s">
        <v>81</v>
      </c>
      <c r="V26" s="494">
        <v>0</v>
      </c>
      <c r="W26" s="55"/>
    </row>
    <row r="27" spans="2:23" s="8" customFormat="1" ht="16.5" customHeight="1">
      <c r="B27" s="53"/>
      <c r="C27" s="140">
        <v>35</v>
      </c>
      <c r="D27" s="140">
        <v>282227</v>
      </c>
      <c r="E27" s="140">
        <v>100</v>
      </c>
      <c r="F27" s="485" t="s">
        <v>216</v>
      </c>
      <c r="G27" s="485" t="s">
        <v>217</v>
      </c>
      <c r="H27" s="486">
        <v>500</v>
      </c>
      <c r="I27" s="487">
        <f t="shared" si="0"/>
        <v>236.734</v>
      </c>
      <c r="J27" s="488">
        <v>41980.03611111111</v>
      </c>
      <c r="K27" s="489">
        <v>41980.049305555556</v>
      </c>
      <c r="L27" s="490">
        <f t="shared" si="1"/>
        <v>0.3166666666511446</v>
      </c>
      <c r="M27" s="491">
        <f t="shared" si="2"/>
        <v>19</v>
      </c>
      <c r="N27" s="168" t="s">
        <v>194</v>
      </c>
      <c r="O27" s="170" t="s">
        <v>81</v>
      </c>
      <c r="P27" s="492">
        <f t="shared" si="4"/>
        <v>200</v>
      </c>
      <c r="Q27" s="493" t="str">
        <f t="shared" si="5"/>
        <v>--</v>
      </c>
      <c r="R27" s="481" t="str">
        <f t="shared" si="6"/>
        <v>--</v>
      </c>
      <c r="S27" s="482">
        <f t="shared" si="7"/>
        <v>15150.976</v>
      </c>
      <c r="T27" s="483" t="str">
        <f t="shared" si="8"/>
        <v>--</v>
      </c>
      <c r="U27" s="170" t="s">
        <v>81</v>
      </c>
      <c r="V27" s="494">
        <f t="shared" si="9"/>
        <v>15150.976</v>
      </c>
      <c r="W27" s="55"/>
    </row>
    <row r="28" spans="2:23" s="8" customFormat="1" ht="16.5" customHeight="1">
      <c r="B28" s="53"/>
      <c r="C28" s="140">
        <v>36</v>
      </c>
      <c r="D28" s="140">
        <v>282219</v>
      </c>
      <c r="E28" s="159">
        <v>96</v>
      </c>
      <c r="F28" s="485" t="s">
        <v>220</v>
      </c>
      <c r="G28" s="485" t="s">
        <v>221</v>
      </c>
      <c r="H28" s="486">
        <v>132</v>
      </c>
      <c r="I28" s="487">
        <f t="shared" si="0"/>
        <v>189.391</v>
      </c>
      <c r="J28" s="488">
        <v>41980.26666666667</v>
      </c>
      <c r="K28" s="489">
        <v>41980.50208333333</v>
      </c>
      <c r="L28" s="490">
        <f t="shared" si="1"/>
        <v>5.649999999906868</v>
      </c>
      <c r="M28" s="491">
        <f t="shared" si="2"/>
        <v>339</v>
      </c>
      <c r="N28" s="168" t="s">
        <v>198</v>
      </c>
      <c r="O28" s="170" t="str">
        <f t="shared" si="3"/>
        <v>--</v>
      </c>
      <c r="P28" s="492">
        <f t="shared" si="4"/>
        <v>40</v>
      </c>
      <c r="Q28" s="493">
        <f t="shared" si="5"/>
        <v>4280.2366</v>
      </c>
      <c r="R28" s="481" t="str">
        <f t="shared" si="6"/>
        <v>--</v>
      </c>
      <c r="S28" s="482" t="str">
        <f t="shared" si="7"/>
        <v>--</v>
      </c>
      <c r="T28" s="483" t="str">
        <f t="shared" si="8"/>
        <v>--</v>
      </c>
      <c r="U28" s="170" t="s">
        <v>81</v>
      </c>
      <c r="V28" s="494">
        <v>0</v>
      </c>
      <c r="W28" s="55"/>
    </row>
    <row r="29" spans="2:23" s="8" customFormat="1" ht="16.5" customHeight="1">
      <c r="B29" s="53"/>
      <c r="C29" s="140">
        <v>37</v>
      </c>
      <c r="D29" s="140">
        <v>282220</v>
      </c>
      <c r="E29" s="140">
        <v>2794</v>
      </c>
      <c r="F29" s="485" t="s">
        <v>214</v>
      </c>
      <c r="G29" s="485" t="s">
        <v>222</v>
      </c>
      <c r="H29" s="486">
        <v>132</v>
      </c>
      <c r="I29" s="487">
        <f t="shared" si="0"/>
        <v>189.391</v>
      </c>
      <c r="J29" s="488">
        <v>41980.30625</v>
      </c>
      <c r="K29" s="489">
        <v>41980.52847222222</v>
      </c>
      <c r="L29" s="490">
        <f t="shared" si="1"/>
        <v>5.333333333255723</v>
      </c>
      <c r="M29" s="491">
        <f t="shared" si="2"/>
        <v>320</v>
      </c>
      <c r="N29" s="168" t="s">
        <v>198</v>
      </c>
      <c r="O29" s="170" t="str">
        <f t="shared" si="3"/>
        <v>--</v>
      </c>
      <c r="P29" s="492">
        <f t="shared" si="4"/>
        <v>40</v>
      </c>
      <c r="Q29" s="493">
        <f t="shared" si="5"/>
        <v>4037.8161199999995</v>
      </c>
      <c r="R29" s="481" t="str">
        <f t="shared" si="6"/>
        <v>--</v>
      </c>
      <c r="S29" s="482" t="str">
        <f t="shared" si="7"/>
        <v>--</v>
      </c>
      <c r="T29" s="483" t="str">
        <f t="shared" si="8"/>
        <v>--</v>
      </c>
      <c r="U29" s="170" t="s">
        <v>81</v>
      </c>
      <c r="V29" s="494">
        <v>0</v>
      </c>
      <c r="W29" s="55"/>
    </row>
    <row r="30" spans="2:23" s="8" customFormat="1" ht="16.5" customHeight="1">
      <c r="B30" s="53"/>
      <c r="C30" s="140">
        <v>38</v>
      </c>
      <c r="D30" s="140">
        <v>282221</v>
      </c>
      <c r="E30" s="159">
        <v>2646</v>
      </c>
      <c r="F30" s="485" t="s">
        <v>223</v>
      </c>
      <c r="G30" s="485" t="s">
        <v>224</v>
      </c>
      <c r="H30" s="486">
        <v>132</v>
      </c>
      <c r="I30" s="487">
        <f t="shared" si="0"/>
        <v>189.391</v>
      </c>
      <c r="J30" s="488">
        <v>41980.32152777778</v>
      </c>
      <c r="K30" s="489">
        <v>41980.73819444444</v>
      </c>
      <c r="L30" s="490">
        <f t="shared" si="1"/>
        <v>9.999999999941792</v>
      </c>
      <c r="M30" s="491">
        <f t="shared" si="2"/>
        <v>600</v>
      </c>
      <c r="N30" s="168" t="s">
        <v>198</v>
      </c>
      <c r="O30" s="170" t="str">
        <f t="shared" si="3"/>
        <v>--</v>
      </c>
      <c r="P30" s="492">
        <f t="shared" si="4"/>
        <v>40</v>
      </c>
      <c r="Q30" s="493">
        <f t="shared" si="5"/>
        <v>7575.639999999999</v>
      </c>
      <c r="R30" s="481" t="str">
        <f t="shared" si="6"/>
        <v>--</v>
      </c>
      <c r="S30" s="482" t="str">
        <f t="shared" si="7"/>
        <v>--</v>
      </c>
      <c r="T30" s="483" t="str">
        <f t="shared" si="8"/>
        <v>--</v>
      </c>
      <c r="U30" s="170" t="s">
        <v>81</v>
      </c>
      <c r="V30" s="494">
        <v>0</v>
      </c>
      <c r="W30" s="55"/>
    </row>
    <row r="31" spans="2:23" s="8" customFormat="1" ht="16.5" customHeight="1">
      <c r="B31" s="53"/>
      <c r="C31" s="140">
        <v>39</v>
      </c>
      <c r="D31" s="140">
        <v>282222</v>
      </c>
      <c r="E31" s="140">
        <v>2690</v>
      </c>
      <c r="F31" s="485" t="s">
        <v>223</v>
      </c>
      <c r="G31" s="485" t="s">
        <v>225</v>
      </c>
      <c r="H31" s="486">
        <v>132</v>
      </c>
      <c r="I31" s="487">
        <f t="shared" si="0"/>
        <v>189.391</v>
      </c>
      <c r="J31" s="488">
        <v>41980.34722222222</v>
      </c>
      <c r="K31" s="489">
        <v>41980.52847222222</v>
      </c>
      <c r="L31" s="490">
        <f t="shared" si="1"/>
        <v>4.350000000034925</v>
      </c>
      <c r="M31" s="491">
        <f t="shared" si="2"/>
        <v>261</v>
      </c>
      <c r="N31" s="168" t="s">
        <v>198</v>
      </c>
      <c r="O31" s="170" t="str">
        <f t="shared" si="3"/>
        <v>--</v>
      </c>
      <c r="P31" s="492">
        <f t="shared" si="4"/>
        <v>40</v>
      </c>
      <c r="Q31" s="493">
        <f t="shared" si="5"/>
        <v>3295.4033999999992</v>
      </c>
      <c r="R31" s="481" t="str">
        <f t="shared" si="6"/>
        <v>--</v>
      </c>
      <c r="S31" s="482" t="str">
        <f t="shared" si="7"/>
        <v>--</v>
      </c>
      <c r="T31" s="483" t="str">
        <f t="shared" si="8"/>
        <v>--</v>
      </c>
      <c r="U31" s="170" t="s">
        <v>81</v>
      </c>
      <c r="V31" s="494">
        <f t="shared" si="9"/>
        <v>3295.4033999999992</v>
      </c>
      <c r="W31" s="55"/>
    </row>
    <row r="32" spans="2:23" s="8" customFormat="1" ht="16.5" customHeight="1">
      <c r="B32" s="53"/>
      <c r="C32" s="140">
        <v>40</v>
      </c>
      <c r="D32" s="140">
        <v>282560</v>
      </c>
      <c r="E32" s="159">
        <v>119</v>
      </c>
      <c r="F32" s="485" t="s">
        <v>226</v>
      </c>
      <c r="G32" s="485" t="s">
        <v>227</v>
      </c>
      <c r="H32" s="486">
        <v>132</v>
      </c>
      <c r="I32" s="487">
        <f t="shared" si="0"/>
        <v>189.391</v>
      </c>
      <c r="J32" s="488">
        <v>41983.364583333336</v>
      </c>
      <c r="K32" s="489">
        <v>41983.490277777775</v>
      </c>
      <c r="L32" s="490">
        <f t="shared" si="1"/>
        <v>3.016666666546371</v>
      </c>
      <c r="M32" s="491">
        <f t="shared" si="2"/>
        <v>181</v>
      </c>
      <c r="N32" s="168" t="s">
        <v>198</v>
      </c>
      <c r="O32" s="170" t="str">
        <f t="shared" si="3"/>
        <v>--</v>
      </c>
      <c r="P32" s="492">
        <f t="shared" si="4"/>
        <v>40</v>
      </c>
      <c r="Q32" s="493">
        <f t="shared" si="5"/>
        <v>2287.84328</v>
      </c>
      <c r="R32" s="481" t="str">
        <f t="shared" si="6"/>
        <v>--</v>
      </c>
      <c r="S32" s="482" t="str">
        <f t="shared" si="7"/>
        <v>--</v>
      </c>
      <c r="T32" s="483" t="str">
        <f t="shared" si="8"/>
        <v>--</v>
      </c>
      <c r="U32" s="170" t="s">
        <v>81</v>
      </c>
      <c r="V32" s="494">
        <f t="shared" si="9"/>
        <v>2287.84328</v>
      </c>
      <c r="W32" s="55"/>
    </row>
    <row r="33" spans="2:23" s="8" customFormat="1" ht="16.5" customHeight="1">
      <c r="B33" s="53"/>
      <c r="C33" s="140">
        <v>41</v>
      </c>
      <c r="D33" s="140">
        <v>282566</v>
      </c>
      <c r="E33" s="140">
        <v>2600</v>
      </c>
      <c r="F33" s="485" t="s">
        <v>228</v>
      </c>
      <c r="G33" s="485" t="s">
        <v>229</v>
      </c>
      <c r="H33" s="486">
        <v>500</v>
      </c>
      <c r="I33" s="487">
        <f t="shared" si="0"/>
        <v>236.734</v>
      </c>
      <c r="J33" s="488">
        <v>41984.43958333333</v>
      </c>
      <c r="K33" s="489">
        <v>41984.54583333333</v>
      </c>
      <c r="L33" s="490">
        <f t="shared" si="1"/>
        <v>2.549999999930151</v>
      </c>
      <c r="M33" s="491">
        <f t="shared" si="2"/>
        <v>153</v>
      </c>
      <c r="N33" s="168" t="s">
        <v>198</v>
      </c>
      <c r="O33" s="170" t="str">
        <f t="shared" si="3"/>
        <v>--</v>
      </c>
      <c r="P33" s="492">
        <f t="shared" si="4"/>
        <v>200</v>
      </c>
      <c r="Q33" s="493">
        <f t="shared" si="5"/>
        <v>12073.434000000001</v>
      </c>
      <c r="R33" s="481" t="str">
        <f t="shared" si="6"/>
        <v>--</v>
      </c>
      <c r="S33" s="482" t="str">
        <f t="shared" si="7"/>
        <v>--</v>
      </c>
      <c r="T33" s="483" t="str">
        <f t="shared" si="8"/>
        <v>--</v>
      </c>
      <c r="U33" s="170" t="s">
        <v>81</v>
      </c>
      <c r="V33" s="494">
        <v>0</v>
      </c>
      <c r="W33" s="55"/>
    </row>
    <row r="34" spans="2:23" s="8" customFormat="1" ht="16.5" customHeight="1">
      <c r="B34" s="53"/>
      <c r="C34" s="140">
        <v>42</v>
      </c>
      <c r="D34" s="140">
        <v>282568</v>
      </c>
      <c r="E34" s="159">
        <v>2601</v>
      </c>
      <c r="F34" s="485" t="s">
        <v>228</v>
      </c>
      <c r="G34" s="485" t="s">
        <v>230</v>
      </c>
      <c r="H34" s="486">
        <v>500</v>
      </c>
      <c r="I34" s="487">
        <f t="shared" si="0"/>
        <v>236.734</v>
      </c>
      <c r="J34" s="488">
        <v>41984.56527777778</v>
      </c>
      <c r="K34" s="489">
        <v>41984.71041666667</v>
      </c>
      <c r="L34" s="490">
        <f t="shared" si="1"/>
        <v>3.483333333337214</v>
      </c>
      <c r="M34" s="491">
        <f t="shared" si="2"/>
        <v>209</v>
      </c>
      <c r="N34" s="168" t="s">
        <v>198</v>
      </c>
      <c r="O34" s="170" t="str">
        <f t="shared" si="3"/>
        <v>--</v>
      </c>
      <c r="P34" s="492">
        <f t="shared" si="4"/>
        <v>200</v>
      </c>
      <c r="Q34" s="493">
        <f t="shared" si="5"/>
        <v>16476.686400000002</v>
      </c>
      <c r="R34" s="481" t="str">
        <f t="shared" si="6"/>
        <v>--</v>
      </c>
      <c r="S34" s="482" t="str">
        <f t="shared" si="7"/>
        <v>--</v>
      </c>
      <c r="T34" s="483" t="str">
        <f t="shared" si="8"/>
        <v>--</v>
      </c>
      <c r="U34" s="170" t="s">
        <v>81</v>
      </c>
      <c r="V34" s="494">
        <v>0</v>
      </c>
      <c r="W34" s="55"/>
    </row>
    <row r="35" spans="2:23" s="8" customFormat="1" ht="16.5" customHeight="1">
      <c r="B35" s="53"/>
      <c r="C35" s="140">
        <v>43</v>
      </c>
      <c r="D35" s="140">
        <v>282572</v>
      </c>
      <c r="E35" s="140">
        <v>130</v>
      </c>
      <c r="F35" s="485" t="s">
        <v>231</v>
      </c>
      <c r="G35" s="485" t="s">
        <v>232</v>
      </c>
      <c r="H35" s="486">
        <v>132</v>
      </c>
      <c r="I35" s="487">
        <f t="shared" si="0"/>
        <v>189.391</v>
      </c>
      <c r="J35" s="488">
        <v>41985.16388888889</v>
      </c>
      <c r="K35" s="489">
        <v>41985.498611111114</v>
      </c>
      <c r="L35" s="490">
        <f t="shared" si="1"/>
        <v>8.033333333325572</v>
      </c>
      <c r="M35" s="491">
        <f t="shared" si="2"/>
        <v>482</v>
      </c>
      <c r="N35" s="168" t="s">
        <v>198</v>
      </c>
      <c r="O35" s="170" t="str">
        <f t="shared" si="3"/>
        <v>--</v>
      </c>
      <c r="P35" s="492">
        <f t="shared" si="4"/>
        <v>40</v>
      </c>
      <c r="Q35" s="493">
        <f t="shared" si="5"/>
        <v>6083.23892</v>
      </c>
      <c r="R35" s="481" t="str">
        <f t="shared" si="6"/>
        <v>--</v>
      </c>
      <c r="S35" s="482" t="str">
        <f t="shared" si="7"/>
        <v>--</v>
      </c>
      <c r="T35" s="483" t="str">
        <f t="shared" si="8"/>
        <v>--</v>
      </c>
      <c r="U35" s="170" t="s">
        <v>81</v>
      </c>
      <c r="V35" s="494">
        <v>0</v>
      </c>
      <c r="W35" s="55"/>
    </row>
    <row r="36" spans="2:23" s="8" customFormat="1" ht="16.5" customHeight="1">
      <c r="B36" s="53"/>
      <c r="C36" s="140">
        <v>44</v>
      </c>
      <c r="D36" s="140">
        <v>282578</v>
      </c>
      <c r="E36" s="159">
        <v>5234</v>
      </c>
      <c r="F36" s="485" t="s">
        <v>270</v>
      </c>
      <c r="G36" s="485" t="s">
        <v>271</v>
      </c>
      <c r="H36" s="1027">
        <v>500</v>
      </c>
      <c r="I36" s="487">
        <f t="shared" si="0"/>
        <v>236.734</v>
      </c>
      <c r="J36" s="488">
        <v>41986.44027777778</v>
      </c>
      <c r="K36" s="489">
        <v>41986.4875</v>
      </c>
      <c r="L36" s="490">
        <f t="shared" si="1"/>
        <v>1.133333333360497</v>
      </c>
      <c r="M36" s="491">
        <f t="shared" si="2"/>
        <v>68</v>
      </c>
      <c r="N36" s="168" t="s">
        <v>198</v>
      </c>
      <c r="O36" s="170" t="str">
        <f t="shared" si="3"/>
        <v>--</v>
      </c>
      <c r="P36" s="492">
        <f t="shared" si="4"/>
        <v>200</v>
      </c>
      <c r="Q36" s="493">
        <f t="shared" si="5"/>
        <v>5350.1884</v>
      </c>
      <c r="R36" s="481" t="str">
        <f t="shared" si="6"/>
        <v>--</v>
      </c>
      <c r="S36" s="482" t="str">
        <f t="shared" si="7"/>
        <v>--</v>
      </c>
      <c r="T36" s="483" t="str">
        <f t="shared" si="8"/>
        <v>--</v>
      </c>
      <c r="U36" s="170" t="s">
        <v>81</v>
      </c>
      <c r="V36" s="494">
        <v>0</v>
      </c>
      <c r="W36" s="55"/>
    </row>
    <row r="37" spans="2:23" s="8" customFormat="1" ht="16.5" customHeight="1">
      <c r="B37" s="53"/>
      <c r="C37" s="140">
        <v>45</v>
      </c>
      <c r="D37" s="140">
        <v>282579</v>
      </c>
      <c r="E37" s="140">
        <v>113</v>
      </c>
      <c r="F37" s="485" t="s">
        <v>233</v>
      </c>
      <c r="G37" s="485" t="s">
        <v>234</v>
      </c>
      <c r="H37" s="486">
        <v>132</v>
      </c>
      <c r="I37" s="487">
        <f t="shared" si="0"/>
        <v>189.391</v>
      </c>
      <c r="J37" s="488">
        <v>41987.32777777778</v>
      </c>
      <c r="K37" s="489">
        <v>41987.407638888886</v>
      </c>
      <c r="L37" s="490">
        <f t="shared" si="1"/>
        <v>1.9166666666278616</v>
      </c>
      <c r="M37" s="491">
        <f t="shared" si="2"/>
        <v>115</v>
      </c>
      <c r="N37" s="168" t="s">
        <v>198</v>
      </c>
      <c r="O37" s="170" t="str">
        <f t="shared" si="3"/>
        <v>--</v>
      </c>
      <c r="P37" s="492">
        <f t="shared" si="4"/>
        <v>40</v>
      </c>
      <c r="Q37" s="493">
        <f t="shared" si="5"/>
        <v>1454.52288</v>
      </c>
      <c r="R37" s="481" t="str">
        <f t="shared" si="6"/>
        <v>--</v>
      </c>
      <c r="S37" s="482" t="str">
        <f t="shared" si="7"/>
        <v>--</v>
      </c>
      <c r="T37" s="483" t="str">
        <f t="shared" si="8"/>
        <v>--</v>
      </c>
      <c r="U37" s="170" t="s">
        <v>81</v>
      </c>
      <c r="V37" s="494">
        <f t="shared" si="9"/>
        <v>1454.52288</v>
      </c>
      <c r="W37" s="55"/>
    </row>
    <row r="38" spans="2:23" s="8" customFormat="1" ht="16.5" customHeight="1">
      <c r="B38" s="53"/>
      <c r="C38" s="140">
        <v>46</v>
      </c>
      <c r="D38" s="140">
        <v>282581</v>
      </c>
      <c r="E38" s="159">
        <v>2647</v>
      </c>
      <c r="F38" s="485" t="s">
        <v>233</v>
      </c>
      <c r="G38" s="485" t="s">
        <v>235</v>
      </c>
      <c r="H38" s="486">
        <v>132</v>
      </c>
      <c r="I38" s="487">
        <f t="shared" si="0"/>
        <v>189.391</v>
      </c>
      <c r="J38" s="488">
        <v>41987.41180555556</v>
      </c>
      <c r="K38" s="489">
        <v>41987.501388888886</v>
      </c>
      <c r="L38" s="490">
        <f t="shared" si="1"/>
        <v>2.14999999984866</v>
      </c>
      <c r="M38" s="491">
        <f t="shared" si="2"/>
        <v>129</v>
      </c>
      <c r="N38" s="168" t="s">
        <v>198</v>
      </c>
      <c r="O38" s="170" t="str">
        <f t="shared" si="3"/>
        <v>--</v>
      </c>
      <c r="P38" s="492">
        <f t="shared" si="4"/>
        <v>40</v>
      </c>
      <c r="Q38" s="493">
        <f t="shared" si="5"/>
        <v>1628.7626</v>
      </c>
      <c r="R38" s="481" t="str">
        <f t="shared" si="6"/>
        <v>--</v>
      </c>
      <c r="S38" s="482" t="str">
        <f t="shared" si="7"/>
        <v>--</v>
      </c>
      <c r="T38" s="483" t="str">
        <f t="shared" si="8"/>
        <v>--</v>
      </c>
      <c r="U38" s="170" t="s">
        <v>81</v>
      </c>
      <c r="V38" s="494">
        <f t="shared" si="9"/>
        <v>1628.7626</v>
      </c>
      <c r="W38" s="55"/>
    </row>
    <row r="39" spans="2:23" s="8" customFormat="1" ht="16.5" customHeight="1">
      <c r="B39" s="53"/>
      <c r="C39" s="140">
        <v>47</v>
      </c>
      <c r="D39" s="140">
        <v>282583</v>
      </c>
      <c r="E39" s="140">
        <v>95</v>
      </c>
      <c r="F39" s="485" t="s">
        <v>236</v>
      </c>
      <c r="G39" s="485" t="s">
        <v>237</v>
      </c>
      <c r="H39" s="486">
        <v>132</v>
      </c>
      <c r="I39" s="487">
        <f t="shared" si="0"/>
        <v>189.391</v>
      </c>
      <c r="J39" s="488">
        <v>41987.68541666667</v>
      </c>
      <c r="K39" s="489">
        <v>41987.910416666666</v>
      </c>
      <c r="L39" s="490">
        <f t="shared" si="1"/>
        <v>5.399999999965075</v>
      </c>
      <c r="M39" s="491">
        <f t="shared" si="2"/>
        <v>324</v>
      </c>
      <c r="N39" s="168" t="s">
        <v>194</v>
      </c>
      <c r="O39" s="170" t="str">
        <f t="shared" si="3"/>
        <v>NO</v>
      </c>
      <c r="P39" s="492">
        <f t="shared" si="4"/>
        <v>40</v>
      </c>
      <c r="Q39" s="493" t="str">
        <f t="shared" si="5"/>
        <v>--</v>
      </c>
      <c r="R39" s="481">
        <f t="shared" si="6"/>
        <v>7575.639999999999</v>
      </c>
      <c r="S39" s="482">
        <f t="shared" si="7"/>
        <v>40908.456</v>
      </c>
      <c r="T39" s="483" t="str">
        <f t="shared" si="8"/>
        <v>--</v>
      </c>
      <c r="U39" s="170" t="s">
        <v>81</v>
      </c>
      <c r="V39" s="494">
        <f t="shared" si="9"/>
        <v>48484.096</v>
      </c>
      <c r="W39" s="55"/>
    </row>
    <row r="40" spans="2:23" s="8" customFormat="1" ht="16.5" customHeight="1">
      <c r="B40" s="53"/>
      <c r="C40" s="140">
        <v>48</v>
      </c>
      <c r="D40" s="140">
        <v>283010</v>
      </c>
      <c r="E40" s="159">
        <v>118</v>
      </c>
      <c r="F40" s="485" t="s">
        <v>226</v>
      </c>
      <c r="G40" s="485" t="s">
        <v>238</v>
      </c>
      <c r="H40" s="486">
        <v>132</v>
      </c>
      <c r="I40" s="487">
        <f t="shared" si="0"/>
        <v>189.391</v>
      </c>
      <c r="J40" s="488">
        <v>41990.31736111111</v>
      </c>
      <c r="K40" s="489">
        <v>41990.614583333336</v>
      </c>
      <c r="L40" s="490">
        <f t="shared" si="1"/>
        <v>7.133333333360497</v>
      </c>
      <c r="M40" s="491">
        <f t="shared" si="2"/>
        <v>428</v>
      </c>
      <c r="N40" s="168" t="s">
        <v>198</v>
      </c>
      <c r="O40" s="170" t="str">
        <f t="shared" si="3"/>
        <v>--</v>
      </c>
      <c r="P40" s="492">
        <f t="shared" si="4"/>
        <v>40</v>
      </c>
      <c r="Q40" s="493">
        <f t="shared" si="5"/>
        <v>5401.43132</v>
      </c>
      <c r="R40" s="481" t="str">
        <f t="shared" si="6"/>
        <v>--</v>
      </c>
      <c r="S40" s="482" t="str">
        <f t="shared" si="7"/>
        <v>--</v>
      </c>
      <c r="T40" s="483" t="str">
        <f t="shared" si="8"/>
        <v>--</v>
      </c>
      <c r="U40" s="170" t="s">
        <v>81</v>
      </c>
      <c r="V40" s="494">
        <f t="shared" si="9"/>
        <v>5401.43132</v>
      </c>
      <c r="W40" s="55"/>
    </row>
    <row r="41" spans="2:23" s="8" customFormat="1" ht="16.5" customHeight="1">
      <c r="B41" s="53"/>
      <c r="C41" s="140">
        <v>49</v>
      </c>
      <c r="D41" s="140">
        <v>282788</v>
      </c>
      <c r="E41" s="140">
        <v>139</v>
      </c>
      <c r="F41" s="485" t="s">
        <v>239</v>
      </c>
      <c r="G41" s="485" t="s">
        <v>240</v>
      </c>
      <c r="H41" s="486">
        <v>132</v>
      </c>
      <c r="I41" s="487">
        <f t="shared" si="0"/>
        <v>189.391</v>
      </c>
      <c r="J41" s="488">
        <v>41992.36319444444</v>
      </c>
      <c r="K41" s="489">
        <v>41992.38611111111</v>
      </c>
      <c r="L41" s="490">
        <f t="shared" si="1"/>
        <v>0.5500000000465661</v>
      </c>
      <c r="M41" s="491">
        <f t="shared" si="2"/>
        <v>33</v>
      </c>
      <c r="N41" s="168" t="s">
        <v>198</v>
      </c>
      <c r="O41" s="170" t="str">
        <f t="shared" si="3"/>
        <v>--</v>
      </c>
      <c r="P41" s="492">
        <f t="shared" si="4"/>
        <v>40</v>
      </c>
      <c r="Q41" s="493">
        <f t="shared" si="5"/>
        <v>416.66020000000003</v>
      </c>
      <c r="R41" s="481" t="str">
        <f t="shared" si="6"/>
        <v>--</v>
      </c>
      <c r="S41" s="482" t="str">
        <f t="shared" si="7"/>
        <v>--</v>
      </c>
      <c r="T41" s="483" t="str">
        <f t="shared" si="8"/>
        <v>--</v>
      </c>
      <c r="U41" s="170" t="s">
        <v>81</v>
      </c>
      <c r="V41" s="494">
        <f t="shared" si="9"/>
        <v>416.66020000000003</v>
      </c>
      <c r="W41" s="55"/>
    </row>
    <row r="42" spans="2:23" s="8" customFormat="1" ht="16.5" customHeight="1">
      <c r="B42" s="53"/>
      <c r="C42" s="140">
        <v>50</v>
      </c>
      <c r="D42" s="140">
        <v>283022</v>
      </c>
      <c r="E42" s="159">
        <v>5211</v>
      </c>
      <c r="F42" s="485" t="s">
        <v>273</v>
      </c>
      <c r="G42" s="485" t="s">
        <v>272</v>
      </c>
      <c r="H42" s="1027">
        <v>132</v>
      </c>
      <c r="I42" s="487">
        <f t="shared" si="0"/>
        <v>189.391</v>
      </c>
      <c r="J42" s="488">
        <v>41999.60208333333</v>
      </c>
      <c r="K42" s="489">
        <v>41999.60555555556</v>
      </c>
      <c r="L42" s="490">
        <f t="shared" si="1"/>
        <v>0.0833333334303461</v>
      </c>
      <c r="M42" s="491">
        <f t="shared" si="2"/>
        <v>5</v>
      </c>
      <c r="N42" s="168" t="s">
        <v>194</v>
      </c>
      <c r="O42" s="170" t="str">
        <f t="shared" si="3"/>
        <v>NO</v>
      </c>
      <c r="P42" s="492">
        <f t="shared" si="4"/>
        <v>40</v>
      </c>
      <c r="Q42" s="493" t="str">
        <f t="shared" si="5"/>
        <v>--</v>
      </c>
      <c r="R42" s="481">
        <f t="shared" si="6"/>
        <v>7575.639999999999</v>
      </c>
      <c r="S42" s="482">
        <f t="shared" si="7"/>
        <v>606.0512</v>
      </c>
      <c r="T42" s="483" t="str">
        <f t="shared" si="8"/>
        <v>--</v>
      </c>
      <c r="U42" s="170" t="s">
        <v>81</v>
      </c>
      <c r="V42" s="494">
        <f t="shared" si="9"/>
        <v>8181.691199999999</v>
      </c>
      <c r="W42" s="55"/>
    </row>
    <row r="43" spans="2:23" s="8" customFormat="1" ht="16.5" customHeight="1">
      <c r="B43" s="53"/>
      <c r="C43" s="140">
        <v>51</v>
      </c>
      <c r="D43" s="140">
        <v>283023</v>
      </c>
      <c r="E43" s="159">
        <v>100</v>
      </c>
      <c r="F43" s="485" t="s">
        <v>216</v>
      </c>
      <c r="G43" s="485" t="s">
        <v>217</v>
      </c>
      <c r="H43" s="486">
        <v>500</v>
      </c>
      <c r="I43" s="487">
        <f t="shared" si="0"/>
        <v>236.734</v>
      </c>
      <c r="J43" s="488">
        <v>42000.54305555556</v>
      </c>
      <c r="K43" s="489">
        <v>42000.6125</v>
      </c>
      <c r="L43" s="490">
        <f t="shared" si="1"/>
        <v>1.6666666666860692</v>
      </c>
      <c r="M43" s="491">
        <f t="shared" si="2"/>
        <v>100</v>
      </c>
      <c r="N43" s="168" t="s">
        <v>194</v>
      </c>
      <c r="O43" s="170" t="s">
        <v>81</v>
      </c>
      <c r="P43" s="492">
        <f t="shared" si="4"/>
        <v>200</v>
      </c>
      <c r="Q43" s="493" t="str">
        <f t="shared" si="5"/>
        <v>--</v>
      </c>
      <c r="R43" s="481" t="str">
        <f t="shared" si="6"/>
        <v>--</v>
      </c>
      <c r="S43" s="482">
        <f t="shared" si="7"/>
        <v>79069.156</v>
      </c>
      <c r="T43" s="483" t="str">
        <f t="shared" si="8"/>
        <v>--</v>
      </c>
      <c r="U43" s="170" t="s">
        <v>81</v>
      </c>
      <c r="V43" s="494">
        <f t="shared" si="9"/>
        <v>79069.156</v>
      </c>
      <c r="W43" s="55"/>
    </row>
    <row r="44" spans="2:23" s="8" customFormat="1" ht="16.5" customHeight="1">
      <c r="B44" s="53"/>
      <c r="C44" s="140">
        <v>52</v>
      </c>
      <c r="D44" s="140">
        <v>283388</v>
      </c>
      <c r="E44" s="140">
        <v>129</v>
      </c>
      <c r="F44" s="485" t="s">
        <v>231</v>
      </c>
      <c r="G44" s="485" t="s">
        <v>241</v>
      </c>
      <c r="H44" s="486">
        <v>132</v>
      </c>
      <c r="I44" s="487">
        <f t="shared" si="0"/>
        <v>189.391</v>
      </c>
      <c r="J44" s="488">
        <v>42002.92986111111</v>
      </c>
      <c r="K44" s="489">
        <v>42002.93263888889</v>
      </c>
      <c r="L44" s="490">
        <f t="shared" si="1"/>
        <v>0.06666666670935228</v>
      </c>
      <c r="M44" s="491">
        <f t="shared" si="2"/>
        <v>4</v>
      </c>
      <c r="N44" s="168" t="s">
        <v>194</v>
      </c>
      <c r="O44" s="170" t="str">
        <f>IF(F44="","",IF(N44="P","--","NO"))</f>
        <v>NO</v>
      </c>
      <c r="P44" s="492">
        <f t="shared" si="4"/>
        <v>40</v>
      </c>
      <c r="Q44" s="493" t="str">
        <f t="shared" si="5"/>
        <v>--</v>
      </c>
      <c r="R44" s="481">
        <f t="shared" si="6"/>
        <v>7575.639999999999</v>
      </c>
      <c r="S44" s="482">
        <f t="shared" si="7"/>
        <v>530.2948</v>
      </c>
      <c r="T44" s="483" t="str">
        <f t="shared" si="8"/>
        <v>--</v>
      </c>
      <c r="U44" s="170" t="s">
        <v>81</v>
      </c>
      <c r="V44" s="494">
        <f t="shared" si="9"/>
        <v>8105.934799999999</v>
      </c>
      <c r="W44" s="55"/>
    </row>
    <row r="45" spans="2:23" s="8" customFormat="1" ht="16.5" customHeight="1">
      <c r="B45" s="53"/>
      <c r="C45" s="140"/>
      <c r="D45" s="140"/>
      <c r="E45" s="140"/>
      <c r="F45" s="485"/>
      <c r="G45" s="485"/>
      <c r="H45" s="486"/>
      <c r="I45" s="487">
        <f t="shared" si="0"/>
        <v>189.391</v>
      </c>
      <c r="J45" s="488"/>
      <c r="K45" s="489"/>
      <c r="L45" s="490">
        <f t="shared" si="1"/>
      </c>
      <c r="M45" s="491">
        <f t="shared" si="2"/>
      </c>
      <c r="N45" s="168"/>
      <c r="O45" s="170">
        <f t="shared" si="3"/>
      </c>
      <c r="P45" s="492">
        <f t="shared" si="4"/>
        <v>40</v>
      </c>
      <c r="Q45" s="493" t="str">
        <f t="shared" si="5"/>
        <v>--</v>
      </c>
      <c r="R45" s="481" t="str">
        <f t="shared" si="6"/>
        <v>--</v>
      </c>
      <c r="S45" s="482" t="str">
        <f t="shared" si="7"/>
        <v>--</v>
      </c>
      <c r="T45" s="483" t="str">
        <f t="shared" si="8"/>
        <v>--</v>
      </c>
      <c r="U45" s="170">
        <f>IF(F45="","","SI")</f>
      </c>
      <c r="V45" s="494">
        <f t="shared" si="9"/>
      </c>
      <c r="W45" s="55"/>
    </row>
    <row r="46" spans="2:23" s="8" customFormat="1" ht="16.5" customHeight="1" thickBot="1">
      <c r="B46" s="53"/>
      <c r="C46" s="198"/>
      <c r="D46" s="198"/>
      <c r="E46" s="198"/>
      <c r="F46" s="198"/>
      <c r="G46" s="198"/>
      <c r="H46" s="198"/>
      <c r="I46" s="382"/>
      <c r="J46" s="495"/>
      <c r="K46" s="495"/>
      <c r="L46" s="496"/>
      <c r="M46" s="496"/>
      <c r="N46" s="495"/>
      <c r="O46" s="205"/>
      <c r="P46" s="497"/>
      <c r="Q46" s="498"/>
      <c r="R46" s="499"/>
      <c r="S46" s="500"/>
      <c r="T46" s="501"/>
      <c r="U46" s="205"/>
      <c r="V46" s="502"/>
      <c r="W46" s="55"/>
    </row>
    <row r="47" spans="2:23" s="8" customFormat="1" ht="16.5" customHeight="1" thickBot="1" thickTop="1">
      <c r="B47" s="53"/>
      <c r="C47" s="219" t="s">
        <v>180</v>
      </c>
      <c r="D47" s="261"/>
      <c r="E47" s="219"/>
      <c r="F47" s="221"/>
      <c r="G47" s="9"/>
      <c r="H47" s="11"/>
      <c r="I47" s="11"/>
      <c r="J47" s="11"/>
      <c r="K47" s="11"/>
      <c r="L47" s="11"/>
      <c r="M47" s="11"/>
      <c r="N47" s="11"/>
      <c r="O47" s="11"/>
      <c r="P47" s="11"/>
      <c r="Q47" s="503">
        <f>SUM(Q22:Q46)</f>
        <v>83619.23412000001</v>
      </c>
      <c r="R47" s="504">
        <f>SUM(R22:R46)</f>
        <v>22726.92</v>
      </c>
      <c r="S47" s="505">
        <f>SUM(S22:S46)</f>
        <v>140999.614</v>
      </c>
      <c r="T47" s="506">
        <f>SUM(T22:T46)</f>
        <v>0</v>
      </c>
      <c r="U47" s="507"/>
      <c r="V47" s="508">
        <f>ROUND(SUM(V22:V46),2)</f>
        <v>183892.89</v>
      </c>
      <c r="W47" s="55"/>
    </row>
    <row r="48" spans="2:23" s="8" customFormat="1" ht="16.5" customHeight="1" thickBot="1" thickTop="1">
      <c r="B48" s="235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7"/>
    </row>
    <row r="49" spans="23:25" ht="16.5" customHeight="1" thickTop="1">
      <c r="W49" s="413"/>
      <c r="X49" s="413"/>
      <c r="Y49" s="413"/>
    </row>
    <row r="50" spans="23:25" ht="16.5" customHeight="1">
      <c r="W50" s="413"/>
      <c r="X50" s="413"/>
      <c r="Y50" s="413"/>
    </row>
    <row r="51" spans="23:25" ht="16.5" customHeight="1">
      <c r="W51" s="413"/>
      <c r="X51" s="413"/>
      <c r="Y51" s="413"/>
    </row>
    <row r="52" spans="23:25" ht="16.5" customHeight="1">
      <c r="W52" s="413"/>
      <c r="X52" s="413"/>
      <c r="Y52" s="413"/>
    </row>
    <row r="53" spans="23:25" ht="16.5" customHeight="1">
      <c r="W53" s="413"/>
      <c r="X53" s="413"/>
      <c r="Y53" s="413"/>
    </row>
    <row r="54" spans="6:25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</row>
    <row r="55" spans="6:25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</row>
    <row r="56" spans="6:25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</row>
    <row r="57" spans="6:25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</row>
    <row r="58" spans="6:25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</row>
    <row r="59" spans="6:25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</row>
    <row r="60" spans="6:25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</row>
    <row r="61" spans="6:25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</row>
    <row r="62" spans="6:25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</row>
    <row r="63" spans="6:25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</row>
    <row r="64" spans="6:25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</row>
    <row r="65" spans="6:25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</row>
    <row r="66" spans="6:25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</row>
    <row r="67" spans="6:25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</row>
    <row r="68" spans="6:25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</row>
    <row r="69" spans="6:25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</row>
    <row r="70" spans="6:25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</row>
    <row r="71" spans="6:25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</row>
    <row r="72" spans="6:25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</row>
    <row r="73" spans="6:25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</row>
    <row r="74" spans="6:25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</row>
    <row r="75" spans="6:25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6:25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</row>
    <row r="77" spans="6:25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</row>
    <row r="78" spans="6:25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</row>
    <row r="79" spans="6:25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</row>
    <row r="80" spans="6:25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</row>
    <row r="81" spans="6:25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</row>
    <row r="82" spans="6:25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</row>
    <row r="83" spans="6:25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</row>
    <row r="84" spans="6:25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</row>
    <row r="85" spans="6:25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</row>
    <row r="86" spans="6:25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</row>
    <row r="87" spans="6:25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</row>
    <row r="88" spans="6:25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</row>
    <row r="89" spans="6:25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</row>
    <row r="90" spans="6:25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</row>
    <row r="91" spans="6:25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</row>
    <row r="92" spans="6:25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</row>
    <row r="93" spans="6:25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</row>
    <row r="94" spans="6:25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</row>
    <row r="95" spans="6:25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</row>
    <row r="96" spans="6:25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</row>
    <row r="97" spans="6:25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</row>
    <row r="98" spans="6:25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</row>
    <row r="99" spans="6:25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</row>
    <row r="100" spans="6:25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</row>
    <row r="101" spans="6:25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</row>
    <row r="102" spans="6:25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</row>
    <row r="103" spans="6:25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</row>
    <row r="104" spans="6:25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</row>
    <row r="105" spans="6:25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</row>
    <row r="106" spans="6:25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</row>
    <row r="107" spans="6:25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</row>
    <row r="108" spans="6:25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</row>
    <row r="109" spans="6:25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</row>
    <row r="110" spans="6:25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</row>
    <row r="111" spans="6:25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</row>
    <row r="112" spans="6:25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</row>
    <row r="113" spans="6:25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</row>
    <row r="114" spans="6:25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</row>
    <row r="115" spans="6:25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</row>
    <row r="116" spans="6:25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</row>
    <row r="117" spans="6:25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</row>
    <row r="118" spans="6:25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</row>
    <row r="119" spans="6:25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</row>
    <row r="120" spans="6:25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</row>
    <row r="121" spans="6:25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</row>
    <row r="122" spans="6:25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</row>
    <row r="123" spans="6:25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</row>
    <row r="124" spans="6:25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</row>
    <row r="125" spans="6:25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</row>
    <row r="126" spans="6:25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</row>
    <row r="127" spans="6:25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</row>
    <row r="128" spans="6:25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</row>
    <row r="129" spans="6:25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</row>
    <row r="130" spans="6:25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</row>
    <row r="131" spans="6:25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</row>
    <row r="132" spans="6:25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</row>
    <row r="133" spans="6:25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</row>
    <row r="134" spans="6:25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</row>
    <row r="135" spans="6:25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</row>
    <row r="136" spans="6:25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</row>
    <row r="137" spans="6:25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</row>
    <row r="138" spans="6:25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</row>
    <row r="139" spans="6:25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</row>
    <row r="140" spans="6:25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</row>
    <row r="141" spans="6:25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</row>
    <row r="142" spans="6:25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</row>
    <row r="143" spans="6:25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</row>
    <row r="144" spans="6:25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</row>
    <row r="145" spans="6:25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</row>
    <row r="146" spans="6:25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</row>
    <row r="147" spans="6:25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</row>
    <row r="148" spans="6:25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</row>
    <row r="149" spans="6:25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</row>
    <row r="150" spans="6:25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</row>
    <row r="151" spans="6:25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</row>
    <row r="152" spans="6:25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</row>
    <row r="153" spans="6:25" ht="16.5" customHeight="1"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</row>
    <row r="154" spans="6:25" ht="16.5" customHeight="1">
      <c r="F154" s="413"/>
      <c r="G154" s="413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3"/>
      <c r="V154" s="413"/>
      <c r="W154" s="413"/>
      <c r="X154" s="413"/>
      <c r="Y154" s="413"/>
    </row>
    <row r="155" spans="6:25" ht="16.5" customHeight="1"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</row>
    <row r="156" spans="6:25" ht="16.5" customHeight="1">
      <c r="F156" s="413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  <c r="T156" s="413"/>
      <c r="U156" s="413"/>
      <c r="V156" s="413"/>
      <c r="W156" s="413"/>
      <c r="X156" s="413"/>
      <c r="Y156" s="413"/>
    </row>
    <row r="157" spans="6:25" ht="16.5" customHeight="1"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</row>
    <row r="158" spans="6:25" ht="16.5" customHeight="1">
      <c r="F158" s="413"/>
      <c r="G158" s="413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13"/>
      <c r="T158" s="413"/>
      <c r="U158" s="413"/>
      <c r="V158" s="413"/>
      <c r="W158" s="413"/>
      <c r="X158" s="413"/>
      <c r="Y158" s="413"/>
    </row>
    <row r="159" spans="6:25" ht="16.5" customHeight="1"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</row>
    <row r="160" spans="6:25" ht="16.5" customHeight="1">
      <c r="F160" s="413"/>
      <c r="G160" s="413"/>
      <c r="H160" s="413"/>
      <c r="I160" s="413"/>
      <c r="J160" s="413"/>
      <c r="K160" s="413"/>
      <c r="L160" s="413"/>
      <c r="M160" s="413"/>
      <c r="N160" s="413"/>
      <c r="O160" s="413"/>
      <c r="P160" s="413"/>
      <c r="Q160" s="413"/>
      <c r="R160" s="413"/>
      <c r="S160" s="413"/>
      <c r="T160" s="413"/>
      <c r="U160" s="413"/>
      <c r="V160" s="413"/>
      <c r="W160" s="413"/>
      <c r="X160" s="413"/>
      <c r="Y160" s="413"/>
    </row>
    <row r="161" spans="6:25" ht="16.5" customHeight="1">
      <c r="F161" s="413"/>
      <c r="G161" s="413"/>
      <c r="H161" s="413"/>
      <c r="I161" s="413"/>
      <c r="J161" s="413"/>
      <c r="K161" s="413"/>
      <c r="L161" s="413"/>
      <c r="M161" s="413"/>
      <c r="N161" s="413"/>
      <c r="O161" s="413"/>
      <c r="P161" s="413"/>
      <c r="Q161" s="413"/>
      <c r="R161" s="413"/>
      <c r="S161" s="413"/>
      <c r="T161" s="413"/>
      <c r="U161" s="413"/>
      <c r="V161" s="413"/>
      <c r="W161" s="413"/>
      <c r="X161" s="413"/>
      <c r="Y161" s="41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57"/>
  <sheetViews>
    <sheetView zoomScale="70" zoomScaleNormal="70" zoomScalePageLayoutView="0" workbookViewId="0" topLeftCell="A1">
      <selection activeCell="B3" sqref="B3"/>
    </sheetView>
  </sheetViews>
  <sheetFormatPr defaultColWidth="11.421875" defaultRowHeight="16.5" customHeight="1"/>
  <cols>
    <col min="1" max="2" width="4.140625" style="9" customWidth="1"/>
    <col min="3" max="3" width="5.57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14.281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78"/>
      <c r="B2" s="2" t="str">
        <f>+'TOT-1214'!B2</f>
        <v>ANEXO I al Memorándum D.T.E.E. N°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79"/>
    </row>
    <row r="4" spans="1:4" s="14" customFormat="1" ht="11.25">
      <c r="A4" s="12" t="s">
        <v>2</v>
      </c>
      <c r="B4" s="80"/>
      <c r="C4" s="80"/>
      <c r="D4" s="80"/>
    </row>
    <row r="5" spans="1:4" s="14" customFormat="1" ht="11.25">
      <c r="A5" s="12" t="s">
        <v>3</v>
      </c>
      <c r="B5" s="80"/>
      <c r="C5" s="80"/>
      <c r="D5" s="80"/>
    </row>
    <row r="6" s="8" customFormat="1" ht="13.5" thickBot="1"/>
    <row r="7" spans="2:23" s="8" customFormat="1" ht="13.5" thickTop="1"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440"/>
    </row>
    <row r="8" spans="2:23" s="18" customFormat="1" ht="20.25">
      <c r="B8" s="85"/>
      <c r="C8" s="23"/>
      <c r="D8" s="23"/>
      <c r="E8" s="23"/>
      <c r="F8" s="441" t="s">
        <v>23</v>
      </c>
      <c r="N8" s="283"/>
      <c r="O8" s="283"/>
      <c r="P8" s="285"/>
      <c r="Q8" s="23"/>
      <c r="R8" s="23"/>
      <c r="S8" s="23"/>
      <c r="T8" s="23"/>
      <c r="U8" s="23"/>
      <c r="V8" s="23"/>
      <c r="W8" s="442"/>
    </row>
    <row r="9" spans="2:23" s="8" customFormat="1" ht="12.75">
      <c r="B9" s="53"/>
      <c r="C9" s="11"/>
      <c r="D9" s="11"/>
      <c r="E9" s="11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11"/>
      <c r="R9" s="11"/>
      <c r="S9" s="11"/>
      <c r="T9" s="11"/>
      <c r="U9" s="11"/>
      <c r="V9" s="11"/>
      <c r="W9" s="55"/>
    </row>
    <row r="10" spans="2:23" s="239" customFormat="1" ht="33" customHeight="1">
      <c r="B10" s="240"/>
      <c r="C10" s="241"/>
      <c r="D10" s="241"/>
      <c r="E10" s="241"/>
      <c r="F10" s="509" t="s">
        <v>65</v>
      </c>
      <c r="G10" s="510"/>
      <c r="H10" s="433"/>
      <c r="I10" s="511"/>
      <c r="K10" s="511"/>
      <c r="L10" s="511"/>
      <c r="M10" s="511"/>
      <c r="N10" s="511"/>
      <c r="O10" s="511"/>
      <c r="P10" s="511"/>
      <c r="Q10" s="241"/>
      <c r="R10" s="241"/>
      <c r="S10" s="241"/>
      <c r="T10" s="241"/>
      <c r="U10" s="241"/>
      <c r="V10" s="241"/>
      <c r="W10" s="512"/>
    </row>
    <row r="11" spans="2:23" s="244" customFormat="1" ht="33" customHeight="1">
      <c r="B11" s="245"/>
      <c r="C11" s="246"/>
      <c r="D11" s="246"/>
      <c r="E11" s="246"/>
      <c r="F11" s="509" t="s">
        <v>73</v>
      </c>
      <c r="G11" s="513"/>
      <c r="H11" s="415"/>
      <c r="I11" s="514"/>
      <c r="J11" s="515"/>
      <c r="K11" s="514"/>
      <c r="L11" s="514"/>
      <c r="M11" s="514"/>
      <c r="N11" s="514"/>
      <c r="O11" s="514"/>
      <c r="P11" s="514"/>
      <c r="Q11" s="246"/>
      <c r="R11" s="246"/>
      <c r="S11" s="246"/>
      <c r="T11" s="246"/>
      <c r="U11" s="246"/>
      <c r="V11" s="246"/>
      <c r="W11" s="516"/>
    </row>
    <row r="12" spans="2:23" s="8" customFormat="1" ht="19.5">
      <c r="B12" s="35" t="str">
        <f>'TOT-1214'!B14</f>
        <v>Desde el 01 al 31 de diciembre de 2014</v>
      </c>
      <c r="C12" s="39"/>
      <c r="D12" s="39"/>
      <c r="E12" s="39"/>
      <c r="F12" s="39"/>
      <c r="G12" s="39"/>
      <c r="H12" s="39"/>
      <c r="I12" s="448"/>
      <c r="J12" s="448"/>
      <c r="K12" s="448"/>
      <c r="L12" s="448"/>
      <c r="M12" s="448"/>
      <c r="N12" s="448"/>
      <c r="O12" s="448"/>
      <c r="P12" s="448"/>
      <c r="Q12" s="39"/>
      <c r="R12" s="39"/>
      <c r="S12" s="39"/>
      <c r="T12" s="39"/>
      <c r="U12" s="39"/>
      <c r="V12" s="39"/>
      <c r="W12" s="449"/>
    </row>
    <row r="13" spans="2:23" s="8" customFormat="1" ht="14.25" thickBot="1">
      <c r="B13" s="450"/>
      <c r="C13" s="451"/>
      <c r="D13" s="451"/>
      <c r="E13" s="451"/>
      <c r="F13" s="451"/>
      <c r="G13" s="451"/>
      <c r="H13" s="451"/>
      <c r="I13" s="452"/>
      <c r="J13" s="452"/>
      <c r="K13" s="452"/>
      <c r="L13" s="452"/>
      <c r="M13" s="452"/>
      <c r="N13" s="452"/>
      <c r="O13" s="452"/>
      <c r="P13" s="452"/>
      <c r="Q13" s="451"/>
      <c r="R13" s="451"/>
      <c r="S13" s="451"/>
      <c r="T13" s="451"/>
      <c r="U13" s="451"/>
      <c r="V13" s="451"/>
      <c r="W13" s="453"/>
    </row>
    <row r="14" spans="2:23" s="8" customFormat="1" ht="15" thickBot="1" thickTop="1">
      <c r="B14" s="53"/>
      <c r="C14" s="11"/>
      <c r="D14" s="11"/>
      <c r="E14" s="11"/>
      <c r="F14" s="454"/>
      <c r="G14" s="454"/>
      <c r="H14" s="455" t="s">
        <v>67</v>
      </c>
      <c r="I14" s="11"/>
      <c r="J14" s="5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55"/>
    </row>
    <row r="15" spans="2:23" s="8" customFormat="1" ht="16.5" customHeight="1" thickBot="1" thickTop="1">
      <c r="B15" s="53"/>
      <c r="C15" s="11"/>
      <c r="D15" s="11"/>
      <c r="E15" s="11"/>
      <c r="F15" s="456" t="s">
        <v>68</v>
      </c>
      <c r="G15" s="457">
        <v>81.857</v>
      </c>
      <c r="H15" s="458">
        <v>200</v>
      </c>
      <c r="V15" s="99"/>
      <c r="W15" s="55"/>
    </row>
    <row r="16" spans="2:23" s="8" customFormat="1" ht="16.5" customHeight="1" thickBot="1" thickTop="1">
      <c r="B16" s="53"/>
      <c r="C16" s="11"/>
      <c r="D16" s="11"/>
      <c r="E16" s="11"/>
      <c r="F16" s="459" t="s">
        <v>69</v>
      </c>
      <c r="G16" s="460" t="s">
        <v>74</v>
      </c>
      <c r="H16" s="458">
        <v>100</v>
      </c>
      <c r="O16" s="11"/>
      <c r="P16" s="11"/>
      <c r="Q16" s="11"/>
      <c r="R16" s="11"/>
      <c r="S16" s="11"/>
      <c r="T16" s="11"/>
      <c r="U16" s="11"/>
      <c r="V16" s="11"/>
      <c r="W16" s="55"/>
    </row>
    <row r="17" spans="2:23" s="8" customFormat="1" ht="16.5" customHeight="1" thickBot="1" thickTop="1">
      <c r="B17" s="53"/>
      <c r="C17" s="11"/>
      <c r="D17" s="11"/>
      <c r="E17" s="11"/>
      <c r="F17" s="461" t="s">
        <v>70</v>
      </c>
      <c r="G17" s="460">
        <v>65.489</v>
      </c>
      <c r="H17" s="458">
        <v>40</v>
      </c>
      <c r="O17" s="11"/>
      <c r="Q17" s="11"/>
      <c r="R17" s="11"/>
      <c r="S17" s="11"/>
      <c r="T17" s="11"/>
      <c r="U17" s="11"/>
      <c r="V17" s="11"/>
      <c r="W17" s="55"/>
    </row>
    <row r="18" spans="2:23" s="8" customFormat="1" ht="16.5" customHeight="1" thickBot="1" thickTop="1">
      <c r="B18" s="53"/>
      <c r="C18" s="100">
        <v>3</v>
      </c>
      <c r="D18" s="100">
        <v>4</v>
      </c>
      <c r="E18" s="100">
        <v>5</v>
      </c>
      <c r="F18" s="100">
        <v>6</v>
      </c>
      <c r="G18" s="100">
        <v>7</v>
      </c>
      <c r="H18" s="100">
        <v>8</v>
      </c>
      <c r="I18" s="100">
        <v>9</v>
      </c>
      <c r="J18" s="100">
        <v>10</v>
      </c>
      <c r="K18" s="100">
        <v>11</v>
      </c>
      <c r="L18" s="100">
        <v>12</v>
      </c>
      <c r="M18" s="100">
        <v>13</v>
      </c>
      <c r="N18" s="100">
        <v>14</v>
      </c>
      <c r="O18" s="100">
        <v>15</v>
      </c>
      <c r="P18" s="100">
        <v>16</v>
      </c>
      <c r="Q18" s="100">
        <v>17</v>
      </c>
      <c r="R18" s="100">
        <v>18</v>
      </c>
      <c r="S18" s="100">
        <v>19</v>
      </c>
      <c r="T18" s="100">
        <v>20</v>
      </c>
      <c r="U18" s="100">
        <v>21</v>
      </c>
      <c r="V18" s="100">
        <v>22</v>
      </c>
      <c r="W18" s="55"/>
    </row>
    <row r="19" spans="2:23" s="8" customFormat="1" ht="33.75" customHeight="1" thickBot="1" thickTop="1">
      <c r="B19" s="53"/>
      <c r="C19" s="317" t="s">
        <v>28</v>
      </c>
      <c r="D19" s="101" t="s">
        <v>29</v>
      </c>
      <c r="E19" s="101" t="s">
        <v>30</v>
      </c>
      <c r="F19" s="104" t="s">
        <v>58</v>
      </c>
      <c r="G19" s="462" t="s">
        <v>59</v>
      </c>
      <c r="H19" s="463" t="s">
        <v>31</v>
      </c>
      <c r="I19" s="322" t="s">
        <v>35</v>
      </c>
      <c r="J19" s="102" t="s">
        <v>36</v>
      </c>
      <c r="K19" s="462" t="s">
        <v>37</v>
      </c>
      <c r="L19" s="464" t="s">
        <v>38</v>
      </c>
      <c r="M19" s="464" t="s">
        <v>39</v>
      </c>
      <c r="N19" s="109" t="s">
        <v>179</v>
      </c>
      <c r="O19" s="108" t="s">
        <v>42</v>
      </c>
      <c r="P19" s="465" t="s">
        <v>34</v>
      </c>
      <c r="Q19" s="466" t="s">
        <v>71</v>
      </c>
      <c r="R19" s="467" t="s">
        <v>72</v>
      </c>
      <c r="S19" s="468"/>
      <c r="T19" s="469" t="s">
        <v>47</v>
      </c>
      <c r="U19" s="120" t="s">
        <v>49</v>
      </c>
      <c r="V19" s="321" t="s">
        <v>50</v>
      </c>
      <c r="W19" s="55"/>
    </row>
    <row r="20" spans="2:23" s="8" customFormat="1" ht="16.5" customHeight="1" thickTop="1">
      <c r="B20" s="53"/>
      <c r="C20" s="331"/>
      <c r="D20" s="331"/>
      <c r="E20" s="331"/>
      <c r="F20" s="470"/>
      <c r="G20" s="470"/>
      <c r="H20" s="470"/>
      <c r="I20" s="271"/>
      <c r="J20" s="470"/>
      <c r="K20" s="470"/>
      <c r="L20" s="470"/>
      <c r="M20" s="470"/>
      <c r="N20" s="470"/>
      <c r="O20" s="470"/>
      <c r="P20" s="471"/>
      <c r="Q20" s="472"/>
      <c r="R20" s="473"/>
      <c r="S20" s="474"/>
      <c r="T20" s="475"/>
      <c r="U20" s="470"/>
      <c r="V20" s="476"/>
      <c r="W20" s="55"/>
    </row>
    <row r="21" spans="2:23" s="8" customFormat="1" ht="16.5" customHeight="1">
      <c r="B21" s="53"/>
      <c r="C21" s="140"/>
      <c r="D21" s="140"/>
      <c r="E21" s="140"/>
      <c r="F21" s="477"/>
      <c r="G21" s="477"/>
      <c r="H21" s="477"/>
      <c r="I21" s="478"/>
      <c r="J21" s="477"/>
      <c r="K21" s="477"/>
      <c r="L21" s="477"/>
      <c r="M21" s="477"/>
      <c r="N21" s="477"/>
      <c r="O21" s="477"/>
      <c r="P21" s="479"/>
      <c r="Q21" s="480"/>
      <c r="R21" s="481"/>
      <c r="S21" s="482"/>
      <c r="T21" s="483"/>
      <c r="U21" s="477"/>
      <c r="V21" s="484"/>
      <c r="W21" s="55"/>
    </row>
    <row r="22" spans="2:23" s="8" customFormat="1" ht="16.5" customHeight="1">
      <c r="B22" s="53"/>
      <c r="C22" s="140">
        <v>53</v>
      </c>
      <c r="D22" s="140">
        <v>281967</v>
      </c>
      <c r="E22" s="159">
        <v>2636</v>
      </c>
      <c r="F22" s="485" t="s">
        <v>242</v>
      </c>
      <c r="G22" s="485" t="s">
        <v>243</v>
      </c>
      <c r="H22" s="486">
        <v>500</v>
      </c>
      <c r="I22" s="487">
        <f aca="true" t="shared" si="0" ref="I22:I41">IF(H22=500,$G$15,IF(H22=220,$G$16,$G$17))</f>
        <v>81.857</v>
      </c>
      <c r="J22" s="488">
        <v>41974</v>
      </c>
      <c r="K22" s="489">
        <v>41974.73819444444</v>
      </c>
      <c r="L22" s="490">
        <f aca="true" t="shared" si="1" ref="L22:L41">IF(F22="","",(K22-J22)*24)</f>
        <v>17.71666666661622</v>
      </c>
      <c r="M22" s="491">
        <f aca="true" t="shared" si="2" ref="M22:M41">IF(F22="","",ROUND((K22-J22)*24*60,0))</f>
        <v>1063</v>
      </c>
      <c r="N22" s="168" t="s">
        <v>198</v>
      </c>
      <c r="O22" s="170" t="str">
        <f aca="true" t="shared" si="3" ref="O22:O41">IF(F22="","",IF(N22="P","--","NO"))</f>
        <v>--</v>
      </c>
      <c r="P22" s="492">
        <f aca="true" t="shared" si="4" ref="P22:P41">IF(H22=500,$H$15,IF(H22=220,$H$16,$H$17))</f>
        <v>200</v>
      </c>
      <c r="Q22" s="493">
        <f aca="true" t="shared" si="5" ref="Q22:Q41">IF(N22="P",I22*P22*ROUND(M22/60,2)*0.1,"--")</f>
        <v>29010.1208</v>
      </c>
      <c r="R22" s="481" t="str">
        <f aca="true" t="shared" si="6" ref="R22:R41">IF(AND(N22="F",O22="NO"),I22*P22,"--")</f>
        <v>--</v>
      </c>
      <c r="S22" s="482" t="str">
        <f aca="true" t="shared" si="7" ref="S22:S41">IF(N22="F",I22*P22*ROUND(M22/60,2),"--")</f>
        <v>--</v>
      </c>
      <c r="T22" s="483" t="str">
        <f aca="true" t="shared" si="8" ref="T22:T41">IF(N22="RF",I22*P22*ROUND(M22/60,2),"--")</f>
        <v>--</v>
      </c>
      <c r="U22" s="170" t="s">
        <v>81</v>
      </c>
      <c r="V22" s="494">
        <f aca="true" t="shared" si="9" ref="V22:V41">IF(F22="","",SUM(Q22:T22)*IF(U22="SI",1,2))</f>
        <v>29010.1208</v>
      </c>
      <c r="W22" s="55"/>
    </row>
    <row r="23" spans="2:23" s="8" customFormat="1" ht="16.5" customHeight="1">
      <c r="B23" s="53"/>
      <c r="C23" s="140">
        <v>54</v>
      </c>
      <c r="D23" s="140">
        <v>282206</v>
      </c>
      <c r="E23" s="140">
        <v>2587</v>
      </c>
      <c r="F23" s="485" t="s">
        <v>242</v>
      </c>
      <c r="G23" s="485" t="s">
        <v>244</v>
      </c>
      <c r="H23" s="486">
        <v>132</v>
      </c>
      <c r="I23" s="487">
        <f t="shared" si="0"/>
        <v>65.489</v>
      </c>
      <c r="J23" s="488">
        <v>41976.43958333333</v>
      </c>
      <c r="K23" s="489">
        <v>41976.64027777778</v>
      </c>
      <c r="L23" s="490">
        <f t="shared" si="1"/>
        <v>4.816666666651145</v>
      </c>
      <c r="M23" s="491">
        <f t="shared" si="2"/>
        <v>289</v>
      </c>
      <c r="N23" s="168" t="s">
        <v>198</v>
      </c>
      <c r="O23" s="170" t="str">
        <f t="shared" si="3"/>
        <v>--</v>
      </c>
      <c r="P23" s="492">
        <f t="shared" si="4"/>
        <v>40</v>
      </c>
      <c r="Q23" s="493">
        <f t="shared" si="5"/>
        <v>1262.6279200000004</v>
      </c>
      <c r="R23" s="481" t="str">
        <f t="shared" si="6"/>
        <v>--</v>
      </c>
      <c r="S23" s="482" t="str">
        <f t="shared" si="7"/>
        <v>--</v>
      </c>
      <c r="T23" s="483" t="str">
        <f t="shared" si="8"/>
        <v>--</v>
      </c>
      <c r="U23" s="170" t="s">
        <v>81</v>
      </c>
      <c r="V23" s="494">
        <f t="shared" si="9"/>
        <v>1262.6279200000004</v>
      </c>
      <c r="W23" s="55"/>
    </row>
    <row r="24" spans="2:23" s="8" customFormat="1" ht="16.5" customHeight="1">
      <c r="B24" s="53"/>
      <c r="C24" s="140">
        <v>55</v>
      </c>
      <c r="D24" s="140">
        <v>282555</v>
      </c>
      <c r="E24" s="159">
        <v>2588</v>
      </c>
      <c r="F24" s="485" t="s">
        <v>242</v>
      </c>
      <c r="G24" s="485" t="s">
        <v>245</v>
      </c>
      <c r="H24" s="486">
        <v>132</v>
      </c>
      <c r="I24" s="487">
        <f t="shared" si="0"/>
        <v>65.489</v>
      </c>
      <c r="J24" s="488">
        <v>41982.42152777778</v>
      </c>
      <c r="K24" s="489">
        <v>41982.60555555556</v>
      </c>
      <c r="L24" s="490">
        <f t="shared" si="1"/>
        <v>4.416666666744277</v>
      </c>
      <c r="M24" s="491">
        <f t="shared" si="2"/>
        <v>265</v>
      </c>
      <c r="N24" s="168" t="s">
        <v>198</v>
      </c>
      <c r="O24" s="170" t="str">
        <f t="shared" si="3"/>
        <v>--</v>
      </c>
      <c r="P24" s="492">
        <f t="shared" si="4"/>
        <v>40</v>
      </c>
      <c r="Q24" s="493">
        <f t="shared" si="5"/>
        <v>1157.8455200000003</v>
      </c>
      <c r="R24" s="481" t="str">
        <f t="shared" si="6"/>
        <v>--</v>
      </c>
      <c r="S24" s="482" t="str">
        <f t="shared" si="7"/>
        <v>--</v>
      </c>
      <c r="T24" s="483" t="str">
        <f t="shared" si="8"/>
        <v>--</v>
      </c>
      <c r="U24" s="170" t="s">
        <v>81</v>
      </c>
      <c r="V24" s="494">
        <f t="shared" si="9"/>
        <v>1157.8455200000003</v>
      </c>
      <c r="W24" s="55"/>
    </row>
    <row r="25" spans="2:23" s="8" customFormat="1" ht="16.5" customHeight="1">
      <c r="B25" s="53"/>
      <c r="C25" s="140">
        <v>56</v>
      </c>
      <c r="D25" s="140">
        <v>283006</v>
      </c>
      <c r="E25" s="140">
        <v>2596</v>
      </c>
      <c r="F25" s="485" t="s">
        <v>246</v>
      </c>
      <c r="G25" s="485" t="s">
        <v>247</v>
      </c>
      <c r="H25" s="486">
        <v>132</v>
      </c>
      <c r="I25" s="487">
        <f t="shared" si="0"/>
        <v>65.489</v>
      </c>
      <c r="J25" s="488">
        <v>41988.37291666667</v>
      </c>
      <c r="K25" s="489">
        <v>41988.72361111111</v>
      </c>
      <c r="L25" s="490">
        <f t="shared" si="1"/>
        <v>8.41666666668607</v>
      </c>
      <c r="M25" s="491">
        <f t="shared" si="2"/>
        <v>505</v>
      </c>
      <c r="N25" s="168" t="s">
        <v>198</v>
      </c>
      <c r="O25" s="170" t="str">
        <f t="shared" si="3"/>
        <v>--</v>
      </c>
      <c r="P25" s="492">
        <f t="shared" si="4"/>
        <v>40</v>
      </c>
      <c r="Q25" s="493">
        <f t="shared" si="5"/>
        <v>2205.6695200000004</v>
      </c>
      <c r="R25" s="481" t="str">
        <f t="shared" si="6"/>
        <v>--</v>
      </c>
      <c r="S25" s="482" t="str">
        <f t="shared" si="7"/>
        <v>--</v>
      </c>
      <c r="T25" s="483" t="str">
        <f t="shared" si="8"/>
        <v>--</v>
      </c>
      <c r="U25" s="170" t="s">
        <v>81</v>
      </c>
      <c r="V25" s="494">
        <f t="shared" si="9"/>
        <v>2205.6695200000004</v>
      </c>
      <c r="W25" s="55"/>
    </row>
    <row r="26" spans="2:23" s="8" customFormat="1" ht="16.5" customHeight="1">
      <c r="B26" s="53"/>
      <c r="C26" s="140">
        <v>57</v>
      </c>
      <c r="D26" s="140">
        <v>283007</v>
      </c>
      <c r="E26" s="159">
        <v>3481</v>
      </c>
      <c r="F26" s="485" t="s">
        <v>242</v>
      </c>
      <c r="G26" s="485" t="s">
        <v>248</v>
      </c>
      <c r="H26" s="486">
        <v>132</v>
      </c>
      <c r="I26" s="487">
        <f t="shared" si="0"/>
        <v>65.489</v>
      </c>
      <c r="J26" s="488">
        <v>41988.395833333336</v>
      </c>
      <c r="K26" s="489">
        <v>41988.59375</v>
      </c>
      <c r="L26" s="490">
        <f t="shared" si="1"/>
        <v>4.749999999941792</v>
      </c>
      <c r="M26" s="491">
        <f t="shared" si="2"/>
        <v>285</v>
      </c>
      <c r="N26" s="168" t="s">
        <v>198</v>
      </c>
      <c r="O26" s="170" t="str">
        <f t="shared" si="3"/>
        <v>--</v>
      </c>
      <c r="P26" s="492">
        <f t="shared" si="4"/>
        <v>40</v>
      </c>
      <c r="Q26" s="493">
        <f t="shared" si="5"/>
        <v>1244.2910000000002</v>
      </c>
      <c r="R26" s="481" t="str">
        <f t="shared" si="6"/>
        <v>--</v>
      </c>
      <c r="S26" s="482" t="str">
        <f t="shared" si="7"/>
        <v>--</v>
      </c>
      <c r="T26" s="483" t="str">
        <f t="shared" si="8"/>
        <v>--</v>
      </c>
      <c r="U26" s="170" t="s">
        <v>81</v>
      </c>
      <c r="V26" s="494">
        <f t="shared" si="9"/>
        <v>1244.2910000000002</v>
      </c>
      <c r="W26" s="55"/>
    </row>
    <row r="27" spans="2:23" s="8" customFormat="1" ht="16.5" customHeight="1">
      <c r="B27" s="53"/>
      <c r="C27" s="140">
        <v>58</v>
      </c>
      <c r="D27" s="140">
        <v>283008</v>
      </c>
      <c r="E27" s="140">
        <v>2596</v>
      </c>
      <c r="F27" s="485" t="s">
        <v>246</v>
      </c>
      <c r="G27" s="485" t="s">
        <v>247</v>
      </c>
      <c r="H27" s="486">
        <v>132</v>
      </c>
      <c r="I27" s="487">
        <f t="shared" si="0"/>
        <v>65.489</v>
      </c>
      <c r="J27" s="488">
        <v>41989.35902777778</v>
      </c>
      <c r="K27" s="489">
        <v>41989.73541666667</v>
      </c>
      <c r="L27" s="490">
        <f t="shared" si="1"/>
        <v>9.033333333441988</v>
      </c>
      <c r="M27" s="491">
        <f t="shared" si="2"/>
        <v>542</v>
      </c>
      <c r="N27" s="168" t="s">
        <v>198</v>
      </c>
      <c r="O27" s="170" t="str">
        <f t="shared" si="3"/>
        <v>--</v>
      </c>
      <c r="P27" s="492">
        <f t="shared" si="4"/>
        <v>40</v>
      </c>
      <c r="Q27" s="493">
        <f t="shared" si="5"/>
        <v>2365.46268</v>
      </c>
      <c r="R27" s="481" t="str">
        <f t="shared" si="6"/>
        <v>--</v>
      </c>
      <c r="S27" s="482" t="str">
        <f t="shared" si="7"/>
        <v>--</v>
      </c>
      <c r="T27" s="483" t="str">
        <f t="shared" si="8"/>
        <v>--</v>
      </c>
      <c r="U27" s="170" t="s">
        <v>81</v>
      </c>
      <c r="V27" s="494">
        <f t="shared" si="9"/>
        <v>2365.46268</v>
      </c>
      <c r="W27" s="55"/>
    </row>
    <row r="28" spans="2:23" s="8" customFormat="1" ht="16.5" customHeight="1">
      <c r="B28" s="53"/>
      <c r="C28" s="140">
        <v>59</v>
      </c>
      <c r="D28" s="140">
        <v>282779</v>
      </c>
      <c r="E28" s="159">
        <v>2595</v>
      </c>
      <c r="F28" s="485" t="s">
        <v>246</v>
      </c>
      <c r="G28" s="485" t="s">
        <v>249</v>
      </c>
      <c r="H28" s="486">
        <v>132</v>
      </c>
      <c r="I28" s="487">
        <f t="shared" si="0"/>
        <v>65.489</v>
      </c>
      <c r="J28" s="488">
        <v>41990.38055555556</v>
      </c>
      <c r="K28" s="489">
        <v>41990.75069444445</v>
      </c>
      <c r="L28" s="490">
        <f t="shared" si="1"/>
        <v>8.88333333330229</v>
      </c>
      <c r="M28" s="491">
        <f t="shared" si="2"/>
        <v>533</v>
      </c>
      <c r="N28" s="168" t="s">
        <v>198</v>
      </c>
      <c r="O28" s="170" t="str">
        <f t="shared" si="3"/>
        <v>--</v>
      </c>
      <c r="P28" s="492">
        <f t="shared" si="4"/>
        <v>40</v>
      </c>
      <c r="Q28" s="493">
        <f t="shared" si="5"/>
        <v>2326.1692800000005</v>
      </c>
      <c r="R28" s="481" t="str">
        <f t="shared" si="6"/>
        <v>--</v>
      </c>
      <c r="S28" s="482" t="str">
        <f t="shared" si="7"/>
        <v>--</v>
      </c>
      <c r="T28" s="483" t="str">
        <f t="shared" si="8"/>
        <v>--</v>
      </c>
      <c r="U28" s="170" t="s">
        <v>81</v>
      </c>
      <c r="V28" s="494">
        <f t="shared" si="9"/>
        <v>2326.1692800000005</v>
      </c>
      <c r="W28" s="55"/>
    </row>
    <row r="29" spans="2:23" s="8" customFormat="1" ht="16.5" customHeight="1">
      <c r="B29" s="53"/>
      <c r="C29" s="140">
        <v>60</v>
      </c>
      <c r="D29" s="140">
        <v>282780</v>
      </c>
      <c r="E29" s="140">
        <v>2593</v>
      </c>
      <c r="F29" s="485" t="s">
        <v>246</v>
      </c>
      <c r="G29" s="485" t="s">
        <v>250</v>
      </c>
      <c r="H29" s="486">
        <v>132</v>
      </c>
      <c r="I29" s="487">
        <f t="shared" si="0"/>
        <v>65.489</v>
      </c>
      <c r="J29" s="488">
        <v>41990.399305555555</v>
      </c>
      <c r="K29" s="489">
        <v>41990.74166666667</v>
      </c>
      <c r="L29" s="490">
        <f t="shared" si="1"/>
        <v>8.216666666732635</v>
      </c>
      <c r="M29" s="491">
        <f t="shared" si="2"/>
        <v>493</v>
      </c>
      <c r="N29" s="168" t="s">
        <v>198</v>
      </c>
      <c r="O29" s="170" t="str">
        <f t="shared" si="3"/>
        <v>--</v>
      </c>
      <c r="P29" s="492">
        <f t="shared" si="4"/>
        <v>40</v>
      </c>
      <c r="Q29" s="493">
        <f t="shared" si="5"/>
        <v>2153.278320000001</v>
      </c>
      <c r="R29" s="481" t="str">
        <f t="shared" si="6"/>
        <v>--</v>
      </c>
      <c r="S29" s="482" t="str">
        <f t="shared" si="7"/>
        <v>--</v>
      </c>
      <c r="T29" s="483" t="str">
        <f t="shared" si="8"/>
        <v>--</v>
      </c>
      <c r="U29" s="170" t="s">
        <v>81</v>
      </c>
      <c r="V29" s="494">
        <f t="shared" si="9"/>
        <v>2153.278320000001</v>
      </c>
      <c r="W29" s="55"/>
    </row>
    <row r="30" spans="2:23" s="8" customFormat="1" ht="16.5" customHeight="1">
      <c r="B30" s="53"/>
      <c r="C30" s="140">
        <v>61</v>
      </c>
      <c r="D30" s="140">
        <v>282795</v>
      </c>
      <c r="E30" s="159">
        <v>3834</v>
      </c>
      <c r="F30" s="485" t="s">
        <v>251</v>
      </c>
      <c r="G30" s="485" t="s">
        <v>252</v>
      </c>
      <c r="H30" s="486">
        <v>132</v>
      </c>
      <c r="I30" s="487">
        <f t="shared" si="0"/>
        <v>65.489</v>
      </c>
      <c r="J30" s="488">
        <v>41994.35625</v>
      </c>
      <c r="K30" s="489">
        <v>41994.80138888889</v>
      </c>
      <c r="L30" s="490">
        <f t="shared" si="1"/>
        <v>10.683333333407063</v>
      </c>
      <c r="M30" s="491">
        <f t="shared" si="2"/>
        <v>641</v>
      </c>
      <c r="N30" s="168" t="s">
        <v>198</v>
      </c>
      <c r="O30" s="170" t="str">
        <f t="shared" si="3"/>
        <v>--</v>
      </c>
      <c r="P30" s="492">
        <f t="shared" si="4"/>
        <v>40</v>
      </c>
      <c r="Q30" s="493">
        <f t="shared" si="5"/>
        <v>2797.6900800000003</v>
      </c>
      <c r="R30" s="481" t="str">
        <f t="shared" si="6"/>
        <v>--</v>
      </c>
      <c r="S30" s="482" t="str">
        <f t="shared" si="7"/>
        <v>--</v>
      </c>
      <c r="T30" s="483" t="str">
        <f t="shared" si="8"/>
        <v>--</v>
      </c>
      <c r="U30" s="170" t="s">
        <v>81</v>
      </c>
      <c r="V30" s="494">
        <f t="shared" si="9"/>
        <v>2797.6900800000003</v>
      </c>
      <c r="W30" s="55"/>
    </row>
    <row r="31" spans="2:23" s="8" customFormat="1" ht="16.5" customHeight="1">
      <c r="B31" s="53"/>
      <c r="C31" s="140">
        <v>62</v>
      </c>
      <c r="D31" s="140">
        <v>283014</v>
      </c>
      <c r="E31" s="140">
        <v>2585</v>
      </c>
      <c r="F31" s="485" t="s">
        <v>253</v>
      </c>
      <c r="G31" s="485" t="s">
        <v>254</v>
      </c>
      <c r="H31" s="486">
        <v>132</v>
      </c>
      <c r="I31" s="487">
        <f t="shared" si="0"/>
        <v>65.489</v>
      </c>
      <c r="J31" s="488">
        <v>41995.41736111111</v>
      </c>
      <c r="K31" s="489">
        <v>41995.68680555555</v>
      </c>
      <c r="L31" s="490">
        <f t="shared" si="1"/>
        <v>6.46666666661622</v>
      </c>
      <c r="M31" s="491">
        <f t="shared" si="2"/>
        <v>388</v>
      </c>
      <c r="N31" s="168" t="s">
        <v>198</v>
      </c>
      <c r="O31" s="170" t="str">
        <f t="shared" si="3"/>
        <v>--</v>
      </c>
      <c r="P31" s="492">
        <f t="shared" si="4"/>
        <v>40</v>
      </c>
      <c r="Q31" s="493">
        <f t="shared" si="5"/>
        <v>1694.8553200000003</v>
      </c>
      <c r="R31" s="481" t="str">
        <f t="shared" si="6"/>
        <v>--</v>
      </c>
      <c r="S31" s="482" t="str">
        <f t="shared" si="7"/>
        <v>--</v>
      </c>
      <c r="T31" s="483" t="str">
        <f t="shared" si="8"/>
        <v>--</v>
      </c>
      <c r="U31" s="170" t="s">
        <v>81</v>
      </c>
      <c r="V31" s="494">
        <f t="shared" si="9"/>
        <v>1694.8553200000003</v>
      </c>
      <c r="W31" s="55"/>
    </row>
    <row r="32" spans="2:23" s="8" customFormat="1" ht="16.5" customHeight="1">
      <c r="B32" s="53"/>
      <c r="C32" s="140">
        <v>63</v>
      </c>
      <c r="D32" s="140">
        <v>283020</v>
      </c>
      <c r="E32" s="159">
        <v>2604</v>
      </c>
      <c r="F32" s="485" t="s">
        <v>255</v>
      </c>
      <c r="G32" s="485" t="s">
        <v>256</v>
      </c>
      <c r="H32" s="486">
        <v>132</v>
      </c>
      <c r="I32" s="487">
        <f t="shared" si="0"/>
        <v>65.489</v>
      </c>
      <c r="J32" s="488">
        <v>41997.17916666667</v>
      </c>
      <c r="K32" s="489">
        <v>41997.35208333333</v>
      </c>
      <c r="L32" s="490">
        <f t="shared" si="1"/>
        <v>4.149999999906868</v>
      </c>
      <c r="M32" s="491">
        <f t="shared" si="2"/>
        <v>249</v>
      </c>
      <c r="N32" s="168" t="s">
        <v>198</v>
      </c>
      <c r="O32" s="170" t="str">
        <f t="shared" si="3"/>
        <v>--</v>
      </c>
      <c r="P32" s="492">
        <f t="shared" si="4"/>
        <v>40</v>
      </c>
      <c r="Q32" s="493">
        <f t="shared" si="5"/>
        <v>1087.1174000000003</v>
      </c>
      <c r="R32" s="481" t="str">
        <f t="shared" si="6"/>
        <v>--</v>
      </c>
      <c r="S32" s="482" t="str">
        <f t="shared" si="7"/>
        <v>--</v>
      </c>
      <c r="T32" s="483" t="str">
        <f t="shared" si="8"/>
        <v>--</v>
      </c>
      <c r="U32" s="170" t="s">
        <v>81</v>
      </c>
      <c r="V32" s="494">
        <f t="shared" si="9"/>
        <v>1087.1174000000003</v>
      </c>
      <c r="W32" s="55"/>
    </row>
    <row r="33" spans="2:23" s="8" customFormat="1" ht="16.5" customHeight="1">
      <c r="B33" s="53"/>
      <c r="C33" s="140">
        <v>64</v>
      </c>
      <c r="D33" s="140">
        <v>283171</v>
      </c>
      <c r="E33" s="140">
        <v>2588</v>
      </c>
      <c r="F33" s="485" t="s">
        <v>242</v>
      </c>
      <c r="G33" s="485" t="s">
        <v>245</v>
      </c>
      <c r="H33" s="486">
        <v>132</v>
      </c>
      <c r="I33" s="487">
        <f t="shared" si="0"/>
        <v>65.489</v>
      </c>
      <c r="J33" s="488">
        <v>42002.44305555556</v>
      </c>
      <c r="K33" s="489">
        <v>42002.540972222225</v>
      </c>
      <c r="L33" s="490">
        <f t="shared" si="1"/>
        <v>2.349999999976717</v>
      </c>
      <c r="M33" s="491">
        <f t="shared" si="2"/>
        <v>141</v>
      </c>
      <c r="N33" s="168" t="s">
        <v>198</v>
      </c>
      <c r="O33" s="170" t="str">
        <f t="shared" si="3"/>
        <v>--</v>
      </c>
      <c r="P33" s="492">
        <f t="shared" si="4"/>
        <v>40</v>
      </c>
      <c r="Q33" s="493">
        <f t="shared" si="5"/>
        <v>615.5966000000002</v>
      </c>
      <c r="R33" s="481" t="str">
        <f t="shared" si="6"/>
        <v>--</v>
      </c>
      <c r="S33" s="482" t="str">
        <f t="shared" si="7"/>
        <v>--</v>
      </c>
      <c r="T33" s="483" t="str">
        <f t="shared" si="8"/>
        <v>--</v>
      </c>
      <c r="U33" s="170" t="s">
        <v>81</v>
      </c>
      <c r="V33" s="494">
        <f t="shared" si="9"/>
        <v>615.5966000000002</v>
      </c>
      <c r="W33" s="55"/>
    </row>
    <row r="34" spans="2:23" s="8" customFormat="1" ht="16.5" customHeight="1">
      <c r="B34" s="53"/>
      <c r="C34" s="140"/>
      <c r="D34" s="140"/>
      <c r="E34" s="159"/>
      <c r="F34" s="485"/>
      <c r="G34" s="485"/>
      <c r="H34" s="486"/>
      <c r="I34" s="487">
        <f t="shared" si="0"/>
        <v>65.489</v>
      </c>
      <c r="J34" s="488"/>
      <c r="K34" s="489"/>
      <c r="L34" s="490">
        <f t="shared" si="1"/>
      </c>
      <c r="M34" s="491">
        <f t="shared" si="2"/>
      </c>
      <c r="N34" s="168"/>
      <c r="O34" s="170">
        <f t="shared" si="3"/>
      </c>
      <c r="P34" s="492">
        <f t="shared" si="4"/>
        <v>40</v>
      </c>
      <c r="Q34" s="493" t="str">
        <f t="shared" si="5"/>
        <v>--</v>
      </c>
      <c r="R34" s="481" t="str">
        <f t="shared" si="6"/>
        <v>--</v>
      </c>
      <c r="S34" s="482" t="str">
        <f t="shared" si="7"/>
        <v>--</v>
      </c>
      <c r="T34" s="483" t="str">
        <f t="shared" si="8"/>
        <v>--</v>
      </c>
      <c r="U34" s="170">
        <f aca="true" t="shared" si="10" ref="U34:U41">IF(F34="","","SI")</f>
      </c>
      <c r="V34" s="494">
        <f t="shared" si="9"/>
      </c>
      <c r="W34" s="55"/>
    </row>
    <row r="35" spans="2:23" s="8" customFormat="1" ht="16.5" customHeight="1">
      <c r="B35" s="53"/>
      <c r="C35" s="140"/>
      <c r="D35" s="140"/>
      <c r="E35" s="140"/>
      <c r="F35" s="485"/>
      <c r="G35" s="485"/>
      <c r="H35" s="486"/>
      <c r="I35" s="487">
        <f t="shared" si="0"/>
        <v>65.489</v>
      </c>
      <c r="J35" s="488"/>
      <c r="K35" s="489"/>
      <c r="L35" s="490">
        <f t="shared" si="1"/>
      </c>
      <c r="M35" s="491">
        <f t="shared" si="2"/>
      </c>
      <c r="N35" s="168"/>
      <c r="O35" s="170">
        <f t="shared" si="3"/>
      </c>
      <c r="P35" s="492">
        <f t="shared" si="4"/>
        <v>40</v>
      </c>
      <c r="Q35" s="493" t="str">
        <f t="shared" si="5"/>
        <v>--</v>
      </c>
      <c r="R35" s="481" t="str">
        <f t="shared" si="6"/>
        <v>--</v>
      </c>
      <c r="S35" s="482" t="str">
        <f t="shared" si="7"/>
        <v>--</v>
      </c>
      <c r="T35" s="483" t="str">
        <f t="shared" si="8"/>
        <v>--</v>
      </c>
      <c r="U35" s="170">
        <f t="shared" si="10"/>
      </c>
      <c r="V35" s="494">
        <f t="shared" si="9"/>
      </c>
      <c r="W35" s="55"/>
    </row>
    <row r="36" spans="2:23" s="8" customFormat="1" ht="16.5" customHeight="1">
      <c r="B36" s="53"/>
      <c r="C36" s="140"/>
      <c r="D36" s="140"/>
      <c r="E36" s="159"/>
      <c r="F36" s="485"/>
      <c r="G36" s="485"/>
      <c r="H36" s="486"/>
      <c r="I36" s="487">
        <f t="shared" si="0"/>
        <v>65.489</v>
      </c>
      <c r="J36" s="488"/>
      <c r="K36" s="489"/>
      <c r="L36" s="490">
        <f t="shared" si="1"/>
      </c>
      <c r="M36" s="491">
        <f t="shared" si="2"/>
      </c>
      <c r="N36" s="168"/>
      <c r="O36" s="170">
        <f t="shared" si="3"/>
      </c>
      <c r="P36" s="492">
        <f t="shared" si="4"/>
        <v>40</v>
      </c>
      <c r="Q36" s="493" t="str">
        <f t="shared" si="5"/>
        <v>--</v>
      </c>
      <c r="R36" s="481" t="str">
        <f t="shared" si="6"/>
        <v>--</v>
      </c>
      <c r="S36" s="482" t="str">
        <f t="shared" si="7"/>
        <v>--</v>
      </c>
      <c r="T36" s="483" t="str">
        <f t="shared" si="8"/>
        <v>--</v>
      </c>
      <c r="U36" s="170">
        <f t="shared" si="10"/>
      </c>
      <c r="V36" s="494">
        <f t="shared" si="9"/>
      </c>
      <c r="W36" s="55"/>
    </row>
    <row r="37" spans="2:23" s="8" customFormat="1" ht="16.5" customHeight="1">
      <c r="B37" s="53"/>
      <c r="C37" s="140"/>
      <c r="D37" s="140"/>
      <c r="E37" s="140"/>
      <c r="F37" s="485"/>
      <c r="G37" s="485"/>
      <c r="H37" s="486"/>
      <c r="I37" s="487">
        <f t="shared" si="0"/>
        <v>65.489</v>
      </c>
      <c r="J37" s="488"/>
      <c r="K37" s="489"/>
      <c r="L37" s="490">
        <f t="shared" si="1"/>
      </c>
      <c r="M37" s="491">
        <f t="shared" si="2"/>
      </c>
      <c r="N37" s="168"/>
      <c r="O37" s="170">
        <f t="shared" si="3"/>
      </c>
      <c r="P37" s="492">
        <f t="shared" si="4"/>
        <v>40</v>
      </c>
      <c r="Q37" s="493" t="str">
        <f t="shared" si="5"/>
        <v>--</v>
      </c>
      <c r="R37" s="481" t="str">
        <f t="shared" si="6"/>
        <v>--</v>
      </c>
      <c r="S37" s="482" t="str">
        <f t="shared" si="7"/>
        <v>--</v>
      </c>
      <c r="T37" s="483" t="str">
        <f t="shared" si="8"/>
        <v>--</v>
      </c>
      <c r="U37" s="170">
        <f t="shared" si="10"/>
      </c>
      <c r="V37" s="494">
        <f t="shared" si="9"/>
      </c>
      <c r="W37" s="55"/>
    </row>
    <row r="38" spans="2:23" s="8" customFormat="1" ht="16.5" customHeight="1">
      <c r="B38" s="53"/>
      <c r="C38" s="140"/>
      <c r="D38" s="140"/>
      <c r="E38" s="159"/>
      <c r="F38" s="485"/>
      <c r="G38" s="485"/>
      <c r="H38" s="486"/>
      <c r="I38" s="487">
        <f t="shared" si="0"/>
        <v>65.489</v>
      </c>
      <c r="J38" s="488"/>
      <c r="K38" s="489"/>
      <c r="L38" s="490">
        <f t="shared" si="1"/>
      </c>
      <c r="M38" s="491">
        <f t="shared" si="2"/>
      </c>
      <c r="N38" s="168"/>
      <c r="O38" s="170">
        <f t="shared" si="3"/>
      </c>
      <c r="P38" s="492">
        <f t="shared" si="4"/>
        <v>40</v>
      </c>
      <c r="Q38" s="493" t="str">
        <f t="shared" si="5"/>
        <v>--</v>
      </c>
      <c r="R38" s="481" t="str">
        <f t="shared" si="6"/>
        <v>--</v>
      </c>
      <c r="S38" s="482" t="str">
        <f t="shared" si="7"/>
        <v>--</v>
      </c>
      <c r="T38" s="483" t="str">
        <f t="shared" si="8"/>
        <v>--</v>
      </c>
      <c r="U38" s="170">
        <f t="shared" si="10"/>
      </c>
      <c r="V38" s="494">
        <f t="shared" si="9"/>
      </c>
      <c r="W38" s="55"/>
    </row>
    <row r="39" spans="2:23" s="8" customFormat="1" ht="16.5" customHeight="1">
      <c r="B39" s="53"/>
      <c r="C39" s="140"/>
      <c r="D39" s="140"/>
      <c r="E39" s="140"/>
      <c r="F39" s="485"/>
      <c r="G39" s="485"/>
      <c r="H39" s="486"/>
      <c r="I39" s="487">
        <f t="shared" si="0"/>
        <v>65.489</v>
      </c>
      <c r="J39" s="488"/>
      <c r="K39" s="489"/>
      <c r="L39" s="490">
        <f t="shared" si="1"/>
      </c>
      <c r="M39" s="491">
        <f t="shared" si="2"/>
      </c>
      <c r="N39" s="168"/>
      <c r="O39" s="170">
        <f t="shared" si="3"/>
      </c>
      <c r="P39" s="492">
        <f t="shared" si="4"/>
        <v>40</v>
      </c>
      <c r="Q39" s="493" t="str">
        <f t="shared" si="5"/>
        <v>--</v>
      </c>
      <c r="R39" s="481" t="str">
        <f t="shared" si="6"/>
        <v>--</v>
      </c>
      <c r="S39" s="482" t="str">
        <f t="shared" si="7"/>
        <v>--</v>
      </c>
      <c r="T39" s="483" t="str">
        <f t="shared" si="8"/>
        <v>--</v>
      </c>
      <c r="U39" s="170">
        <f t="shared" si="10"/>
      </c>
      <c r="V39" s="494">
        <f t="shared" si="9"/>
      </c>
      <c r="W39" s="55"/>
    </row>
    <row r="40" spans="2:23" s="8" customFormat="1" ht="16.5" customHeight="1">
      <c r="B40" s="53"/>
      <c r="C40" s="140"/>
      <c r="D40" s="140"/>
      <c r="E40" s="159"/>
      <c r="F40" s="485"/>
      <c r="G40" s="485"/>
      <c r="H40" s="486"/>
      <c r="I40" s="487">
        <f t="shared" si="0"/>
        <v>65.489</v>
      </c>
      <c r="J40" s="488"/>
      <c r="K40" s="489"/>
      <c r="L40" s="490">
        <f t="shared" si="1"/>
      </c>
      <c r="M40" s="491">
        <f t="shared" si="2"/>
      </c>
      <c r="N40" s="168"/>
      <c r="O40" s="170">
        <f t="shared" si="3"/>
      </c>
      <c r="P40" s="492">
        <f t="shared" si="4"/>
        <v>40</v>
      </c>
      <c r="Q40" s="493" t="str">
        <f t="shared" si="5"/>
        <v>--</v>
      </c>
      <c r="R40" s="481" t="str">
        <f t="shared" si="6"/>
        <v>--</v>
      </c>
      <c r="S40" s="482" t="str">
        <f t="shared" si="7"/>
        <v>--</v>
      </c>
      <c r="T40" s="483" t="str">
        <f t="shared" si="8"/>
        <v>--</v>
      </c>
      <c r="U40" s="170">
        <f t="shared" si="10"/>
      </c>
      <c r="V40" s="494">
        <f t="shared" si="9"/>
      </c>
      <c r="W40" s="55"/>
    </row>
    <row r="41" spans="2:23" s="8" customFormat="1" ht="16.5" customHeight="1">
      <c r="B41" s="53"/>
      <c r="C41" s="140"/>
      <c r="D41" s="140"/>
      <c r="E41" s="140"/>
      <c r="F41" s="485"/>
      <c r="G41" s="485"/>
      <c r="H41" s="486"/>
      <c r="I41" s="487">
        <f t="shared" si="0"/>
        <v>65.489</v>
      </c>
      <c r="J41" s="488"/>
      <c r="K41" s="489"/>
      <c r="L41" s="490">
        <f t="shared" si="1"/>
      </c>
      <c r="M41" s="491">
        <f t="shared" si="2"/>
      </c>
      <c r="N41" s="168"/>
      <c r="O41" s="170">
        <f t="shared" si="3"/>
      </c>
      <c r="P41" s="492">
        <f t="shared" si="4"/>
        <v>40</v>
      </c>
      <c r="Q41" s="493" t="str">
        <f t="shared" si="5"/>
        <v>--</v>
      </c>
      <c r="R41" s="481" t="str">
        <f t="shared" si="6"/>
        <v>--</v>
      </c>
      <c r="S41" s="482" t="str">
        <f t="shared" si="7"/>
        <v>--</v>
      </c>
      <c r="T41" s="483" t="str">
        <f t="shared" si="8"/>
        <v>--</v>
      </c>
      <c r="U41" s="170">
        <f t="shared" si="10"/>
      </c>
      <c r="V41" s="494">
        <f t="shared" si="9"/>
      </c>
      <c r="W41" s="55"/>
    </row>
    <row r="42" spans="2:23" s="8" customFormat="1" ht="16.5" customHeight="1" thickBot="1">
      <c r="B42" s="53"/>
      <c r="C42" s="198"/>
      <c r="D42" s="198"/>
      <c r="E42" s="198"/>
      <c r="F42" s="198"/>
      <c r="G42" s="198"/>
      <c r="H42" s="198"/>
      <c r="I42" s="382"/>
      <c r="J42" s="495"/>
      <c r="K42" s="495"/>
      <c r="L42" s="496"/>
      <c r="M42" s="496"/>
      <c r="N42" s="495"/>
      <c r="O42" s="205"/>
      <c r="P42" s="497"/>
      <c r="Q42" s="498"/>
      <c r="R42" s="499"/>
      <c r="S42" s="500"/>
      <c r="T42" s="501"/>
      <c r="U42" s="205"/>
      <c r="V42" s="502"/>
      <c r="W42" s="55"/>
    </row>
    <row r="43" spans="2:23" s="8" customFormat="1" ht="16.5" customHeight="1" thickBot="1" thickTop="1">
      <c r="B43" s="53"/>
      <c r="C43" s="219" t="s">
        <v>180</v>
      </c>
      <c r="D43" s="261"/>
      <c r="E43" s="219"/>
      <c r="F43" s="221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503">
        <f>SUM(Q20:Q42)</f>
        <v>47920.72444</v>
      </c>
      <c r="R43" s="504">
        <f>SUM(R20:R42)</f>
        <v>0</v>
      </c>
      <c r="S43" s="505">
        <f>SUM(S20:S42)</f>
        <v>0</v>
      </c>
      <c r="T43" s="506">
        <f>SUM(T20:T42)</f>
        <v>0</v>
      </c>
      <c r="U43" s="507"/>
      <c r="V43" s="508">
        <f>ROUND(SUM(V20:V42),2)</f>
        <v>47920.72</v>
      </c>
      <c r="W43" s="55"/>
    </row>
    <row r="44" spans="2:23" s="8" customFormat="1" ht="16.5" customHeight="1" thickBot="1" thickTop="1"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7"/>
    </row>
    <row r="45" spans="23:25" ht="16.5" customHeight="1" thickTop="1">
      <c r="W45" s="413"/>
      <c r="X45" s="413"/>
      <c r="Y45" s="413"/>
    </row>
    <row r="46" spans="23:25" ht="16.5" customHeight="1">
      <c r="W46" s="413"/>
      <c r="X46" s="413"/>
      <c r="Y46" s="413"/>
    </row>
    <row r="47" spans="23:25" ht="16.5" customHeight="1">
      <c r="W47" s="413"/>
      <c r="X47" s="413"/>
      <c r="Y47" s="413"/>
    </row>
    <row r="48" spans="23:25" ht="16.5" customHeight="1">
      <c r="W48" s="413"/>
      <c r="X48" s="413"/>
      <c r="Y48" s="413"/>
    </row>
    <row r="49" spans="23:25" ht="16.5" customHeight="1">
      <c r="W49" s="413"/>
      <c r="X49" s="413"/>
      <c r="Y49" s="413"/>
    </row>
    <row r="50" spans="6:25" ht="16.5" customHeight="1"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</row>
    <row r="51" spans="6:25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</row>
    <row r="52" spans="6:25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</row>
    <row r="53" spans="6:25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</row>
    <row r="54" spans="6:25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</row>
    <row r="55" spans="6:25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</row>
    <row r="56" spans="6:25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</row>
    <row r="57" spans="6:25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</row>
    <row r="58" spans="6:25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</row>
    <row r="59" spans="6:25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</row>
    <row r="60" spans="6:25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</row>
    <row r="61" spans="6:25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</row>
    <row r="62" spans="6:25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</row>
    <row r="63" spans="6:25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</row>
    <row r="64" spans="6:25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</row>
    <row r="65" spans="6:25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</row>
    <row r="66" spans="6:25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</row>
    <row r="67" spans="6:25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</row>
    <row r="68" spans="6:25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</row>
    <row r="69" spans="6:25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</row>
    <row r="70" spans="6:25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</row>
    <row r="71" spans="6:25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</row>
    <row r="72" spans="6:25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</row>
    <row r="73" spans="6:25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</row>
    <row r="74" spans="6:25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</row>
    <row r="75" spans="6:25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6:25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</row>
    <row r="77" spans="6:25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</row>
    <row r="78" spans="6:25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</row>
    <row r="79" spans="6:25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</row>
    <row r="80" spans="6:25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</row>
    <row r="81" spans="6:25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</row>
    <row r="82" spans="6:25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</row>
    <row r="83" spans="6:25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</row>
    <row r="84" spans="6:25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</row>
    <row r="85" spans="6:25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</row>
    <row r="86" spans="6:25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</row>
    <row r="87" spans="6:25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</row>
    <row r="88" spans="6:25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</row>
    <row r="89" spans="6:25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</row>
    <row r="90" spans="6:25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</row>
    <row r="91" spans="6:25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</row>
    <row r="92" spans="6:25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</row>
    <row r="93" spans="6:25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</row>
    <row r="94" spans="6:25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</row>
    <row r="95" spans="6:25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</row>
    <row r="96" spans="6:25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</row>
    <row r="97" spans="6:25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</row>
    <row r="98" spans="6:25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</row>
    <row r="99" spans="6:25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</row>
    <row r="100" spans="6:25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</row>
    <row r="101" spans="6:25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</row>
    <row r="102" spans="6:25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</row>
    <row r="103" spans="6:25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</row>
    <row r="104" spans="6:25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</row>
    <row r="105" spans="6:25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</row>
    <row r="106" spans="6:25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</row>
    <row r="107" spans="6:25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</row>
    <row r="108" spans="6:25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</row>
    <row r="109" spans="6:25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</row>
    <row r="110" spans="6:25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</row>
    <row r="111" spans="6:25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</row>
    <row r="112" spans="6:25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</row>
    <row r="113" spans="6:25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</row>
    <row r="114" spans="6:25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</row>
    <row r="115" spans="6:25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</row>
    <row r="116" spans="6:25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</row>
    <row r="117" spans="6:25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</row>
    <row r="118" spans="6:25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</row>
    <row r="119" spans="6:25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</row>
    <row r="120" spans="6:25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</row>
    <row r="121" spans="6:25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</row>
    <row r="122" spans="6:25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</row>
    <row r="123" spans="6:25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</row>
    <row r="124" spans="6:25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</row>
    <row r="125" spans="6:25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</row>
    <row r="126" spans="6:25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</row>
    <row r="127" spans="6:25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</row>
    <row r="128" spans="6:25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</row>
    <row r="129" spans="6:25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</row>
    <row r="130" spans="6:25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</row>
    <row r="131" spans="6:25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</row>
    <row r="132" spans="6:25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</row>
    <row r="133" spans="6:25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</row>
    <row r="134" spans="6:25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</row>
    <row r="135" spans="6:25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</row>
    <row r="136" spans="6:25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</row>
    <row r="137" spans="6:25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</row>
    <row r="138" spans="6:25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</row>
    <row r="139" spans="6:25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</row>
    <row r="140" spans="6:25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</row>
    <row r="141" spans="6:25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</row>
    <row r="142" spans="6:25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</row>
    <row r="143" spans="6:25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</row>
    <row r="144" spans="6:25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</row>
    <row r="145" spans="6:25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</row>
    <row r="146" spans="6:25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</row>
    <row r="147" spans="6:25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</row>
    <row r="148" spans="6:25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</row>
    <row r="149" spans="6:25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</row>
    <row r="150" spans="6:25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</row>
    <row r="151" spans="6:25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</row>
    <row r="152" spans="6:25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</row>
    <row r="153" spans="6:25" ht="16.5" customHeight="1"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</row>
    <row r="154" spans="6:25" ht="16.5" customHeight="1">
      <c r="F154" s="413"/>
      <c r="G154" s="413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3"/>
      <c r="V154" s="413"/>
      <c r="W154" s="413"/>
      <c r="X154" s="413"/>
      <c r="Y154" s="413"/>
    </row>
    <row r="155" spans="6:25" ht="16.5" customHeight="1"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</row>
    <row r="156" spans="6:25" ht="16.5" customHeight="1">
      <c r="F156" s="413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  <c r="T156" s="413"/>
      <c r="U156" s="413"/>
      <c r="V156" s="413"/>
      <c r="W156" s="413"/>
      <c r="X156" s="413"/>
      <c r="Y156" s="413"/>
    </row>
    <row r="157" spans="6:25" ht="16.5" customHeight="1"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</row>
    <row r="160" ht="12.75"/>
    <row r="161" ht="12.75"/>
    <row r="162" ht="12.75"/>
    <row r="163" ht="12.75"/>
    <row r="164" ht="12.75"/>
  </sheetData>
  <sheetProtection/>
  <printOptions/>
  <pageMargins left="0.7480314960629921" right="0.7480314960629921" top="0.79" bottom="0.6" header="0" footer="0"/>
  <pageSetup horizontalDpi="600" verticalDpi="600" orientation="landscape" paperSize="9" scale="60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9"/>
  <sheetViews>
    <sheetView zoomScale="70" zoomScaleNormal="70" zoomScalePageLayoutView="0" workbookViewId="0" topLeftCell="A1">
      <selection activeCell="B3" sqref="B3"/>
    </sheetView>
  </sheetViews>
  <sheetFormatPr defaultColWidth="11.421875" defaultRowHeight="16.5" customHeight="1"/>
  <cols>
    <col min="1" max="2" width="4.140625" style="1313" customWidth="1"/>
    <col min="3" max="3" width="5.421875" style="1313" customWidth="1"/>
    <col min="4" max="5" width="13.57421875" style="1313" customWidth="1"/>
    <col min="6" max="6" width="39.28125" style="1313" customWidth="1"/>
    <col min="7" max="7" width="40.7109375" style="1313" customWidth="1"/>
    <col min="8" max="8" width="9.57421875" style="1313" customWidth="1"/>
    <col min="9" max="9" width="12.28125" style="1313" hidden="1" customWidth="1"/>
    <col min="10" max="11" width="15.7109375" style="1313" customWidth="1"/>
    <col min="12" max="14" width="9.7109375" style="1313" customWidth="1"/>
    <col min="15" max="15" width="6.421875" style="1313" customWidth="1"/>
    <col min="16" max="16" width="7.28125" style="1313" hidden="1" customWidth="1"/>
    <col min="17" max="17" width="13.140625" style="1313" hidden="1" customWidth="1"/>
    <col min="18" max="19" width="6.00390625" style="1313" hidden="1" customWidth="1"/>
    <col min="20" max="20" width="12.00390625" style="1313" hidden="1" customWidth="1"/>
    <col min="21" max="21" width="9.7109375" style="1313" customWidth="1"/>
    <col min="22" max="22" width="15.7109375" style="1313" customWidth="1"/>
    <col min="23" max="23" width="4.140625" style="1313" customWidth="1"/>
    <col min="24" max="16384" width="11.421875" style="1313" customWidth="1"/>
  </cols>
  <sheetData>
    <row r="1" s="1197" customFormat="1" ht="26.25">
      <c r="W1" s="1198"/>
    </row>
    <row r="2" spans="1:23" s="1197" customFormat="1" ht="26.25">
      <c r="A2" s="1199"/>
      <c r="B2" s="1200" t="str">
        <f>'TOT-1214'!B2</f>
        <v>ANEXO I al Memorándum D.T.E.E. N° 90 /2016</v>
      </c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200"/>
      <c r="R2" s="1200"/>
      <c r="S2" s="1200"/>
      <c r="T2" s="1200"/>
      <c r="U2" s="1200"/>
      <c r="V2" s="1200"/>
      <c r="W2" s="1200"/>
    </row>
    <row r="3" s="1202" customFormat="1" ht="12.75">
      <c r="A3" s="1201"/>
    </row>
    <row r="4" spans="1:4" s="1205" customFormat="1" ht="11.25">
      <c r="A4" s="1203" t="s">
        <v>2</v>
      </c>
      <c r="B4" s="1204"/>
      <c r="C4" s="1204"/>
      <c r="D4" s="1204"/>
    </row>
    <row r="5" spans="1:4" s="1205" customFormat="1" ht="11.25">
      <c r="A5" s="1203" t="s">
        <v>3</v>
      </c>
      <c r="B5" s="1204"/>
      <c r="C5" s="1204"/>
      <c r="D5" s="1204"/>
    </row>
    <row r="6" s="1202" customFormat="1" ht="13.5" thickBot="1"/>
    <row r="7" spans="2:23" s="1202" customFormat="1" ht="13.5" thickTop="1">
      <c r="B7" s="1206"/>
      <c r="C7" s="1207"/>
      <c r="D7" s="1207"/>
      <c r="E7" s="1207"/>
      <c r="F7" s="1207"/>
      <c r="G7" s="1207"/>
      <c r="H7" s="1207"/>
      <c r="I7" s="1207"/>
      <c r="J7" s="1207"/>
      <c r="K7" s="1207"/>
      <c r="L7" s="1207"/>
      <c r="M7" s="1207"/>
      <c r="N7" s="1207"/>
      <c r="O7" s="1207"/>
      <c r="P7" s="1207"/>
      <c r="Q7" s="1207"/>
      <c r="R7" s="1207"/>
      <c r="S7" s="1207"/>
      <c r="T7" s="1207"/>
      <c r="U7" s="1207"/>
      <c r="V7" s="1207"/>
      <c r="W7" s="1208"/>
    </row>
    <row r="8" spans="2:23" s="1209" customFormat="1" ht="20.25">
      <c r="B8" s="1210"/>
      <c r="C8" s="1211"/>
      <c r="D8" s="1211"/>
      <c r="E8" s="1211"/>
      <c r="F8" s="1212" t="s">
        <v>23</v>
      </c>
      <c r="N8" s="1213"/>
      <c r="O8" s="1213"/>
      <c r="P8" s="1214"/>
      <c r="Q8" s="1211"/>
      <c r="R8" s="1211"/>
      <c r="S8" s="1211"/>
      <c r="T8" s="1211"/>
      <c r="U8" s="1211"/>
      <c r="V8" s="1211"/>
      <c r="W8" s="1215"/>
    </row>
    <row r="9" spans="2:23" s="1202" customFormat="1" ht="12.75">
      <c r="B9" s="1216"/>
      <c r="C9" s="1217"/>
      <c r="D9" s="1217"/>
      <c r="E9" s="1217"/>
      <c r="F9" s="1218"/>
      <c r="G9" s="1218"/>
      <c r="H9" s="1218"/>
      <c r="I9" s="1218"/>
      <c r="J9" s="1218"/>
      <c r="K9" s="1218"/>
      <c r="L9" s="1218"/>
      <c r="M9" s="1218"/>
      <c r="N9" s="1218"/>
      <c r="O9" s="1218"/>
      <c r="P9" s="1218"/>
      <c r="Q9" s="1217"/>
      <c r="R9" s="1217"/>
      <c r="S9" s="1217"/>
      <c r="T9" s="1217"/>
      <c r="U9" s="1217"/>
      <c r="V9" s="1217"/>
      <c r="W9" s="1219"/>
    </row>
    <row r="10" spans="2:23" s="1209" customFormat="1" ht="20.25">
      <c r="B10" s="1210"/>
      <c r="C10" s="1211"/>
      <c r="D10" s="1211"/>
      <c r="E10" s="1211"/>
      <c r="F10" s="1220" t="s">
        <v>65</v>
      </c>
      <c r="G10" s="1221"/>
      <c r="H10" s="1213"/>
      <c r="I10" s="1222"/>
      <c r="K10" s="1222"/>
      <c r="L10" s="1222"/>
      <c r="M10" s="1222"/>
      <c r="N10" s="1222"/>
      <c r="O10" s="1222"/>
      <c r="P10" s="1222"/>
      <c r="Q10" s="1211"/>
      <c r="R10" s="1211"/>
      <c r="S10" s="1211"/>
      <c r="T10" s="1211"/>
      <c r="U10" s="1211"/>
      <c r="V10" s="1211"/>
      <c r="W10" s="1215"/>
    </row>
    <row r="11" spans="2:23" s="1202" customFormat="1" ht="13.5">
      <c r="B11" s="1216"/>
      <c r="C11" s="1217"/>
      <c r="D11" s="1217"/>
      <c r="E11" s="1217"/>
      <c r="F11" s="1223"/>
      <c r="G11" s="1223"/>
      <c r="H11" s="1201"/>
      <c r="I11" s="1224"/>
      <c r="J11" s="1225"/>
      <c r="K11" s="1224"/>
      <c r="L11" s="1224"/>
      <c r="M11" s="1224"/>
      <c r="N11" s="1224"/>
      <c r="O11" s="1224"/>
      <c r="P11" s="1224"/>
      <c r="Q11" s="1217"/>
      <c r="R11" s="1217"/>
      <c r="S11" s="1217"/>
      <c r="T11" s="1217"/>
      <c r="U11" s="1217"/>
      <c r="V11" s="1217"/>
      <c r="W11" s="1219"/>
    </row>
    <row r="12" spans="2:23" s="1209" customFormat="1" ht="20.25">
      <c r="B12" s="1210"/>
      <c r="C12" s="1211"/>
      <c r="D12" s="1211"/>
      <c r="E12" s="1211"/>
      <c r="F12" s="1220" t="s">
        <v>319</v>
      </c>
      <c r="G12" s="1221"/>
      <c r="H12" s="1213"/>
      <c r="I12" s="1222"/>
      <c r="K12" s="1222"/>
      <c r="L12" s="1222"/>
      <c r="M12" s="1222"/>
      <c r="N12" s="1222"/>
      <c r="O12" s="1222"/>
      <c r="P12" s="1222"/>
      <c r="Q12" s="1211"/>
      <c r="R12" s="1211"/>
      <c r="S12" s="1211"/>
      <c r="T12" s="1211"/>
      <c r="U12" s="1211"/>
      <c r="V12" s="1211"/>
      <c r="W12" s="1215"/>
    </row>
    <row r="13" spans="2:23" s="1202" customFormat="1" ht="13.5">
      <c r="B13" s="1216"/>
      <c r="C13" s="1217"/>
      <c r="D13" s="1217"/>
      <c r="E13" s="1217"/>
      <c r="F13" s="1223"/>
      <c r="G13" s="1223"/>
      <c r="H13" s="1201"/>
      <c r="I13" s="1224"/>
      <c r="J13" s="1225"/>
      <c r="K13" s="1224"/>
      <c r="L13" s="1224"/>
      <c r="M13" s="1224"/>
      <c r="N13" s="1224"/>
      <c r="O13" s="1224"/>
      <c r="P13" s="1224"/>
      <c r="Q13" s="1217"/>
      <c r="R13" s="1217"/>
      <c r="S13" s="1217"/>
      <c r="T13" s="1217"/>
      <c r="U13" s="1217"/>
      <c r="V13" s="1217"/>
      <c r="W13" s="1219"/>
    </row>
    <row r="14" spans="2:23" s="1202" customFormat="1" ht="19.5">
      <c r="B14" s="1226" t="str">
        <f>'TOT-1214'!B14</f>
        <v>Desde el 01 al 31 de diciembre de 2014</v>
      </c>
      <c r="C14" s="1227"/>
      <c r="D14" s="1227"/>
      <c r="E14" s="1227"/>
      <c r="F14" s="1227"/>
      <c r="G14" s="1227"/>
      <c r="H14" s="1227"/>
      <c r="I14" s="1228"/>
      <c r="J14" s="1228"/>
      <c r="K14" s="1228"/>
      <c r="L14" s="1228"/>
      <c r="M14" s="1228"/>
      <c r="N14" s="1228"/>
      <c r="O14" s="1228"/>
      <c r="P14" s="1228"/>
      <c r="Q14" s="1227"/>
      <c r="R14" s="1227"/>
      <c r="S14" s="1227"/>
      <c r="T14" s="1227"/>
      <c r="U14" s="1227"/>
      <c r="V14" s="1227"/>
      <c r="W14" s="1229"/>
    </row>
    <row r="15" spans="2:23" s="1202" customFormat="1" ht="14.25" thickBot="1">
      <c r="B15" s="1230"/>
      <c r="C15" s="1231"/>
      <c r="D15" s="1231"/>
      <c r="E15" s="1231"/>
      <c r="F15" s="1231"/>
      <c r="G15" s="1231"/>
      <c r="H15" s="1231"/>
      <c r="I15" s="1232"/>
      <c r="J15" s="1232"/>
      <c r="K15" s="1232"/>
      <c r="L15" s="1232"/>
      <c r="M15" s="1232"/>
      <c r="N15" s="1232"/>
      <c r="O15" s="1232"/>
      <c r="P15" s="1232"/>
      <c r="Q15" s="1231"/>
      <c r="R15" s="1231"/>
      <c r="S15" s="1231"/>
      <c r="T15" s="1231"/>
      <c r="U15" s="1231"/>
      <c r="V15" s="1231"/>
      <c r="W15" s="1233"/>
    </row>
    <row r="16" spans="2:23" s="1202" customFormat="1" ht="15" thickBot="1" thickTop="1">
      <c r="B16" s="1216"/>
      <c r="C16" s="1217"/>
      <c r="D16" s="1217"/>
      <c r="E16" s="1217"/>
      <c r="F16" s="1234"/>
      <c r="G16" s="1234"/>
      <c r="H16" s="1235" t="s">
        <v>67</v>
      </c>
      <c r="I16" s="1217"/>
      <c r="J16" s="1225"/>
      <c r="K16" s="1217"/>
      <c r="L16" s="1217"/>
      <c r="M16" s="1217"/>
      <c r="N16" s="1217"/>
      <c r="O16" s="1217"/>
      <c r="P16" s="1217"/>
      <c r="Q16" s="1217"/>
      <c r="R16" s="1217"/>
      <c r="S16" s="1217"/>
      <c r="T16" s="1217"/>
      <c r="U16" s="1217"/>
      <c r="V16" s="1217"/>
      <c r="W16" s="1219"/>
    </row>
    <row r="17" spans="2:23" s="1202" customFormat="1" ht="16.5" customHeight="1" thickBot="1" thickTop="1">
      <c r="B17" s="1216"/>
      <c r="C17" s="1217"/>
      <c r="D17" s="1217"/>
      <c r="E17" s="1217"/>
      <c r="F17" s="1236" t="s">
        <v>68</v>
      </c>
      <c r="G17" s="1237" t="s">
        <v>278</v>
      </c>
      <c r="H17" s="1238">
        <v>200</v>
      </c>
      <c r="V17" s="1239"/>
      <c r="W17" s="1219"/>
    </row>
    <row r="18" spans="2:23" s="1202" customFormat="1" ht="16.5" customHeight="1" thickBot="1" thickTop="1">
      <c r="B18" s="1216"/>
      <c r="C18" s="1217"/>
      <c r="D18" s="1217"/>
      <c r="E18" s="1217"/>
      <c r="F18" s="1240" t="s">
        <v>69</v>
      </c>
      <c r="G18" s="1242">
        <f>0.6*213.03</f>
        <v>127.818</v>
      </c>
      <c r="H18" s="1238">
        <v>100</v>
      </c>
      <c r="O18" s="1217"/>
      <c r="P18" s="1217"/>
      <c r="Q18" s="1217"/>
      <c r="R18" s="1217"/>
      <c r="S18" s="1217"/>
      <c r="T18" s="1217"/>
      <c r="U18" s="1217"/>
      <c r="V18" s="1217"/>
      <c r="W18" s="1219"/>
    </row>
    <row r="19" spans="2:23" s="1202" customFormat="1" ht="16.5" customHeight="1" thickBot="1" thickTop="1">
      <c r="B19" s="1216"/>
      <c r="C19" s="1217"/>
      <c r="D19" s="1217"/>
      <c r="E19" s="1217"/>
      <c r="F19" s="1241" t="s">
        <v>70</v>
      </c>
      <c r="G19" s="1242" t="s">
        <v>278</v>
      </c>
      <c r="H19" s="1238">
        <v>40</v>
      </c>
      <c r="K19" s="1243"/>
      <c r="L19" s="1244"/>
      <c r="M19" s="1217"/>
      <c r="O19" s="1217"/>
      <c r="Q19" s="1217"/>
      <c r="R19" s="1217"/>
      <c r="S19" s="1217"/>
      <c r="T19" s="1217"/>
      <c r="U19" s="1217"/>
      <c r="V19" s="1217"/>
      <c r="W19" s="1219"/>
    </row>
    <row r="20" spans="2:23" s="1202" customFormat="1" ht="16.5" customHeight="1" thickBot="1" thickTop="1">
      <c r="B20" s="1216"/>
      <c r="C20" s="1245">
        <v>3</v>
      </c>
      <c r="D20" s="1245">
        <v>4</v>
      </c>
      <c r="E20" s="1245">
        <v>5</v>
      </c>
      <c r="F20" s="1245">
        <v>6</v>
      </c>
      <c r="G20" s="1245">
        <v>7</v>
      </c>
      <c r="H20" s="1245">
        <v>8</v>
      </c>
      <c r="I20" s="1245">
        <v>9</v>
      </c>
      <c r="J20" s="1245">
        <v>10</v>
      </c>
      <c r="K20" s="1245">
        <v>11</v>
      </c>
      <c r="L20" s="1245">
        <v>12</v>
      </c>
      <c r="M20" s="1245">
        <v>13</v>
      </c>
      <c r="N20" s="1245">
        <v>14</v>
      </c>
      <c r="O20" s="1245">
        <v>15</v>
      </c>
      <c r="P20" s="1245">
        <v>16</v>
      </c>
      <c r="Q20" s="1245">
        <v>17</v>
      </c>
      <c r="R20" s="1245">
        <v>18</v>
      </c>
      <c r="S20" s="1245">
        <v>19</v>
      </c>
      <c r="T20" s="1245">
        <v>20</v>
      </c>
      <c r="U20" s="1245">
        <v>21</v>
      </c>
      <c r="V20" s="1245">
        <v>22</v>
      </c>
      <c r="W20" s="1219"/>
    </row>
    <row r="21" spans="2:23" s="1202" customFormat="1" ht="33.75" customHeight="1" thickBot="1" thickTop="1">
      <c r="B21" s="1216"/>
      <c r="C21" s="1246" t="s">
        <v>28</v>
      </c>
      <c r="D21" s="1247" t="s">
        <v>29</v>
      </c>
      <c r="E21" s="1247" t="s">
        <v>30</v>
      </c>
      <c r="F21" s="1248" t="s">
        <v>58</v>
      </c>
      <c r="G21" s="1249" t="s">
        <v>59</v>
      </c>
      <c r="H21" s="1250" t="s">
        <v>31</v>
      </c>
      <c r="I21" s="1251" t="s">
        <v>35</v>
      </c>
      <c r="J21" s="1252" t="s">
        <v>36</v>
      </c>
      <c r="K21" s="1249" t="s">
        <v>37</v>
      </c>
      <c r="L21" s="1253" t="s">
        <v>38</v>
      </c>
      <c r="M21" s="1253" t="s">
        <v>39</v>
      </c>
      <c r="N21" s="1254" t="s">
        <v>179</v>
      </c>
      <c r="O21" s="1255" t="s">
        <v>42</v>
      </c>
      <c r="P21" s="1256" t="s">
        <v>34</v>
      </c>
      <c r="Q21" s="1257" t="s">
        <v>71</v>
      </c>
      <c r="R21" s="1258" t="s">
        <v>72</v>
      </c>
      <c r="S21" s="1259"/>
      <c r="T21" s="1260" t="s">
        <v>47</v>
      </c>
      <c r="U21" s="1261" t="s">
        <v>49</v>
      </c>
      <c r="V21" s="1262" t="s">
        <v>50</v>
      </c>
      <c r="W21" s="1219"/>
    </row>
    <row r="22" spans="2:23" s="1202" customFormat="1" ht="16.5" customHeight="1" thickTop="1">
      <c r="B22" s="1216"/>
      <c r="C22" s="1263"/>
      <c r="D22" s="1263"/>
      <c r="E22" s="1263"/>
      <c r="F22" s="1264"/>
      <c r="G22" s="1264"/>
      <c r="H22" s="1264"/>
      <c r="I22" s="1265"/>
      <c r="J22" s="1264"/>
      <c r="K22" s="1264"/>
      <c r="L22" s="1264"/>
      <c r="M22" s="1264"/>
      <c r="N22" s="1264"/>
      <c r="O22" s="1264"/>
      <c r="P22" s="1266"/>
      <c r="Q22" s="1267"/>
      <c r="R22" s="1268"/>
      <c r="S22" s="1269"/>
      <c r="T22" s="1270"/>
      <c r="U22" s="1264"/>
      <c r="V22" s="1271"/>
      <c r="W22" s="1219"/>
    </row>
    <row r="23" spans="2:23" s="1202" customFormat="1" ht="16.5" customHeight="1">
      <c r="B23" s="1216"/>
      <c r="C23" s="1272"/>
      <c r="D23" s="1272"/>
      <c r="E23" s="1272"/>
      <c r="F23" s="1273"/>
      <c r="G23" s="1273"/>
      <c r="H23" s="1273"/>
      <c r="I23" s="1274"/>
      <c r="J23" s="1273"/>
      <c r="K23" s="1273"/>
      <c r="L23" s="1273"/>
      <c r="M23" s="1273"/>
      <c r="N23" s="1273"/>
      <c r="O23" s="1273"/>
      <c r="P23" s="1275"/>
      <c r="Q23" s="1276"/>
      <c r="R23" s="1277"/>
      <c r="S23" s="1278"/>
      <c r="T23" s="1279"/>
      <c r="U23" s="1273"/>
      <c r="V23" s="1280"/>
      <c r="W23" s="1219"/>
    </row>
    <row r="24" spans="2:23" s="1202" customFormat="1" ht="16.5" customHeight="1">
      <c r="B24" s="1216"/>
      <c r="C24" s="1272">
        <v>65</v>
      </c>
      <c r="D24" s="1272">
        <v>282225</v>
      </c>
      <c r="E24" s="1281">
        <v>5122</v>
      </c>
      <c r="F24" s="1282" t="s">
        <v>283</v>
      </c>
      <c r="G24" s="1282" t="s">
        <v>284</v>
      </c>
      <c r="H24" s="1283">
        <v>220</v>
      </c>
      <c r="I24" s="1284">
        <f aca="true" t="shared" si="0" ref="I24:I43">IF(H24=500,$G$17,IF(H24=220,$G$18,$G$19))</f>
        <v>127.818</v>
      </c>
      <c r="J24" s="1285">
        <v>41980.402083333334</v>
      </c>
      <c r="K24" s="1286">
        <v>41980.78888888889</v>
      </c>
      <c r="L24" s="1287">
        <f aca="true" t="shared" si="1" ref="L24:L43">IF(F24="","",(K24-J24)*24)</f>
        <v>9.28333333338378</v>
      </c>
      <c r="M24" s="1288">
        <f aca="true" t="shared" si="2" ref="M24:M43">IF(F24="","",ROUND((K24-J24)*24*60,0))</f>
        <v>557</v>
      </c>
      <c r="N24" s="1289" t="s">
        <v>198</v>
      </c>
      <c r="O24" s="1290" t="str">
        <f aca="true" t="shared" si="3" ref="O24:O43">IF(F24="","",IF(N24="P","--","NO"))</f>
        <v>--</v>
      </c>
      <c r="P24" s="1291">
        <f aca="true" t="shared" si="4" ref="P24:P43">IF(H24=500,$H$17,IF(H24=220,$H$18,$H$19))</f>
        <v>100</v>
      </c>
      <c r="Q24" s="1292">
        <f aca="true" t="shared" si="5" ref="Q24:Q43">IF(N24="P",I24*P24*ROUND(M24/60,2)*0.1,"--")</f>
        <v>11861.5104</v>
      </c>
      <c r="R24" s="1277" t="str">
        <f aca="true" t="shared" si="6" ref="R24:R43">IF(AND(N24="F",O24="NO"),I24*P24,"--")</f>
        <v>--</v>
      </c>
      <c r="S24" s="1278" t="str">
        <f aca="true" t="shared" si="7" ref="S24:S43">IF(N24="F",I24*P24*ROUND(M24/60,2),"--")</f>
        <v>--</v>
      </c>
      <c r="T24" s="1279" t="str">
        <f aca="true" t="shared" si="8" ref="T24:T43">IF(N24="RF",I24*P24*ROUND(M24/60,2),"--")</f>
        <v>--</v>
      </c>
      <c r="U24" s="1290" t="str">
        <f aca="true" t="shared" si="9" ref="U24:U43">IF(F24="","","SI")</f>
        <v>SI</v>
      </c>
      <c r="V24" s="1293">
        <f aca="true" t="shared" si="10" ref="V24:V43">IF(F24="","",SUM(Q24:T24)*IF(U24="SI",1,2))</f>
        <v>11861.5104</v>
      </c>
      <c r="W24" s="1219"/>
    </row>
    <row r="25" spans="2:23" s="1202" customFormat="1" ht="16.5" customHeight="1">
      <c r="B25" s="1216"/>
      <c r="C25" s="1272"/>
      <c r="D25" s="1272"/>
      <c r="E25" s="1281"/>
      <c r="F25" s="1282"/>
      <c r="G25" s="1282"/>
      <c r="H25" s="1283"/>
      <c r="I25" s="1284" t="str">
        <f t="shared" si="0"/>
        <v> - </v>
      </c>
      <c r="J25" s="1285"/>
      <c r="K25" s="1286"/>
      <c r="L25" s="1287">
        <f t="shared" si="1"/>
      </c>
      <c r="M25" s="1288">
        <f t="shared" si="2"/>
      </c>
      <c r="N25" s="1289"/>
      <c r="O25" s="1290">
        <f t="shared" si="3"/>
      </c>
      <c r="P25" s="1291">
        <f t="shared" si="4"/>
        <v>40</v>
      </c>
      <c r="Q25" s="1292" t="str">
        <f t="shared" si="5"/>
        <v>--</v>
      </c>
      <c r="R25" s="1277" t="str">
        <f t="shared" si="6"/>
        <v>--</v>
      </c>
      <c r="S25" s="1278" t="str">
        <f t="shared" si="7"/>
        <v>--</v>
      </c>
      <c r="T25" s="1279" t="str">
        <f t="shared" si="8"/>
        <v>--</v>
      </c>
      <c r="U25" s="1290">
        <f t="shared" si="9"/>
      </c>
      <c r="V25" s="1293">
        <f t="shared" si="10"/>
      </c>
      <c r="W25" s="1219"/>
    </row>
    <row r="26" spans="2:23" s="1202" customFormat="1" ht="16.5" customHeight="1">
      <c r="B26" s="1216"/>
      <c r="C26" s="1272"/>
      <c r="D26" s="1272"/>
      <c r="E26" s="1281"/>
      <c r="F26" s="1282"/>
      <c r="G26" s="1282"/>
      <c r="H26" s="1294"/>
      <c r="I26" s="1295" t="str">
        <f t="shared" si="0"/>
        <v> - </v>
      </c>
      <c r="J26" s="1285"/>
      <c r="K26" s="1286"/>
      <c r="L26" s="1287">
        <f t="shared" si="1"/>
      </c>
      <c r="M26" s="1296">
        <f t="shared" si="2"/>
      </c>
      <c r="N26" s="1289"/>
      <c r="O26" s="1290">
        <f t="shared" si="3"/>
      </c>
      <c r="P26" s="1297">
        <f t="shared" si="4"/>
        <v>40</v>
      </c>
      <c r="Q26" s="1292" t="str">
        <f t="shared" si="5"/>
        <v>--</v>
      </c>
      <c r="R26" s="1277" t="str">
        <f t="shared" si="6"/>
        <v>--</v>
      </c>
      <c r="S26" s="1278" t="str">
        <f t="shared" si="7"/>
        <v>--</v>
      </c>
      <c r="T26" s="1279" t="str">
        <f t="shared" si="8"/>
        <v>--</v>
      </c>
      <c r="U26" s="1290">
        <f t="shared" si="9"/>
      </c>
      <c r="V26" s="1293">
        <f t="shared" si="10"/>
      </c>
      <c r="W26" s="1219"/>
    </row>
    <row r="27" spans="2:23" s="1202" customFormat="1" ht="16.5" customHeight="1">
      <c r="B27" s="1216"/>
      <c r="C27" s="1272"/>
      <c r="D27" s="1272"/>
      <c r="E27" s="1272"/>
      <c r="F27" s="1282"/>
      <c r="G27" s="1282"/>
      <c r="H27" s="1294"/>
      <c r="I27" s="1295" t="str">
        <f t="shared" si="0"/>
        <v> - </v>
      </c>
      <c r="J27" s="1285"/>
      <c r="K27" s="1286"/>
      <c r="L27" s="1287">
        <f t="shared" si="1"/>
      </c>
      <c r="M27" s="1296">
        <f t="shared" si="2"/>
      </c>
      <c r="N27" s="1289"/>
      <c r="O27" s="1290">
        <f t="shared" si="3"/>
      </c>
      <c r="P27" s="1297">
        <f t="shared" si="4"/>
        <v>40</v>
      </c>
      <c r="Q27" s="1292" t="str">
        <f t="shared" si="5"/>
        <v>--</v>
      </c>
      <c r="R27" s="1277" t="str">
        <f t="shared" si="6"/>
        <v>--</v>
      </c>
      <c r="S27" s="1278" t="str">
        <f t="shared" si="7"/>
        <v>--</v>
      </c>
      <c r="T27" s="1279" t="str">
        <f t="shared" si="8"/>
        <v>--</v>
      </c>
      <c r="U27" s="1290">
        <f t="shared" si="9"/>
      </c>
      <c r="V27" s="1293">
        <f t="shared" si="10"/>
      </c>
      <c r="W27" s="1219"/>
    </row>
    <row r="28" spans="2:23" s="1202" customFormat="1" ht="16.5" customHeight="1">
      <c r="B28" s="1216"/>
      <c r="C28" s="1272"/>
      <c r="D28" s="1272"/>
      <c r="E28" s="1281"/>
      <c r="F28" s="1282"/>
      <c r="G28" s="1282"/>
      <c r="H28" s="1294"/>
      <c r="I28" s="1295" t="str">
        <f t="shared" si="0"/>
        <v> - </v>
      </c>
      <c r="J28" s="1285"/>
      <c r="K28" s="1286"/>
      <c r="L28" s="1287">
        <f t="shared" si="1"/>
      </c>
      <c r="M28" s="1296">
        <f t="shared" si="2"/>
      </c>
      <c r="N28" s="1289"/>
      <c r="O28" s="1290">
        <f t="shared" si="3"/>
      </c>
      <c r="P28" s="1297">
        <f t="shared" si="4"/>
        <v>40</v>
      </c>
      <c r="Q28" s="1292" t="str">
        <f t="shared" si="5"/>
        <v>--</v>
      </c>
      <c r="R28" s="1277" t="str">
        <f t="shared" si="6"/>
        <v>--</v>
      </c>
      <c r="S28" s="1278" t="str">
        <f t="shared" si="7"/>
        <v>--</v>
      </c>
      <c r="T28" s="1279" t="str">
        <f t="shared" si="8"/>
        <v>--</v>
      </c>
      <c r="U28" s="1290">
        <f t="shared" si="9"/>
      </c>
      <c r="V28" s="1293">
        <f t="shared" si="10"/>
      </c>
      <c r="W28" s="1219"/>
    </row>
    <row r="29" spans="2:23" s="1202" customFormat="1" ht="16.5" customHeight="1">
      <c r="B29" s="1216"/>
      <c r="C29" s="1272"/>
      <c r="D29" s="1272"/>
      <c r="E29" s="1272"/>
      <c r="F29" s="1282"/>
      <c r="G29" s="1282"/>
      <c r="H29" s="1294"/>
      <c r="I29" s="1295" t="str">
        <f t="shared" si="0"/>
        <v> - </v>
      </c>
      <c r="J29" s="1285"/>
      <c r="K29" s="1286"/>
      <c r="L29" s="1287">
        <f t="shared" si="1"/>
      </c>
      <c r="M29" s="1296">
        <f t="shared" si="2"/>
      </c>
      <c r="N29" s="1289"/>
      <c r="O29" s="1290">
        <f t="shared" si="3"/>
      </c>
      <c r="P29" s="1297">
        <f t="shared" si="4"/>
        <v>40</v>
      </c>
      <c r="Q29" s="1292" t="str">
        <f t="shared" si="5"/>
        <v>--</v>
      </c>
      <c r="R29" s="1277" t="str">
        <f t="shared" si="6"/>
        <v>--</v>
      </c>
      <c r="S29" s="1278" t="str">
        <f t="shared" si="7"/>
        <v>--</v>
      </c>
      <c r="T29" s="1279" t="str">
        <f t="shared" si="8"/>
        <v>--</v>
      </c>
      <c r="U29" s="1290">
        <f t="shared" si="9"/>
      </c>
      <c r="V29" s="1293">
        <f t="shared" si="10"/>
      </c>
      <c r="W29" s="1219"/>
    </row>
    <row r="30" spans="2:23" s="1202" customFormat="1" ht="16.5" customHeight="1">
      <c r="B30" s="1216"/>
      <c r="C30" s="1272"/>
      <c r="D30" s="1272"/>
      <c r="E30" s="1281"/>
      <c r="F30" s="1282"/>
      <c r="G30" s="1282"/>
      <c r="H30" s="1294"/>
      <c r="I30" s="1295" t="str">
        <f t="shared" si="0"/>
        <v> - </v>
      </c>
      <c r="J30" s="1285"/>
      <c r="K30" s="1286"/>
      <c r="L30" s="1287">
        <f t="shared" si="1"/>
      </c>
      <c r="M30" s="1296">
        <f t="shared" si="2"/>
      </c>
      <c r="N30" s="1289"/>
      <c r="O30" s="1290">
        <f t="shared" si="3"/>
      </c>
      <c r="P30" s="1297">
        <f t="shared" si="4"/>
        <v>40</v>
      </c>
      <c r="Q30" s="1292" t="str">
        <f t="shared" si="5"/>
        <v>--</v>
      </c>
      <c r="R30" s="1277" t="str">
        <f t="shared" si="6"/>
        <v>--</v>
      </c>
      <c r="S30" s="1278" t="str">
        <f t="shared" si="7"/>
        <v>--</v>
      </c>
      <c r="T30" s="1279" t="str">
        <f t="shared" si="8"/>
        <v>--</v>
      </c>
      <c r="U30" s="1290">
        <f t="shared" si="9"/>
      </c>
      <c r="V30" s="1293">
        <f t="shared" si="10"/>
      </c>
      <c r="W30" s="1219"/>
    </row>
    <row r="31" spans="2:23" s="1202" customFormat="1" ht="16.5" customHeight="1">
      <c r="B31" s="1216"/>
      <c r="C31" s="1272"/>
      <c r="D31" s="1272"/>
      <c r="E31" s="1272"/>
      <c r="F31" s="1282"/>
      <c r="G31" s="1282"/>
      <c r="H31" s="1294"/>
      <c r="I31" s="1295" t="str">
        <f t="shared" si="0"/>
        <v> - </v>
      </c>
      <c r="J31" s="1285"/>
      <c r="K31" s="1286"/>
      <c r="L31" s="1287">
        <f t="shared" si="1"/>
      </c>
      <c r="M31" s="1296">
        <f t="shared" si="2"/>
      </c>
      <c r="N31" s="1289"/>
      <c r="O31" s="1290">
        <f t="shared" si="3"/>
      </c>
      <c r="P31" s="1297">
        <f t="shared" si="4"/>
        <v>40</v>
      </c>
      <c r="Q31" s="1292" t="str">
        <f t="shared" si="5"/>
        <v>--</v>
      </c>
      <c r="R31" s="1277" t="str">
        <f t="shared" si="6"/>
        <v>--</v>
      </c>
      <c r="S31" s="1278" t="str">
        <f t="shared" si="7"/>
        <v>--</v>
      </c>
      <c r="T31" s="1279" t="str">
        <f t="shared" si="8"/>
        <v>--</v>
      </c>
      <c r="U31" s="1290">
        <f t="shared" si="9"/>
      </c>
      <c r="V31" s="1293">
        <f t="shared" si="10"/>
      </c>
      <c r="W31" s="1219"/>
    </row>
    <row r="32" spans="2:23" s="1202" customFormat="1" ht="16.5" customHeight="1">
      <c r="B32" s="1216"/>
      <c r="C32" s="1272"/>
      <c r="D32" s="1272"/>
      <c r="E32" s="1281"/>
      <c r="F32" s="1282"/>
      <c r="G32" s="1282"/>
      <c r="H32" s="1294"/>
      <c r="I32" s="1295" t="str">
        <f t="shared" si="0"/>
        <v> - </v>
      </c>
      <c r="J32" s="1285"/>
      <c r="K32" s="1286"/>
      <c r="L32" s="1287">
        <f t="shared" si="1"/>
      </c>
      <c r="M32" s="1296">
        <f t="shared" si="2"/>
      </c>
      <c r="N32" s="1289"/>
      <c r="O32" s="1290">
        <f t="shared" si="3"/>
      </c>
      <c r="P32" s="1297">
        <f t="shared" si="4"/>
        <v>40</v>
      </c>
      <c r="Q32" s="1292" t="str">
        <f t="shared" si="5"/>
        <v>--</v>
      </c>
      <c r="R32" s="1277" t="str">
        <f t="shared" si="6"/>
        <v>--</v>
      </c>
      <c r="S32" s="1278" t="str">
        <f t="shared" si="7"/>
        <v>--</v>
      </c>
      <c r="T32" s="1279" t="str">
        <f t="shared" si="8"/>
        <v>--</v>
      </c>
      <c r="U32" s="1290">
        <f t="shared" si="9"/>
      </c>
      <c r="V32" s="1293">
        <f t="shared" si="10"/>
      </c>
      <c r="W32" s="1219"/>
    </row>
    <row r="33" spans="2:23" s="1202" customFormat="1" ht="16.5" customHeight="1">
      <c r="B33" s="1216"/>
      <c r="C33" s="1272"/>
      <c r="D33" s="1272"/>
      <c r="E33" s="1272"/>
      <c r="F33" s="1282"/>
      <c r="G33" s="1282"/>
      <c r="H33" s="1294"/>
      <c r="I33" s="1295" t="str">
        <f t="shared" si="0"/>
        <v> - </v>
      </c>
      <c r="J33" s="1285"/>
      <c r="K33" s="1286"/>
      <c r="L33" s="1287">
        <f t="shared" si="1"/>
      </c>
      <c r="M33" s="1296">
        <f t="shared" si="2"/>
      </c>
      <c r="N33" s="1289"/>
      <c r="O33" s="1290">
        <f t="shared" si="3"/>
      </c>
      <c r="P33" s="1297">
        <f t="shared" si="4"/>
        <v>40</v>
      </c>
      <c r="Q33" s="1292" t="str">
        <f t="shared" si="5"/>
        <v>--</v>
      </c>
      <c r="R33" s="1277" t="str">
        <f t="shared" si="6"/>
        <v>--</v>
      </c>
      <c r="S33" s="1278" t="str">
        <f t="shared" si="7"/>
        <v>--</v>
      </c>
      <c r="T33" s="1279" t="str">
        <f t="shared" si="8"/>
        <v>--</v>
      </c>
      <c r="U33" s="1290">
        <f t="shared" si="9"/>
      </c>
      <c r="V33" s="1293">
        <f t="shared" si="10"/>
      </c>
      <c r="W33" s="1219"/>
    </row>
    <row r="34" spans="2:23" s="1202" customFormat="1" ht="16.5" customHeight="1">
      <c r="B34" s="1216"/>
      <c r="C34" s="1272"/>
      <c r="D34" s="1272"/>
      <c r="E34" s="1281"/>
      <c r="F34" s="1282"/>
      <c r="G34" s="1282"/>
      <c r="H34" s="1294"/>
      <c r="I34" s="1295" t="str">
        <f t="shared" si="0"/>
        <v> - </v>
      </c>
      <c r="J34" s="1285"/>
      <c r="K34" s="1286"/>
      <c r="L34" s="1287">
        <f t="shared" si="1"/>
      </c>
      <c r="M34" s="1296">
        <f t="shared" si="2"/>
      </c>
      <c r="N34" s="1289"/>
      <c r="O34" s="1290">
        <f t="shared" si="3"/>
      </c>
      <c r="P34" s="1297">
        <f t="shared" si="4"/>
        <v>40</v>
      </c>
      <c r="Q34" s="1292" t="str">
        <f t="shared" si="5"/>
        <v>--</v>
      </c>
      <c r="R34" s="1277" t="str">
        <f t="shared" si="6"/>
        <v>--</v>
      </c>
      <c r="S34" s="1278" t="str">
        <f t="shared" si="7"/>
        <v>--</v>
      </c>
      <c r="T34" s="1279" t="str">
        <f t="shared" si="8"/>
        <v>--</v>
      </c>
      <c r="U34" s="1290">
        <f t="shared" si="9"/>
      </c>
      <c r="V34" s="1293">
        <f t="shared" si="10"/>
      </c>
      <c r="W34" s="1219"/>
    </row>
    <row r="35" spans="2:23" s="1202" customFormat="1" ht="16.5" customHeight="1">
      <c r="B35" s="1216"/>
      <c r="C35" s="1272"/>
      <c r="D35" s="1272"/>
      <c r="E35" s="1272"/>
      <c r="F35" s="1282"/>
      <c r="G35" s="1282"/>
      <c r="H35" s="1294"/>
      <c r="I35" s="1295" t="str">
        <f t="shared" si="0"/>
        <v> - </v>
      </c>
      <c r="J35" s="1285"/>
      <c r="K35" s="1286"/>
      <c r="L35" s="1287">
        <f t="shared" si="1"/>
      </c>
      <c r="M35" s="1296">
        <f t="shared" si="2"/>
      </c>
      <c r="N35" s="1289"/>
      <c r="O35" s="1290">
        <f t="shared" si="3"/>
      </c>
      <c r="P35" s="1297">
        <f t="shared" si="4"/>
        <v>40</v>
      </c>
      <c r="Q35" s="1292" t="str">
        <f t="shared" si="5"/>
        <v>--</v>
      </c>
      <c r="R35" s="1277" t="str">
        <f t="shared" si="6"/>
        <v>--</v>
      </c>
      <c r="S35" s="1278" t="str">
        <f t="shared" si="7"/>
        <v>--</v>
      </c>
      <c r="T35" s="1279" t="str">
        <f t="shared" si="8"/>
        <v>--</v>
      </c>
      <c r="U35" s="1290">
        <f t="shared" si="9"/>
      </c>
      <c r="V35" s="1293">
        <f t="shared" si="10"/>
      </c>
      <c r="W35" s="1219"/>
    </row>
    <row r="36" spans="2:23" s="1202" customFormat="1" ht="16.5" customHeight="1">
      <c r="B36" s="1216"/>
      <c r="C36" s="1272"/>
      <c r="D36" s="1272"/>
      <c r="E36" s="1281"/>
      <c r="F36" s="1282"/>
      <c r="G36" s="1282"/>
      <c r="H36" s="1294"/>
      <c r="I36" s="1295" t="str">
        <f t="shared" si="0"/>
        <v> - </v>
      </c>
      <c r="J36" s="1285"/>
      <c r="K36" s="1286"/>
      <c r="L36" s="1287">
        <f t="shared" si="1"/>
      </c>
      <c r="M36" s="1296">
        <f t="shared" si="2"/>
      </c>
      <c r="N36" s="1289"/>
      <c r="O36" s="1290">
        <f t="shared" si="3"/>
      </c>
      <c r="P36" s="1297">
        <f t="shared" si="4"/>
        <v>40</v>
      </c>
      <c r="Q36" s="1292" t="str">
        <f t="shared" si="5"/>
        <v>--</v>
      </c>
      <c r="R36" s="1277" t="str">
        <f t="shared" si="6"/>
        <v>--</v>
      </c>
      <c r="S36" s="1278" t="str">
        <f t="shared" si="7"/>
        <v>--</v>
      </c>
      <c r="T36" s="1279" t="str">
        <f t="shared" si="8"/>
        <v>--</v>
      </c>
      <c r="U36" s="1290">
        <f t="shared" si="9"/>
      </c>
      <c r="V36" s="1293">
        <f t="shared" si="10"/>
      </c>
      <c r="W36" s="1219"/>
    </row>
    <row r="37" spans="2:23" s="1202" customFormat="1" ht="16.5" customHeight="1">
      <c r="B37" s="1216"/>
      <c r="C37" s="1272"/>
      <c r="D37" s="1272"/>
      <c r="E37" s="1272"/>
      <c r="F37" s="1282"/>
      <c r="G37" s="1282"/>
      <c r="H37" s="1294"/>
      <c r="I37" s="1295" t="str">
        <f t="shared" si="0"/>
        <v> - </v>
      </c>
      <c r="J37" s="1285"/>
      <c r="K37" s="1286"/>
      <c r="L37" s="1287">
        <f t="shared" si="1"/>
      </c>
      <c r="M37" s="1296">
        <f t="shared" si="2"/>
      </c>
      <c r="N37" s="1289"/>
      <c r="O37" s="1290">
        <f t="shared" si="3"/>
      </c>
      <c r="P37" s="1297">
        <f t="shared" si="4"/>
        <v>40</v>
      </c>
      <c r="Q37" s="1292" t="str">
        <f t="shared" si="5"/>
        <v>--</v>
      </c>
      <c r="R37" s="1277" t="str">
        <f t="shared" si="6"/>
        <v>--</v>
      </c>
      <c r="S37" s="1278" t="str">
        <f t="shared" si="7"/>
        <v>--</v>
      </c>
      <c r="T37" s="1279" t="str">
        <f t="shared" si="8"/>
        <v>--</v>
      </c>
      <c r="U37" s="1290">
        <f t="shared" si="9"/>
      </c>
      <c r="V37" s="1293">
        <f t="shared" si="10"/>
      </c>
      <c r="W37" s="1219"/>
    </row>
    <row r="38" spans="2:23" s="1202" customFormat="1" ht="16.5" customHeight="1">
      <c r="B38" s="1216"/>
      <c r="C38" s="1272"/>
      <c r="D38" s="1272"/>
      <c r="E38" s="1281"/>
      <c r="F38" s="1282"/>
      <c r="G38" s="1282"/>
      <c r="H38" s="1298"/>
      <c r="I38" s="1295" t="str">
        <f t="shared" si="0"/>
        <v> - </v>
      </c>
      <c r="J38" s="1285"/>
      <c r="K38" s="1286"/>
      <c r="L38" s="1287">
        <f t="shared" si="1"/>
      </c>
      <c r="M38" s="1296">
        <f t="shared" si="2"/>
      </c>
      <c r="N38" s="1289"/>
      <c r="O38" s="1290">
        <f t="shared" si="3"/>
      </c>
      <c r="P38" s="1297">
        <f t="shared" si="4"/>
        <v>40</v>
      </c>
      <c r="Q38" s="1292" t="str">
        <f t="shared" si="5"/>
        <v>--</v>
      </c>
      <c r="R38" s="1277" t="str">
        <f t="shared" si="6"/>
        <v>--</v>
      </c>
      <c r="S38" s="1278" t="str">
        <f t="shared" si="7"/>
        <v>--</v>
      </c>
      <c r="T38" s="1279" t="str">
        <f t="shared" si="8"/>
        <v>--</v>
      </c>
      <c r="U38" s="1290">
        <f t="shared" si="9"/>
      </c>
      <c r="V38" s="1293">
        <f t="shared" si="10"/>
      </c>
      <c r="W38" s="1219"/>
    </row>
    <row r="39" spans="2:23" s="1202" customFormat="1" ht="16.5" customHeight="1">
      <c r="B39" s="1216"/>
      <c r="C39" s="1272"/>
      <c r="D39" s="1272"/>
      <c r="E39" s="1272"/>
      <c r="F39" s="1282"/>
      <c r="G39" s="1282"/>
      <c r="H39" s="1294"/>
      <c r="I39" s="1295" t="str">
        <f t="shared" si="0"/>
        <v> - </v>
      </c>
      <c r="J39" s="1285"/>
      <c r="K39" s="1286"/>
      <c r="L39" s="1287">
        <f t="shared" si="1"/>
      </c>
      <c r="M39" s="1296">
        <f t="shared" si="2"/>
      </c>
      <c r="N39" s="1289"/>
      <c r="O39" s="1290">
        <f t="shared" si="3"/>
      </c>
      <c r="P39" s="1297">
        <f t="shared" si="4"/>
        <v>40</v>
      </c>
      <c r="Q39" s="1292" t="str">
        <f t="shared" si="5"/>
        <v>--</v>
      </c>
      <c r="R39" s="1277" t="str">
        <f t="shared" si="6"/>
        <v>--</v>
      </c>
      <c r="S39" s="1278" t="str">
        <f t="shared" si="7"/>
        <v>--</v>
      </c>
      <c r="T39" s="1279" t="str">
        <f t="shared" si="8"/>
        <v>--</v>
      </c>
      <c r="U39" s="1290">
        <f t="shared" si="9"/>
      </c>
      <c r="V39" s="1293">
        <f t="shared" si="10"/>
      </c>
      <c r="W39" s="1219"/>
    </row>
    <row r="40" spans="2:23" s="1202" customFormat="1" ht="16.5" customHeight="1">
      <c r="B40" s="1216"/>
      <c r="C40" s="1272"/>
      <c r="D40" s="1272"/>
      <c r="E40" s="1281"/>
      <c r="F40" s="1282"/>
      <c r="G40" s="1282"/>
      <c r="H40" s="1298"/>
      <c r="I40" s="1295" t="str">
        <f t="shared" si="0"/>
        <v> - </v>
      </c>
      <c r="J40" s="1285"/>
      <c r="K40" s="1286"/>
      <c r="L40" s="1287">
        <f t="shared" si="1"/>
      </c>
      <c r="M40" s="1296">
        <f t="shared" si="2"/>
      </c>
      <c r="N40" s="1289"/>
      <c r="O40" s="1290">
        <f t="shared" si="3"/>
      </c>
      <c r="P40" s="1297">
        <f t="shared" si="4"/>
        <v>40</v>
      </c>
      <c r="Q40" s="1292" t="str">
        <f t="shared" si="5"/>
        <v>--</v>
      </c>
      <c r="R40" s="1277" t="str">
        <f t="shared" si="6"/>
        <v>--</v>
      </c>
      <c r="S40" s="1278" t="str">
        <f t="shared" si="7"/>
        <v>--</v>
      </c>
      <c r="T40" s="1279" t="str">
        <f t="shared" si="8"/>
        <v>--</v>
      </c>
      <c r="U40" s="1290">
        <f t="shared" si="9"/>
      </c>
      <c r="V40" s="1293">
        <f t="shared" si="10"/>
      </c>
      <c r="W40" s="1219"/>
    </row>
    <row r="41" spans="2:23" s="1202" customFormat="1" ht="16.5" customHeight="1">
      <c r="B41" s="1216"/>
      <c r="C41" s="1272"/>
      <c r="D41" s="1272"/>
      <c r="E41" s="1272"/>
      <c r="F41" s="1282"/>
      <c r="G41" s="1282"/>
      <c r="H41" s="1294"/>
      <c r="I41" s="1295" t="str">
        <f t="shared" si="0"/>
        <v> - </v>
      </c>
      <c r="J41" s="1285"/>
      <c r="K41" s="1286"/>
      <c r="L41" s="1287">
        <f t="shared" si="1"/>
      </c>
      <c r="M41" s="1296">
        <f t="shared" si="2"/>
      </c>
      <c r="N41" s="1289"/>
      <c r="O41" s="1290">
        <f t="shared" si="3"/>
      </c>
      <c r="P41" s="1297">
        <f t="shared" si="4"/>
        <v>40</v>
      </c>
      <c r="Q41" s="1292" t="str">
        <f t="shared" si="5"/>
        <v>--</v>
      </c>
      <c r="R41" s="1277" t="str">
        <f t="shared" si="6"/>
        <v>--</v>
      </c>
      <c r="S41" s="1278" t="str">
        <f t="shared" si="7"/>
        <v>--</v>
      </c>
      <c r="T41" s="1279" t="str">
        <f t="shared" si="8"/>
        <v>--</v>
      </c>
      <c r="U41" s="1290">
        <f t="shared" si="9"/>
      </c>
      <c r="V41" s="1293">
        <f t="shared" si="10"/>
      </c>
      <c r="W41" s="1219"/>
    </row>
    <row r="42" spans="2:23" s="1202" customFormat="1" ht="16.5" customHeight="1">
      <c r="B42" s="1216"/>
      <c r="C42" s="1272"/>
      <c r="D42" s="1272"/>
      <c r="E42" s="1281"/>
      <c r="F42" s="1282"/>
      <c r="G42" s="1282"/>
      <c r="H42" s="1298"/>
      <c r="I42" s="1295" t="str">
        <f t="shared" si="0"/>
        <v> - </v>
      </c>
      <c r="J42" s="1285"/>
      <c r="K42" s="1286"/>
      <c r="L42" s="1287">
        <f t="shared" si="1"/>
      </c>
      <c r="M42" s="1296">
        <f t="shared" si="2"/>
      </c>
      <c r="N42" s="1289"/>
      <c r="O42" s="1290">
        <f t="shared" si="3"/>
      </c>
      <c r="P42" s="1297">
        <f t="shared" si="4"/>
        <v>40</v>
      </c>
      <c r="Q42" s="1292" t="str">
        <f t="shared" si="5"/>
        <v>--</v>
      </c>
      <c r="R42" s="1277" t="str">
        <f t="shared" si="6"/>
        <v>--</v>
      </c>
      <c r="S42" s="1278" t="str">
        <f t="shared" si="7"/>
        <v>--</v>
      </c>
      <c r="T42" s="1279" t="str">
        <f t="shared" si="8"/>
        <v>--</v>
      </c>
      <c r="U42" s="1290">
        <f t="shared" si="9"/>
      </c>
      <c r="V42" s="1293">
        <f t="shared" si="10"/>
      </c>
      <c r="W42" s="1219"/>
    </row>
    <row r="43" spans="2:23" s="1202" customFormat="1" ht="16.5" customHeight="1">
      <c r="B43" s="1216"/>
      <c r="C43" s="1272"/>
      <c r="D43" s="1272"/>
      <c r="E43" s="1272"/>
      <c r="F43" s="1282"/>
      <c r="G43" s="1282"/>
      <c r="H43" s="1294"/>
      <c r="I43" s="1295" t="str">
        <f t="shared" si="0"/>
        <v> - </v>
      </c>
      <c r="J43" s="1285"/>
      <c r="K43" s="1286"/>
      <c r="L43" s="1287">
        <f t="shared" si="1"/>
      </c>
      <c r="M43" s="1296">
        <f t="shared" si="2"/>
      </c>
      <c r="N43" s="1289"/>
      <c r="O43" s="1290">
        <f t="shared" si="3"/>
      </c>
      <c r="P43" s="1297">
        <f t="shared" si="4"/>
        <v>40</v>
      </c>
      <c r="Q43" s="1292" t="str">
        <f t="shared" si="5"/>
        <v>--</v>
      </c>
      <c r="R43" s="1277" t="str">
        <f t="shared" si="6"/>
        <v>--</v>
      </c>
      <c r="S43" s="1278" t="str">
        <f t="shared" si="7"/>
        <v>--</v>
      </c>
      <c r="T43" s="1279" t="str">
        <f t="shared" si="8"/>
        <v>--</v>
      </c>
      <c r="U43" s="1290">
        <f t="shared" si="9"/>
      </c>
      <c r="V43" s="1293">
        <f t="shared" si="10"/>
      </c>
      <c r="W43" s="1219"/>
    </row>
    <row r="44" spans="2:23" s="1202" customFormat="1" ht="16.5" customHeight="1" thickBot="1">
      <c r="B44" s="1216"/>
      <c r="C44" s="1299"/>
      <c r="D44" s="1299"/>
      <c r="E44" s="1299"/>
      <c r="F44" s="1299"/>
      <c r="G44" s="1299"/>
      <c r="H44" s="1299"/>
      <c r="I44" s="1300"/>
      <c r="J44" s="1301"/>
      <c r="K44" s="1301"/>
      <c r="L44" s="1302"/>
      <c r="M44" s="1302"/>
      <c r="N44" s="1301"/>
      <c r="O44" s="1303"/>
      <c r="P44" s="1304"/>
      <c r="Q44" s="1305"/>
      <c r="R44" s="1306"/>
      <c r="S44" s="1307"/>
      <c r="T44" s="1308"/>
      <c r="U44" s="1303"/>
      <c r="V44" s="1309"/>
      <c r="W44" s="1219"/>
    </row>
    <row r="45" spans="2:23" s="1202" customFormat="1" ht="16.5" customHeight="1" thickBot="1" thickTop="1">
      <c r="B45" s="1216"/>
      <c r="C45" s="1310" t="s">
        <v>180</v>
      </c>
      <c r="D45" s="1311" t="s">
        <v>281</v>
      </c>
      <c r="E45" s="1310"/>
      <c r="F45" s="1312"/>
      <c r="G45" s="1313"/>
      <c r="H45" s="1217"/>
      <c r="I45" s="1217"/>
      <c r="J45" s="1217"/>
      <c r="K45" s="1217"/>
      <c r="L45" s="1217"/>
      <c r="M45" s="1217"/>
      <c r="N45" s="1217"/>
      <c r="O45" s="1217"/>
      <c r="P45" s="1217"/>
      <c r="Q45" s="1314">
        <f>SUM(Q22:Q44)</f>
        <v>11861.5104</v>
      </c>
      <c r="R45" s="1315">
        <f>SUM(R22:R44)</f>
        <v>0</v>
      </c>
      <c r="S45" s="1316">
        <f>SUM(S22:S44)</f>
        <v>0</v>
      </c>
      <c r="T45" s="1317">
        <f>SUM(T22:T44)</f>
        <v>0</v>
      </c>
      <c r="U45" s="1318"/>
      <c r="V45" s="1319">
        <f>ROUND(SUM(V22:V44),2)</f>
        <v>11861.51</v>
      </c>
      <c r="W45" s="1219"/>
    </row>
    <row r="46" spans="2:23" s="1202" customFormat="1" ht="16.5" customHeight="1" thickBot="1" thickTop="1">
      <c r="B46" s="1320"/>
      <c r="C46" s="1321"/>
      <c r="D46" s="1321"/>
      <c r="E46" s="1321"/>
      <c r="F46" s="1321"/>
      <c r="G46" s="1321"/>
      <c r="H46" s="1321"/>
      <c r="I46" s="1321"/>
      <c r="J46" s="1321"/>
      <c r="K46" s="1321"/>
      <c r="L46" s="1321"/>
      <c r="M46" s="1321"/>
      <c r="N46" s="1321"/>
      <c r="O46" s="1321"/>
      <c r="P46" s="1321"/>
      <c r="Q46" s="1321"/>
      <c r="R46" s="1321"/>
      <c r="S46" s="1321"/>
      <c r="T46" s="1321"/>
      <c r="U46" s="1321"/>
      <c r="V46" s="1321"/>
      <c r="W46" s="1322"/>
    </row>
    <row r="47" spans="23:25" ht="16.5" customHeight="1" thickTop="1">
      <c r="W47" s="1323"/>
      <c r="X47" s="1323"/>
      <c r="Y47" s="1323"/>
    </row>
    <row r="48" spans="23:25" ht="16.5" customHeight="1">
      <c r="W48" s="1323"/>
      <c r="X48" s="1323"/>
      <c r="Y48" s="1323"/>
    </row>
    <row r="49" spans="23:25" ht="16.5" customHeight="1">
      <c r="W49" s="1323"/>
      <c r="X49" s="1323"/>
      <c r="Y49" s="1323"/>
    </row>
    <row r="50" spans="23:25" ht="16.5" customHeight="1">
      <c r="W50" s="1323"/>
      <c r="X50" s="1323"/>
      <c r="Y50" s="1323"/>
    </row>
    <row r="51" spans="23:25" ht="16.5" customHeight="1">
      <c r="W51" s="1323"/>
      <c r="X51" s="1323"/>
      <c r="Y51" s="1323"/>
    </row>
    <row r="52" spans="6:25" ht="16.5" customHeight="1">
      <c r="F52" s="1323"/>
      <c r="G52" s="1323"/>
      <c r="H52" s="1323"/>
      <c r="I52" s="1323"/>
      <c r="J52" s="1323"/>
      <c r="K52" s="1323"/>
      <c r="L52" s="1323"/>
      <c r="M52" s="1323"/>
      <c r="N52" s="1323"/>
      <c r="O52" s="1323"/>
      <c r="P52" s="1323"/>
      <c r="Q52" s="1323"/>
      <c r="R52" s="1323"/>
      <c r="S52" s="1323"/>
      <c r="T52" s="1323"/>
      <c r="U52" s="1323"/>
      <c r="V52" s="1323"/>
      <c r="W52" s="1323"/>
      <c r="X52" s="1323"/>
      <c r="Y52" s="1323"/>
    </row>
    <row r="53" spans="6:25" ht="16.5" customHeight="1">
      <c r="F53" s="1323"/>
      <c r="G53" s="1323"/>
      <c r="H53" s="1323"/>
      <c r="I53" s="1323"/>
      <c r="J53" s="1323"/>
      <c r="K53" s="1323"/>
      <c r="L53" s="1323"/>
      <c r="M53" s="1323"/>
      <c r="N53" s="1323"/>
      <c r="O53" s="1323"/>
      <c r="P53" s="1323"/>
      <c r="Q53" s="1323"/>
      <c r="R53" s="1323"/>
      <c r="S53" s="1323"/>
      <c r="T53" s="1323"/>
      <c r="U53" s="1323"/>
      <c r="V53" s="1323"/>
      <c r="W53" s="1323"/>
      <c r="X53" s="1323"/>
      <c r="Y53" s="1323"/>
    </row>
    <row r="54" spans="6:25" ht="16.5" customHeight="1">
      <c r="F54" s="1323"/>
      <c r="G54" s="1323"/>
      <c r="H54" s="1323"/>
      <c r="I54" s="1323"/>
      <c r="J54" s="1323"/>
      <c r="K54" s="1323"/>
      <c r="L54" s="1323"/>
      <c r="M54" s="1323"/>
      <c r="N54" s="1323"/>
      <c r="O54" s="1323"/>
      <c r="P54" s="1323"/>
      <c r="Q54" s="1323"/>
      <c r="R54" s="1323"/>
      <c r="S54" s="1323"/>
      <c r="T54" s="1323"/>
      <c r="U54" s="1323"/>
      <c r="V54" s="1323"/>
      <c r="W54" s="1323"/>
      <c r="X54" s="1323"/>
      <c r="Y54" s="1323"/>
    </row>
    <row r="55" spans="6:25" ht="16.5" customHeight="1">
      <c r="F55" s="1323"/>
      <c r="G55" s="1323"/>
      <c r="H55" s="1323"/>
      <c r="I55" s="1323"/>
      <c r="J55" s="1323"/>
      <c r="K55" s="1323"/>
      <c r="L55" s="1323"/>
      <c r="M55" s="1323"/>
      <c r="N55" s="1323"/>
      <c r="O55" s="1323"/>
      <c r="P55" s="1323"/>
      <c r="Q55" s="1323"/>
      <c r="R55" s="1323"/>
      <c r="S55" s="1323"/>
      <c r="T55" s="1323"/>
      <c r="U55" s="1323"/>
      <c r="V55" s="1323"/>
      <c r="W55" s="1323"/>
      <c r="X55" s="1323"/>
      <c r="Y55" s="1323"/>
    </row>
    <row r="56" spans="6:25" ht="16.5" customHeight="1">
      <c r="F56" s="1323"/>
      <c r="G56" s="1323"/>
      <c r="H56" s="1323"/>
      <c r="I56" s="1323"/>
      <c r="J56" s="1323"/>
      <c r="K56" s="1323"/>
      <c r="L56" s="1323"/>
      <c r="M56" s="1323"/>
      <c r="N56" s="1323"/>
      <c r="O56" s="1323"/>
      <c r="P56" s="1323"/>
      <c r="Q56" s="1323"/>
      <c r="R56" s="1323"/>
      <c r="S56" s="1323"/>
      <c r="T56" s="1323"/>
      <c r="U56" s="1323"/>
      <c r="V56" s="1323"/>
      <c r="W56" s="1323"/>
      <c r="X56" s="1323"/>
      <c r="Y56" s="1323"/>
    </row>
    <row r="57" spans="6:25" ht="16.5" customHeight="1">
      <c r="F57" s="1323"/>
      <c r="G57" s="1323"/>
      <c r="H57" s="1323"/>
      <c r="I57" s="1323"/>
      <c r="J57" s="1323"/>
      <c r="K57" s="1323"/>
      <c r="L57" s="1323"/>
      <c r="M57" s="1323"/>
      <c r="N57" s="1323"/>
      <c r="O57" s="1323"/>
      <c r="P57" s="1323"/>
      <c r="Q57" s="1323"/>
      <c r="R57" s="1323"/>
      <c r="S57" s="1323"/>
      <c r="T57" s="1323"/>
      <c r="U57" s="1323"/>
      <c r="V57" s="1323"/>
      <c r="W57" s="1323"/>
      <c r="X57" s="1323"/>
      <c r="Y57" s="1323"/>
    </row>
    <row r="58" spans="6:25" ht="16.5" customHeight="1">
      <c r="F58" s="1323"/>
      <c r="G58" s="1323"/>
      <c r="H58" s="1323"/>
      <c r="I58" s="1323"/>
      <c r="J58" s="1323"/>
      <c r="K58" s="1323"/>
      <c r="L58" s="1323"/>
      <c r="M58" s="1323"/>
      <c r="N58" s="1323"/>
      <c r="O58" s="1323"/>
      <c r="P58" s="1323"/>
      <c r="Q58" s="1323"/>
      <c r="R58" s="1323"/>
      <c r="S58" s="1323"/>
      <c r="T58" s="1323"/>
      <c r="U58" s="1323"/>
      <c r="V58" s="1323"/>
      <c r="W58" s="1323"/>
      <c r="X58" s="1323"/>
      <c r="Y58" s="1323"/>
    </row>
    <row r="59" spans="6:25" ht="16.5" customHeight="1">
      <c r="F59" s="1323"/>
      <c r="G59" s="1323"/>
      <c r="H59" s="1323"/>
      <c r="I59" s="1323"/>
      <c r="J59" s="1323"/>
      <c r="K59" s="1323"/>
      <c r="L59" s="1323"/>
      <c r="M59" s="1323"/>
      <c r="N59" s="1323"/>
      <c r="O59" s="1323"/>
      <c r="P59" s="1323"/>
      <c r="Q59" s="1323"/>
      <c r="R59" s="1323"/>
      <c r="S59" s="1323"/>
      <c r="T59" s="1323"/>
      <c r="U59" s="1323"/>
      <c r="V59" s="1323"/>
      <c r="W59" s="1323"/>
      <c r="X59" s="1323"/>
      <c r="Y59" s="1323"/>
    </row>
    <row r="60" spans="6:25" ht="16.5" customHeight="1">
      <c r="F60" s="1323"/>
      <c r="G60" s="1323"/>
      <c r="H60" s="1323"/>
      <c r="I60" s="1323"/>
      <c r="J60" s="1323"/>
      <c r="K60" s="1323"/>
      <c r="L60" s="1323"/>
      <c r="M60" s="1323"/>
      <c r="N60" s="1323"/>
      <c r="O60" s="1323"/>
      <c r="P60" s="1323"/>
      <c r="Q60" s="1323"/>
      <c r="R60" s="1323"/>
      <c r="S60" s="1323"/>
      <c r="T60" s="1323"/>
      <c r="U60" s="1323"/>
      <c r="V60" s="1323"/>
      <c r="W60" s="1323"/>
      <c r="X60" s="1323"/>
      <c r="Y60" s="1323"/>
    </row>
    <row r="61" spans="6:25" ht="16.5" customHeight="1">
      <c r="F61" s="1323"/>
      <c r="G61" s="1323"/>
      <c r="H61" s="1323"/>
      <c r="I61" s="1323"/>
      <c r="J61" s="1323"/>
      <c r="K61" s="1323"/>
      <c r="L61" s="1323"/>
      <c r="M61" s="1323"/>
      <c r="N61" s="1323"/>
      <c r="O61" s="1323"/>
      <c r="P61" s="1323"/>
      <c r="Q61" s="1323"/>
      <c r="R61" s="1323"/>
      <c r="S61" s="1323"/>
      <c r="T61" s="1323"/>
      <c r="U61" s="1323"/>
      <c r="V61" s="1323"/>
      <c r="W61" s="1323"/>
      <c r="X61" s="1323"/>
      <c r="Y61" s="1323"/>
    </row>
    <row r="62" spans="6:25" ht="16.5" customHeight="1">
      <c r="F62" s="1323"/>
      <c r="G62" s="1323"/>
      <c r="H62" s="1323"/>
      <c r="I62" s="1323"/>
      <c r="J62" s="1323"/>
      <c r="K62" s="1323"/>
      <c r="L62" s="1323"/>
      <c r="M62" s="1323"/>
      <c r="N62" s="1323"/>
      <c r="O62" s="1323"/>
      <c r="P62" s="1323"/>
      <c r="Q62" s="1323"/>
      <c r="R62" s="1323"/>
      <c r="S62" s="1323"/>
      <c r="T62" s="1323"/>
      <c r="U62" s="1323"/>
      <c r="V62" s="1323"/>
      <c r="W62" s="1323"/>
      <c r="X62" s="1323"/>
      <c r="Y62" s="1323"/>
    </row>
    <row r="63" spans="6:25" ht="16.5" customHeight="1">
      <c r="F63" s="1323"/>
      <c r="G63" s="1323"/>
      <c r="H63" s="1323"/>
      <c r="I63" s="1323"/>
      <c r="J63" s="1323"/>
      <c r="K63" s="1323"/>
      <c r="L63" s="1323"/>
      <c r="M63" s="1323"/>
      <c r="N63" s="1323"/>
      <c r="O63" s="1323"/>
      <c r="P63" s="1323"/>
      <c r="Q63" s="1323"/>
      <c r="R63" s="1323"/>
      <c r="S63" s="1323"/>
      <c r="T63" s="1323"/>
      <c r="U63" s="1323"/>
      <c r="V63" s="1323"/>
      <c r="W63" s="1323"/>
      <c r="X63" s="1323"/>
      <c r="Y63" s="1323"/>
    </row>
    <row r="64" spans="6:25" ht="16.5" customHeight="1">
      <c r="F64" s="1323"/>
      <c r="G64" s="1323"/>
      <c r="H64" s="1323"/>
      <c r="I64" s="1323"/>
      <c r="J64" s="1323"/>
      <c r="K64" s="1323"/>
      <c r="L64" s="1323"/>
      <c r="M64" s="1323"/>
      <c r="N64" s="1323"/>
      <c r="O64" s="1323"/>
      <c r="P64" s="1323"/>
      <c r="Q64" s="1323"/>
      <c r="R64" s="1323"/>
      <c r="S64" s="1323"/>
      <c r="T64" s="1323"/>
      <c r="U64" s="1323"/>
      <c r="V64" s="1323"/>
      <c r="W64" s="1323"/>
      <c r="X64" s="1323"/>
      <c r="Y64" s="1323"/>
    </row>
    <row r="65" spans="6:25" ht="16.5" customHeight="1">
      <c r="F65" s="1323"/>
      <c r="G65" s="1323"/>
      <c r="H65" s="1323"/>
      <c r="I65" s="1323"/>
      <c r="J65" s="1323"/>
      <c r="K65" s="1323"/>
      <c r="L65" s="1323"/>
      <c r="M65" s="1323"/>
      <c r="N65" s="1323"/>
      <c r="O65" s="1323"/>
      <c r="P65" s="1323"/>
      <c r="Q65" s="1323"/>
      <c r="R65" s="1323"/>
      <c r="S65" s="1323"/>
      <c r="T65" s="1323"/>
      <c r="U65" s="1323"/>
      <c r="V65" s="1323"/>
      <c r="W65" s="1323"/>
      <c r="X65" s="1323"/>
      <c r="Y65" s="1323"/>
    </row>
    <row r="66" spans="6:25" ht="16.5" customHeight="1">
      <c r="F66" s="1323"/>
      <c r="G66" s="1323"/>
      <c r="H66" s="1323"/>
      <c r="I66" s="1323"/>
      <c r="J66" s="1323"/>
      <c r="K66" s="1323"/>
      <c r="L66" s="1323"/>
      <c r="M66" s="1323"/>
      <c r="N66" s="1323"/>
      <c r="O66" s="1323"/>
      <c r="P66" s="1323"/>
      <c r="Q66" s="1323"/>
      <c r="R66" s="1323"/>
      <c r="S66" s="1323"/>
      <c r="T66" s="1323"/>
      <c r="U66" s="1323"/>
      <c r="V66" s="1323"/>
      <c r="W66" s="1323"/>
      <c r="X66" s="1323"/>
      <c r="Y66" s="1323"/>
    </row>
    <row r="67" spans="6:25" ht="16.5" customHeight="1">
      <c r="F67" s="1323"/>
      <c r="G67" s="1323"/>
      <c r="H67" s="1323"/>
      <c r="I67" s="1323"/>
      <c r="J67" s="1323"/>
      <c r="K67" s="1323"/>
      <c r="L67" s="1323"/>
      <c r="M67" s="1323"/>
      <c r="N67" s="1323"/>
      <c r="O67" s="1323"/>
      <c r="P67" s="1323"/>
      <c r="Q67" s="1323"/>
      <c r="R67" s="1323"/>
      <c r="S67" s="1323"/>
      <c r="T67" s="1323"/>
      <c r="U67" s="1323"/>
      <c r="V67" s="1323"/>
      <c r="W67" s="1323"/>
      <c r="X67" s="1323"/>
      <c r="Y67" s="1323"/>
    </row>
    <row r="68" spans="6:25" ht="16.5" customHeight="1">
      <c r="F68" s="1323"/>
      <c r="G68" s="1323"/>
      <c r="H68" s="1323"/>
      <c r="I68" s="1323"/>
      <c r="J68" s="1323"/>
      <c r="K68" s="1323"/>
      <c r="L68" s="1323"/>
      <c r="M68" s="1323"/>
      <c r="N68" s="1323"/>
      <c r="O68" s="1323"/>
      <c r="P68" s="1323"/>
      <c r="Q68" s="1323"/>
      <c r="R68" s="1323"/>
      <c r="S68" s="1323"/>
      <c r="T68" s="1323"/>
      <c r="U68" s="1323"/>
      <c r="V68" s="1323"/>
      <c r="W68" s="1323"/>
      <c r="X68" s="1323"/>
      <c r="Y68" s="1323"/>
    </row>
    <row r="69" spans="6:25" ht="16.5" customHeight="1">
      <c r="F69" s="1323"/>
      <c r="G69" s="1323"/>
      <c r="H69" s="1323"/>
      <c r="I69" s="1323"/>
      <c r="J69" s="1323"/>
      <c r="K69" s="1323"/>
      <c r="L69" s="1323"/>
      <c r="M69" s="1323"/>
      <c r="N69" s="1323"/>
      <c r="O69" s="1323"/>
      <c r="P69" s="1323"/>
      <c r="Q69" s="1323"/>
      <c r="R69" s="1323"/>
      <c r="S69" s="1323"/>
      <c r="T69" s="1323"/>
      <c r="U69" s="1323"/>
      <c r="V69" s="1323"/>
      <c r="W69" s="1323"/>
      <c r="X69" s="1323"/>
      <c r="Y69" s="1323"/>
    </row>
    <row r="70" spans="6:25" ht="16.5" customHeight="1">
      <c r="F70" s="1323"/>
      <c r="G70" s="1323"/>
      <c r="H70" s="1323"/>
      <c r="I70" s="1323"/>
      <c r="J70" s="1323"/>
      <c r="K70" s="1323"/>
      <c r="L70" s="1323"/>
      <c r="M70" s="1323"/>
      <c r="N70" s="1323"/>
      <c r="O70" s="1323"/>
      <c r="P70" s="1323"/>
      <c r="Q70" s="1323"/>
      <c r="R70" s="1323"/>
      <c r="S70" s="1323"/>
      <c r="T70" s="1323"/>
      <c r="U70" s="1323"/>
      <c r="V70" s="1323"/>
      <c r="W70" s="1323"/>
      <c r="X70" s="1323"/>
      <c r="Y70" s="1323"/>
    </row>
    <row r="71" spans="6:25" ht="16.5" customHeight="1">
      <c r="F71" s="1323"/>
      <c r="G71" s="1323"/>
      <c r="H71" s="1323"/>
      <c r="I71" s="1323"/>
      <c r="J71" s="1323"/>
      <c r="K71" s="1323"/>
      <c r="L71" s="1323"/>
      <c r="M71" s="1323"/>
      <c r="N71" s="1323"/>
      <c r="O71" s="1323"/>
      <c r="P71" s="1323"/>
      <c r="Q71" s="1323"/>
      <c r="R71" s="1323"/>
      <c r="S71" s="1323"/>
      <c r="T71" s="1323"/>
      <c r="U71" s="1323"/>
      <c r="V71" s="1323"/>
      <c r="W71" s="1323"/>
      <c r="X71" s="1323"/>
      <c r="Y71" s="1323"/>
    </row>
    <row r="72" spans="6:25" ht="16.5" customHeight="1">
      <c r="F72" s="1323"/>
      <c r="G72" s="1323"/>
      <c r="H72" s="1323"/>
      <c r="I72" s="1323"/>
      <c r="J72" s="1323"/>
      <c r="K72" s="1323"/>
      <c r="L72" s="1323"/>
      <c r="M72" s="1323"/>
      <c r="N72" s="1323"/>
      <c r="O72" s="1323"/>
      <c r="P72" s="1323"/>
      <c r="Q72" s="1323"/>
      <c r="R72" s="1323"/>
      <c r="S72" s="1323"/>
      <c r="T72" s="1323"/>
      <c r="U72" s="1323"/>
      <c r="V72" s="1323"/>
      <c r="W72" s="1323"/>
      <c r="X72" s="1323"/>
      <c r="Y72" s="1323"/>
    </row>
    <row r="73" spans="6:25" ht="16.5" customHeight="1">
      <c r="F73" s="1323"/>
      <c r="G73" s="1323"/>
      <c r="H73" s="1323"/>
      <c r="I73" s="1323"/>
      <c r="J73" s="1323"/>
      <c r="K73" s="1323"/>
      <c r="L73" s="1323"/>
      <c r="M73" s="1323"/>
      <c r="N73" s="1323"/>
      <c r="O73" s="1323"/>
      <c r="P73" s="1323"/>
      <c r="Q73" s="1323"/>
      <c r="R73" s="1323"/>
      <c r="S73" s="1323"/>
      <c r="T73" s="1323"/>
      <c r="U73" s="1323"/>
      <c r="V73" s="1323"/>
      <c r="W73" s="1323"/>
      <c r="X73" s="1323"/>
      <c r="Y73" s="1323"/>
    </row>
    <row r="74" spans="6:25" ht="16.5" customHeight="1">
      <c r="F74" s="1323"/>
      <c r="G74" s="1323"/>
      <c r="H74" s="1323"/>
      <c r="I74" s="1323"/>
      <c r="J74" s="1323"/>
      <c r="K74" s="1323"/>
      <c r="L74" s="1323"/>
      <c r="M74" s="1323"/>
      <c r="N74" s="1323"/>
      <c r="O74" s="1323"/>
      <c r="P74" s="1323"/>
      <c r="Q74" s="1323"/>
      <c r="R74" s="1323"/>
      <c r="S74" s="1323"/>
      <c r="T74" s="1323"/>
      <c r="U74" s="1323"/>
      <c r="V74" s="1323"/>
      <c r="W74" s="1323"/>
      <c r="X74" s="1323"/>
      <c r="Y74" s="1323"/>
    </row>
    <row r="75" spans="6:25" ht="16.5" customHeight="1">
      <c r="F75" s="1323"/>
      <c r="G75" s="1323"/>
      <c r="H75" s="1323"/>
      <c r="I75" s="1323"/>
      <c r="J75" s="1323"/>
      <c r="K75" s="1323"/>
      <c r="L75" s="1323"/>
      <c r="M75" s="1323"/>
      <c r="N75" s="1323"/>
      <c r="O75" s="1323"/>
      <c r="P75" s="1323"/>
      <c r="Q75" s="1323"/>
      <c r="R75" s="1323"/>
      <c r="S75" s="1323"/>
      <c r="T75" s="1323"/>
      <c r="U75" s="1323"/>
      <c r="V75" s="1323"/>
      <c r="W75" s="1323"/>
      <c r="X75" s="1323"/>
      <c r="Y75" s="1323"/>
    </row>
    <row r="76" spans="6:25" ht="16.5" customHeight="1">
      <c r="F76" s="1323"/>
      <c r="G76" s="1323"/>
      <c r="H76" s="1323"/>
      <c r="I76" s="1323"/>
      <c r="J76" s="1323"/>
      <c r="K76" s="1323"/>
      <c r="L76" s="1323"/>
      <c r="M76" s="1323"/>
      <c r="N76" s="1323"/>
      <c r="O76" s="1323"/>
      <c r="P76" s="1323"/>
      <c r="Q76" s="1323"/>
      <c r="R76" s="1323"/>
      <c r="S76" s="1323"/>
      <c r="T76" s="1323"/>
      <c r="U76" s="1323"/>
      <c r="V76" s="1323"/>
      <c r="W76" s="1323"/>
      <c r="X76" s="1323"/>
      <c r="Y76" s="1323"/>
    </row>
    <row r="77" spans="6:25" ht="16.5" customHeight="1">
      <c r="F77" s="1323"/>
      <c r="G77" s="1323"/>
      <c r="H77" s="1323"/>
      <c r="I77" s="1323"/>
      <c r="J77" s="1323"/>
      <c r="K77" s="1323"/>
      <c r="L77" s="1323"/>
      <c r="M77" s="1323"/>
      <c r="N77" s="1323"/>
      <c r="O77" s="1323"/>
      <c r="P77" s="1323"/>
      <c r="Q77" s="1323"/>
      <c r="R77" s="1323"/>
      <c r="S77" s="1323"/>
      <c r="T77" s="1323"/>
      <c r="U77" s="1323"/>
      <c r="V77" s="1323"/>
      <c r="W77" s="1323"/>
      <c r="X77" s="1323"/>
      <c r="Y77" s="1323"/>
    </row>
    <row r="78" spans="6:25" ht="16.5" customHeight="1">
      <c r="F78" s="1323"/>
      <c r="G78" s="1323"/>
      <c r="H78" s="1323"/>
      <c r="I78" s="1323"/>
      <c r="J78" s="1323"/>
      <c r="K78" s="1323"/>
      <c r="L78" s="1323"/>
      <c r="M78" s="1323"/>
      <c r="N78" s="1323"/>
      <c r="O78" s="1323"/>
      <c r="P78" s="1323"/>
      <c r="Q78" s="1323"/>
      <c r="R78" s="1323"/>
      <c r="S78" s="1323"/>
      <c r="T78" s="1323"/>
      <c r="U78" s="1323"/>
      <c r="V78" s="1323"/>
      <c r="W78" s="1323"/>
      <c r="X78" s="1323"/>
      <c r="Y78" s="1323"/>
    </row>
    <row r="79" spans="6:25" ht="16.5" customHeight="1">
      <c r="F79" s="1323"/>
      <c r="G79" s="1323"/>
      <c r="H79" s="1323"/>
      <c r="I79" s="1323"/>
      <c r="J79" s="1323"/>
      <c r="K79" s="1323"/>
      <c r="L79" s="1323"/>
      <c r="M79" s="1323"/>
      <c r="N79" s="1323"/>
      <c r="O79" s="1323"/>
      <c r="P79" s="1323"/>
      <c r="Q79" s="1323"/>
      <c r="R79" s="1323"/>
      <c r="S79" s="1323"/>
      <c r="T79" s="1323"/>
      <c r="U79" s="1323"/>
      <c r="V79" s="1323"/>
      <c r="W79" s="1323"/>
      <c r="X79" s="1323"/>
      <c r="Y79" s="1323"/>
    </row>
    <row r="80" spans="6:25" ht="16.5" customHeight="1">
      <c r="F80" s="1323"/>
      <c r="G80" s="1323"/>
      <c r="H80" s="1323"/>
      <c r="I80" s="1323"/>
      <c r="J80" s="1323"/>
      <c r="K80" s="1323"/>
      <c r="L80" s="1323"/>
      <c r="M80" s="1323"/>
      <c r="N80" s="1323"/>
      <c r="O80" s="1323"/>
      <c r="P80" s="1323"/>
      <c r="Q80" s="1323"/>
      <c r="R80" s="1323"/>
      <c r="S80" s="1323"/>
      <c r="T80" s="1323"/>
      <c r="U80" s="1323"/>
      <c r="V80" s="1323"/>
      <c r="W80" s="1323"/>
      <c r="X80" s="1323"/>
      <c r="Y80" s="1323"/>
    </row>
    <row r="81" spans="6:25" ht="16.5" customHeight="1">
      <c r="F81" s="1323"/>
      <c r="G81" s="1323"/>
      <c r="H81" s="1323"/>
      <c r="I81" s="1323"/>
      <c r="J81" s="1323"/>
      <c r="K81" s="1323"/>
      <c r="L81" s="1323"/>
      <c r="M81" s="1323"/>
      <c r="N81" s="1323"/>
      <c r="O81" s="1323"/>
      <c r="P81" s="1323"/>
      <c r="Q81" s="1323"/>
      <c r="R81" s="1323"/>
      <c r="S81" s="1323"/>
      <c r="T81" s="1323"/>
      <c r="U81" s="1323"/>
      <c r="V81" s="1323"/>
      <c r="W81" s="1323"/>
      <c r="X81" s="1323"/>
      <c r="Y81" s="1323"/>
    </row>
    <row r="82" spans="6:25" ht="16.5" customHeight="1">
      <c r="F82" s="1323"/>
      <c r="G82" s="1323"/>
      <c r="H82" s="1323"/>
      <c r="I82" s="1323"/>
      <c r="J82" s="1323"/>
      <c r="K82" s="1323"/>
      <c r="L82" s="1323"/>
      <c r="M82" s="1323"/>
      <c r="N82" s="1323"/>
      <c r="O82" s="1323"/>
      <c r="P82" s="1323"/>
      <c r="Q82" s="1323"/>
      <c r="R82" s="1323"/>
      <c r="S82" s="1323"/>
      <c r="T82" s="1323"/>
      <c r="U82" s="1323"/>
      <c r="V82" s="1323"/>
      <c r="W82" s="1323"/>
      <c r="X82" s="1323"/>
      <c r="Y82" s="1323"/>
    </row>
    <row r="83" spans="6:25" ht="16.5" customHeight="1">
      <c r="F83" s="1323"/>
      <c r="G83" s="1323"/>
      <c r="H83" s="1323"/>
      <c r="I83" s="1323"/>
      <c r="J83" s="1323"/>
      <c r="K83" s="1323"/>
      <c r="L83" s="1323"/>
      <c r="M83" s="1323"/>
      <c r="N83" s="1323"/>
      <c r="O83" s="1323"/>
      <c r="P83" s="1323"/>
      <c r="Q83" s="1323"/>
      <c r="R83" s="1323"/>
      <c r="S83" s="1323"/>
      <c r="T83" s="1323"/>
      <c r="U83" s="1323"/>
      <c r="V83" s="1323"/>
      <c r="W83" s="1323"/>
      <c r="X83" s="1323"/>
      <c r="Y83" s="1323"/>
    </row>
    <row r="84" spans="6:25" ht="16.5" customHeight="1">
      <c r="F84" s="1323"/>
      <c r="G84" s="1323"/>
      <c r="H84" s="1323"/>
      <c r="I84" s="1323"/>
      <c r="J84" s="1323"/>
      <c r="K84" s="1323"/>
      <c r="L84" s="1323"/>
      <c r="M84" s="1323"/>
      <c r="N84" s="1323"/>
      <c r="O84" s="1323"/>
      <c r="P84" s="1323"/>
      <c r="Q84" s="1323"/>
      <c r="R84" s="1323"/>
      <c r="S84" s="1323"/>
      <c r="T84" s="1323"/>
      <c r="U84" s="1323"/>
      <c r="V84" s="1323"/>
      <c r="W84" s="1323"/>
      <c r="X84" s="1323"/>
      <c r="Y84" s="1323"/>
    </row>
    <row r="85" spans="6:25" ht="16.5" customHeight="1">
      <c r="F85" s="1323"/>
      <c r="G85" s="1323"/>
      <c r="H85" s="1323"/>
      <c r="I85" s="1323"/>
      <c r="J85" s="1323"/>
      <c r="K85" s="1323"/>
      <c r="L85" s="1323"/>
      <c r="M85" s="1323"/>
      <c r="N85" s="1323"/>
      <c r="O85" s="1323"/>
      <c r="P85" s="1323"/>
      <c r="Q85" s="1323"/>
      <c r="R85" s="1323"/>
      <c r="S85" s="1323"/>
      <c r="T85" s="1323"/>
      <c r="U85" s="1323"/>
      <c r="V85" s="1323"/>
      <c r="W85" s="1323"/>
      <c r="X85" s="1323"/>
      <c r="Y85" s="1323"/>
    </row>
    <row r="86" spans="6:25" ht="16.5" customHeight="1">
      <c r="F86" s="1323"/>
      <c r="G86" s="1323"/>
      <c r="H86" s="1323"/>
      <c r="I86" s="1323"/>
      <c r="J86" s="1323"/>
      <c r="K86" s="1323"/>
      <c r="L86" s="1323"/>
      <c r="M86" s="1323"/>
      <c r="N86" s="1323"/>
      <c r="O86" s="1323"/>
      <c r="P86" s="1323"/>
      <c r="Q86" s="1323"/>
      <c r="R86" s="1323"/>
      <c r="S86" s="1323"/>
      <c r="T86" s="1323"/>
      <c r="U86" s="1323"/>
      <c r="V86" s="1323"/>
      <c r="W86" s="1323"/>
      <c r="X86" s="1323"/>
      <c r="Y86" s="1323"/>
    </row>
    <row r="87" spans="6:25" ht="16.5" customHeight="1">
      <c r="F87" s="1323"/>
      <c r="G87" s="1323"/>
      <c r="H87" s="1323"/>
      <c r="I87" s="1323"/>
      <c r="J87" s="1323"/>
      <c r="K87" s="1323"/>
      <c r="L87" s="1323"/>
      <c r="M87" s="1323"/>
      <c r="N87" s="1323"/>
      <c r="O87" s="1323"/>
      <c r="P87" s="1323"/>
      <c r="Q87" s="1323"/>
      <c r="R87" s="1323"/>
      <c r="S87" s="1323"/>
      <c r="T87" s="1323"/>
      <c r="U87" s="1323"/>
      <c r="V87" s="1323"/>
      <c r="W87" s="1323"/>
      <c r="X87" s="1323"/>
      <c r="Y87" s="1323"/>
    </row>
    <row r="88" spans="6:25" ht="16.5" customHeight="1">
      <c r="F88" s="1323"/>
      <c r="G88" s="1323"/>
      <c r="H88" s="1323"/>
      <c r="I88" s="1323"/>
      <c r="J88" s="1323"/>
      <c r="K88" s="1323"/>
      <c r="L88" s="1323"/>
      <c r="M88" s="1323"/>
      <c r="N88" s="1323"/>
      <c r="O88" s="1323"/>
      <c r="P88" s="1323"/>
      <c r="Q88" s="1323"/>
      <c r="R88" s="1323"/>
      <c r="S88" s="1323"/>
      <c r="T88" s="1323"/>
      <c r="U88" s="1323"/>
      <c r="V88" s="1323"/>
      <c r="W88" s="1323"/>
      <c r="X88" s="1323"/>
      <c r="Y88" s="1323"/>
    </row>
    <row r="89" spans="6:25" ht="16.5" customHeight="1">
      <c r="F89" s="1323"/>
      <c r="G89" s="1323"/>
      <c r="H89" s="1323"/>
      <c r="I89" s="1323"/>
      <c r="J89" s="1323"/>
      <c r="K89" s="1323"/>
      <c r="L89" s="1323"/>
      <c r="M89" s="1323"/>
      <c r="N89" s="1323"/>
      <c r="O89" s="1323"/>
      <c r="P89" s="1323"/>
      <c r="Q89" s="1323"/>
      <c r="R89" s="1323"/>
      <c r="S89" s="1323"/>
      <c r="T89" s="1323"/>
      <c r="U89" s="1323"/>
      <c r="V89" s="1323"/>
      <c r="W89" s="1323"/>
      <c r="X89" s="1323"/>
      <c r="Y89" s="1323"/>
    </row>
    <row r="90" spans="6:25" ht="16.5" customHeight="1">
      <c r="F90" s="1323"/>
      <c r="G90" s="1323"/>
      <c r="H90" s="1323"/>
      <c r="I90" s="1323"/>
      <c r="J90" s="1323"/>
      <c r="K90" s="1323"/>
      <c r="L90" s="1323"/>
      <c r="M90" s="1323"/>
      <c r="N90" s="1323"/>
      <c r="O90" s="1323"/>
      <c r="P90" s="1323"/>
      <c r="Q90" s="1323"/>
      <c r="R90" s="1323"/>
      <c r="S90" s="1323"/>
      <c r="T90" s="1323"/>
      <c r="U90" s="1323"/>
      <c r="V90" s="1323"/>
      <c r="W90" s="1323"/>
      <c r="X90" s="1323"/>
      <c r="Y90" s="1323"/>
    </row>
    <row r="91" spans="6:25" ht="16.5" customHeight="1">
      <c r="F91" s="1323"/>
      <c r="G91" s="1323"/>
      <c r="H91" s="1323"/>
      <c r="I91" s="1323"/>
      <c r="J91" s="1323"/>
      <c r="K91" s="1323"/>
      <c r="L91" s="1323"/>
      <c r="M91" s="1323"/>
      <c r="N91" s="1323"/>
      <c r="O91" s="1323"/>
      <c r="P91" s="1323"/>
      <c r="Q91" s="1323"/>
      <c r="R91" s="1323"/>
      <c r="S91" s="1323"/>
      <c r="T91" s="1323"/>
      <c r="U91" s="1323"/>
      <c r="V91" s="1323"/>
      <c r="W91" s="1323"/>
      <c r="X91" s="1323"/>
      <c r="Y91" s="1323"/>
    </row>
    <row r="92" spans="6:25" ht="16.5" customHeight="1">
      <c r="F92" s="1323"/>
      <c r="G92" s="1323"/>
      <c r="H92" s="1323"/>
      <c r="I92" s="1323"/>
      <c r="J92" s="1323"/>
      <c r="K92" s="1323"/>
      <c r="L92" s="1323"/>
      <c r="M92" s="1323"/>
      <c r="N92" s="1323"/>
      <c r="O92" s="1323"/>
      <c r="P92" s="1323"/>
      <c r="Q92" s="1323"/>
      <c r="R92" s="1323"/>
      <c r="S92" s="1323"/>
      <c r="T92" s="1323"/>
      <c r="U92" s="1323"/>
      <c r="V92" s="1323"/>
      <c r="W92" s="1323"/>
      <c r="X92" s="1323"/>
      <c r="Y92" s="1323"/>
    </row>
    <row r="93" spans="6:25" ht="16.5" customHeight="1">
      <c r="F93" s="1323"/>
      <c r="G93" s="1323"/>
      <c r="H93" s="1323"/>
      <c r="I93" s="1323"/>
      <c r="J93" s="1323"/>
      <c r="K93" s="1323"/>
      <c r="L93" s="1323"/>
      <c r="M93" s="1323"/>
      <c r="N93" s="1323"/>
      <c r="O93" s="1323"/>
      <c r="P93" s="1323"/>
      <c r="Q93" s="1323"/>
      <c r="R93" s="1323"/>
      <c r="S93" s="1323"/>
      <c r="T93" s="1323"/>
      <c r="U93" s="1323"/>
      <c r="V93" s="1323"/>
      <c r="W93" s="1323"/>
      <c r="X93" s="1323"/>
      <c r="Y93" s="1323"/>
    </row>
    <row r="94" spans="6:25" ht="16.5" customHeight="1">
      <c r="F94" s="1323"/>
      <c r="G94" s="1323"/>
      <c r="H94" s="1323"/>
      <c r="I94" s="1323"/>
      <c r="J94" s="1323"/>
      <c r="K94" s="1323"/>
      <c r="L94" s="1323"/>
      <c r="M94" s="1323"/>
      <c r="N94" s="1323"/>
      <c r="O94" s="1323"/>
      <c r="P94" s="1323"/>
      <c r="Q94" s="1323"/>
      <c r="R94" s="1323"/>
      <c r="S94" s="1323"/>
      <c r="T94" s="1323"/>
      <c r="U94" s="1323"/>
      <c r="V94" s="1323"/>
      <c r="W94" s="1323"/>
      <c r="X94" s="1323"/>
      <c r="Y94" s="1323"/>
    </row>
    <row r="95" spans="6:25" ht="16.5" customHeight="1">
      <c r="F95" s="1323"/>
      <c r="G95" s="1323"/>
      <c r="H95" s="1323"/>
      <c r="I95" s="1323"/>
      <c r="J95" s="1323"/>
      <c r="K95" s="1323"/>
      <c r="L95" s="1323"/>
      <c r="M95" s="1323"/>
      <c r="N95" s="1323"/>
      <c r="O95" s="1323"/>
      <c r="P95" s="1323"/>
      <c r="Q95" s="1323"/>
      <c r="R95" s="1323"/>
      <c r="S95" s="1323"/>
      <c r="T95" s="1323"/>
      <c r="U95" s="1323"/>
      <c r="V95" s="1323"/>
      <c r="W95" s="1323"/>
      <c r="X95" s="1323"/>
      <c r="Y95" s="1323"/>
    </row>
    <row r="96" spans="6:25" ht="16.5" customHeight="1">
      <c r="F96" s="1323"/>
      <c r="G96" s="1323"/>
      <c r="H96" s="1323"/>
      <c r="I96" s="1323"/>
      <c r="J96" s="1323"/>
      <c r="K96" s="1323"/>
      <c r="L96" s="1323"/>
      <c r="M96" s="1323"/>
      <c r="N96" s="1323"/>
      <c r="O96" s="1323"/>
      <c r="P96" s="1323"/>
      <c r="Q96" s="1323"/>
      <c r="R96" s="1323"/>
      <c r="S96" s="1323"/>
      <c r="T96" s="1323"/>
      <c r="U96" s="1323"/>
      <c r="V96" s="1323"/>
      <c r="W96" s="1323"/>
      <c r="X96" s="1323"/>
      <c r="Y96" s="1323"/>
    </row>
    <row r="97" spans="6:25" ht="16.5" customHeight="1">
      <c r="F97" s="1323"/>
      <c r="G97" s="1323"/>
      <c r="H97" s="1323"/>
      <c r="I97" s="1323"/>
      <c r="J97" s="1323"/>
      <c r="K97" s="1323"/>
      <c r="L97" s="1323"/>
      <c r="M97" s="1323"/>
      <c r="N97" s="1323"/>
      <c r="O97" s="1323"/>
      <c r="P97" s="1323"/>
      <c r="Q97" s="1323"/>
      <c r="R97" s="1323"/>
      <c r="S97" s="1323"/>
      <c r="T97" s="1323"/>
      <c r="U97" s="1323"/>
      <c r="V97" s="1323"/>
      <c r="W97" s="1323"/>
      <c r="X97" s="1323"/>
      <c r="Y97" s="1323"/>
    </row>
    <row r="98" spans="6:25" ht="16.5" customHeight="1">
      <c r="F98" s="1323"/>
      <c r="G98" s="1323"/>
      <c r="H98" s="1323"/>
      <c r="I98" s="1323"/>
      <c r="J98" s="1323"/>
      <c r="K98" s="1323"/>
      <c r="L98" s="1323"/>
      <c r="M98" s="1323"/>
      <c r="N98" s="1323"/>
      <c r="O98" s="1323"/>
      <c r="P98" s="1323"/>
      <c r="Q98" s="1323"/>
      <c r="R98" s="1323"/>
      <c r="S98" s="1323"/>
      <c r="T98" s="1323"/>
      <c r="U98" s="1323"/>
      <c r="V98" s="1323"/>
      <c r="W98" s="1323"/>
      <c r="X98" s="1323"/>
      <c r="Y98" s="1323"/>
    </row>
    <row r="99" spans="6:25" ht="16.5" customHeight="1">
      <c r="F99" s="1323"/>
      <c r="G99" s="1323"/>
      <c r="H99" s="1323"/>
      <c r="I99" s="1323"/>
      <c r="J99" s="1323"/>
      <c r="K99" s="1323"/>
      <c r="L99" s="1323"/>
      <c r="M99" s="1323"/>
      <c r="N99" s="1323"/>
      <c r="O99" s="1323"/>
      <c r="P99" s="1323"/>
      <c r="Q99" s="1323"/>
      <c r="R99" s="1323"/>
      <c r="S99" s="1323"/>
      <c r="T99" s="1323"/>
      <c r="U99" s="1323"/>
      <c r="V99" s="1323"/>
      <c r="W99" s="1323"/>
      <c r="X99" s="1323"/>
      <c r="Y99" s="1323"/>
    </row>
    <row r="100" spans="6:25" ht="16.5" customHeight="1">
      <c r="F100" s="1323"/>
      <c r="G100" s="1323"/>
      <c r="H100" s="1323"/>
      <c r="I100" s="1323"/>
      <c r="J100" s="1323"/>
      <c r="K100" s="1323"/>
      <c r="L100" s="1323"/>
      <c r="M100" s="1323"/>
      <c r="N100" s="1323"/>
      <c r="O100" s="1323"/>
      <c r="P100" s="1323"/>
      <c r="Q100" s="1323"/>
      <c r="R100" s="1323"/>
      <c r="S100" s="1323"/>
      <c r="T100" s="1323"/>
      <c r="U100" s="1323"/>
      <c r="V100" s="1323"/>
      <c r="W100" s="1323"/>
      <c r="X100" s="1323"/>
      <c r="Y100" s="1323"/>
    </row>
    <row r="101" spans="6:25" ht="16.5" customHeight="1">
      <c r="F101" s="1323"/>
      <c r="G101" s="1323"/>
      <c r="H101" s="1323"/>
      <c r="I101" s="1323"/>
      <c r="J101" s="1323"/>
      <c r="K101" s="1323"/>
      <c r="L101" s="1323"/>
      <c r="M101" s="1323"/>
      <c r="N101" s="1323"/>
      <c r="O101" s="1323"/>
      <c r="P101" s="1323"/>
      <c r="Q101" s="1323"/>
      <c r="R101" s="1323"/>
      <c r="S101" s="1323"/>
      <c r="T101" s="1323"/>
      <c r="U101" s="1323"/>
      <c r="V101" s="1323"/>
      <c r="W101" s="1323"/>
      <c r="X101" s="1323"/>
      <c r="Y101" s="1323"/>
    </row>
    <row r="102" spans="6:25" ht="16.5" customHeight="1">
      <c r="F102" s="1323"/>
      <c r="G102" s="1323"/>
      <c r="H102" s="1323"/>
      <c r="I102" s="1323"/>
      <c r="J102" s="1323"/>
      <c r="K102" s="1323"/>
      <c r="L102" s="1323"/>
      <c r="M102" s="1323"/>
      <c r="N102" s="1323"/>
      <c r="O102" s="1323"/>
      <c r="P102" s="1323"/>
      <c r="Q102" s="1323"/>
      <c r="R102" s="1323"/>
      <c r="S102" s="1323"/>
      <c r="T102" s="1323"/>
      <c r="U102" s="1323"/>
      <c r="V102" s="1323"/>
      <c r="W102" s="1323"/>
      <c r="X102" s="1323"/>
      <c r="Y102" s="1323"/>
    </row>
    <row r="103" spans="6:25" ht="16.5" customHeight="1">
      <c r="F103" s="1323"/>
      <c r="G103" s="1323"/>
      <c r="H103" s="1323"/>
      <c r="I103" s="1323"/>
      <c r="J103" s="1323"/>
      <c r="K103" s="1323"/>
      <c r="L103" s="1323"/>
      <c r="M103" s="1323"/>
      <c r="N103" s="1323"/>
      <c r="O103" s="1323"/>
      <c r="P103" s="1323"/>
      <c r="Q103" s="1323"/>
      <c r="R103" s="1323"/>
      <c r="S103" s="1323"/>
      <c r="T103" s="1323"/>
      <c r="U103" s="1323"/>
      <c r="V103" s="1323"/>
      <c r="W103" s="1323"/>
      <c r="X103" s="1323"/>
      <c r="Y103" s="1323"/>
    </row>
    <row r="104" spans="6:25" ht="16.5" customHeight="1">
      <c r="F104" s="1323"/>
      <c r="G104" s="1323"/>
      <c r="H104" s="1323"/>
      <c r="I104" s="1323"/>
      <c r="J104" s="1323"/>
      <c r="K104" s="1323"/>
      <c r="L104" s="1323"/>
      <c r="M104" s="1323"/>
      <c r="N104" s="1323"/>
      <c r="O104" s="1323"/>
      <c r="P104" s="1323"/>
      <c r="Q104" s="1323"/>
      <c r="R104" s="1323"/>
      <c r="S104" s="1323"/>
      <c r="T104" s="1323"/>
      <c r="U104" s="1323"/>
      <c r="V104" s="1323"/>
      <c r="W104" s="1323"/>
      <c r="X104" s="1323"/>
      <c r="Y104" s="1323"/>
    </row>
    <row r="105" spans="6:25" ht="16.5" customHeight="1">
      <c r="F105" s="1323"/>
      <c r="G105" s="1323"/>
      <c r="H105" s="1323"/>
      <c r="I105" s="1323"/>
      <c r="J105" s="1323"/>
      <c r="K105" s="1323"/>
      <c r="L105" s="1323"/>
      <c r="M105" s="1323"/>
      <c r="N105" s="1323"/>
      <c r="O105" s="1323"/>
      <c r="P105" s="1323"/>
      <c r="Q105" s="1323"/>
      <c r="R105" s="1323"/>
      <c r="S105" s="1323"/>
      <c r="T105" s="1323"/>
      <c r="U105" s="1323"/>
      <c r="V105" s="1323"/>
      <c r="W105" s="1323"/>
      <c r="X105" s="1323"/>
      <c r="Y105" s="1323"/>
    </row>
    <row r="106" spans="6:25" ht="16.5" customHeight="1">
      <c r="F106" s="1323"/>
      <c r="G106" s="1323"/>
      <c r="H106" s="1323"/>
      <c r="I106" s="1323"/>
      <c r="J106" s="1323"/>
      <c r="K106" s="1323"/>
      <c r="L106" s="1323"/>
      <c r="M106" s="1323"/>
      <c r="N106" s="1323"/>
      <c r="O106" s="1323"/>
      <c r="P106" s="1323"/>
      <c r="Q106" s="1323"/>
      <c r="R106" s="1323"/>
      <c r="S106" s="1323"/>
      <c r="T106" s="1323"/>
      <c r="U106" s="1323"/>
      <c r="V106" s="1323"/>
      <c r="W106" s="1323"/>
      <c r="X106" s="1323"/>
      <c r="Y106" s="1323"/>
    </row>
    <row r="107" spans="6:25" ht="16.5" customHeight="1">
      <c r="F107" s="1323"/>
      <c r="G107" s="1323"/>
      <c r="H107" s="1323"/>
      <c r="I107" s="1323"/>
      <c r="J107" s="1323"/>
      <c r="K107" s="1323"/>
      <c r="L107" s="1323"/>
      <c r="M107" s="1323"/>
      <c r="N107" s="1323"/>
      <c r="O107" s="1323"/>
      <c r="P107" s="1323"/>
      <c r="Q107" s="1323"/>
      <c r="R107" s="1323"/>
      <c r="S107" s="1323"/>
      <c r="T107" s="1323"/>
      <c r="U107" s="1323"/>
      <c r="V107" s="1323"/>
      <c r="W107" s="1323"/>
      <c r="X107" s="1323"/>
      <c r="Y107" s="1323"/>
    </row>
    <row r="108" spans="6:25" ht="16.5" customHeight="1">
      <c r="F108" s="1323"/>
      <c r="G108" s="1323"/>
      <c r="H108" s="1323"/>
      <c r="I108" s="1323"/>
      <c r="J108" s="1323"/>
      <c r="K108" s="1323"/>
      <c r="L108" s="1323"/>
      <c r="M108" s="1323"/>
      <c r="N108" s="1323"/>
      <c r="O108" s="1323"/>
      <c r="P108" s="1323"/>
      <c r="Q108" s="1323"/>
      <c r="R108" s="1323"/>
      <c r="S108" s="1323"/>
      <c r="T108" s="1323"/>
      <c r="U108" s="1323"/>
      <c r="V108" s="1323"/>
      <c r="W108" s="1323"/>
      <c r="X108" s="1323"/>
      <c r="Y108" s="1323"/>
    </row>
    <row r="109" spans="6:25" ht="16.5" customHeight="1">
      <c r="F109" s="1323"/>
      <c r="G109" s="1323"/>
      <c r="H109" s="1323"/>
      <c r="I109" s="1323"/>
      <c r="J109" s="1323"/>
      <c r="K109" s="1323"/>
      <c r="L109" s="1323"/>
      <c r="M109" s="1323"/>
      <c r="N109" s="1323"/>
      <c r="O109" s="1323"/>
      <c r="P109" s="1323"/>
      <c r="Q109" s="1323"/>
      <c r="R109" s="1323"/>
      <c r="S109" s="1323"/>
      <c r="T109" s="1323"/>
      <c r="U109" s="1323"/>
      <c r="V109" s="1323"/>
      <c r="W109" s="1323"/>
      <c r="X109" s="1323"/>
      <c r="Y109" s="1323"/>
    </row>
    <row r="110" spans="6:25" ht="16.5" customHeight="1">
      <c r="F110" s="1323"/>
      <c r="G110" s="1323"/>
      <c r="H110" s="1323"/>
      <c r="I110" s="1323"/>
      <c r="J110" s="1323"/>
      <c r="K110" s="1323"/>
      <c r="L110" s="1323"/>
      <c r="M110" s="1323"/>
      <c r="N110" s="1323"/>
      <c r="O110" s="1323"/>
      <c r="P110" s="1323"/>
      <c r="Q110" s="1323"/>
      <c r="R110" s="1323"/>
      <c r="S110" s="1323"/>
      <c r="T110" s="1323"/>
      <c r="U110" s="1323"/>
      <c r="V110" s="1323"/>
      <c r="W110" s="1323"/>
      <c r="X110" s="1323"/>
      <c r="Y110" s="1323"/>
    </row>
    <row r="111" spans="6:25" ht="16.5" customHeight="1">
      <c r="F111" s="1323"/>
      <c r="G111" s="1323"/>
      <c r="H111" s="1323"/>
      <c r="I111" s="1323"/>
      <c r="J111" s="1323"/>
      <c r="K111" s="1323"/>
      <c r="L111" s="1323"/>
      <c r="M111" s="1323"/>
      <c r="N111" s="1323"/>
      <c r="O111" s="1323"/>
      <c r="P111" s="1323"/>
      <c r="Q111" s="1323"/>
      <c r="R111" s="1323"/>
      <c r="S111" s="1323"/>
      <c r="T111" s="1323"/>
      <c r="U111" s="1323"/>
      <c r="V111" s="1323"/>
      <c r="W111" s="1323"/>
      <c r="X111" s="1323"/>
      <c r="Y111" s="1323"/>
    </row>
    <row r="112" spans="6:25" ht="16.5" customHeight="1">
      <c r="F112" s="1323"/>
      <c r="G112" s="1323"/>
      <c r="H112" s="1323"/>
      <c r="I112" s="1323"/>
      <c r="J112" s="1323"/>
      <c r="K112" s="1323"/>
      <c r="L112" s="1323"/>
      <c r="M112" s="1323"/>
      <c r="N112" s="1323"/>
      <c r="O112" s="1323"/>
      <c r="P112" s="1323"/>
      <c r="Q112" s="1323"/>
      <c r="R112" s="1323"/>
      <c r="S112" s="1323"/>
      <c r="T112" s="1323"/>
      <c r="U112" s="1323"/>
      <c r="V112" s="1323"/>
      <c r="W112" s="1323"/>
      <c r="X112" s="1323"/>
      <c r="Y112" s="1323"/>
    </row>
    <row r="113" spans="6:25" ht="16.5" customHeight="1">
      <c r="F113" s="1323"/>
      <c r="G113" s="1323"/>
      <c r="H113" s="1323"/>
      <c r="I113" s="1323"/>
      <c r="J113" s="1323"/>
      <c r="K113" s="1323"/>
      <c r="L113" s="1323"/>
      <c r="M113" s="1323"/>
      <c r="N113" s="1323"/>
      <c r="O113" s="1323"/>
      <c r="P113" s="1323"/>
      <c r="Q113" s="1323"/>
      <c r="R113" s="1323"/>
      <c r="S113" s="1323"/>
      <c r="T113" s="1323"/>
      <c r="U113" s="1323"/>
      <c r="V113" s="1323"/>
      <c r="W113" s="1323"/>
      <c r="X113" s="1323"/>
      <c r="Y113" s="1323"/>
    </row>
    <row r="114" spans="6:25" ht="16.5" customHeight="1">
      <c r="F114" s="1323"/>
      <c r="G114" s="1323"/>
      <c r="H114" s="1323"/>
      <c r="I114" s="1323"/>
      <c r="J114" s="1323"/>
      <c r="K114" s="1323"/>
      <c r="L114" s="1323"/>
      <c r="M114" s="1323"/>
      <c r="N114" s="1323"/>
      <c r="O114" s="1323"/>
      <c r="P114" s="1323"/>
      <c r="Q114" s="1323"/>
      <c r="R114" s="1323"/>
      <c r="S114" s="1323"/>
      <c r="T114" s="1323"/>
      <c r="U114" s="1323"/>
      <c r="V114" s="1323"/>
      <c r="W114" s="1323"/>
      <c r="X114" s="1323"/>
      <c r="Y114" s="1323"/>
    </row>
    <row r="115" spans="6:25" ht="16.5" customHeight="1">
      <c r="F115" s="1323"/>
      <c r="G115" s="1323"/>
      <c r="H115" s="1323"/>
      <c r="I115" s="1323"/>
      <c r="J115" s="1323"/>
      <c r="K115" s="1323"/>
      <c r="L115" s="1323"/>
      <c r="M115" s="1323"/>
      <c r="N115" s="1323"/>
      <c r="O115" s="1323"/>
      <c r="P115" s="1323"/>
      <c r="Q115" s="1323"/>
      <c r="R115" s="1323"/>
      <c r="S115" s="1323"/>
      <c r="T115" s="1323"/>
      <c r="U115" s="1323"/>
      <c r="V115" s="1323"/>
      <c r="W115" s="1323"/>
      <c r="X115" s="1323"/>
      <c r="Y115" s="1323"/>
    </row>
    <row r="116" spans="6:25" ht="16.5" customHeight="1">
      <c r="F116" s="1323"/>
      <c r="G116" s="1323"/>
      <c r="H116" s="1323"/>
      <c r="I116" s="1323"/>
      <c r="J116" s="1323"/>
      <c r="K116" s="1323"/>
      <c r="L116" s="1323"/>
      <c r="M116" s="1323"/>
      <c r="N116" s="1323"/>
      <c r="O116" s="1323"/>
      <c r="P116" s="1323"/>
      <c r="Q116" s="1323"/>
      <c r="R116" s="1323"/>
      <c r="S116" s="1323"/>
      <c r="T116" s="1323"/>
      <c r="U116" s="1323"/>
      <c r="V116" s="1323"/>
      <c r="W116" s="1323"/>
      <c r="X116" s="1323"/>
      <c r="Y116" s="1323"/>
    </row>
    <row r="117" spans="6:25" ht="16.5" customHeight="1">
      <c r="F117" s="1323"/>
      <c r="G117" s="1323"/>
      <c r="H117" s="1323"/>
      <c r="I117" s="1323"/>
      <c r="J117" s="1323"/>
      <c r="K117" s="1323"/>
      <c r="L117" s="1323"/>
      <c r="M117" s="1323"/>
      <c r="N117" s="1323"/>
      <c r="O117" s="1323"/>
      <c r="P117" s="1323"/>
      <c r="Q117" s="1323"/>
      <c r="R117" s="1323"/>
      <c r="S117" s="1323"/>
      <c r="T117" s="1323"/>
      <c r="U117" s="1323"/>
      <c r="V117" s="1323"/>
      <c r="W117" s="1323"/>
      <c r="X117" s="1323"/>
      <c r="Y117" s="1323"/>
    </row>
    <row r="118" spans="6:25" ht="16.5" customHeight="1">
      <c r="F118" s="1323"/>
      <c r="G118" s="1323"/>
      <c r="H118" s="1323"/>
      <c r="I118" s="1323"/>
      <c r="J118" s="1323"/>
      <c r="K118" s="1323"/>
      <c r="L118" s="1323"/>
      <c r="M118" s="1323"/>
      <c r="N118" s="1323"/>
      <c r="O118" s="1323"/>
      <c r="P118" s="1323"/>
      <c r="Q118" s="1323"/>
      <c r="R118" s="1323"/>
      <c r="S118" s="1323"/>
      <c r="T118" s="1323"/>
      <c r="U118" s="1323"/>
      <c r="V118" s="1323"/>
      <c r="W118" s="1323"/>
      <c r="X118" s="1323"/>
      <c r="Y118" s="1323"/>
    </row>
    <row r="119" spans="6:25" ht="16.5" customHeight="1">
      <c r="F119" s="1323"/>
      <c r="G119" s="1323"/>
      <c r="H119" s="1323"/>
      <c r="I119" s="1323"/>
      <c r="J119" s="1323"/>
      <c r="K119" s="1323"/>
      <c r="L119" s="1323"/>
      <c r="M119" s="1323"/>
      <c r="N119" s="1323"/>
      <c r="O119" s="1323"/>
      <c r="P119" s="1323"/>
      <c r="Q119" s="1323"/>
      <c r="R119" s="1323"/>
      <c r="S119" s="1323"/>
      <c r="T119" s="1323"/>
      <c r="U119" s="1323"/>
      <c r="V119" s="1323"/>
      <c r="W119" s="1323"/>
      <c r="X119" s="1323"/>
      <c r="Y119" s="1323"/>
    </row>
    <row r="120" spans="6:25" ht="16.5" customHeight="1">
      <c r="F120" s="1323"/>
      <c r="G120" s="1323"/>
      <c r="H120" s="1323"/>
      <c r="I120" s="1323"/>
      <c r="J120" s="1323"/>
      <c r="K120" s="1323"/>
      <c r="L120" s="1323"/>
      <c r="M120" s="1323"/>
      <c r="N120" s="1323"/>
      <c r="O120" s="1323"/>
      <c r="P120" s="1323"/>
      <c r="Q120" s="1323"/>
      <c r="R120" s="1323"/>
      <c r="S120" s="1323"/>
      <c r="T120" s="1323"/>
      <c r="U120" s="1323"/>
      <c r="V120" s="1323"/>
      <c r="W120" s="1323"/>
      <c r="X120" s="1323"/>
      <c r="Y120" s="1323"/>
    </row>
    <row r="121" spans="6:25" ht="16.5" customHeight="1">
      <c r="F121" s="1323"/>
      <c r="G121" s="1323"/>
      <c r="H121" s="1323"/>
      <c r="I121" s="1323"/>
      <c r="J121" s="1323"/>
      <c r="K121" s="1323"/>
      <c r="L121" s="1323"/>
      <c r="M121" s="1323"/>
      <c r="N121" s="1323"/>
      <c r="O121" s="1323"/>
      <c r="P121" s="1323"/>
      <c r="Q121" s="1323"/>
      <c r="R121" s="1323"/>
      <c r="S121" s="1323"/>
      <c r="T121" s="1323"/>
      <c r="U121" s="1323"/>
      <c r="V121" s="1323"/>
      <c r="W121" s="1323"/>
      <c r="X121" s="1323"/>
      <c r="Y121" s="1323"/>
    </row>
    <row r="122" spans="6:25" ht="16.5" customHeight="1">
      <c r="F122" s="1323"/>
      <c r="G122" s="1323"/>
      <c r="H122" s="1323"/>
      <c r="I122" s="1323"/>
      <c r="J122" s="1323"/>
      <c r="K122" s="1323"/>
      <c r="L122" s="1323"/>
      <c r="M122" s="1323"/>
      <c r="N122" s="1323"/>
      <c r="O122" s="1323"/>
      <c r="P122" s="1323"/>
      <c r="Q122" s="1323"/>
      <c r="R122" s="1323"/>
      <c r="S122" s="1323"/>
      <c r="T122" s="1323"/>
      <c r="U122" s="1323"/>
      <c r="V122" s="1323"/>
      <c r="W122" s="1323"/>
      <c r="X122" s="1323"/>
      <c r="Y122" s="1323"/>
    </row>
    <row r="123" spans="6:25" ht="16.5" customHeight="1">
      <c r="F123" s="1323"/>
      <c r="G123" s="1323"/>
      <c r="H123" s="1323"/>
      <c r="I123" s="1323"/>
      <c r="J123" s="1323"/>
      <c r="K123" s="1323"/>
      <c r="L123" s="1323"/>
      <c r="M123" s="1323"/>
      <c r="N123" s="1323"/>
      <c r="O123" s="1323"/>
      <c r="P123" s="1323"/>
      <c r="Q123" s="1323"/>
      <c r="R123" s="1323"/>
      <c r="S123" s="1323"/>
      <c r="T123" s="1323"/>
      <c r="U123" s="1323"/>
      <c r="V123" s="1323"/>
      <c r="W123" s="1323"/>
      <c r="X123" s="1323"/>
      <c r="Y123" s="1323"/>
    </row>
    <row r="124" spans="6:25" ht="16.5" customHeight="1">
      <c r="F124" s="1323"/>
      <c r="G124" s="1323"/>
      <c r="H124" s="1323"/>
      <c r="I124" s="1323"/>
      <c r="J124" s="1323"/>
      <c r="K124" s="1323"/>
      <c r="L124" s="1323"/>
      <c r="M124" s="1323"/>
      <c r="N124" s="1323"/>
      <c r="O124" s="1323"/>
      <c r="P124" s="1323"/>
      <c r="Q124" s="1323"/>
      <c r="R124" s="1323"/>
      <c r="S124" s="1323"/>
      <c r="T124" s="1323"/>
      <c r="U124" s="1323"/>
      <c r="V124" s="1323"/>
      <c r="W124" s="1323"/>
      <c r="X124" s="1323"/>
      <c r="Y124" s="1323"/>
    </row>
    <row r="125" spans="6:25" ht="16.5" customHeight="1">
      <c r="F125" s="1323"/>
      <c r="G125" s="1323"/>
      <c r="H125" s="1323"/>
      <c r="I125" s="1323"/>
      <c r="J125" s="1323"/>
      <c r="K125" s="1323"/>
      <c r="L125" s="1323"/>
      <c r="M125" s="1323"/>
      <c r="N125" s="1323"/>
      <c r="O125" s="1323"/>
      <c r="P125" s="1323"/>
      <c r="Q125" s="1323"/>
      <c r="R125" s="1323"/>
      <c r="S125" s="1323"/>
      <c r="T125" s="1323"/>
      <c r="U125" s="1323"/>
      <c r="V125" s="1323"/>
      <c r="W125" s="1323"/>
      <c r="X125" s="1323"/>
      <c r="Y125" s="1323"/>
    </row>
    <row r="126" spans="6:25" ht="16.5" customHeight="1">
      <c r="F126" s="1323"/>
      <c r="G126" s="1323"/>
      <c r="H126" s="1323"/>
      <c r="I126" s="1323"/>
      <c r="J126" s="1323"/>
      <c r="K126" s="1323"/>
      <c r="L126" s="1323"/>
      <c r="M126" s="1323"/>
      <c r="N126" s="1323"/>
      <c r="O126" s="1323"/>
      <c r="P126" s="1323"/>
      <c r="Q126" s="1323"/>
      <c r="R126" s="1323"/>
      <c r="S126" s="1323"/>
      <c r="T126" s="1323"/>
      <c r="U126" s="1323"/>
      <c r="V126" s="1323"/>
      <c r="W126" s="1323"/>
      <c r="X126" s="1323"/>
      <c r="Y126" s="1323"/>
    </row>
    <row r="127" spans="6:25" ht="16.5" customHeight="1">
      <c r="F127" s="1323"/>
      <c r="G127" s="1323"/>
      <c r="H127" s="1323"/>
      <c r="I127" s="1323"/>
      <c r="J127" s="1323"/>
      <c r="K127" s="1323"/>
      <c r="L127" s="1323"/>
      <c r="M127" s="1323"/>
      <c r="N127" s="1323"/>
      <c r="O127" s="1323"/>
      <c r="P127" s="1323"/>
      <c r="Q127" s="1323"/>
      <c r="R127" s="1323"/>
      <c r="S127" s="1323"/>
      <c r="T127" s="1323"/>
      <c r="U127" s="1323"/>
      <c r="V127" s="1323"/>
      <c r="W127" s="1323"/>
      <c r="X127" s="1323"/>
      <c r="Y127" s="1323"/>
    </row>
    <row r="128" spans="6:25" ht="16.5" customHeight="1">
      <c r="F128" s="1323"/>
      <c r="G128" s="1323"/>
      <c r="H128" s="1323"/>
      <c r="I128" s="1323"/>
      <c r="J128" s="1323"/>
      <c r="K128" s="1323"/>
      <c r="L128" s="1323"/>
      <c r="M128" s="1323"/>
      <c r="N128" s="1323"/>
      <c r="O128" s="1323"/>
      <c r="P128" s="1323"/>
      <c r="Q128" s="1323"/>
      <c r="R128" s="1323"/>
      <c r="S128" s="1323"/>
      <c r="T128" s="1323"/>
      <c r="U128" s="1323"/>
      <c r="V128" s="1323"/>
      <c r="W128" s="1323"/>
      <c r="X128" s="1323"/>
      <c r="Y128" s="1323"/>
    </row>
    <row r="129" spans="6:25" ht="16.5" customHeight="1">
      <c r="F129" s="1323"/>
      <c r="G129" s="1323"/>
      <c r="H129" s="1323"/>
      <c r="I129" s="1323"/>
      <c r="J129" s="1323"/>
      <c r="K129" s="1323"/>
      <c r="L129" s="1323"/>
      <c r="M129" s="1323"/>
      <c r="N129" s="1323"/>
      <c r="O129" s="1323"/>
      <c r="P129" s="1323"/>
      <c r="Q129" s="1323"/>
      <c r="R129" s="1323"/>
      <c r="S129" s="1323"/>
      <c r="T129" s="1323"/>
      <c r="U129" s="1323"/>
      <c r="V129" s="1323"/>
      <c r="W129" s="1323"/>
      <c r="X129" s="1323"/>
      <c r="Y129" s="1323"/>
    </row>
    <row r="130" spans="6:25" ht="16.5" customHeight="1">
      <c r="F130" s="1323"/>
      <c r="G130" s="1323"/>
      <c r="H130" s="1323"/>
      <c r="I130" s="1323"/>
      <c r="J130" s="1323"/>
      <c r="K130" s="1323"/>
      <c r="L130" s="1323"/>
      <c r="M130" s="1323"/>
      <c r="N130" s="1323"/>
      <c r="O130" s="1323"/>
      <c r="P130" s="1323"/>
      <c r="Q130" s="1323"/>
      <c r="R130" s="1323"/>
      <c r="S130" s="1323"/>
      <c r="T130" s="1323"/>
      <c r="U130" s="1323"/>
      <c r="V130" s="1323"/>
      <c r="W130" s="1323"/>
      <c r="X130" s="1323"/>
      <c r="Y130" s="1323"/>
    </row>
    <row r="131" spans="6:25" ht="16.5" customHeight="1">
      <c r="F131" s="1323"/>
      <c r="G131" s="1323"/>
      <c r="H131" s="1323"/>
      <c r="I131" s="1323"/>
      <c r="J131" s="1323"/>
      <c r="K131" s="1323"/>
      <c r="L131" s="1323"/>
      <c r="M131" s="1323"/>
      <c r="N131" s="1323"/>
      <c r="O131" s="1323"/>
      <c r="P131" s="1323"/>
      <c r="Q131" s="1323"/>
      <c r="R131" s="1323"/>
      <c r="S131" s="1323"/>
      <c r="T131" s="1323"/>
      <c r="U131" s="1323"/>
      <c r="V131" s="1323"/>
      <c r="W131" s="1323"/>
      <c r="X131" s="1323"/>
      <c r="Y131" s="1323"/>
    </row>
    <row r="132" spans="6:25" ht="16.5" customHeight="1">
      <c r="F132" s="1323"/>
      <c r="G132" s="1323"/>
      <c r="H132" s="1323"/>
      <c r="I132" s="1323"/>
      <c r="J132" s="1323"/>
      <c r="K132" s="1323"/>
      <c r="L132" s="1323"/>
      <c r="M132" s="1323"/>
      <c r="N132" s="1323"/>
      <c r="O132" s="1323"/>
      <c r="P132" s="1323"/>
      <c r="Q132" s="1323"/>
      <c r="R132" s="1323"/>
      <c r="S132" s="1323"/>
      <c r="T132" s="1323"/>
      <c r="U132" s="1323"/>
      <c r="V132" s="1323"/>
      <c r="W132" s="1323"/>
      <c r="X132" s="1323"/>
      <c r="Y132" s="1323"/>
    </row>
    <row r="133" spans="6:25" ht="16.5" customHeight="1">
      <c r="F133" s="1323"/>
      <c r="G133" s="1323"/>
      <c r="H133" s="1323"/>
      <c r="I133" s="1323"/>
      <c r="J133" s="1323"/>
      <c r="K133" s="1323"/>
      <c r="L133" s="1323"/>
      <c r="M133" s="1323"/>
      <c r="N133" s="1323"/>
      <c r="O133" s="1323"/>
      <c r="P133" s="1323"/>
      <c r="Q133" s="1323"/>
      <c r="R133" s="1323"/>
      <c r="S133" s="1323"/>
      <c r="T133" s="1323"/>
      <c r="U133" s="1323"/>
      <c r="V133" s="1323"/>
      <c r="W133" s="1323"/>
      <c r="X133" s="1323"/>
      <c r="Y133" s="1323"/>
    </row>
    <row r="134" spans="6:25" ht="16.5" customHeight="1">
      <c r="F134" s="1323"/>
      <c r="G134" s="1323"/>
      <c r="H134" s="1323"/>
      <c r="I134" s="1323"/>
      <c r="J134" s="1323"/>
      <c r="K134" s="1323"/>
      <c r="L134" s="1323"/>
      <c r="M134" s="1323"/>
      <c r="N134" s="1323"/>
      <c r="O134" s="1323"/>
      <c r="P134" s="1323"/>
      <c r="Q134" s="1323"/>
      <c r="R134" s="1323"/>
      <c r="S134" s="1323"/>
      <c r="T134" s="1323"/>
      <c r="U134" s="1323"/>
      <c r="V134" s="1323"/>
      <c r="W134" s="1323"/>
      <c r="X134" s="1323"/>
      <c r="Y134" s="1323"/>
    </row>
    <row r="135" spans="6:25" ht="16.5" customHeight="1">
      <c r="F135" s="1323"/>
      <c r="G135" s="1323"/>
      <c r="H135" s="1323"/>
      <c r="I135" s="1323"/>
      <c r="J135" s="1323"/>
      <c r="K135" s="1323"/>
      <c r="L135" s="1323"/>
      <c r="M135" s="1323"/>
      <c r="N135" s="1323"/>
      <c r="O135" s="1323"/>
      <c r="P135" s="1323"/>
      <c r="Q135" s="1323"/>
      <c r="R135" s="1323"/>
      <c r="S135" s="1323"/>
      <c r="T135" s="1323"/>
      <c r="U135" s="1323"/>
      <c r="V135" s="1323"/>
      <c r="W135" s="1323"/>
      <c r="X135" s="1323"/>
      <c r="Y135" s="1323"/>
    </row>
    <row r="136" spans="6:25" ht="16.5" customHeight="1">
      <c r="F136" s="1323"/>
      <c r="G136" s="1323"/>
      <c r="H136" s="1323"/>
      <c r="I136" s="1323"/>
      <c r="J136" s="1323"/>
      <c r="K136" s="1323"/>
      <c r="L136" s="1323"/>
      <c r="M136" s="1323"/>
      <c r="N136" s="1323"/>
      <c r="O136" s="1323"/>
      <c r="P136" s="1323"/>
      <c r="Q136" s="1323"/>
      <c r="R136" s="1323"/>
      <c r="S136" s="1323"/>
      <c r="T136" s="1323"/>
      <c r="U136" s="1323"/>
      <c r="V136" s="1323"/>
      <c r="W136" s="1323"/>
      <c r="X136" s="1323"/>
      <c r="Y136" s="1323"/>
    </row>
    <row r="137" spans="6:25" ht="16.5" customHeight="1">
      <c r="F137" s="1323"/>
      <c r="G137" s="1323"/>
      <c r="H137" s="1323"/>
      <c r="I137" s="1323"/>
      <c r="J137" s="1323"/>
      <c r="K137" s="1323"/>
      <c r="L137" s="1323"/>
      <c r="M137" s="1323"/>
      <c r="N137" s="1323"/>
      <c r="O137" s="1323"/>
      <c r="P137" s="1323"/>
      <c r="Q137" s="1323"/>
      <c r="R137" s="1323"/>
      <c r="S137" s="1323"/>
      <c r="T137" s="1323"/>
      <c r="U137" s="1323"/>
      <c r="V137" s="1323"/>
      <c r="W137" s="1323"/>
      <c r="X137" s="1323"/>
      <c r="Y137" s="1323"/>
    </row>
    <row r="138" spans="6:25" ht="16.5" customHeight="1">
      <c r="F138" s="1323"/>
      <c r="G138" s="1323"/>
      <c r="H138" s="1323"/>
      <c r="I138" s="1323"/>
      <c r="J138" s="1323"/>
      <c r="K138" s="1323"/>
      <c r="L138" s="1323"/>
      <c r="M138" s="1323"/>
      <c r="N138" s="1323"/>
      <c r="O138" s="1323"/>
      <c r="P138" s="1323"/>
      <c r="Q138" s="1323"/>
      <c r="R138" s="1323"/>
      <c r="S138" s="1323"/>
      <c r="T138" s="1323"/>
      <c r="U138" s="1323"/>
      <c r="V138" s="1323"/>
      <c r="W138" s="1323"/>
      <c r="X138" s="1323"/>
      <c r="Y138" s="1323"/>
    </row>
    <row r="139" spans="6:25" ht="16.5" customHeight="1">
      <c r="F139" s="1323"/>
      <c r="G139" s="1323"/>
      <c r="H139" s="1323"/>
      <c r="I139" s="1323"/>
      <c r="J139" s="1323"/>
      <c r="K139" s="1323"/>
      <c r="L139" s="1323"/>
      <c r="M139" s="1323"/>
      <c r="N139" s="1323"/>
      <c r="O139" s="1323"/>
      <c r="P139" s="1323"/>
      <c r="Q139" s="1323"/>
      <c r="R139" s="1323"/>
      <c r="S139" s="1323"/>
      <c r="T139" s="1323"/>
      <c r="U139" s="1323"/>
      <c r="V139" s="1323"/>
      <c r="W139" s="1323"/>
      <c r="X139" s="1323"/>
      <c r="Y139" s="1323"/>
    </row>
    <row r="140" spans="6:25" ht="16.5" customHeight="1">
      <c r="F140" s="1323"/>
      <c r="G140" s="1323"/>
      <c r="H140" s="1323"/>
      <c r="I140" s="1323"/>
      <c r="J140" s="1323"/>
      <c r="K140" s="1323"/>
      <c r="L140" s="1323"/>
      <c r="M140" s="1323"/>
      <c r="N140" s="1323"/>
      <c r="O140" s="1323"/>
      <c r="P140" s="1323"/>
      <c r="Q140" s="1323"/>
      <c r="R140" s="1323"/>
      <c r="S140" s="1323"/>
      <c r="T140" s="1323"/>
      <c r="U140" s="1323"/>
      <c r="V140" s="1323"/>
      <c r="W140" s="1323"/>
      <c r="X140" s="1323"/>
      <c r="Y140" s="1323"/>
    </row>
    <row r="141" spans="6:25" ht="16.5" customHeight="1">
      <c r="F141" s="1323"/>
      <c r="G141" s="1323"/>
      <c r="H141" s="1323"/>
      <c r="I141" s="1323"/>
      <c r="J141" s="1323"/>
      <c r="K141" s="1323"/>
      <c r="L141" s="1323"/>
      <c r="M141" s="1323"/>
      <c r="N141" s="1323"/>
      <c r="O141" s="1323"/>
      <c r="P141" s="1323"/>
      <c r="Q141" s="1323"/>
      <c r="R141" s="1323"/>
      <c r="S141" s="1323"/>
      <c r="T141" s="1323"/>
      <c r="U141" s="1323"/>
      <c r="V141" s="1323"/>
      <c r="W141" s="1323"/>
      <c r="X141" s="1323"/>
      <c r="Y141" s="1323"/>
    </row>
    <row r="142" spans="6:25" ht="16.5" customHeight="1">
      <c r="F142" s="1323"/>
      <c r="G142" s="1323"/>
      <c r="H142" s="1323"/>
      <c r="I142" s="1323"/>
      <c r="J142" s="1323"/>
      <c r="K142" s="1323"/>
      <c r="L142" s="1323"/>
      <c r="M142" s="1323"/>
      <c r="N142" s="1323"/>
      <c r="O142" s="1323"/>
      <c r="P142" s="1323"/>
      <c r="Q142" s="1323"/>
      <c r="R142" s="1323"/>
      <c r="S142" s="1323"/>
      <c r="T142" s="1323"/>
      <c r="U142" s="1323"/>
      <c r="V142" s="1323"/>
      <c r="W142" s="1323"/>
      <c r="X142" s="1323"/>
      <c r="Y142" s="1323"/>
    </row>
    <row r="143" spans="6:25" ht="16.5" customHeight="1">
      <c r="F143" s="1323"/>
      <c r="G143" s="1323"/>
      <c r="H143" s="1323"/>
      <c r="I143" s="1323"/>
      <c r="J143" s="1323"/>
      <c r="K143" s="1323"/>
      <c r="L143" s="1323"/>
      <c r="M143" s="1323"/>
      <c r="N143" s="1323"/>
      <c r="O143" s="1323"/>
      <c r="P143" s="1323"/>
      <c r="Q143" s="1323"/>
      <c r="R143" s="1323"/>
      <c r="S143" s="1323"/>
      <c r="T143" s="1323"/>
      <c r="U143" s="1323"/>
      <c r="V143" s="1323"/>
      <c r="W143" s="1323"/>
      <c r="X143" s="1323"/>
      <c r="Y143" s="1323"/>
    </row>
    <row r="144" spans="6:25" ht="16.5" customHeight="1">
      <c r="F144" s="1323"/>
      <c r="G144" s="1323"/>
      <c r="H144" s="1323"/>
      <c r="I144" s="1323"/>
      <c r="J144" s="1323"/>
      <c r="K144" s="1323"/>
      <c r="L144" s="1323"/>
      <c r="M144" s="1323"/>
      <c r="N144" s="1323"/>
      <c r="O144" s="1323"/>
      <c r="P144" s="1323"/>
      <c r="Q144" s="1323"/>
      <c r="R144" s="1323"/>
      <c r="S144" s="1323"/>
      <c r="T144" s="1323"/>
      <c r="U144" s="1323"/>
      <c r="V144" s="1323"/>
      <c r="W144" s="1323"/>
      <c r="X144" s="1323"/>
      <c r="Y144" s="1323"/>
    </row>
    <row r="145" spans="6:25" ht="16.5" customHeight="1">
      <c r="F145" s="1323"/>
      <c r="G145" s="1323"/>
      <c r="H145" s="1323"/>
      <c r="I145" s="1323"/>
      <c r="J145" s="1323"/>
      <c r="K145" s="1323"/>
      <c r="L145" s="1323"/>
      <c r="M145" s="1323"/>
      <c r="N145" s="1323"/>
      <c r="O145" s="1323"/>
      <c r="P145" s="1323"/>
      <c r="Q145" s="1323"/>
      <c r="R145" s="1323"/>
      <c r="S145" s="1323"/>
      <c r="T145" s="1323"/>
      <c r="U145" s="1323"/>
      <c r="V145" s="1323"/>
      <c r="W145" s="1323"/>
      <c r="X145" s="1323"/>
      <c r="Y145" s="1323"/>
    </row>
    <row r="146" spans="6:25" ht="16.5" customHeight="1">
      <c r="F146" s="1323"/>
      <c r="G146" s="1323"/>
      <c r="H146" s="1323"/>
      <c r="I146" s="1323"/>
      <c r="J146" s="1323"/>
      <c r="K146" s="1323"/>
      <c r="L146" s="1323"/>
      <c r="M146" s="1323"/>
      <c r="N146" s="1323"/>
      <c r="O146" s="1323"/>
      <c r="P146" s="1323"/>
      <c r="Q146" s="1323"/>
      <c r="R146" s="1323"/>
      <c r="S146" s="1323"/>
      <c r="T146" s="1323"/>
      <c r="U146" s="1323"/>
      <c r="V146" s="1323"/>
      <c r="W146" s="1323"/>
      <c r="X146" s="1323"/>
      <c r="Y146" s="1323"/>
    </row>
    <row r="147" spans="6:25" ht="16.5" customHeight="1">
      <c r="F147" s="1323"/>
      <c r="G147" s="1323"/>
      <c r="H147" s="1323"/>
      <c r="I147" s="1323"/>
      <c r="J147" s="1323"/>
      <c r="K147" s="1323"/>
      <c r="L147" s="1323"/>
      <c r="M147" s="1323"/>
      <c r="N147" s="1323"/>
      <c r="O147" s="1323"/>
      <c r="P147" s="1323"/>
      <c r="Q147" s="1323"/>
      <c r="R147" s="1323"/>
      <c r="S147" s="1323"/>
      <c r="T147" s="1323"/>
      <c r="U147" s="1323"/>
      <c r="V147" s="1323"/>
      <c r="W147" s="1323"/>
      <c r="X147" s="1323"/>
      <c r="Y147" s="1323"/>
    </row>
    <row r="148" spans="6:25" ht="16.5" customHeight="1">
      <c r="F148" s="1323"/>
      <c r="G148" s="1323"/>
      <c r="H148" s="1323"/>
      <c r="I148" s="1323"/>
      <c r="J148" s="1323"/>
      <c r="K148" s="1323"/>
      <c r="L148" s="1323"/>
      <c r="M148" s="1323"/>
      <c r="N148" s="1323"/>
      <c r="O148" s="1323"/>
      <c r="P148" s="1323"/>
      <c r="Q148" s="1323"/>
      <c r="R148" s="1323"/>
      <c r="S148" s="1323"/>
      <c r="T148" s="1323"/>
      <c r="U148" s="1323"/>
      <c r="V148" s="1323"/>
      <c r="W148" s="1323"/>
      <c r="X148" s="1323"/>
      <c r="Y148" s="1323"/>
    </row>
    <row r="149" spans="6:25" ht="16.5" customHeight="1">
      <c r="F149" s="1323"/>
      <c r="G149" s="1323"/>
      <c r="H149" s="1323"/>
      <c r="I149" s="1323"/>
      <c r="J149" s="1323"/>
      <c r="K149" s="1323"/>
      <c r="L149" s="1323"/>
      <c r="M149" s="1323"/>
      <c r="N149" s="1323"/>
      <c r="O149" s="1323"/>
      <c r="P149" s="1323"/>
      <c r="Q149" s="1323"/>
      <c r="R149" s="1323"/>
      <c r="S149" s="1323"/>
      <c r="T149" s="1323"/>
      <c r="U149" s="1323"/>
      <c r="V149" s="1323"/>
      <c r="W149" s="1323"/>
      <c r="X149" s="1323"/>
      <c r="Y149" s="1323"/>
    </row>
    <row r="150" spans="6:25" ht="16.5" customHeight="1">
      <c r="F150" s="1323"/>
      <c r="G150" s="1323"/>
      <c r="H150" s="1323"/>
      <c r="I150" s="1323"/>
      <c r="J150" s="1323"/>
      <c r="K150" s="1323"/>
      <c r="L150" s="1323"/>
      <c r="M150" s="1323"/>
      <c r="N150" s="1323"/>
      <c r="O150" s="1323"/>
      <c r="P150" s="1323"/>
      <c r="Q150" s="1323"/>
      <c r="R150" s="1323"/>
      <c r="S150" s="1323"/>
      <c r="T150" s="1323"/>
      <c r="U150" s="1323"/>
      <c r="V150" s="1323"/>
      <c r="W150" s="1323"/>
      <c r="X150" s="1323"/>
      <c r="Y150" s="1323"/>
    </row>
    <row r="151" spans="6:25" ht="16.5" customHeight="1">
      <c r="F151" s="1323"/>
      <c r="G151" s="1323"/>
      <c r="H151" s="1323"/>
      <c r="I151" s="1323"/>
      <c r="J151" s="1323"/>
      <c r="K151" s="1323"/>
      <c r="L151" s="1323"/>
      <c r="M151" s="1323"/>
      <c r="N151" s="1323"/>
      <c r="O151" s="1323"/>
      <c r="P151" s="1323"/>
      <c r="Q151" s="1323"/>
      <c r="R151" s="1323"/>
      <c r="S151" s="1323"/>
      <c r="T151" s="1323"/>
      <c r="U151" s="1323"/>
      <c r="V151" s="1323"/>
      <c r="W151" s="1323"/>
      <c r="X151" s="1323"/>
      <c r="Y151" s="1323"/>
    </row>
    <row r="152" spans="6:25" ht="16.5" customHeight="1">
      <c r="F152" s="1323"/>
      <c r="G152" s="1323"/>
      <c r="H152" s="1323"/>
      <c r="I152" s="1323"/>
      <c r="J152" s="1323"/>
      <c r="K152" s="1323"/>
      <c r="L152" s="1323"/>
      <c r="M152" s="1323"/>
      <c r="N152" s="1323"/>
      <c r="O152" s="1323"/>
      <c r="P152" s="1323"/>
      <c r="Q152" s="1323"/>
      <c r="R152" s="1323"/>
      <c r="S152" s="1323"/>
      <c r="T152" s="1323"/>
      <c r="U152" s="1323"/>
      <c r="V152" s="1323"/>
      <c r="W152" s="1323"/>
      <c r="X152" s="1323"/>
      <c r="Y152" s="1323"/>
    </row>
    <row r="153" spans="6:25" ht="16.5" customHeight="1">
      <c r="F153" s="1323"/>
      <c r="G153" s="1323"/>
      <c r="H153" s="1323"/>
      <c r="I153" s="1323"/>
      <c r="J153" s="1323"/>
      <c r="K153" s="1323"/>
      <c r="L153" s="1323"/>
      <c r="M153" s="1323"/>
      <c r="N153" s="1323"/>
      <c r="O153" s="1323"/>
      <c r="P153" s="1323"/>
      <c r="Q153" s="1323"/>
      <c r="R153" s="1323"/>
      <c r="S153" s="1323"/>
      <c r="T153" s="1323"/>
      <c r="U153" s="1323"/>
      <c r="V153" s="1323"/>
      <c r="W153" s="1323"/>
      <c r="X153" s="1323"/>
      <c r="Y153" s="1323"/>
    </row>
    <row r="154" spans="6:25" ht="16.5" customHeight="1">
      <c r="F154" s="1323"/>
      <c r="G154" s="1323"/>
      <c r="H154" s="1323"/>
      <c r="I154" s="1323"/>
      <c r="J154" s="1323"/>
      <c r="K154" s="1323"/>
      <c r="L154" s="1323"/>
      <c r="M154" s="1323"/>
      <c r="N154" s="1323"/>
      <c r="O154" s="1323"/>
      <c r="P154" s="1323"/>
      <c r="Q154" s="1323"/>
      <c r="R154" s="1323"/>
      <c r="S154" s="1323"/>
      <c r="T154" s="1323"/>
      <c r="U154" s="1323"/>
      <c r="V154" s="1323"/>
      <c r="W154" s="1323"/>
      <c r="X154" s="1323"/>
      <c r="Y154" s="1323"/>
    </row>
    <row r="155" spans="6:25" ht="16.5" customHeight="1">
      <c r="F155" s="1323"/>
      <c r="G155" s="1323"/>
      <c r="H155" s="1323"/>
      <c r="I155" s="1323"/>
      <c r="J155" s="1323"/>
      <c r="K155" s="1323"/>
      <c r="L155" s="1323"/>
      <c r="M155" s="1323"/>
      <c r="N155" s="1323"/>
      <c r="O155" s="1323"/>
      <c r="P155" s="1323"/>
      <c r="Q155" s="1323"/>
      <c r="R155" s="1323"/>
      <c r="S155" s="1323"/>
      <c r="T155" s="1323"/>
      <c r="U155" s="1323"/>
      <c r="V155" s="1323"/>
      <c r="W155" s="1323"/>
      <c r="X155" s="1323"/>
      <c r="Y155" s="1323"/>
    </row>
    <row r="156" spans="6:25" ht="16.5" customHeight="1">
      <c r="F156" s="1323"/>
      <c r="G156" s="1323"/>
      <c r="H156" s="1323"/>
      <c r="I156" s="1323"/>
      <c r="J156" s="1323"/>
      <c r="K156" s="1323"/>
      <c r="L156" s="1323"/>
      <c r="M156" s="1323"/>
      <c r="N156" s="1323"/>
      <c r="O156" s="1323"/>
      <c r="P156" s="1323"/>
      <c r="Q156" s="1323"/>
      <c r="R156" s="1323"/>
      <c r="S156" s="1323"/>
      <c r="T156" s="1323"/>
      <c r="U156" s="1323"/>
      <c r="V156" s="1323"/>
      <c r="W156" s="1323"/>
      <c r="X156" s="1323"/>
      <c r="Y156" s="1323"/>
    </row>
    <row r="157" spans="6:25" ht="16.5" customHeight="1">
      <c r="F157" s="1323"/>
      <c r="G157" s="1323"/>
      <c r="H157" s="1323"/>
      <c r="I157" s="1323"/>
      <c r="J157" s="1323"/>
      <c r="K157" s="1323"/>
      <c r="L157" s="1323"/>
      <c r="M157" s="1323"/>
      <c r="N157" s="1323"/>
      <c r="O157" s="1323"/>
      <c r="P157" s="1323"/>
      <c r="Q157" s="1323"/>
      <c r="R157" s="1323"/>
      <c r="S157" s="1323"/>
      <c r="T157" s="1323"/>
      <c r="U157" s="1323"/>
      <c r="V157" s="1323"/>
      <c r="W157" s="1323"/>
      <c r="X157" s="1323"/>
      <c r="Y157" s="1323"/>
    </row>
    <row r="158" spans="6:25" ht="16.5" customHeight="1">
      <c r="F158" s="1323"/>
      <c r="G158" s="1323"/>
      <c r="H158" s="1323"/>
      <c r="I158" s="1323"/>
      <c r="J158" s="1323"/>
      <c r="K158" s="1323"/>
      <c r="L158" s="1323"/>
      <c r="M158" s="1323"/>
      <c r="N158" s="1323"/>
      <c r="O158" s="1323"/>
      <c r="P158" s="1323"/>
      <c r="Q158" s="1323"/>
      <c r="R158" s="1323"/>
      <c r="S158" s="1323"/>
      <c r="T158" s="1323"/>
      <c r="U158" s="1323"/>
      <c r="V158" s="1323"/>
      <c r="W158" s="1323"/>
      <c r="X158" s="1323"/>
      <c r="Y158" s="1323"/>
    </row>
    <row r="159" spans="6:25" ht="16.5" customHeight="1">
      <c r="F159" s="1323"/>
      <c r="G159" s="1323"/>
      <c r="H159" s="1323"/>
      <c r="I159" s="1323"/>
      <c r="J159" s="1323"/>
      <c r="K159" s="1323"/>
      <c r="L159" s="1323"/>
      <c r="M159" s="1323"/>
      <c r="N159" s="1323"/>
      <c r="O159" s="1323"/>
      <c r="P159" s="1323"/>
      <c r="Q159" s="1323"/>
      <c r="R159" s="1323"/>
      <c r="S159" s="1323"/>
      <c r="T159" s="1323"/>
      <c r="U159" s="1323"/>
      <c r="V159" s="1323"/>
      <c r="W159" s="1323"/>
      <c r="X159" s="1323"/>
      <c r="Y159" s="132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Roman,Normal"&amp;8&amp;Z&amp;F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zoomScale="75" zoomScaleNormal="75" zoomScalePageLayoutView="0" workbookViewId="0" topLeftCell="A1">
      <selection activeCell="B3" sqref="B3"/>
    </sheetView>
  </sheetViews>
  <sheetFormatPr defaultColWidth="11.421875" defaultRowHeight="16.5" customHeight="1"/>
  <cols>
    <col min="1" max="2" width="4.140625" style="1803" customWidth="1"/>
    <col min="3" max="3" width="5.421875" style="1803" customWidth="1"/>
    <col min="4" max="4" width="14.57421875" style="1803" customWidth="1"/>
    <col min="5" max="5" width="15.421875" style="1803" customWidth="1"/>
    <col min="6" max="6" width="36.7109375" style="1803" customWidth="1"/>
    <col min="7" max="7" width="32.57421875" style="1803" customWidth="1"/>
    <col min="8" max="8" width="9.421875" style="1803" customWidth="1"/>
    <col min="9" max="9" width="7.7109375" style="1803" hidden="1" customWidth="1"/>
    <col min="10" max="10" width="16.7109375" style="1803" customWidth="1"/>
    <col min="11" max="11" width="16.57421875" style="1803" customWidth="1"/>
    <col min="12" max="14" width="9.7109375" style="1803" customWidth="1"/>
    <col min="15" max="15" width="6.00390625" style="1803" customWidth="1"/>
    <col min="16" max="16" width="4.140625" style="1803" hidden="1" customWidth="1"/>
    <col min="17" max="17" width="13.140625" style="1803" hidden="1" customWidth="1"/>
    <col min="18" max="19" width="6.421875" style="1803" hidden="1" customWidth="1"/>
    <col min="20" max="20" width="12.28125" style="1803" hidden="1" customWidth="1"/>
    <col min="21" max="21" width="9.7109375" style="1803" customWidth="1"/>
    <col min="22" max="22" width="15.7109375" style="1803" customWidth="1"/>
    <col min="23" max="23" width="4.140625" style="1803" customWidth="1"/>
    <col min="24" max="16384" width="11.421875" style="1803" customWidth="1"/>
  </cols>
  <sheetData>
    <row r="1" spans="1:23" s="1690" customFormat="1" ht="26.25">
      <c r="A1" s="1689"/>
      <c r="W1" s="1691"/>
    </row>
    <row r="2" spans="1:23" s="1690" customFormat="1" ht="26.25">
      <c r="A2" s="1689"/>
      <c r="B2" s="1692" t="str">
        <f>'TOT-1214'!B2</f>
        <v>ANEXO I al Memorándum D.T.E.E. N° 90 /2016</v>
      </c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692"/>
      <c r="O2" s="1692"/>
      <c r="P2" s="1692"/>
      <c r="Q2" s="1692"/>
      <c r="R2" s="1692"/>
      <c r="S2" s="1692"/>
      <c r="T2" s="1692"/>
      <c r="U2" s="1692"/>
      <c r="V2" s="1692"/>
      <c r="W2" s="1692"/>
    </row>
    <row r="3" s="1694" customFormat="1" ht="15.75" customHeight="1">
      <c r="A3" s="1693"/>
    </row>
    <row r="4" spans="1:4" s="1697" customFormat="1" ht="11.25">
      <c r="A4" s="1695" t="s">
        <v>2</v>
      </c>
      <c r="B4" s="1696"/>
      <c r="C4" s="1696"/>
      <c r="D4" s="1696"/>
    </row>
    <row r="5" spans="1:4" s="1697" customFormat="1" ht="11.25">
      <c r="A5" s="1695" t="s">
        <v>3</v>
      </c>
      <c r="B5" s="1696"/>
      <c r="C5" s="1696"/>
      <c r="D5" s="1696"/>
    </row>
    <row r="6" s="1694" customFormat="1" ht="13.5" thickBot="1"/>
    <row r="7" spans="2:23" s="1694" customFormat="1" ht="13.5" thickTop="1">
      <c r="B7" s="1698"/>
      <c r="C7" s="1699"/>
      <c r="D7" s="1699"/>
      <c r="E7" s="1699"/>
      <c r="F7" s="1699"/>
      <c r="G7" s="1699"/>
      <c r="H7" s="1699"/>
      <c r="I7" s="1699"/>
      <c r="J7" s="1699"/>
      <c r="K7" s="1699"/>
      <c r="L7" s="1699"/>
      <c r="M7" s="1699"/>
      <c r="N7" s="1699"/>
      <c r="O7" s="1699"/>
      <c r="P7" s="1699"/>
      <c r="Q7" s="1699"/>
      <c r="R7" s="1699"/>
      <c r="S7" s="1699"/>
      <c r="T7" s="1699"/>
      <c r="U7" s="1699"/>
      <c r="V7" s="1699"/>
      <c r="W7" s="1700"/>
    </row>
    <row r="8" spans="2:23" s="1701" customFormat="1" ht="20.25">
      <c r="B8" s="1702"/>
      <c r="C8" s="1703"/>
      <c r="D8" s="1703"/>
      <c r="E8" s="1703"/>
      <c r="F8" s="1704" t="s">
        <v>23</v>
      </c>
      <c r="N8" s="1705"/>
      <c r="O8" s="1705"/>
      <c r="P8" s="1706"/>
      <c r="Q8" s="1703"/>
      <c r="R8" s="1703"/>
      <c r="S8" s="1703"/>
      <c r="T8" s="1703"/>
      <c r="U8" s="1703"/>
      <c r="V8" s="1703"/>
      <c r="W8" s="1707"/>
    </row>
    <row r="9" spans="2:23" s="1694" customFormat="1" ht="12.75">
      <c r="B9" s="1708"/>
      <c r="C9" s="1709"/>
      <c r="D9" s="1709"/>
      <c r="E9" s="1709"/>
      <c r="F9" s="1710"/>
      <c r="G9" s="1710"/>
      <c r="H9" s="1710"/>
      <c r="I9" s="1710"/>
      <c r="J9" s="1710"/>
      <c r="K9" s="1710"/>
      <c r="L9" s="1710"/>
      <c r="M9" s="1710"/>
      <c r="N9" s="1710"/>
      <c r="O9" s="1710"/>
      <c r="P9" s="1710"/>
      <c r="Q9" s="1709"/>
      <c r="R9" s="1709"/>
      <c r="S9" s="1709"/>
      <c r="T9" s="1709"/>
      <c r="U9" s="1709"/>
      <c r="V9" s="1709"/>
      <c r="W9" s="1711"/>
    </row>
    <row r="10" spans="2:23" s="1701" customFormat="1" ht="20.25">
      <c r="B10" s="1702"/>
      <c r="C10" s="1703"/>
      <c r="D10" s="1703"/>
      <c r="E10" s="1703"/>
      <c r="F10" s="1712" t="s">
        <v>65</v>
      </c>
      <c r="G10" s="1713"/>
      <c r="H10" s="1705"/>
      <c r="I10" s="1714"/>
      <c r="K10" s="1714"/>
      <c r="L10" s="1714"/>
      <c r="M10" s="1714"/>
      <c r="N10" s="1714"/>
      <c r="O10" s="1714"/>
      <c r="P10" s="1714"/>
      <c r="Q10" s="1703"/>
      <c r="R10" s="1703"/>
      <c r="S10" s="1703"/>
      <c r="T10" s="1703"/>
      <c r="U10" s="1703"/>
      <c r="V10" s="1703"/>
      <c r="W10" s="1707"/>
    </row>
    <row r="11" spans="2:23" s="1694" customFormat="1" ht="13.5">
      <c r="B11" s="1708"/>
      <c r="C11" s="1709"/>
      <c r="D11" s="1709"/>
      <c r="E11" s="1709"/>
      <c r="F11" s="1715"/>
      <c r="G11" s="1715"/>
      <c r="H11" s="1693"/>
      <c r="I11" s="1716"/>
      <c r="J11" s="1717"/>
      <c r="K11" s="1716"/>
      <c r="L11" s="1716"/>
      <c r="M11" s="1716"/>
      <c r="N11" s="1716"/>
      <c r="O11" s="1716"/>
      <c r="P11" s="1716"/>
      <c r="Q11" s="1709"/>
      <c r="R11" s="1709"/>
      <c r="S11" s="1709"/>
      <c r="T11" s="1709"/>
      <c r="U11" s="1709"/>
      <c r="V11" s="1709"/>
      <c r="W11" s="1711"/>
    </row>
    <row r="12" spans="2:23" s="1701" customFormat="1" ht="20.25">
      <c r="B12" s="1702"/>
      <c r="C12" s="1703"/>
      <c r="D12" s="1703"/>
      <c r="E12" s="1703"/>
      <c r="F12" s="1712" t="s">
        <v>348</v>
      </c>
      <c r="G12" s="1713"/>
      <c r="H12" s="1705"/>
      <c r="I12" s="1714"/>
      <c r="K12" s="1714"/>
      <c r="L12" s="1714"/>
      <c r="M12" s="1714"/>
      <c r="N12" s="1714"/>
      <c r="O12" s="1714"/>
      <c r="P12" s="1714"/>
      <c r="Q12" s="1703"/>
      <c r="R12" s="1703"/>
      <c r="S12" s="1703"/>
      <c r="T12" s="1703"/>
      <c r="U12" s="1703"/>
      <c r="V12" s="1703"/>
      <c r="W12" s="1707"/>
    </row>
    <row r="13" spans="2:23" s="1694" customFormat="1" ht="13.5">
      <c r="B13" s="1708"/>
      <c r="C13" s="1709"/>
      <c r="D13" s="1709"/>
      <c r="E13" s="1709"/>
      <c r="F13" s="1715"/>
      <c r="G13" s="1715"/>
      <c r="H13" s="1693"/>
      <c r="I13" s="1716"/>
      <c r="J13" s="1717"/>
      <c r="K13" s="1716"/>
      <c r="L13" s="1716"/>
      <c r="M13" s="1716"/>
      <c r="N13" s="1716"/>
      <c r="O13" s="1716"/>
      <c r="P13" s="1716"/>
      <c r="Q13" s="1709"/>
      <c r="R13" s="1709"/>
      <c r="S13" s="1709"/>
      <c r="T13" s="1709"/>
      <c r="U13" s="1709"/>
      <c r="V13" s="1709"/>
      <c r="W13" s="1711"/>
    </row>
    <row r="14" spans="2:23" s="1694" customFormat="1" ht="19.5">
      <c r="B14" s="1718" t="str">
        <f>'TOT-1214'!B14</f>
        <v>Desde el 01 al 31 de diciembre de 2014</v>
      </c>
      <c r="C14" s="1719"/>
      <c r="D14" s="1719"/>
      <c r="E14" s="1719"/>
      <c r="F14" s="1719"/>
      <c r="G14" s="1719"/>
      <c r="H14" s="1719"/>
      <c r="I14" s="1720"/>
      <c r="J14" s="1720"/>
      <c r="K14" s="1720"/>
      <c r="L14" s="1720"/>
      <c r="M14" s="1720"/>
      <c r="N14" s="1720"/>
      <c r="O14" s="1720"/>
      <c r="P14" s="1720"/>
      <c r="Q14" s="1719"/>
      <c r="R14" s="1719"/>
      <c r="S14" s="1719"/>
      <c r="T14" s="1719"/>
      <c r="U14" s="1719"/>
      <c r="V14" s="1719"/>
      <c r="W14" s="1721"/>
    </row>
    <row r="15" spans="2:23" s="1694" customFormat="1" ht="14.25" thickBot="1">
      <c r="B15" s="1722"/>
      <c r="C15" s="1723"/>
      <c r="D15" s="1723"/>
      <c r="E15" s="1723"/>
      <c r="F15" s="1723"/>
      <c r="G15" s="1723"/>
      <c r="H15" s="1723"/>
      <c r="I15" s="1724"/>
      <c r="J15" s="1724"/>
      <c r="K15" s="1724"/>
      <c r="L15" s="1724"/>
      <c r="M15" s="1724"/>
      <c r="N15" s="1724"/>
      <c r="O15" s="1724"/>
      <c r="P15" s="1724"/>
      <c r="Q15" s="1723"/>
      <c r="R15" s="1723"/>
      <c r="S15" s="1723"/>
      <c r="T15" s="1723"/>
      <c r="U15" s="1723"/>
      <c r="V15" s="1723"/>
      <c r="W15" s="1725"/>
    </row>
    <row r="16" spans="2:23" s="1694" customFormat="1" ht="15" thickBot="1" thickTop="1">
      <c r="B16" s="1708"/>
      <c r="C16" s="1709"/>
      <c r="D16" s="1709"/>
      <c r="E16" s="1709"/>
      <c r="F16" s="1726"/>
      <c r="G16" s="1726"/>
      <c r="H16" s="1727" t="s">
        <v>67</v>
      </c>
      <c r="I16" s="1709"/>
      <c r="J16" s="1717"/>
      <c r="K16" s="1709"/>
      <c r="L16" s="1709"/>
      <c r="M16" s="1709"/>
      <c r="N16" s="1709"/>
      <c r="O16" s="1709"/>
      <c r="P16" s="1709"/>
      <c r="Q16" s="1709"/>
      <c r="R16" s="1709"/>
      <c r="S16" s="1709"/>
      <c r="T16" s="1709"/>
      <c r="U16" s="1709"/>
      <c r="V16" s="1709"/>
      <c r="W16" s="1711"/>
    </row>
    <row r="17" spans="2:23" s="1694" customFormat="1" ht="16.5" customHeight="1" thickBot="1" thickTop="1">
      <c r="B17" s="1708"/>
      <c r="C17" s="1709"/>
      <c r="D17" s="1709"/>
      <c r="E17" s="1709"/>
      <c r="F17" s="1728" t="s">
        <v>68</v>
      </c>
      <c r="G17" s="1729" t="s">
        <v>303</v>
      </c>
      <c r="H17" s="1730">
        <v>200</v>
      </c>
      <c r="V17" s="1731"/>
      <c r="W17" s="1711"/>
    </row>
    <row r="18" spans="2:23" s="1694" customFormat="1" ht="16.5" customHeight="1" thickBot="1" thickTop="1">
      <c r="B18" s="1708"/>
      <c r="C18" s="1709"/>
      <c r="D18" s="1709"/>
      <c r="E18" s="1709"/>
      <c r="F18" s="1732" t="s">
        <v>69</v>
      </c>
      <c r="G18" s="1733" t="s">
        <v>303</v>
      </c>
      <c r="H18" s="1730">
        <v>100</v>
      </c>
      <c r="O18" s="1709"/>
      <c r="P18" s="1709"/>
      <c r="Q18" s="1709"/>
      <c r="R18" s="1709"/>
      <c r="S18" s="1709"/>
      <c r="T18" s="1709"/>
      <c r="U18" s="1709"/>
      <c r="V18" s="1709"/>
      <c r="W18" s="1711"/>
    </row>
    <row r="19" spans="2:23" s="1694" customFormat="1" ht="16.5" customHeight="1" thickBot="1" thickTop="1">
      <c r="B19" s="1708"/>
      <c r="C19" s="1709"/>
      <c r="D19" s="1709"/>
      <c r="E19" s="1709"/>
      <c r="F19" s="1734" t="s">
        <v>70</v>
      </c>
      <c r="G19" s="1733">
        <f>0.6*189.391</f>
        <v>113.63459999999999</v>
      </c>
      <c r="H19" s="1730">
        <v>40</v>
      </c>
      <c r="K19" s="1735"/>
      <c r="L19" s="1736"/>
      <c r="M19" s="1709"/>
      <c r="O19" s="1709"/>
      <c r="Q19" s="1709"/>
      <c r="R19" s="1709"/>
      <c r="S19" s="1709"/>
      <c r="T19" s="1709"/>
      <c r="U19" s="1709"/>
      <c r="V19" s="1709"/>
      <c r="W19" s="1711"/>
    </row>
    <row r="20" spans="2:23" s="1694" customFormat="1" ht="16.5" customHeight="1" thickBot="1" thickTop="1">
      <c r="B20" s="1708"/>
      <c r="C20" s="1737">
        <v>3</v>
      </c>
      <c r="D20" s="1737">
        <v>4</v>
      </c>
      <c r="E20" s="1737">
        <v>5</v>
      </c>
      <c r="F20" s="1737">
        <v>6</v>
      </c>
      <c r="G20" s="1737">
        <v>7</v>
      </c>
      <c r="H20" s="1737">
        <v>8</v>
      </c>
      <c r="I20" s="1737">
        <v>9</v>
      </c>
      <c r="J20" s="1737">
        <v>10</v>
      </c>
      <c r="K20" s="1737">
        <v>11</v>
      </c>
      <c r="L20" s="1737">
        <v>12</v>
      </c>
      <c r="M20" s="1737">
        <v>13</v>
      </c>
      <c r="N20" s="1737">
        <v>14</v>
      </c>
      <c r="O20" s="1737">
        <v>15</v>
      </c>
      <c r="P20" s="1737">
        <v>16</v>
      </c>
      <c r="Q20" s="1737">
        <v>17</v>
      </c>
      <c r="R20" s="1737">
        <v>18</v>
      </c>
      <c r="S20" s="1737">
        <v>19</v>
      </c>
      <c r="T20" s="1737">
        <v>20</v>
      </c>
      <c r="U20" s="1737">
        <v>21</v>
      </c>
      <c r="V20" s="1737">
        <v>22</v>
      </c>
      <c r="W20" s="1711"/>
    </row>
    <row r="21" spans="2:23" s="1694" customFormat="1" ht="33.75" customHeight="1" thickBot="1" thickTop="1">
      <c r="B21" s="1708"/>
      <c r="C21" s="1738" t="s">
        <v>28</v>
      </c>
      <c r="D21" s="1739" t="s">
        <v>29</v>
      </c>
      <c r="E21" s="1739" t="s">
        <v>30</v>
      </c>
      <c r="F21" s="1740" t="s">
        <v>58</v>
      </c>
      <c r="G21" s="1741" t="s">
        <v>59</v>
      </c>
      <c r="H21" s="1742" t="s">
        <v>31</v>
      </c>
      <c r="I21" s="1743" t="s">
        <v>35</v>
      </c>
      <c r="J21" s="1744" t="s">
        <v>36</v>
      </c>
      <c r="K21" s="1741" t="s">
        <v>37</v>
      </c>
      <c r="L21" s="1745" t="s">
        <v>38</v>
      </c>
      <c r="M21" s="1745" t="s">
        <v>39</v>
      </c>
      <c r="N21" s="1746" t="s">
        <v>179</v>
      </c>
      <c r="O21" s="1747" t="s">
        <v>42</v>
      </c>
      <c r="P21" s="1748" t="s">
        <v>34</v>
      </c>
      <c r="Q21" s="1749" t="s">
        <v>71</v>
      </c>
      <c r="R21" s="1750" t="s">
        <v>72</v>
      </c>
      <c r="S21" s="1751"/>
      <c r="T21" s="1752" t="s">
        <v>47</v>
      </c>
      <c r="U21" s="1753" t="s">
        <v>49</v>
      </c>
      <c r="V21" s="1754" t="s">
        <v>50</v>
      </c>
      <c r="W21" s="1711"/>
    </row>
    <row r="22" spans="2:23" s="1694" customFormat="1" ht="16.5" customHeight="1" thickTop="1">
      <c r="B22" s="1708"/>
      <c r="C22" s="1755"/>
      <c r="D22" s="1755"/>
      <c r="E22" s="1755"/>
      <c r="F22" s="1756"/>
      <c r="G22" s="1756"/>
      <c r="H22" s="1756"/>
      <c r="I22" s="1757"/>
      <c r="J22" s="1756"/>
      <c r="K22" s="1756"/>
      <c r="L22" s="1756"/>
      <c r="M22" s="1756"/>
      <c r="N22" s="1756"/>
      <c r="O22" s="1756"/>
      <c r="P22" s="1758"/>
      <c r="Q22" s="1759"/>
      <c r="R22" s="1760"/>
      <c r="S22" s="1761"/>
      <c r="T22" s="1762"/>
      <c r="U22" s="1756"/>
      <c r="V22" s="1763"/>
      <c r="W22" s="1711"/>
    </row>
    <row r="23" spans="2:23" s="1694" customFormat="1" ht="16.5" customHeight="1">
      <c r="B23" s="1708"/>
      <c r="C23" s="1764"/>
      <c r="D23" s="1764"/>
      <c r="E23" s="1764"/>
      <c r="F23" s="1765"/>
      <c r="G23" s="1765"/>
      <c r="H23" s="1765"/>
      <c r="I23" s="1766"/>
      <c r="J23" s="1765"/>
      <c r="K23" s="1765"/>
      <c r="L23" s="1765"/>
      <c r="M23" s="1765"/>
      <c r="N23" s="1765"/>
      <c r="O23" s="1765"/>
      <c r="P23" s="1767"/>
      <c r="Q23" s="1768"/>
      <c r="R23" s="1769"/>
      <c r="S23" s="1770"/>
      <c r="T23" s="1771"/>
      <c r="U23" s="1765"/>
      <c r="V23" s="1772"/>
      <c r="W23" s="1711"/>
    </row>
    <row r="24" spans="2:23" s="1694" customFormat="1" ht="16.5" customHeight="1">
      <c r="B24" s="1708"/>
      <c r="C24" s="1764">
        <v>66</v>
      </c>
      <c r="D24" s="1764">
        <v>282792</v>
      </c>
      <c r="E24" s="1764">
        <v>4712</v>
      </c>
      <c r="F24" s="1773" t="s">
        <v>304</v>
      </c>
      <c r="G24" s="1773" t="s">
        <v>305</v>
      </c>
      <c r="H24" s="1773">
        <v>132</v>
      </c>
      <c r="I24" s="1774">
        <f aca="true" t="shared" si="0" ref="I24:I39">IF(H24=500,$G$17,IF(H24=220,$G$18,$G$19))</f>
        <v>113.63459999999999</v>
      </c>
      <c r="J24" s="1775">
        <v>41993.21666666667</v>
      </c>
      <c r="K24" s="1775">
        <v>41993.46875</v>
      </c>
      <c r="L24" s="1777">
        <f aca="true" t="shared" si="1" ref="L24:L39">IF(F24="","",(K24-J24)*24)</f>
        <v>6.0499999999883585</v>
      </c>
      <c r="M24" s="1778">
        <f aca="true" t="shared" si="2" ref="M24:M39">IF(F24="","",ROUND((K24-J24)*24*60,0))</f>
        <v>363</v>
      </c>
      <c r="N24" s="1779" t="s">
        <v>198</v>
      </c>
      <c r="O24" s="1780" t="str">
        <f aca="true" t="shared" si="3" ref="O24:O39">IF(F24="","",IF(N24="P","--","NO"))</f>
        <v>--</v>
      </c>
      <c r="P24" s="1781">
        <f aca="true" t="shared" si="4" ref="P24:P39">IF(H24=500,$H$17,IF(H24=220,$H$18,$H$19))</f>
        <v>40</v>
      </c>
      <c r="Q24" s="1782">
        <f aca="true" t="shared" si="5" ref="Q24:Q39">IF(N24="P",I24*P24*ROUND(M24/60,2)*0.1,"--")</f>
        <v>2749.95732</v>
      </c>
      <c r="R24" s="1769" t="str">
        <f aca="true" t="shared" si="6" ref="R24:R39">IF(AND(N24="F",O24="NO"),I24*P24,"--")</f>
        <v>--</v>
      </c>
      <c r="S24" s="1770" t="str">
        <f aca="true" t="shared" si="7" ref="S24:S39">IF(N24="F",I24*P24*ROUND(M24/60,2),"--")</f>
        <v>--</v>
      </c>
      <c r="T24" s="1771" t="str">
        <f aca="true" t="shared" si="8" ref="T24:T39">IF(N24="RF",I24*P24*ROUND(M24/60,2),"--")</f>
        <v>--</v>
      </c>
      <c r="U24" s="1780" t="str">
        <f aca="true" t="shared" si="9" ref="U24:U39">IF(F24="","","SI")</f>
        <v>SI</v>
      </c>
      <c r="V24" s="1783">
        <f aca="true" t="shared" si="10" ref="V24:V39">IF(F24="","",SUM(Q24:T24)*IF(U24="SI",1,2))</f>
        <v>2749.95732</v>
      </c>
      <c r="W24" s="1711"/>
    </row>
    <row r="25" spans="2:23" s="1694" customFormat="1" ht="16.5" customHeight="1">
      <c r="B25" s="1708"/>
      <c r="C25" s="1764"/>
      <c r="D25" s="1764"/>
      <c r="E25" s="1764"/>
      <c r="F25" s="1773"/>
      <c r="G25" s="1773"/>
      <c r="H25" s="1773"/>
      <c r="I25" s="1774">
        <f t="shared" si="0"/>
        <v>113.63459999999999</v>
      </c>
      <c r="J25" s="1775"/>
      <c r="K25" s="1776"/>
      <c r="L25" s="1777">
        <f t="shared" si="1"/>
      </c>
      <c r="M25" s="1778">
        <f t="shared" si="2"/>
      </c>
      <c r="N25" s="1779"/>
      <c r="O25" s="1780">
        <f t="shared" si="3"/>
      </c>
      <c r="P25" s="1781">
        <f t="shared" si="4"/>
        <v>40</v>
      </c>
      <c r="Q25" s="1782" t="str">
        <f t="shared" si="5"/>
        <v>--</v>
      </c>
      <c r="R25" s="1769" t="str">
        <f t="shared" si="6"/>
        <v>--</v>
      </c>
      <c r="S25" s="1770" t="str">
        <f t="shared" si="7"/>
        <v>--</v>
      </c>
      <c r="T25" s="1771" t="str">
        <f t="shared" si="8"/>
        <v>--</v>
      </c>
      <c r="U25" s="1780">
        <f t="shared" si="9"/>
      </c>
      <c r="V25" s="1783">
        <f t="shared" si="10"/>
      </c>
      <c r="W25" s="1711"/>
    </row>
    <row r="26" spans="2:23" s="1694" customFormat="1" ht="16.5" customHeight="1">
      <c r="B26" s="1708"/>
      <c r="C26" s="1764"/>
      <c r="D26" s="1764"/>
      <c r="E26" s="1764"/>
      <c r="F26" s="1773"/>
      <c r="G26" s="1773"/>
      <c r="H26" s="1773"/>
      <c r="I26" s="1774">
        <f t="shared" si="0"/>
        <v>113.63459999999999</v>
      </c>
      <c r="J26" s="1775"/>
      <c r="K26" s="1776"/>
      <c r="L26" s="1777">
        <f t="shared" si="1"/>
      </c>
      <c r="M26" s="1778">
        <f t="shared" si="2"/>
      </c>
      <c r="N26" s="1779"/>
      <c r="O26" s="1780">
        <f t="shared" si="3"/>
      </c>
      <c r="P26" s="1781">
        <f t="shared" si="4"/>
        <v>40</v>
      </c>
      <c r="Q26" s="1782" t="str">
        <f t="shared" si="5"/>
        <v>--</v>
      </c>
      <c r="R26" s="1769" t="str">
        <f t="shared" si="6"/>
        <v>--</v>
      </c>
      <c r="S26" s="1770" t="str">
        <f t="shared" si="7"/>
        <v>--</v>
      </c>
      <c r="T26" s="1771" t="str">
        <f t="shared" si="8"/>
        <v>--</v>
      </c>
      <c r="U26" s="1780">
        <f t="shared" si="9"/>
      </c>
      <c r="V26" s="1783">
        <f t="shared" si="10"/>
      </c>
      <c r="W26" s="1711"/>
    </row>
    <row r="27" spans="2:23" s="1694" customFormat="1" ht="16.5" customHeight="1">
      <c r="B27" s="1708"/>
      <c r="C27" s="1764"/>
      <c r="D27" s="1764"/>
      <c r="E27" s="1764"/>
      <c r="F27" s="1784"/>
      <c r="G27" s="1784"/>
      <c r="H27" s="1785"/>
      <c r="I27" s="1774">
        <f t="shared" si="0"/>
        <v>113.63459999999999</v>
      </c>
      <c r="J27" s="1775"/>
      <c r="K27" s="1776"/>
      <c r="L27" s="1777">
        <f t="shared" si="1"/>
      </c>
      <c r="M27" s="1778">
        <f t="shared" si="2"/>
      </c>
      <c r="N27" s="1779"/>
      <c r="O27" s="1780">
        <f t="shared" si="3"/>
      </c>
      <c r="P27" s="1781">
        <f t="shared" si="4"/>
        <v>40</v>
      </c>
      <c r="Q27" s="1782" t="str">
        <f t="shared" si="5"/>
        <v>--</v>
      </c>
      <c r="R27" s="1769" t="str">
        <f t="shared" si="6"/>
        <v>--</v>
      </c>
      <c r="S27" s="1770" t="str">
        <f t="shared" si="7"/>
        <v>--</v>
      </c>
      <c r="T27" s="1771" t="str">
        <f t="shared" si="8"/>
        <v>--</v>
      </c>
      <c r="U27" s="1780">
        <f t="shared" si="9"/>
      </c>
      <c r="V27" s="1783">
        <f t="shared" si="10"/>
      </c>
      <c r="W27" s="1711"/>
    </row>
    <row r="28" spans="2:23" s="1694" customFormat="1" ht="16.5" customHeight="1">
      <c r="B28" s="1708"/>
      <c r="C28" s="1764"/>
      <c r="D28" s="1764"/>
      <c r="E28" s="1764"/>
      <c r="F28" s="1784"/>
      <c r="G28" s="1784"/>
      <c r="H28" s="1785"/>
      <c r="I28" s="1774">
        <f t="shared" si="0"/>
        <v>113.63459999999999</v>
      </c>
      <c r="J28" s="1775"/>
      <c r="K28" s="1776"/>
      <c r="L28" s="1777">
        <f t="shared" si="1"/>
      </c>
      <c r="M28" s="1778">
        <f t="shared" si="2"/>
      </c>
      <c r="N28" s="1779"/>
      <c r="O28" s="1780">
        <f t="shared" si="3"/>
      </c>
      <c r="P28" s="1781">
        <f t="shared" si="4"/>
        <v>40</v>
      </c>
      <c r="Q28" s="1782" t="str">
        <f t="shared" si="5"/>
        <v>--</v>
      </c>
      <c r="R28" s="1769" t="str">
        <f t="shared" si="6"/>
        <v>--</v>
      </c>
      <c r="S28" s="1770" t="str">
        <f t="shared" si="7"/>
        <v>--</v>
      </c>
      <c r="T28" s="1771" t="str">
        <f t="shared" si="8"/>
        <v>--</v>
      </c>
      <c r="U28" s="1780">
        <f t="shared" si="9"/>
      </c>
      <c r="V28" s="1783">
        <f t="shared" si="10"/>
      </c>
      <c r="W28" s="1711"/>
    </row>
    <row r="29" spans="2:23" s="1694" customFormat="1" ht="16.5" customHeight="1">
      <c r="B29" s="1708"/>
      <c r="C29" s="1764"/>
      <c r="D29" s="1764"/>
      <c r="E29" s="1764"/>
      <c r="F29" s="1784"/>
      <c r="G29" s="1784"/>
      <c r="H29" s="1785"/>
      <c r="I29" s="1774">
        <f t="shared" si="0"/>
        <v>113.63459999999999</v>
      </c>
      <c r="J29" s="1775"/>
      <c r="K29" s="1776"/>
      <c r="L29" s="1777">
        <f t="shared" si="1"/>
      </c>
      <c r="M29" s="1778">
        <f t="shared" si="2"/>
      </c>
      <c r="N29" s="1779"/>
      <c r="O29" s="1780">
        <f t="shared" si="3"/>
      </c>
      <c r="P29" s="1781">
        <f t="shared" si="4"/>
        <v>40</v>
      </c>
      <c r="Q29" s="1782" t="str">
        <f t="shared" si="5"/>
        <v>--</v>
      </c>
      <c r="R29" s="1769" t="str">
        <f t="shared" si="6"/>
        <v>--</v>
      </c>
      <c r="S29" s="1770" t="str">
        <f t="shared" si="7"/>
        <v>--</v>
      </c>
      <c r="T29" s="1771" t="str">
        <f t="shared" si="8"/>
        <v>--</v>
      </c>
      <c r="U29" s="1780">
        <f t="shared" si="9"/>
      </c>
      <c r="V29" s="1783">
        <f t="shared" si="10"/>
      </c>
      <c r="W29" s="1711"/>
    </row>
    <row r="30" spans="2:23" s="1694" customFormat="1" ht="16.5" customHeight="1">
      <c r="B30" s="1708"/>
      <c r="C30" s="1764"/>
      <c r="D30" s="1764"/>
      <c r="E30" s="1764"/>
      <c r="F30" s="1784"/>
      <c r="G30" s="1784"/>
      <c r="H30" s="1785"/>
      <c r="I30" s="1774">
        <f t="shared" si="0"/>
        <v>113.63459999999999</v>
      </c>
      <c r="J30" s="1775"/>
      <c r="K30" s="1776"/>
      <c r="L30" s="1777">
        <f t="shared" si="1"/>
      </c>
      <c r="M30" s="1778">
        <f t="shared" si="2"/>
      </c>
      <c r="N30" s="1779"/>
      <c r="O30" s="1780">
        <f t="shared" si="3"/>
      </c>
      <c r="P30" s="1781">
        <f t="shared" si="4"/>
        <v>40</v>
      </c>
      <c r="Q30" s="1782" t="str">
        <f t="shared" si="5"/>
        <v>--</v>
      </c>
      <c r="R30" s="1769" t="str">
        <f t="shared" si="6"/>
        <v>--</v>
      </c>
      <c r="S30" s="1770" t="str">
        <f t="shared" si="7"/>
        <v>--</v>
      </c>
      <c r="T30" s="1771" t="str">
        <f t="shared" si="8"/>
        <v>--</v>
      </c>
      <c r="U30" s="1780">
        <f t="shared" si="9"/>
      </c>
      <c r="V30" s="1783">
        <f t="shared" si="10"/>
      </c>
      <c r="W30" s="1711"/>
    </row>
    <row r="31" spans="2:23" s="1694" customFormat="1" ht="16.5" customHeight="1">
      <c r="B31" s="1708"/>
      <c r="C31" s="1764"/>
      <c r="D31" s="1764"/>
      <c r="E31" s="1764"/>
      <c r="F31" s="1784"/>
      <c r="G31" s="1784"/>
      <c r="H31" s="1785"/>
      <c r="I31" s="1774">
        <f t="shared" si="0"/>
        <v>113.63459999999999</v>
      </c>
      <c r="J31" s="1775"/>
      <c r="K31" s="1776"/>
      <c r="L31" s="1777">
        <f t="shared" si="1"/>
      </c>
      <c r="M31" s="1778">
        <f t="shared" si="2"/>
      </c>
      <c r="N31" s="1779"/>
      <c r="O31" s="1780">
        <f t="shared" si="3"/>
      </c>
      <c r="P31" s="1781">
        <f t="shared" si="4"/>
        <v>40</v>
      </c>
      <c r="Q31" s="1782" t="str">
        <f t="shared" si="5"/>
        <v>--</v>
      </c>
      <c r="R31" s="1769" t="str">
        <f t="shared" si="6"/>
        <v>--</v>
      </c>
      <c r="S31" s="1770" t="str">
        <f t="shared" si="7"/>
        <v>--</v>
      </c>
      <c r="T31" s="1771" t="str">
        <f t="shared" si="8"/>
        <v>--</v>
      </c>
      <c r="U31" s="1780">
        <f t="shared" si="9"/>
      </c>
      <c r="V31" s="1783">
        <f t="shared" si="10"/>
      </c>
      <c r="W31" s="1711"/>
    </row>
    <row r="32" spans="2:23" s="1694" customFormat="1" ht="16.5" customHeight="1">
      <c r="B32" s="1708"/>
      <c r="C32" s="1764"/>
      <c r="D32" s="1764"/>
      <c r="E32" s="1764"/>
      <c r="F32" s="1784"/>
      <c r="G32" s="1784"/>
      <c r="H32" s="1785"/>
      <c r="I32" s="1774">
        <f t="shared" si="0"/>
        <v>113.63459999999999</v>
      </c>
      <c r="J32" s="1775"/>
      <c r="K32" s="1776"/>
      <c r="L32" s="1777">
        <f t="shared" si="1"/>
      </c>
      <c r="M32" s="1778">
        <f t="shared" si="2"/>
      </c>
      <c r="N32" s="1779"/>
      <c r="O32" s="1780">
        <f t="shared" si="3"/>
      </c>
      <c r="P32" s="1781">
        <f t="shared" si="4"/>
        <v>40</v>
      </c>
      <c r="Q32" s="1782" t="str">
        <f t="shared" si="5"/>
        <v>--</v>
      </c>
      <c r="R32" s="1769" t="str">
        <f t="shared" si="6"/>
        <v>--</v>
      </c>
      <c r="S32" s="1770" t="str">
        <f t="shared" si="7"/>
        <v>--</v>
      </c>
      <c r="T32" s="1771" t="str">
        <f t="shared" si="8"/>
        <v>--</v>
      </c>
      <c r="U32" s="1780">
        <f t="shared" si="9"/>
      </c>
      <c r="V32" s="1783">
        <f t="shared" si="10"/>
      </c>
      <c r="W32" s="1711"/>
    </row>
    <row r="33" spans="2:23" s="1694" customFormat="1" ht="16.5" customHeight="1">
      <c r="B33" s="1708"/>
      <c r="C33" s="1764"/>
      <c r="D33" s="1764"/>
      <c r="E33" s="1764"/>
      <c r="F33" s="1784"/>
      <c r="G33" s="1784"/>
      <c r="H33" s="1785"/>
      <c r="I33" s="1774">
        <f t="shared" si="0"/>
        <v>113.63459999999999</v>
      </c>
      <c r="J33" s="1775"/>
      <c r="K33" s="1776"/>
      <c r="L33" s="1777">
        <f t="shared" si="1"/>
      </c>
      <c r="M33" s="1778">
        <f t="shared" si="2"/>
      </c>
      <c r="N33" s="1779"/>
      <c r="O33" s="1780">
        <f t="shared" si="3"/>
      </c>
      <c r="P33" s="1781">
        <f t="shared" si="4"/>
        <v>40</v>
      </c>
      <c r="Q33" s="1782" t="str">
        <f t="shared" si="5"/>
        <v>--</v>
      </c>
      <c r="R33" s="1769" t="str">
        <f t="shared" si="6"/>
        <v>--</v>
      </c>
      <c r="S33" s="1770" t="str">
        <f t="shared" si="7"/>
        <v>--</v>
      </c>
      <c r="T33" s="1771" t="str">
        <f t="shared" si="8"/>
        <v>--</v>
      </c>
      <c r="U33" s="1780">
        <f t="shared" si="9"/>
      </c>
      <c r="V33" s="1783">
        <f t="shared" si="10"/>
      </c>
      <c r="W33" s="1711"/>
    </row>
    <row r="34" spans="2:23" s="1694" customFormat="1" ht="16.5" customHeight="1">
      <c r="B34" s="1708"/>
      <c r="C34" s="1764"/>
      <c r="D34" s="1764"/>
      <c r="E34" s="1764"/>
      <c r="F34" s="1784"/>
      <c r="G34" s="1784"/>
      <c r="H34" s="1785"/>
      <c r="I34" s="1774">
        <f t="shared" si="0"/>
        <v>113.63459999999999</v>
      </c>
      <c r="J34" s="1775"/>
      <c r="K34" s="1776"/>
      <c r="L34" s="1777">
        <f t="shared" si="1"/>
      </c>
      <c r="M34" s="1778">
        <f t="shared" si="2"/>
      </c>
      <c r="N34" s="1779"/>
      <c r="O34" s="1780">
        <f t="shared" si="3"/>
      </c>
      <c r="P34" s="1781">
        <f t="shared" si="4"/>
        <v>40</v>
      </c>
      <c r="Q34" s="1782" t="str">
        <f t="shared" si="5"/>
        <v>--</v>
      </c>
      <c r="R34" s="1769" t="str">
        <f t="shared" si="6"/>
        <v>--</v>
      </c>
      <c r="S34" s="1770" t="str">
        <f t="shared" si="7"/>
        <v>--</v>
      </c>
      <c r="T34" s="1771" t="str">
        <f t="shared" si="8"/>
        <v>--</v>
      </c>
      <c r="U34" s="1780">
        <f t="shared" si="9"/>
      </c>
      <c r="V34" s="1783">
        <f t="shared" si="10"/>
      </c>
      <c r="W34" s="1711"/>
    </row>
    <row r="35" spans="2:23" s="1694" customFormat="1" ht="16.5" customHeight="1">
      <c r="B35" s="1708"/>
      <c r="C35" s="1764"/>
      <c r="D35" s="1764"/>
      <c r="E35" s="1764"/>
      <c r="F35" s="1784"/>
      <c r="G35" s="1784"/>
      <c r="H35" s="1785"/>
      <c r="I35" s="1774">
        <f t="shared" si="0"/>
        <v>113.63459999999999</v>
      </c>
      <c r="J35" s="1775"/>
      <c r="K35" s="1776"/>
      <c r="L35" s="1777">
        <f t="shared" si="1"/>
      </c>
      <c r="M35" s="1778">
        <f t="shared" si="2"/>
      </c>
      <c r="N35" s="1779"/>
      <c r="O35" s="1780">
        <f t="shared" si="3"/>
      </c>
      <c r="P35" s="1781">
        <f t="shared" si="4"/>
        <v>40</v>
      </c>
      <c r="Q35" s="1782" t="str">
        <f t="shared" si="5"/>
        <v>--</v>
      </c>
      <c r="R35" s="1769" t="str">
        <f t="shared" si="6"/>
        <v>--</v>
      </c>
      <c r="S35" s="1770" t="str">
        <f t="shared" si="7"/>
        <v>--</v>
      </c>
      <c r="T35" s="1771" t="str">
        <f t="shared" si="8"/>
        <v>--</v>
      </c>
      <c r="U35" s="1780">
        <f t="shared" si="9"/>
      </c>
      <c r="V35" s="1783">
        <f t="shared" si="10"/>
      </c>
      <c r="W35" s="1711"/>
    </row>
    <row r="36" spans="2:23" s="1694" customFormat="1" ht="16.5" customHeight="1">
      <c r="B36" s="1708"/>
      <c r="C36" s="1764"/>
      <c r="D36" s="1764"/>
      <c r="E36" s="1764"/>
      <c r="F36" s="1784"/>
      <c r="G36" s="1784"/>
      <c r="H36" s="1785"/>
      <c r="I36" s="1774">
        <f t="shared" si="0"/>
        <v>113.63459999999999</v>
      </c>
      <c r="J36" s="1775"/>
      <c r="K36" s="1776"/>
      <c r="L36" s="1777">
        <f t="shared" si="1"/>
      </c>
      <c r="M36" s="1778">
        <f t="shared" si="2"/>
      </c>
      <c r="N36" s="1779"/>
      <c r="O36" s="1780">
        <f t="shared" si="3"/>
      </c>
      <c r="P36" s="1781">
        <f t="shared" si="4"/>
        <v>40</v>
      </c>
      <c r="Q36" s="1782" t="str">
        <f t="shared" si="5"/>
        <v>--</v>
      </c>
      <c r="R36" s="1769" t="str">
        <f t="shared" si="6"/>
        <v>--</v>
      </c>
      <c r="S36" s="1770" t="str">
        <f t="shared" si="7"/>
        <v>--</v>
      </c>
      <c r="T36" s="1771" t="str">
        <f t="shared" si="8"/>
        <v>--</v>
      </c>
      <c r="U36" s="1780">
        <f t="shared" si="9"/>
      </c>
      <c r="V36" s="1783">
        <f t="shared" si="10"/>
      </c>
      <c r="W36" s="1711"/>
    </row>
    <row r="37" spans="2:23" s="1694" customFormat="1" ht="16.5" customHeight="1">
      <c r="B37" s="1708"/>
      <c r="C37" s="1764"/>
      <c r="D37" s="1764"/>
      <c r="E37" s="1764"/>
      <c r="F37" s="1784"/>
      <c r="G37" s="1784"/>
      <c r="H37" s="1785"/>
      <c r="I37" s="1774">
        <f t="shared" si="0"/>
        <v>113.63459999999999</v>
      </c>
      <c r="J37" s="1775"/>
      <c r="K37" s="1776"/>
      <c r="L37" s="1777">
        <f t="shared" si="1"/>
      </c>
      <c r="M37" s="1778">
        <f t="shared" si="2"/>
      </c>
      <c r="N37" s="1779"/>
      <c r="O37" s="1780">
        <f t="shared" si="3"/>
      </c>
      <c r="P37" s="1781">
        <f t="shared" si="4"/>
        <v>40</v>
      </c>
      <c r="Q37" s="1782" t="str">
        <f t="shared" si="5"/>
        <v>--</v>
      </c>
      <c r="R37" s="1769" t="str">
        <f t="shared" si="6"/>
        <v>--</v>
      </c>
      <c r="S37" s="1770" t="str">
        <f t="shared" si="7"/>
        <v>--</v>
      </c>
      <c r="T37" s="1771" t="str">
        <f t="shared" si="8"/>
        <v>--</v>
      </c>
      <c r="U37" s="1780">
        <f t="shared" si="9"/>
      </c>
      <c r="V37" s="1783">
        <f t="shared" si="10"/>
      </c>
      <c r="W37" s="1711"/>
    </row>
    <row r="38" spans="2:23" s="1694" customFormat="1" ht="16.5" customHeight="1">
      <c r="B38" s="1708"/>
      <c r="C38" s="1764"/>
      <c r="D38" s="1764"/>
      <c r="E38" s="1764"/>
      <c r="F38" s="1784"/>
      <c r="G38" s="1784"/>
      <c r="H38" s="1785"/>
      <c r="I38" s="1774">
        <f t="shared" si="0"/>
        <v>113.63459999999999</v>
      </c>
      <c r="J38" s="1775"/>
      <c r="K38" s="1776"/>
      <c r="L38" s="1777">
        <f t="shared" si="1"/>
      </c>
      <c r="M38" s="1778">
        <f t="shared" si="2"/>
      </c>
      <c r="N38" s="1779"/>
      <c r="O38" s="1780">
        <f t="shared" si="3"/>
      </c>
      <c r="P38" s="1781">
        <f t="shared" si="4"/>
        <v>40</v>
      </c>
      <c r="Q38" s="1782" t="str">
        <f t="shared" si="5"/>
        <v>--</v>
      </c>
      <c r="R38" s="1769" t="str">
        <f t="shared" si="6"/>
        <v>--</v>
      </c>
      <c r="S38" s="1770" t="str">
        <f t="shared" si="7"/>
        <v>--</v>
      </c>
      <c r="T38" s="1771" t="str">
        <f t="shared" si="8"/>
        <v>--</v>
      </c>
      <c r="U38" s="1780">
        <f t="shared" si="9"/>
      </c>
      <c r="V38" s="1783">
        <f t="shared" si="10"/>
      </c>
      <c r="W38" s="1711"/>
    </row>
    <row r="39" spans="2:23" s="1694" customFormat="1" ht="16.5" customHeight="1">
      <c r="B39" s="1708"/>
      <c r="C39" s="1764"/>
      <c r="D39" s="1764"/>
      <c r="E39" s="1764"/>
      <c r="F39" s="1784"/>
      <c r="G39" s="1784"/>
      <c r="H39" s="1785"/>
      <c r="I39" s="1774">
        <f t="shared" si="0"/>
        <v>113.63459999999999</v>
      </c>
      <c r="J39" s="1775"/>
      <c r="K39" s="1776"/>
      <c r="L39" s="1777">
        <f t="shared" si="1"/>
      </c>
      <c r="M39" s="1778">
        <f t="shared" si="2"/>
      </c>
      <c r="N39" s="1779"/>
      <c r="O39" s="1780">
        <f t="shared" si="3"/>
      </c>
      <c r="P39" s="1781">
        <f t="shared" si="4"/>
        <v>40</v>
      </c>
      <c r="Q39" s="1782" t="str">
        <f t="shared" si="5"/>
        <v>--</v>
      </c>
      <c r="R39" s="1769" t="str">
        <f t="shared" si="6"/>
        <v>--</v>
      </c>
      <c r="S39" s="1770" t="str">
        <f t="shared" si="7"/>
        <v>--</v>
      </c>
      <c r="T39" s="1771" t="str">
        <f t="shared" si="8"/>
        <v>--</v>
      </c>
      <c r="U39" s="1780">
        <f t="shared" si="9"/>
      </c>
      <c r="V39" s="1783">
        <f t="shared" si="10"/>
      </c>
      <c r="W39" s="1711"/>
    </row>
    <row r="40" spans="2:23" s="1694" customFormat="1" ht="16.5" customHeight="1" thickBot="1">
      <c r="B40" s="1708"/>
      <c r="C40" s="1764"/>
      <c r="D40" s="1786"/>
      <c r="E40" s="1764"/>
      <c r="F40" s="1787"/>
      <c r="G40" s="1787"/>
      <c r="H40" s="1788"/>
      <c r="I40" s="1789"/>
      <c r="J40" s="1790"/>
      <c r="K40" s="1790"/>
      <c r="L40" s="1791"/>
      <c r="M40" s="1791"/>
      <c r="N40" s="1790"/>
      <c r="O40" s="1792"/>
      <c r="P40" s="1793"/>
      <c r="Q40" s="1794"/>
      <c r="R40" s="1795"/>
      <c r="S40" s="1796"/>
      <c r="T40" s="1797"/>
      <c r="U40" s="1792"/>
      <c r="V40" s="1798"/>
      <c r="W40" s="1711"/>
    </row>
    <row r="41" spans="2:23" s="1694" customFormat="1" ht="16.5" customHeight="1" thickBot="1" thickTop="1">
      <c r="B41" s="1708"/>
      <c r="C41" s="1799" t="s">
        <v>288</v>
      </c>
      <c r="D41" s="1800" t="s">
        <v>281</v>
      </c>
      <c r="E41" s="1801"/>
      <c r="F41" s="1802"/>
      <c r="G41" s="1803"/>
      <c r="H41" s="1709"/>
      <c r="I41" s="1709"/>
      <c r="J41" s="1709"/>
      <c r="K41" s="1709"/>
      <c r="L41" s="1709"/>
      <c r="M41" s="1709"/>
      <c r="N41" s="1709"/>
      <c r="O41" s="1709"/>
      <c r="P41" s="1709"/>
      <c r="Q41" s="1804">
        <f>SUM(Q22:Q40)</f>
        <v>2749.95732</v>
      </c>
      <c r="R41" s="1805">
        <f>SUM(R22:R40)</f>
        <v>0</v>
      </c>
      <c r="S41" s="1806">
        <f>SUM(S22:S40)</f>
        <v>0</v>
      </c>
      <c r="T41" s="1807">
        <f>SUM(T22:T40)</f>
        <v>0</v>
      </c>
      <c r="U41" s="1808"/>
      <c r="V41" s="1809">
        <f>ROUND(SUM(V22:V40),2)</f>
        <v>2749.96</v>
      </c>
      <c r="W41" s="1711"/>
    </row>
    <row r="42" spans="2:23" s="1694" customFormat="1" ht="16.5" customHeight="1" thickBot="1" thickTop="1">
      <c r="B42" s="1810"/>
      <c r="C42" s="1811"/>
      <c r="D42" s="1811"/>
      <c r="E42" s="1811"/>
      <c r="F42" s="1811"/>
      <c r="G42" s="1811"/>
      <c r="H42" s="1811"/>
      <c r="I42" s="1811"/>
      <c r="J42" s="1811"/>
      <c r="K42" s="1811"/>
      <c r="L42" s="1811"/>
      <c r="M42" s="1811"/>
      <c r="N42" s="1811"/>
      <c r="O42" s="1811"/>
      <c r="P42" s="1811"/>
      <c r="Q42" s="1811"/>
      <c r="R42" s="1811"/>
      <c r="S42" s="1811"/>
      <c r="T42" s="1811"/>
      <c r="U42" s="1811"/>
      <c r="V42" s="1811"/>
      <c r="W42" s="1812"/>
    </row>
    <row r="43" spans="23:25" ht="16.5" customHeight="1" thickTop="1">
      <c r="W43" s="1813"/>
      <c r="X43" s="1813"/>
      <c r="Y43" s="1813"/>
    </row>
    <row r="44" spans="23:25" ht="16.5" customHeight="1">
      <c r="W44" s="1813"/>
      <c r="X44" s="1813"/>
      <c r="Y44" s="1813"/>
    </row>
    <row r="45" spans="6:25" ht="16.5" customHeight="1">
      <c r="F45" s="1803" t="s">
        <v>306</v>
      </c>
      <c r="W45" s="1813"/>
      <c r="X45" s="1813"/>
      <c r="Y45" s="1813"/>
    </row>
    <row r="46" spans="23:25" ht="16.5" customHeight="1">
      <c r="W46" s="1813"/>
      <c r="X46" s="1813"/>
      <c r="Y46" s="1813"/>
    </row>
    <row r="47" spans="23:25" ht="16.5" customHeight="1">
      <c r="W47" s="1813"/>
      <c r="X47" s="1813"/>
      <c r="Y47" s="1813"/>
    </row>
    <row r="48" spans="6:25" ht="16.5" customHeight="1">
      <c r="F48" s="1813"/>
      <c r="G48" s="1813"/>
      <c r="H48" s="1813"/>
      <c r="I48" s="1813"/>
      <c r="J48" s="1813"/>
      <c r="K48" s="1813"/>
      <c r="L48" s="1813"/>
      <c r="M48" s="1813"/>
      <c r="N48" s="1813"/>
      <c r="O48" s="1813"/>
      <c r="P48" s="1813"/>
      <c r="Q48" s="1813"/>
      <c r="R48" s="1813"/>
      <c r="S48" s="1813"/>
      <c r="T48" s="1813"/>
      <c r="U48" s="1813"/>
      <c r="V48" s="1813"/>
      <c r="W48" s="1813"/>
      <c r="X48" s="1813"/>
      <c r="Y48" s="1813"/>
    </row>
    <row r="49" spans="6:25" ht="16.5" customHeight="1">
      <c r="F49" s="1813"/>
      <c r="G49" s="1813"/>
      <c r="H49" s="1813"/>
      <c r="I49" s="1813"/>
      <c r="J49" s="1813"/>
      <c r="K49" s="1813"/>
      <c r="L49" s="1813"/>
      <c r="M49" s="1813"/>
      <c r="N49" s="1813"/>
      <c r="O49" s="1813"/>
      <c r="P49" s="1813"/>
      <c r="Q49" s="1813"/>
      <c r="R49" s="1813"/>
      <c r="S49" s="1813"/>
      <c r="T49" s="1813"/>
      <c r="U49" s="1813"/>
      <c r="V49" s="1813"/>
      <c r="W49" s="1813"/>
      <c r="X49" s="1813"/>
      <c r="Y49" s="1813"/>
    </row>
    <row r="50" spans="6:25" ht="16.5" customHeight="1">
      <c r="F50" s="1813"/>
      <c r="G50" s="1813"/>
      <c r="H50" s="1813"/>
      <c r="I50" s="1813"/>
      <c r="J50" s="1813"/>
      <c r="K50" s="1813"/>
      <c r="L50" s="1813"/>
      <c r="M50" s="1813"/>
      <c r="N50" s="1813"/>
      <c r="O50" s="1813"/>
      <c r="P50" s="1813"/>
      <c r="Q50" s="1813"/>
      <c r="R50" s="1813"/>
      <c r="S50" s="1813"/>
      <c r="T50" s="1813"/>
      <c r="U50" s="1813"/>
      <c r="V50" s="1813"/>
      <c r="W50" s="1813"/>
      <c r="X50" s="1813"/>
      <c r="Y50" s="1813"/>
    </row>
    <row r="51" spans="6:25" ht="16.5" customHeight="1">
      <c r="F51" s="1813"/>
      <c r="G51" s="1813"/>
      <c r="H51" s="1813"/>
      <c r="I51" s="1813"/>
      <c r="J51" s="1813"/>
      <c r="K51" s="1813"/>
      <c r="L51" s="1813"/>
      <c r="M51" s="1813"/>
      <c r="N51" s="1813"/>
      <c r="O51" s="1813"/>
      <c r="P51" s="1813"/>
      <c r="Q51" s="1813"/>
      <c r="R51" s="1813"/>
      <c r="S51" s="1813"/>
      <c r="T51" s="1813"/>
      <c r="U51" s="1813"/>
      <c r="V51" s="1813"/>
      <c r="W51" s="1813"/>
      <c r="X51" s="1813"/>
      <c r="Y51" s="1813"/>
    </row>
    <row r="52" spans="6:25" ht="16.5" customHeight="1">
      <c r="F52" s="1813"/>
      <c r="G52" s="1813"/>
      <c r="H52" s="1813"/>
      <c r="I52" s="1813"/>
      <c r="J52" s="1813"/>
      <c r="K52" s="1813"/>
      <c r="L52" s="1813"/>
      <c r="M52" s="1813"/>
      <c r="N52" s="1813"/>
      <c r="O52" s="1813"/>
      <c r="P52" s="1813"/>
      <c r="Q52" s="1813"/>
      <c r="R52" s="1813"/>
      <c r="S52" s="1813"/>
      <c r="T52" s="1813"/>
      <c r="U52" s="1813"/>
      <c r="V52" s="1813"/>
      <c r="W52" s="1813"/>
      <c r="X52" s="1813"/>
      <c r="Y52" s="1813"/>
    </row>
    <row r="53" spans="6:25" ht="16.5" customHeight="1">
      <c r="F53" s="1813"/>
      <c r="G53" s="1813"/>
      <c r="H53" s="1813"/>
      <c r="I53" s="1813"/>
      <c r="J53" s="1813"/>
      <c r="K53" s="1813"/>
      <c r="L53" s="1813"/>
      <c r="M53" s="1813"/>
      <c r="N53" s="1813"/>
      <c r="O53" s="1813"/>
      <c r="P53" s="1813"/>
      <c r="Q53" s="1813"/>
      <c r="R53" s="1813"/>
      <c r="S53" s="1813"/>
      <c r="T53" s="1813"/>
      <c r="U53" s="1813"/>
      <c r="V53" s="1813"/>
      <c r="W53" s="1813"/>
      <c r="X53" s="1813"/>
      <c r="Y53" s="1813"/>
    </row>
    <row r="54" spans="6:25" ht="16.5" customHeight="1">
      <c r="F54" s="1813"/>
      <c r="G54" s="1813"/>
      <c r="H54" s="1813"/>
      <c r="I54" s="1813"/>
      <c r="J54" s="1813"/>
      <c r="K54" s="1813"/>
      <c r="L54" s="1813"/>
      <c r="M54" s="1813"/>
      <c r="N54" s="1813"/>
      <c r="O54" s="1813"/>
      <c r="P54" s="1813"/>
      <c r="Q54" s="1813"/>
      <c r="R54" s="1813"/>
      <c r="S54" s="1813"/>
      <c r="T54" s="1813"/>
      <c r="U54" s="1813"/>
      <c r="V54" s="1813"/>
      <c r="W54" s="1813"/>
      <c r="X54" s="1813"/>
      <c r="Y54" s="1813"/>
    </row>
    <row r="55" spans="6:25" ht="16.5" customHeight="1">
      <c r="F55" s="1813"/>
      <c r="G55" s="1813"/>
      <c r="H55" s="1813"/>
      <c r="I55" s="1813"/>
      <c r="J55" s="1813"/>
      <c r="K55" s="1813"/>
      <c r="L55" s="1813"/>
      <c r="M55" s="1813"/>
      <c r="N55" s="1813"/>
      <c r="O55" s="1813"/>
      <c r="P55" s="1813"/>
      <c r="Q55" s="1813"/>
      <c r="R55" s="1813"/>
      <c r="S55" s="1813"/>
      <c r="T55" s="1813"/>
      <c r="U55" s="1813"/>
      <c r="V55" s="1813"/>
      <c r="W55" s="1813"/>
      <c r="X55" s="1813"/>
      <c r="Y55" s="1813"/>
    </row>
    <row r="56" spans="6:25" ht="16.5" customHeight="1">
      <c r="F56" s="1813"/>
      <c r="G56" s="1813"/>
      <c r="H56" s="1813"/>
      <c r="I56" s="1813"/>
      <c r="J56" s="1813"/>
      <c r="K56" s="1813"/>
      <c r="L56" s="1813"/>
      <c r="M56" s="1813"/>
      <c r="N56" s="1813"/>
      <c r="O56" s="1813"/>
      <c r="P56" s="1813"/>
      <c r="Q56" s="1813"/>
      <c r="R56" s="1813"/>
      <c r="S56" s="1813"/>
      <c r="T56" s="1813"/>
      <c r="U56" s="1813"/>
      <c r="V56" s="1813"/>
      <c r="W56" s="1813"/>
      <c r="X56" s="1813"/>
      <c r="Y56" s="1813"/>
    </row>
    <row r="57" spans="6:25" ht="16.5" customHeight="1">
      <c r="F57" s="1813"/>
      <c r="G57" s="1813"/>
      <c r="H57" s="1813"/>
      <c r="I57" s="1813"/>
      <c r="J57" s="1813"/>
      <c r="K57" s="1813"/>
      <c r="L57" s="1813"/>
      <c r="M57" s="1813"/>
      <c r="N57" s="1813"/>
      <c r="O57" s="1813"/>
      <c r="P57" s="1813"/>
      <c r="Q57" s="1813"/>
      <c r="R57" s="1813"/>
      <c r="S57" s="1813"/>
      <c r="T57" s="1813"/>
      <c r="U57" s="1813"/>
      <c r="V57" s="1813"/>
      <c r="W57" s="1813"/>
      <c r="X57" s="1813"/>
      <c r="Y57" s="1813"/>
    </row>
    <row r="58" spans="6:25" ht="16.5" customHeight="1">
      <c r="F58" s="1813"/>
      <c r="G58" s="1813"/>
      <c r="H58" s="1813"/>
      <c r="I58" s="1813"/>
      <c r="J58" s="1813"/>
      <c r="K58" s="1813"/>
      <c r="L58" s="1813"/>
      <c r="M58" s="1813"/>
      <c r="N58" s="1813"/>
      <c r="O58" s="1813"/>
      <c r="P58" s="1813"/>
      <c r="Q58" s="1813"/>
      <c r="R58" s="1813"/>
      <c r="S58" s="1813"/>
      <c r="T58" s="1813"/>
      <c r="U58" s="1813"/>
      <c r="V58" s="1813"/>
      <c r="W58" s="1813"/>
      <c r="X58" s="1813"/>
      <c r="Y58" s="1813"/>
    </row>
    <row r="59" spans="6:25" ht="16.5" customHeight="1">
      <c r="F59" s="1813"/>
      <c r="G59" s="1813"/>
      <c r="H59" s="1813"/>
      <c r="I59" s="1813"/>
      <c r="J59" s="1813"/>
      <c r="K59" s="1813"/>
      <c r="L59" s="1813"/>
      <c r="M59" s="1813"/>
      <c r="N59" s="1813"/>
      <c r="O59" s="1813"/>
      <c r="P59" s="1813"/>
      <c r="Q59" s="1813"/>
      <c r="R59" s="1813"/>
      <c r="S59" s="1813"/>
      <c r="T59" s="1813"/>
      <c r="U59" s="1813"/>
      <c r="V59" s="1813"/>
      <c r="W59" s="1813"/>
      <c r="X59" s="1813"/>
      <c r="Y59" s="1813"/>
    </row>
    <row r="60" spans="6:25" ht="16.5" customHeight="1">
      <c r="F60" s="1813"/>
      <c r="G60" s="1813"/>
      <c r="H60" s="1813"/>
      <c r="I60" s="1813"/>
      <c r="J60" s="1813"/>
      <c r="K60" s="1813"/>
      <c r="L60" s="1813"/>
      <c r="M60" s="1813"/>
      <c r="N60" s="1813"/>
      <c r="O60" s="1813"/>
      <c r="P60" s="1813"/>
      <c r="Q60" s="1813"/>
      <c r="R60" s="1813"/>
      <c r="S60" s="1813"/>
      <c r="T60" s="1813"/>
      <c r="U60" s="1813"/>
      <c r="V60" s="1813"/>
      <c r="W60" s="1813"/>
      <c r="X60" s="1813"/>
      <c r="Y60" s="1813"/>
    </row>
    <row r="61" spans="6:25" ht="16.5" customHeight="1">
      <c r="F61" s="1813"/>
      <c r="G61" s="1813"/>
      <c r="H61" s="1813"/>
      <c r="I61" s="1813"/>
      <c r="J61" s="1813"/>
      <c r="K61" s="1813"/>
      <c r="L61" s="1813"/>
      <c r="M61" s="1813"/>
      <c r="N61" s="1813"/>
      <c r="O61" s="1813"/>
      <c r="P61" s="1813"/>
      <c r="Q61" s="1813"/>
      <c r="R61" s="1813"/>
      <c r="S61" s="1813"/>
      <c r="T61" s="1813"/>
      <c r="U61" s="1813"/>
      <c r="V61" s="1813"/>
      <c r="W61" s="1813"/>
      <c r="X61" s="1813"/>
      <c r="Y61" s="1813"/>
    </row>
    <row r="62" spans="6:25" ht="16.5" customHeight="1">
      <c r="F62" s="1813"/>
      <c r="G62" s="1813"/>
      <c r="H62" s="1813"/>
      <c r="I62" s="1813"/>
      <c r="J62" s="1813"/>
      <c r="K62" s="1813"/>
      <c r="L62" s="1813"/>
      <c r="M62" s="1813"/>
      <c r="N62" s="1813"/>
      <c r="O62" s="1813"/>
      <c r="P62" s="1813"/>
      <c r="Q62" s="1813"/>
      <c r="R62" s="1813"/>
      <c r="S62" s="1813"/>
      <c r="T62" s="1813"/>
      <c r="U62" s="1813"/>
      <c r="V62" s="1813"/>
      <c r="W62" s="1813"/>
      <c r="X62" s="1813"/>
      <c r="Y62" s="1813"/>
    </row>
    <row r="63" spans="6:25" ht="16.5" customHeight="1">
      <c r="F63" s="1813"/>
      <c r="G63" s="1813"/>
      <c r="H63" s="1813"/>
      <c r="I63" s="1813"/>
      <c r="J63" s="1813"/>
      <c r="K63" s="1813"/>
      <c r="L63" s="1813"/>
      <c r="M63" s="1813"/>
      <c r="N63" s="1813"/>
      <c r="O63" s="1813"/>
      <c r="P63" s="1813"/>
      <c r="Q63" s="1813"/>
      <c r="R63" s="1813"/>
      <c r="S63" s="1813"/>
      <c r="T63" s="1813"/>
      <c r="U63" s="1813"/>
      <c r="V63" s="1813"/>
      <c r="W63" s="1813"/>
      <c r="X63" s="1813"/>
      <c r="Y63" s="1813"/>
    </row>
    <row r="64" spans="6:25" ht="16.5" customHeight="1">
      <c r="F64" s="1813"/>
      <c r="G64" s="1813"/>
      <c r="H64" s="1813"/>
      <c r="I64" s="1813"/>
      <c r="J64" s="1813"/>
      <c r="K64" s="1813"/>
      <c r="L64" s="1813"/>
      <c r="M64" s="1813"/>
      <c r="N64" s="1813"/>
      <c r="O64" s="1813"/>
      <c r="P64" s="1813"/>
      <c r="Q64" s="1813"/>
      <c r="R64" s="1813"/>
      <c r="S64" s="1813"/>
      <c r="T64" s="1813"/>
      <c r="U64" s="1813"/>
      <c r="V64" s="1813"/>
      <c r="W64" s="1813"/>
      <c r="X64" s="1813"/>
      <c r="Y64" s="1813"/>
    </row>
    <row r="65" spans="6:25" ht="16.5" customHeight="1">
      <c r="F65" s="1813"/>
      <c r="G65" s="1813"/>
      <c r="H65" s="1813"/>
      <c r="I65" s="1813"/>
      <c r="J65" s="1813"/>
      <c r="K65" s="1813"/>
      <c r="L65" s="1813"/>
      <c r="M65" s="1813"/>
      <c r="N65" s="1813"/>
      <c r="O65" s="1813"/>
      <c r="P65" s="1813"/>
      <c r="Q65" s="1813"/>
      <c r="R65" s="1813"/>
      <c r="S65" s="1813"/>
      <c r="T65" s="1813"/>
      <c r="U65" s="1813"/>
      <c r="V65" s="1813"/>
      <c r="W65" s="1813"/>
      <c r="X65" s="1813"/>
      <c r="Y65" s="1813"/>
    </row>
    <row r="66" spans="6:25" ht="16.5" customHeight="1">
      <c r="F66" s="1813"/>
      <c r="G66" s="1813"/>
      <c r="H66" s="1813"/>
      <c r="I66" s="1813"/>
      <c r="J66" s="1813"/>
      <c r="K66" s="1813"/>
      <c r="L66" s="1813"/>
      <c r="M66" s="1813"/>
      <c r="N66" s="1813"/>
      <c r="O66" s="1813"/>
      <c r="P66" s="1813"/>
      <c r="Q66" s="1813"/>
      <c r="R66" s="1813"/>
      <c r="S66" s="1813"/>
      <c r="T66" s="1813"/>
      <c r="U66" s="1813"/>
      <c r="V66" s="1813"/>
      <c r="W66" s="1813"/>
      <c r="X66" s="1813"/>
      <c r="Y66" s="1813"/>
    </row>
    <row r="67" spans="6:25" ht="16.5" customHeight="1">
      <c r="F67" s="1813"/>
      <c r="G67" s="1813"/>
      <c r="H67" s="1813"/>
      <c r="I67" s="1813"/>
      <c r="J67" s="1813"/>
      <c r="K67" s="1813"/>
      <c r="L67" s="1813"/>
      <c r="M67" s="1813"/>
      <c r="N67" s="1813"/>
      <c r="O67" s="1813"/>
      <c r="P67" s="1813"/>
      <c r="Q67" s="1813"/>
      <c r="R67" s="1813"/>
      <c r="S67" s="1813"/>
      <c r="T67" s="1813"/>
      <c r="U67" s="1813"/>
      <c r="V67" s="1813"/>
      <c r="W67" s="1813"/>
      <c r="X67" s="1813"/>
      <c r="Y67" s="1813"/>
    </row>
    <row r="68" spans="6:25" ht="16.5" customHeight="1">
      <c r="F68" s="1813"/>
      <c r="G68" s="1813"/>
      <c r="H68" s="1813"/>
      <c r="I68" s="1813"/>
      <c r="J68" s="1813"/>
      <c r="K68" s="1813"/>
      <c r="L68" s="1813"/>
      <c r="M68" s="1813"/>
      <c r="N68" s="1813"/>
      <c r="O68" s="1813"/>
      <c r="P68" s="1813"/>
      <c r="Q68" s="1813"/>
      <c r="R68" s="1813"/>
      <c r="S68" s="1813"/>
      <c r="T68" s="1813"/>
      <c r="U68" s="1813"/>
      <c r="V68" s="1813"/>
      <c r="W68" s="1813"/>
      <c r="X68" s="1813"/>
      <c r="Y68" s="1813"/>
    </row>
    <row r="69" spans="6:25" ht="16.5" customHeight="1">
      <c r="F69" s="1813"/>
      <c r="G69" s="1813"/>
      <c r="H69" s="1813"/>
      <c r="I69" s="1813"/>
      <c r="J69" s="1813"/>
      <c r="K69" s="1813"/>
      <c r="L69" s="1813"/>
      <c r="M69" s="1813"/>
      <c r="N69" s="1813"/>
      <c r="O69" s="1813"/>
      <c r="P69" s="1813"/>
      <c r="Q69" s="1813"/>
      <c r="R69" s="1813"/>
      <c r="S69" s="1813"/>
      <c r="T69" s="1813"/>
      <c r="U69" s="1813"/>
      <c r="V69" s="1813"/>
      <c r="W69" s="1813"/>
      <c r="X69" s="1813"/>
      <c r="Y69" s="1813"/>
    </row>
    <row r="70" spans="6:25" ht="16.5" customHeight="1">
      <c r="F70" s="1813"/>
      <c r="G70" s="1813"/>
      <c r="H70" s="1813"/>
      <c r="I70" s="1813"/>
      <c r="J70" s="1813"/>
      <c r="K70" s="1813"/>
      <c r="L70" s="1813"/>
      <c r="M70" s="1813"/>
      <c r="N70" s="1813"/>
      <c r="O70" s="1813"/>
      <c r="P70" s="1813"/>
      <c r="Q70" s="1813"/>
      <c r="R70" s="1813"/>
      <c r="S70" s="1813"/>
      <c r="T70" s="1813"/>
      <c r="U70" s="1813"/>
      <c r="V70" s="1813"/>
      <c r="W70" s="1813"/>
      <c r="X70" s="1813"/>
      <c r="Y70" s="1813"/>
    </row>
    <row r="71" spans="6:25" ht="16.5" customHeight="1">
      <c r="F71" s="1813"/>
      <c r="G71" s="1813"/>
      <c r="H71" s="1813"/>
      <c r="I71" s="1813"/>
      <c r="J71" s="1813"/>
      <c r="K71" s="1813"/>
      <c r="L71" s="1813"/>
      <c r="M71" s="1813"/>
      <c r="N71" s="1813"/>
      <c r="O71" s="1813"/>
      <c r="P71" s="1813"/>
      <c r="Q71" s="1813"/>
      <c r="R71" s="1813"/>
      <c r="S71" s="1813"/>
      <c r="T71" s="1813"/>
      <c r="U71" s="1813"/>
      <c r="V71" s="1813"/>
      <c r="W71" s="1813"/>
      <c r="X71" s="1813"/>
      <c r="Y71" s="1813"/>
    </row>
    <row r="72" spans="6:25" ht="16.5" customHeight="1">
      <c r="F72" s="1813"/>
      <c r="G72" s="1813"/>
      <c r="H72" s="1813"/>
      <c r="I72" s="1813"/>
      <c r="J72" s="1813"/>
      <c r="K72" s="1813"/>
      <c r="L72" s="1813"/>
      <c r="M72" s="1813"/>
      <c r="N72" s="1813"/>
      <c r="O72" s="1813"/>
      <c r="P72" s="1813"/>
      <c r="Q72" s="1813"/>
      <c r="R72" s="1813"/>
      <c r="S72" s="1813"/>
      <c r="T72" s="1813"/>
      <c r="U72" s="1813"/>
      <c r="V72" s="1813"/>
      <c r="W72" s="1813"/>
      <c r="X72" s="1813"/>
      <c r="Y72" s="1813"/>
    </row>
    <row r="73" spans="6:25" ht="16.5" customHeight="1">
      <c r="F73" s="1813"/>
      <c r="G73" s="1813"/>
      <c r="H73" s="1813"/>
      <c r="I73" s="1813"/>
      <c r="J73" s="1813"/>
      <c r="K73" s="1813"/>
      <c r="L73" s="1813"/>
      <c r="M73" s="1813"/>
      <c r="N73" s="1813"/>
      <c r="O73" s="1813"/>
      <c r="P73" s="1813"/>
      <c r="Q73" s="1813"/>
      <c r="R73" s="1813"/>
      <c r="S73" s="1813"/>
      <c r="T73" s="1813"/>
      <c r="U73" s="1813"/>
      <c r="V73" s="1813"/>
      <c r="W73" s="1813"/>
      <c r="X73" s="1813"/>
      <c r="Y73" s="1813"/>
    </row>
    <row r="74" spans="6:25" ht="16.5" customHeight="1">
      <c r="F74" s="1813"/>
      <c r="G74" s="1813"/>
      <c r="H74" s="1813"/>
      <c r="I74" s="1813"/>
      <c r="J74" s="1813"/>
      <c r="K74" s="1813"/>
      <c r="L74" s="1813"/>
      <c r="M74" s="1813"/>
      <c r="N74" s="1813"/>
      <c r="O74" s="1813"/>
      <c r="P74" s="1813"/>
      <c r="Q74" s="1813"/>
      <c r="R74" s="1813"/>
      <c r="S74" s="1813"/>
      <c r="T74" s="1813"/>
      <c r="U74" s="1813"/>
      <c r="V74" s="1813"/>
      <c r="W74" s="1813"/>
      <c r="X74" s="1813"/>
      <c r="Y74" s="1813"/>
    </row>
    <row r="75" spans="6:25" ht="16.5" customHeight="1">
      <c r="F75" s="1813"/>
      <c r="G75" s="1813"/>
      <c r="H75" s="1813"/>
      <c r="I75" s="1813"/>
      <c r="J75" s="1813"/>
      <c r="K75" s="1813"/>
      <c r="L75" s="1813"/>
      <c r="M75" s="1813"/>
      <c r="N75" s="1813"/>
      <c r="O75" s="1813"/>
      <c r="P75" s="1813"/>
      <c r="Q75" s="1813"/>
      <c r="R75" s="1813"/>
      <c r="S75" s="1813"/>
      <c r="T75" s="1813"/>
      <c r="U75" s="1813"/>
      <c r="V75" s="1813"/>
      <c r="W75" s="1813"/>
      <c r="X75" s="1813"/>
      <c r="Y75" s="1813"/>
    </row>
    <row r="76" spans="6:25" ht="16.5" customHeight="1">
      <c r="F76" s="1813"/>
      <c r="G76" s="1813"/>
      <c r="H76" s="1813"/>
      <c r="I76" s="1813"/>
      <c r="J76" s="1813"/>
      <c r="K76" s="1813"/>
      <c r="L76" s="1813"/>
      <c r="M76" s="1813"/>
      <c r="N76" s="1813"/>
      <c r="O76" s="1813"/>
      <c r="P76" s="1813"/>
      <c r="Q76" s="1813"/>
      <c r="R76" s="1813"/>
      <c r="S76" s="1813"/>
      <c r="T76" s="1813"/>
      <c r="U76" s="1813"/>
      <c r="V76" s="1813"/>
      <c r="W76" s="1813"/>
      <c r="X76" s="1813"/>
      <c r="Y76" s="1813"/>
    </row>
    <row r="77" spans="6:25" ht="16.5" customHeight="1">
      <c r="F77" s="1813"/>
      <c r="G77" s="1813"/>
      <c r="H77" s="1813"/>
      <c r="I77" s="1813"/>
      <c r="J77" s="1813"/>
      <c r="K77" s="1813"/>
      <c r="L77" s="1813"/>
      <c r="M77" s="1813"/>
      <c r="N77" s="1813"/>
      <c r="O77" s="1813"/>
      <c r="P77" s="1813"/>
      <c r="Q77" s="1813"/>
      <c r="R77" s="1813"/>
      <c r="S77" s="1813"/>
      <c r="T77" s="1813"/>
      <c r="U77" s="1813"/>
      <c r="V77" s="1813"/>
      <c r="W77" s="1813"/>
      <c r="X77" s="1813"/>
      <c r="Y77" s="1813"/>
    </row>
    <row r="78" spans="6:25" ht="16.5" customHeight="1">
      <c r="F78" s="1813"/>
      <c r="G78" s="1813"/>
      <c r="H78" s="1813"/>
      <c r="I78" s="1813"/>
      <c r="J78" s="1813"/>
      <c r="K78" s="1813"/>
      <c r="L78" s="1813"/>
      <c r="M78" s="1813"/>
      <c r="N78" s="1813"/>
      <c r="O78" s="1813"/>
      <c r="P78" s="1813"/>
      <c r="Q78" s="1813"/>
      <c r="R78" s="1813"/>
      <c r="S78" s="1813"/>
      <c r="T78" s="1813"/>
      <c r="U78" s="1813"/>
      <c r="V78" s="1813"/>
      <c r="W78" s="1813"/>
      <c r="X78" s="1813"/>
      <c r="Y78" s="1813"/>
    </row>
    <row r="79" spans="6:25" ht="16.5" customHeight="1">
      <c r="F79" s="1813"/>
      <c r="G79" s="1813"/>
      <c r="H79" s="1813"/>
      <c r="I79" s="1813"/>
      <c r="J79" s="1813"/>
      <c r="K79" s="1813"/>
      <c r="L79" s="1813"/>
      <c r="M79" s="1813"/>
      <c r="N79" s="1813"/>
      <c r="O79" s="1813"/>
      <c r="P79" s="1813"/>
      <c r="Q79" s="1813"/>
      <c r="R79" s="1813"/>
      <c r="S79" s="1813"/>
      <c r="T79" s="1813"/>
      <c r="U79" s="1813"/>
      <c r="V79" s="1813"/>
      <c r="W79" s="1813"/>
      <c r="X79" s="1813"/>
      <c r="Y79" s="1813"/>
    </row>
    <row r="80" spans="6:25" ht="16.5" customHeight="1">
      <c r="F80" s="1813"/>
      <c r="G80" s="1813"/>
      <c r="H80" s="1813"/>
      <c r="I80" s="1813"/>
      <c r="J80" s="1813"/>
      <c r="K80" s="1813"/>
      <c r="L80" s="1813"/>
      <c r="M80" s="1813"/>
      <c r="N80" s="1813"/>
      <c r="O80" s="1813"/>
      <c r="P80" s="1813"/>
      <c r="Q80" s="1813"/>
      <c r="R80" s="1813"/>
      <c r="S80" s="1813"/>
      <c r="T80" s="1813"/>
      <c r="U80" s="1813"/>
      <c r="V80" s="1813"/>
      <c r="W80" s="1813"/>
      <c r="X80" s="1813"/>
      <c r="Y80" s="1813"/>
    </row>
    <row r="81" spans="6:25" ht="16.5" customHeight="1">
      <c r="F81" s="1813"/>
      <c r="G81" s="1813"/>
      <c r="H81" s="1813"/>
      <c r="I81" s="1813"/>
      <c r="J81" s="1813"/>
      <c r="K81" s="1813"/>
      <c r="L81" s="1813"/>
      <c r="M81" s="1813"/>
      <c r="N81" s="1813"/>
      <c r="O81" s="1813"/>
      <c r="P81" s="1813"/>
      <c r="Q81" s="1813"/>
      <c r="R81" s="1813"/>
      <c r="S81" s="1813"/>
      <c r="T81" s="1813"/>
      <c r="U81" s="1813"/>
      <c r="V81" s="1813"/>
      <c r="W81" s="1813"/>
      <c r="X81" s="1813"/>
      <c r="Y81" s="1813"/>
    </row>
    <row r="82" spans="6:25" ht="16.5" customHeight="1">
      <c r="F82" s="1813"/>
      <c r="G82" s="1813"/>
      <c r="H82" s="1813"/>
      <c r="I82" s="1813"/>
      <c r="J82" s="1813"/>
      <c r="K82" s="1813"/>
      <c r="L82" s="1813"/>
      <c r="M82" s="1813"/>
      <c r="N82" s="1813"/>
      <c r="O82" s="1813"/>
      <c r="P82" s="1813"/>
      <c r="Q82" s="1813"/>
      <c r="R82" s="1813"/>
      <c r="S82" s="1813"/>
      <c r="T82" s="1813"/>
      <c r="U82" s="1813"/>
      <c r="V82" s="1813"/>
      <c r="W82" s="1813"/>
      <c r="X82" s="1813"/>
      <c r="Y82" s="1813"/>
    </row>
    <row r="83" spans="6:25" ht="16.5" customHeight="1">
      <c r="F83" s="1813"/>
      <c r="G83" s="1813"/>
      <c r="H83" s="1813"/>
      <c r="I83" s="1813"/>
      <c r="J83" s="1813"/>
      <c r="K83" s="1813"/>
      <c r="L83" s="1813"/>
      <c r="M83" s="1813"/>
      <c r="N83" s="1813"/>
      <c r="O83" s="1813"/>
      <c r="P83" s="1813"/>
      <c r="Q83" s="1813"/>
      <c r="R83" s="1813"/>
      <c r="S83" s="1813"/>
      <c r="T83" s="1813"/>
      <c r="U83" s="1813"/>
      <c r="V83" s="1813"/>
      <c r="W83" s="1813"/>
      <c r="X83" s="1813"/>
      <c r="Y83" s="1813"/>
    </row>
    <row r="84" spans="6:25" ht="16.5" customHeight="1">
      <c r="F84" s="1813"/>
      <c r="G84" s="1813"/>
      <c r="H84" s="1813"/>
      <c r="I84" s="1813"/>
      <c r="J84" s="1813"/>
      <c r="K84" s="1813"/>
      <c r="L84" s="1813"/>
      <c r="M84" s="1813"/>
      <c r="N84" s="1813"/>
      <c r="O84" s="1813"/>
      <c r="P84" s="1813"/>
      <c r="Q84" s="1813"/>
      <c r="R84" s="1813"/>
      <c r="S84" s="1813"/>
      <c r="T84" s="1813"/>
      <c r="U84" s="1813"/>
      <c r="V84" s="1813"/>
      <c r="W84" s="1813"/>
      <c r="X84" s="1813"/>
      <c r="Y84" s="1813"/>
    </row>
    <row r="85" spans="6:25" ht="16.5" customHeight="1">
      <c r="F85" s="1813"/>
      <c r="G85" s="1813"/>
      <c r="H85" s="1813"/>
      <c r="I85" s="1813"/>
      <c r="J85" s="1813"/>
      <c r="K85" s="1813"/>
      <c r="L85" s="1813"/>
      <c r="M85" s="1813"/>
      <c r="N85" s="1813"/>
      <c r="O85" s="1813"/>
      <c r="P85" s="1813"/>
      <c r="Q85" s="1813"/>
      <c r="R85" s="1813"/>
      <c r="S85" s="1813"/>
      <c r="T85" s="1813"/>
      <c r="U85" s="1813"/>
      <c r="V85" s="1813"/>
      <c r="W85" s="1813"/>
      <c r="X85" s="1813"/>
      <c r="Y85" s="1813"/>
    </row>
    <row r="86" spans="6:25" ht="16.5" customHeight="1">
      <c r="F86" s="1813"/>
      <c r="G86" s="1813"/>
      <c r="H86" s="1813"/>
      <c r="I86" s="1813"/>
      <c r="J86" s="1813"/>
      <c r="K86" s="1813"/>
      <c r="L86" s="1813"/>
      <c r="M86" s="1813"/>
      <c r="N86" s="1813"/>
      <c r="O86" s="1813"/>
      <c r="P86" s="1813"/>
      <c r="Q86" s="1813"/>
      <c r="R86" s="1813"/>
      <c r="S86" s="1813"/>
      <c r="T86" s="1813"/>
      <c r="U86" s="1813"/>
      <c r="V86" s="1813"/>
      <c r="W86" s="1813"/>
      <c r="X86" s="1813"/>
      <c r="Y86" s="1813"/>
    </row>
    <row r="87" spans="6:25" ht="16.5" customHeight="1">
      <c r="F87" s="1813"/>
      <c r="G87" s="1813"/>
      <c r="H87" s="1813"/>
      <c r="I87" s="1813"/>
      <c r="J87" s="1813"/>
      <c r="K87" s="1813"/>
      <c r="L87" s="1813"/>
      <c r="M87" s="1813"/>
      <c r="N87" s="1813"/>
      <c r="O87" s="1813"/>
      <c r="P87" s="1813"/>
      <c r="Q87" s="1813"/>
      <c r="R87" s="1813"/>
      <c r="S87" s="1813"/>
      <c r="T87" s="1813"/>
      <c r="U87" s="1813"/>
      <c r="V87" s="1813"/>
      <c r="W87" s="1813"/>
      <c r="X87" s="1813"/>
      <c r="Y87" s="1813"/>
    </row>
    <row r="88" spans="6:25" ht="16.5" customHeight="1">
      <c r="F88" s="1813"/>
      <c r="G88" s="1813"/>
      <c r="H88" s="1813"/>
      <c r="I88" s="1813"/>
      <c r="J88" s="1813"/>
      <c r="K88" s="1813"/>
      <c r="L88" s="1813"/>
      <c r="M88" s="1813"/>
      <c r="N88" s="1813"/>
      <c r="O88" s="1813"/>
      <c r="P88" s="1813"/>
      <c r="Q88" s="1813"/>
      <c r="R88" s="1813"/>
      <c r="S88" s="1813"/>
      <c r="T88" s="1813"/>
      <c r="U88" s="1813"/>
      <c r="V88" s="1813"/>
      <c r="W88" s="1813"/>
      <c r="X88" s="1813"/>
      <c r="Y88" s="1813"/>
    </row>
    <row r="89" spans="6:25" ht="16.5" customHeight="1">
      <c r="F89" s="1813"/>
      <c r="G89" s="1813"/>
      <c r="H89" s="1813"/>
      <c r="I89" s="1813"/>
      <c r="J89" s="1813"/>
      <c r="K89" s="1813"/>
      <c r="L89" s="1813"/>
      <c r="M89" s="1813"/>
      <c r="N89" s="1813"/>
      <c r="O89" s="1813"/>
      <c r="P89" s="1813"/>
      <c r="Q89" s="1813"/>
      <c r="R89" s="1813"/>
      <c r="S89" s="1813"/>
      <c r="T89" s="1813"/>
      <c r="U89" s="1813"/>
      <c r="V89" s="1813"/>
      <c r="W89" s="1813"/>
      <c r="X89" s="1813"/>
      <c r="Y89" s="1813"/>
    </row>
    <row r="90" spans="6:25" ht="16.5" customHeight="1">
      <c r="F90" s="1813"/>
      <c r="G90" s="1813"/>
      <c r="H90" s="1813"/>
      <c r="I90" s="1813"/>
      <c r="J90" s="1813"/>
      <c r="K90" s="1813"/>
      <c r="L90" s="1813"/>
      <c r="M90" s="1813"/>
      <c r="N90" s="1813"/>
      <c r="O90" s="1813"/>
      <c r="P90" s="1813"/>
      <c r="Q90" s="1813"/>
      <c r="R90" s="1813"/>
      <c r="S90" s="1813"/>
      <c r="T90" s="1813"/>
      <c r="U90" s="1813"/>
      <c r="V90" s="1813"/>
      <c r="W90" s="1813"/>
      <c r="X90" s="1813"/>
      <c r="Y90" s="1813"/>
    </row>
    <row r="91" spans="6:25" ht="16.5" customHeight="1">
      <c r="F91" s="1813"/>
      <c r="G91" s="1813"/>
      <c r="H91" s="1813"/>
      <c r="I91" s="1813"/>
      <c r="J91" s="1813"/>
      <c r="K91" s="1813"/>
      <c r="L91" s="1813"/>
      <c r="M91" s="1813"/>
      <c r="N91" s="1813"/>
      <c r="O91" s="1813"/>
      <c r="P91" s="1813"/>
      <c r="Q91" s="1813"/>
      <c r="R91" s="1813"/>
      <c r="S91" s="1813"/>
      <c r="T91" s="1813"/>
      <c r="U91" s="1813"/>
      <c r="V91" s="1813"/>
      <c r="W91" s="1813"/>
      <c r="X91" s="1813"/>
      <c r="Y91" s="1813"/>
    </row>
    <row r="92" spans="6:25" ht="16.5" customHeight="1">
      <c r="F92" s="1813"/>
      <c r="G92" s="1813"/>
      <c r="H92" s="1813"/>
      <c r="I92" s="1813"/>
      <c r="J92" s="1813"/>
      <c r="K92" s="1813"/>
      <c r="L92" s="1813"/>
      <c r="M92" s="1813"/>
      <c r="N92" s="1813"/>
      <c r="O92" s="1813"/>
      <c r="P92" s="1813"/>
      <c r="Q92" s="1813"/>
      <c r="R92" s="1813"/>
      <c r="S92" s="1813"/>
      <c r="T92" s="1813"/>
      <c r="U92" s="1813"/>
      <c r="V92" s="1813"/>
      <c r="W92" s="1813"/>
      <c r="X92" s="1813"/>
      <c r="Y92" s="1813"/>
    </row>
    <row r="93" spans="6:25" ht="16.5" customHeight="1">
      <c r="F93" s="1813"/>
      <c r="G93" s="1813"/>
      <c r="H93" s="1813"/>
      <c r="I93" s="1813"/>
      <c r="J93" s="1813"/>
      <c r="K93" s="1813"/>
      <c r="L93" s="1813"/>
      <c r="M93" s="1813"/>
      <c r="N93" s="1813"/>
      <c r="O93" s="1813"/>
      <c r="P93" s="1813"/>
      <c r="Q93" s="1813"/>
      <c r="R93" s="1813"/>
      <c r="S93" s="1813"/>
      <c r="T93" s="1813"/>
      <c r="U93" s="1813"/>
      <c r="V93" s="1813"/>
      <c r="W93" s="1813"/>
      <c r="X93" s="1813"/>
      <c r="Y93" s="1813"/>
    </row>
    <row r="94" spans="6:25" ht="16.5" customHeight="1">
      <c r="F94" s="1813"/>
      <c r="G94" s="1813"/>
      <c r="H94" s="1813"/>
      <c r="I94" s="1813"/>
      <c r="J94" s="1813"/>
      <c r="K94" s="1813"/>
      <c r="L94" s="1813"/>
      <c r="M94" s="1813"/>
      <c r="N94" s="1813"/>
      <c r="O94" s="1813"/>
      <c r="P94" s="1813"/>
      <c r="Q94" s="1813"/>
      <c r="R94" s="1813"/>
      <c r="S94" s="1813"/>
      <c r="T94" s="1813"/>
      <c r="U94" s="1813"/>
      <c r="V94" s="1813"/>
      <c r="W94" s="1813"/>
      <c r="X94" s="1813"/>
      <c r="Y94" s="1813"/>
    </row>
    <row r="95" spans="6:25" ht="16.5" customHeight="1">
      <c r="F95" s="1813"/>
      <c r="G95" s="1813"/>
      <c r="H95" s="1813"/>
      <c r="I95" s="1813"/>
      <c r="J95" s="1813"/>
      <c r="K95" s="1813"/>
      <c r="L95" s="1813"/>
      <c r="M95" s="1813"/>
      <c r="N95" s="1813"/>
      <c r="O95" s="1813"/>
      <c r="P95" s="1813"/>
      <c r="Q95" s="1813"/>
      <c r="R95" s="1813"/>
      <c r="S95" s="1813"/>
      <c r="T95" s="1813"/>
      <c r="U95" s="1813"/>
      <c r="V95" s="1813"/>
      <c r="W95" s="1813"/>
      <c r="X95" s="1813"/>
      <c r="Y95" s="1813"/>
    </row>
    <row r="96" spans="6:25" ht="16.5" customHeight="1">
      <c r="F96" s="1813"/>
      <c r="G96" s="1813"/>
      <c r="H96" s="1813"/>
      <c r="I96" s="1813"/>
      <c r="J96" s="1813"/>
      <c r="K96" s="1813"/>
      <c r="L96" s="1813"/>
      <c r="M96" s="1813"/>
      <c r="N96" s="1813"/>
      <c r="O96" s="1813"/>
      <c r="P96" s="1813"/>
      <c r="Q96" s="1813"/>
      <c r="R96" s="1813"/>
      <c r="S96" s="1813"/>
      <c r="T96" s="1813"/>
      <c r="U96" s="1813"/>
      <c r="V96" s="1813"/>
      <c r="W96" s="1813"/>
      <c r="X96" s="1813"/>
      <c r="Y96" s="1813"/>
    </row>
    <row r="97" spans="6:25" ht="16.5" customHeight="1">
      <c r="F97" s="1813"/>
      <c r="G97" s="1813"/>
      <c r="H97" s="1813"/>
      <c r="I97" s="1813"/>
      <c r="J97" s="1813"/>
      <c r="K97" s="1813"/>
      <c r="L97" s="1813"/>
      <c r="M97" s="1813"/>
      <c r="N97" s="1813"/>
      <c r="O97" s="1813"/>
      <c r="P97" s="1813"/>
      <c r="Q97" s="1813"/>
      <c r="R97" s="1813"/>
      <c r="S97" s="1813"/>
      <c r="T97" s="1813"/>
      <c r="U97" s="1813"/>
      <c r="V97" s="1813"/>
      <c r="W97" s="1813"/>
      <c r="X97" s="1813"/>
      <c r="Y97" s="1813"/>
    </row>
    <row r="98" spans="6:25" ht="16.5" customHeight="1">
      <c r="F98" s="1813"/>
      <c r="G98" s="1813"/>
      <c r="H98" s="1813"/>
      <c r="I98" s="1813"/>
      <c r="J98" s="1813"/>
      <c r="K98" s="1813"/>
      <c r="L98" s="1813"/>
      <c r="M98" s="1813"/>
      <c r="N98" s="1813"/>
      <c r="O98" s="1813"/>
      <c r="P98" s="1813"/>
      <c r="Q98" s="1813"/>
      <c r="R98" s="1813"/>
      <c r="S98" s="1813"/>
      <c r="T98" s="1813"/>
      <c r="U98" s="1813"/>
      <c r="V98" s="1813"/>
      <c r="W98" s="1813"/>
      <c r="X98" s="1813"/>
      <c r="Y98" s="1813"/>
    </row>
    <row r="99" spans="6:25" ht="16.5" customHeight="1">
      <c r="F99" s="1813"/>
      <c r="G99" s="1813"/>
      <c r="H99" s="1813"/>
      <c r="I99" s="1813"/>
      <c r="J99" s="1813"/>
      <c r="K99" s="1813"/>
      <c r="L99" s="1813"/>
      <c r="M99" s="1813"/>
      <c r="N99" s="1813"/>
      <c r="O99" s="1813"/>
      <c r="P99" s="1813"/>
      <c r="Q99" s="1813"/>
      <c r="R99" s="1813"/>
      <c r="S99" s="1813"/>
      <c r="T99" s="1813"/>
      <c r="U99" s="1813"/>
      <c r="V99" s="1813"/>
      <c r="W99" s="1813"/>
      <c r="X99" s="1813"/>
      <c r="Y99" s="1813"/>
    </row>
    <row r="100" spans="6:25" ht="16.5" customHeight="1">
      <c r="F100" s="1813"/>
      <c r="G100" s="1813"/>
      <c r="H100" s="1813"/>
      <c r="I100" s="1813"/>
      <c r="J100" s="1813"/>
      <c r="K100" s="1813"/>
      <c r="L100" s="1813"/>
      <c r="M100" s="1813"/>
      <c r="N100" s="1813"/>
      <c r="O100" s="1813"/>
      <c r="P100" s="1813"/>
      <c r="Q100" s="1813"/>
      <c r="R100" s="1813"/>
      <c r="S100" s="1813"/>
      <c r="T100" s="1813"/>
      <c r="U100" s="1813"/>
      <c r="V100" s="1813"/>
      <c r="W100" s="1813"/>
      <c r="X100" s="1813"/>
      <c r="Y100" s="1813"/>
    </row>
    <row r="101" spans="6:25" ht="16.5" customHeight="1">
      <c r="F101" s="1813"/>
      <c r="G101" s="1813"/>
      <c r="H101" s="1813"/>
      <c r="I101" s="1813"/>
      <c r="J101" s="1813"/>
      <c r="K101" s="1813"/>
      <c r="L101" s="1813"/>
      <c r="M101" s="1813"/>
      <c r="N101" s="1813"/>
      <c r="O101" s="1813"/>
      <c r="P101" s="1813"/>
      <c r="Q101" s="1813"/>
      <c r="R101" s="1813"/>
      <c r="S101" s="1813"/>
      <c r="T101" s="1813"/>
      <c r="U101" s="1813"/>
      <c r="V101" s="1813"/>
      <c r="W101" s="1813"/>
      <c r="X101" s="1813"/>
      <c r="Y101" s="1813"/>
    </row>
    <row r="102" spans="6:25" ht="16.5" customHeight="1">
      <c r="F102" s="1813"/>
      <c r="G102" s="1813"/>
      <c r="H102" s="1813"/>
      <c r="I102" s="1813"/>
      <c r="J102" s="1813"/>
      <c r="K102" s="1813"/>
      <c r="L102" s="1813"/>
      <c r="M102" s="1813"/>
      <c r="N102" s="1813"/>
      <c r="O102" s="1813"/>
      <c r="P102" s="1813"/>
      <c r="Q102" s="1813"/>
      <c r="R102" s="1813"/>
      <c r="S102" s="1813"/>
      <c r="T102" s="1813"/>
      <c r="U102" s="1813"/>
      <c r="V102" s="1813"/>
      <c r="W102" s="1813"/>
      <c r="X102" s="1813"/>
      <c r="Y102" s="1813"/>
    </row>
    <row r="103" spans="6:25" ht="16.5" customHeight="1">
      <c r="F103" s="1813"/>
      <c r="G103" s="1813"/>
      <c r="H103" s="1813"/>
      <c r="I103" s="1813"/>
      <c r="J103" s="1813"/>
      <c r="K103" s="1813"/>
      <c r="L103" s="1813"/>
      <c r="M103" s="1813"/>
      <c r="N103" s="1813"/>
      <c r="O103" s="1813"/>
      <c r="P103" s="1813"/>
      <c r="Q103" s="1813"/>
      <c r="R103" s="1813"/>
      <c r="S103" s="1813"/>
      <c r="T103" s="1813"/>
      <c r="U103" s="1813"/>
      <c r="V103" s="1813"/>
      <c r="W103" s="1813"/>
      <c r="X103" s="1813"/>
      <c r="Y103" s="1813"/>
    </row>
    <row r="104" spans="6:25" ht="16.5" customHeight="1">
      <c r="F104" s="1813"/>
      <c r="G104" s="1813"/>
      <c r="H104" s="1813"/>
      <c r="I104" s="1813"/>
      <c r="J104" s="1813"/>
      <c r="K104" s="1813"/>
      <c r="L104" s="1813"/>
      <c r="M104" s="1813"/>
      <c r="N104" s="1813"/>
      <c r="O104" s="1813"/>
      <c r="P104" s="1813"/>
      <c r="Q104" s="1813"/>
      <c r="R104" s="1813"/>
      <c r="S104" s="1813"/>
      <c r="T104" s="1813"/>
      <c r="U104" s="1813"/>
      <c r="V104" s="1813"/>
      <c r="W104" s="1813"/>
      <c r="X104" s="1813"/>
      <c r="Y104" s="1813"/>
    </row>
    <row r="105" spans="6:25" ht="16.5" customHeight="1">
      <c r="F105" s="1813"/>
      <c r="G105" s="1813"/>
      <c r="H105" s="1813"/>
      <c r="I105" s="1813"/>
      <c r="J105" s="1813"/>
      <c r="K105" s="1813"/>
      <c r="L105" s="1813"/>
      <c r="M105" s="1813"/>
      <c r="N105" s="1813"/>
      <c r="O105" s="1813"/>
      <c r="P105" s="1813"/>
      <c r="Q105" s="1813"/>
      <c r="R105" s="1813"/>
      <c r="S105" s="1813"/>
      <c r="T105" s="1813"/>
      <c r="U105" s="1813"/>
      <c r="V105" s="1813"/>
      <c r="W105" s="1813"/>
      <c r="X105" s="1813"/>
      <c r="Y105" s="1813"/>
    </row>
    <row r="106" spans="6:25" ht="16.5" customHeight="1">
      <c r="F106" s="1813"/>
      <c r="G106" s="1813"/>
      <c r="H106" s="1813"/>
      <c r="I106" s="1813"/>
      <c r="J106" s="1813"/>
      <c r="K106" s="1813"/>
      <c r="L106" s="1813"/>
      <c r="M106" s="1813"/>
      <c r="N106" s="1813"/>
      <c r="O106" s="1813"/>
      <c r="P106" s="1813"/>
      <c r="Q106" s="1813"/>
      <c r="R106" s="1813"/>
      <c r="S106" s="1813"/>
      <c r="T106" s="1813"/>
      <c r="U106" s="1813"/>
      <c r="V106" s="1813"/>
      <c r="W106" s="1813"/>
      <c r="X106" s="1813"/>
      <c r="Y106" s="1813"/>
    </row>
    <row r="107" spans="6:25" ht="16.5" customHeight="1">
      <c r="F107" s="1813"/>
      <c r="G107" s="1813"/>
      <c r="H107" s="1813"/>
      <c r="I107" s="1813"/>
      <c r="J107" s="1813"/>
      <c r="K107" s="1813"/>
      <c r="L107" s="1813"/>
      <c r="M107" s="1813"/>
      <c r="N107" s="1813"/>
      <c r="O107" s="1813"/>
      <c r="P107" s="1813"/>
      <c r="Q107" s="1813"/>
      <c r="R107" s="1813"/>
      <c r="S107" s="1813"/>
      <c r="T107" s="1813"/>
      <c r="U107" s="1813"/>
      <c r="V107" s="1813"/>
      <c r="W107" s="1813"/>
      <c r="X107" s="1813"/>
      <c r="Y107" s="1813"/>
    </row>
    <row r="108" spans="6:25" ht="16.5" customHeight="1">
      <c r="F108" s="1813"/>
      <c r="G108" s="1813"/>
      <c r="H108" s="1813"/>
      <c r="I108" s="1813"/>
      <c r="J108" s="1813"/>
      <c r="K108" s="1813"/>
      <c r="L108" s="1813"/>
      <c r="M108" s="1813"/>
      <c r="N108" s="1813"/>
      <c r="O108" s="1813"/>
      <c r="P108" s="1813"/>
      <c r="Q108" s="1813"/>
      <c r="R108" s="1813"/>
      <c r="S108" s="1813"/>
      <c r="T108" s="1813"/>
      <c r="U108" s="1813"/>
      <c r="V108" s="1813"/>
      <c r="W108" s="1813"/>
      <c r="X108" s="1813"/>
      <c r="Y108" s="1813"/>
    </row>
    <row r="109" spans="6:25" ht="16.5" customHeight="1">
      <c r="F109" s="1813"/>
      <c r="G109" s="1813"/>
      <c r="H109" s="1813"/>
      <c r="I109" s="1813"/>
      <c r="J109" s="1813"/>
      <c r="K109" s="1813"/>
      <c r="L109" s="1813"/>
      <c r="M109" s="1813"/>
      <c r="N109" s="1813"/>
      <c r="O109" s="1813"/>
      <c r="P109" s="1813"/>
      <c r="Q109" s="1813"/>
      <c r="R109" s="1813"/>
      <c r="S109" s="1813"/>
      <c r="T109" s="1813"/>
      <c r="U109" s="1813"/>
      <c r="V109" s="1813"/>
      <c r="W109" s="1813"/>
      <c r="X109" s="1813"/>
      <c r="Y109" s="1813"/>
    </row>
    <row r="110" spans="6:25" ht="16.5" customHeight="1">
      <c r="F110" s="1813"/>
      <c r="G110" s="1813"/>
      <c r="H110" s="1813"/>
      <c r="I110" s="1813"/>
      <c r="J110" s="1813"/>
      <c r="K110" s="1813"/>
      <c r="L110" s="1813"/>
      <c r="M110" s="1813"/>
      <c r="N110" s="1813"/>
      <c r="O110" s="1813"/>
      <c r="P110" s="1813"/>
      <c r="Q110" s="1813"/>
      <c r="R110" s="1813"/>
      <c r="S110" s="1813"/>
      <c r="T110" s="1813"/>
      <c r="U110" s="1813"/>
      <c r="V110" s="1813"/>
      <c r="W110" s="1813"/>
      <c r="X110" s="1813"/>
      <c r="Y110" s="1813"/>
    </row>
    <row r="111" spans="6:25" ht="16.5" customHeight="1">
      <c r="F111" s="1813"/>
      <c r="G111" s="1813"/>
      <c r="H111" s="1813"/>
      <c r="I111" s="1813"/>
      <c r="J111" s="1813"/>
      <c r="K111" s="1813"/>
      <c r="L111" s="1813"/>
      <c r="M111" s="1813"/>
      <c r="N111" s="1813"/>
      <c r="O111" s="1813"/>
      <c r="P111" s="1813"/>
      <c r="Q111" s="1813"/>
      <c r="R111" s="1813"/>
      <c r="S111" s="1813"/>
      <c r="T111" s="1813"/>
      <c r="U111" s="1813"/>
      <c r="V111" s="1813"/>
      <c r="W111" s="1813"/>
      <c r="X111" s="1813"/>
      <c r="Y111" s="1813"/>
    </row>
    <row r="112" spans="6:25" ht="16.5" customHeight="1">
      <c r="F112" s="1813"/>
      <c r="G112" s="1813"/>
      <c r="H112" s="1813"/>
      <c r="I112" s="1813"/>
      <c r="J112" s="1813"/>
      <c r="K112" s="1813"/>
      <c r="L112" s="1813"/>
      <c r="M112" s="1813"/>
      <c r="N112" s="1813"/>
      <c r="O112" s="1813"/>
      <c r="P112" s="1813"/>
      <c r="Q112" s="1813"/>
      <c r="R112" s="1813"/>
      <c r="S112" s="1813"/>
      <c r="T112" s="1813"/>
      <c r="U112" s="1813"/>
      <c r="V112" s="1813"/>
      <c r="W112" s="1813"/>
      <c r="X112" s="1813"/>
      <c r="Y112" s="1813"/>
    </row>
    <row r="113" spans="6:25" ht="16.5" customHeight="1">
      <c r="F113" s="1813"/>
      <c r="G113" s="1813"/>
      <c r="H113" s="1813"/>
      <c r="I113" s="1813"/>
      <c r="J113" s="1813"/>
      <c r="K113" s="1813"/>
      <c r="L113" s="1813"/>
      <c r="M113" s="1813"/>
      <c r="N113" s="1813"/>
      <c r="O113" s="1813"/>
      <c r="P113" s="1813"/>
      <c r="Q113" s="1813"/>
      <c r="R113" s="1813"/>
      <c r="S113" s="1813"/>
      <c r="T113" s="1813"/>
      <c r="U113" s="1813"/>
      <c r="V113" s="1813"/>
      <c r="W113" s="1813"/>
      <c r="X113" s="1813"/>
      <c r="Y113" s="1813"/>
    </row>
    <row r="114" spans="6:25" ht="16.5" customHeight="1">
      <c r="F114" s="1813"/>
      <c r="G114" s="1813"/>
      <c r="H114" s="1813"/>
      <c r="I114" s="1813"/>
      <c r="J114" s="1813"/>
      <c r="K114" s="1813"/>
      <c r="L114" s="1813"/>
      <c r="M114" s="1813"/>
      <c r="N114" s="1813"/>
      <c r="O114" s="1813"/>
      <c r="P114" s="1813"/>
      <c r="Q114" s="1813"/>
      <c r="R114" s="1813"/>
      <c r="S114" s="1813"/>
      <c r="T114" s="1813"/>
      <c r="U114" s="1813"/>
      <c r="V114" s="1813"/>
      <c r="W114" s="1813"/>
      <c r="X114" s="1813"/>
      <c r="Y114" s="1813"/>
    </row>
    <row r="115" spans="6:25" ht="16.5" customHeight="1">
      <c r="F115" s="1813"/>
      <c r="G115" s="1813"/>
      <c r="H115" s="1813"/>
      <c r="I115" s="1813"/>
      <c r="J115" s="1813"/>
      <c r="K115" s="1813"/>
      <c r="L115" s="1813"/>
      <c r="M115" s="1813"/>
      <c r="N115" s="1813"/>
      <c r="O115" s="1813"/>
      <c r="P115" s="1813"/>
      <c r="Q115" s="1813"/>
      <c r="R115" s="1813"/>
      <c r="S115" s="1813"/>
      <c r="T115" s="1813"/>
      <c r="U115" s="1813"/>
      <c r="V115" s="1813"/>
      <c r="W115" s="1813"/>
      <c r="X115" s="1813"/>
      <c r="Y115" s="1813"/>
    </row>
    <row r="116" spans="6:25" ht="16.5" customHeight="1">
      <c r="F116" s="1813"/>
      <c r="G116" s="1813"/>
      <c r="H116" s="1813"/>
      <c r="I116" s="1813"/>
      <c r="J116" s="1813"/>
      <c r="K116" s="1813"/>
      <c r="L116" s="1813"/>
      <c r="M116" s="1813"/>
      <c r="N116" s="1813"/>
      <c r="O116" s="1813"/>
      <c r="P116" s="1813"/>
      <c r="Q116" s="1813"/>
      <c r="R116" s="1813"/>
      <c r="S116" s="1813"/>
      <c r="T116" s="1813"/>
      <c r="U116" s="1813"/>
      <c r="V116" s="1813"/>
      <c r="W116" s="1813"/>
      <c r="X116" s="1813"/>
      <c r="Y116" s="1813"/>
    </row>
    <row r="117" spans="6:25" ht="16.5" customHeight="1">
      <c r="F117" s="1813"/>
      <c r="G117" s="1813"/>
      <c r="H117" s="1813"/>
      <c r="I117" s="1813"/>
      <c r="J117" s="1813"/>
      <c r="K117" s="1813"/>
      <c r="L117" s="1813"/>
      <c r="M117" s="1813"/>
      <c r="N117" s="1813"/>
      <c r="O117" s="1813"/>
      <c r="P117" s="1813"/>
      <c r="Q117" s="1813"/>
      <c r="R117" s="1813"/>
      <c r="S117" s="1813"/>
      <c r="T117" s="1813"/>
      <c r="U117" s="1813"/>
      <c r="V117" s="1813"/>
      <c r="W117" s="1813"/>
      <c r="X117" s="1813"/>
      <c r="Y117" s="1813"/>
    </row>
    <row r="118" spans="6:25" ht="16.5" customHeight="1">
      <c r="F118" s="1813"/>
      <c r="G118" s="1813"/>
      <c r="H118" s="1813"/>
      <c r="I118" s="1813"/>
      <c r="J118" s="1813"/>
      <c r="K118" s="1813"/>
      <c r="L118" s="1813"/>
      <c r="M118" s="1813"/>
      <c r="N118" s="1813"/>
      <c r="O118" s="1813"/>
      <c r="P118" s="1813"/>
      <c r="Q118" s="1813"/>
      <c r="R118" s="1813"/>
      <c r="S118" s="1813"/>
      <c r="T118" s="1813"/>
      <c r="U118" s="1813"/>
      <c r="V118" s="1813"/>
      <c r="W118" s="1813"/>
      <c r="X118" s="1813"/>
      <c r="Y118" s="1813"/>
    </row>
    <row r="119" spans="6:25" ht="16.5" customHeight="1">
      <c r="F119" s="1813"/>
      <c r="G119" s="1813"/>
      <c r="H119" s="1813"/>
      <c r="I119" s="1813"/>
      <c r="J119" s="1813"/>
      <c r="K119" s="1813"/>
      <c r="L119" s="1813"/>
      <c r="M119" s="1813"/>
      <c r="N119" s="1813"/>
      <c r="O119" s="1813"/>
      <c r="P119" s="1813"/>
      <c r="Q119" s="1813"/>
      <c r="R119" s="1813"/>
      <c r="S119" s="1813"/>
      <c r="T119" s="1813"/>
      <c r="U119" s="1813"/>
      <c r="V119" s="1813"/>
      <c r="W119" s="1813"/>
      <c r="X119" s="1813"/>
      <c r="Y119" s="1813"/>
    </row>
    <row r="120" spans="6:25" ht="16.5" customHeight="1">
      <c r="F120" s="1813"/>
      <c r="G120" s="1813"/>
      <c r="H120" s="1813"/>
      <c r="I120" s="1813"/>
      <c r="J120" s="1813"/>
      <c r="K120" s="1813"/>
      <c r="L120" s="1813"/>
      <c r="M120" s="1813"/>
      <c r="N120" s="1813"/>
      <c r="O120" s="1813"/>
      <c r="P120" s="1813"/>
      <c r="Q120" s="1813"/>
      <c r="R120" s="1813"/>
      <c r="S120" s="1813"/>
      <c r="T120" s="1813"/>
      <c r="U120" s="1813"/>
      <c r="V120" s="1813"/>
      <c r="W120" s="1813"/>
      <c r="X120" s="1813"/>
      <c r="Y120" s="1813"/>
    </row>
    <row r="121" spans="6:25" ht="16.5" customHeight="1">
      <c r="F121" s="1813"/>
      <c r="G121" s="1813"/>
      <c r="H121" s="1813"/>
      <c r="I121" s="1813"/>
      <c r="J121" s="1813"/>
      <c r="K121" s="1813"/>
      <c r="L121" s="1813"/>
      <c r="M121" s="1813"/>
      <c r="N121" s="1813"/>
      <c r="O121" s="1813"/>
      <c r="P121" s="1813"/>
      <c r="Q121" s="1813"/>
      <c r="R121" s="1813"/>
      <c r="S121" s="1813"/>
      <c r="T121" s="1813"/>
      <c r="U121" s="1813"/>
      <c r="V121" s="1813"/>
      <c r="W121" s="1813"/>
      <c r="X121" s="1813"/>
      <c r="Y121" s="1813"/>
    </row>
    <row r="122" spans="6:25" ht="16.5" customHeight="1">
      <c r="F122" s="1813"/>
      <c r="G122" s="1813"/>
      <c r="H122" s="1813"/>
      <c r="I122" s="1813"/>
      <c r="J122" s="1813"/>
      <c r="K122" s="1813"/>
      <c r="L122" s="1813"/>
      <c r="M122" s="1813"/>
      <c r="N122" s="1813"/>
      <c r="O122" s="1813"/>
      <c r="P122" s="1813"/>
      <c r="Q122" s="1813"/>
      <c r="R122" s="1813"/>
      <c r="S122" s="1813"/>
      <c r="T122" s="1813"/>
      <c r="U122" s="1813"/>
      <c r="V122" s="1813"/>
      <c r="W122" s="1813"/>
      <c r="X122" s="1813"/>
      <c r="Y122" s="1813"/>
    </row>
    <row r="123" spans="6:25" ht="16.5" customHeight="1">
      <c r="F123" s="1813"/>
      <c r="G123" s="1813"/>
      <c r="H123" s="1813"/>
      <c r="I123" s="1813"/>
      <c r="J123" s="1813"/>
      <c r="K123" s="1813"/>
      <c r="L123" s="1813"/>
      <c r="M123" s="1813"/>
      <c r="N123" s="1813"/>
      <c r="O123" s="1813"/>
      <c r="P123" s="1813"/>
      <c r="Q123" s="1813"/>
      <c r="R123" s="1813"/>
      <c r="S123" s="1813"/>
      <c r="T123" s="1813"/>
      <c r="U123" s="1813"/>
      <c r="V123" s="1813"/>
      <c r="W123" s="1813"/>
      <c r="X123" s="1813"/>
      <c r="Y123" s="1813"/>
    </row>
    <row r="124" spans="6:25" ht="16.5" customHeight="1">
      <c r="F124" s="1813"/>
      <c r="G124" s="1813"/>
      <c r="H124" s="1813"/>
      <c r="I124" s="1813"/>
      <c r="J124" s="1813"/>
      <c r="K124" s="1813"/>
      <c r="L124" s="1813"/>
      <c r="M124" s="1813"/>
      <c r="N124" s="1813"/>
      <c r="O124" s="1813"/>
      <c r="P124" s="1813"/>
      <c r="Q124" s="1813"/>
      <c r="R124" s="1813"/>
      <c r="S124" s="1813"/>
      <c r="T124" s="1813"/>
      <c r="U124" s="1813"/>
      <c r="V124" s="1813"/>
      <c r="W124" s="1813"/>
      <c r="X124" s="1813"/>
      <c r="Y124" s="1813"/>
    </row>
    <row r="125" spans="6:25" ht="16.5" customHeight="1">
      <c r="F125" s="1813"/>
      <c r="G125" s="1813"/>
      <c r="H125" s="1813"/>
      <c r="I125" s="1813"/>
      <c r="J125" s="1813"/>
      <c r="K125" s="1813"/>
      <c r="L125" s="1813"/>
      <c r="M125" s="1813"/>
      <c r="N125" s="1813"/>
      <c r="O125" s="1813"/>
      <c r="P125" s="1813"/>
      <c r="Q125" s="1813"/>
      <c r="R125" s="1813"/>
      <c r="S125" s="1813"/>
      <c r="T125" s="1813"/>
      <c r="U125" s="1813"/>
      <c r="V125" s="1813"/>
      <c r="W125" s="1813"/>
      <c r="X125" s="1813"/>
      <c r="Y125" s="1813"/>
    </row>
    <row r="126" spans="6:25" ht="16.5" customHeight="1">
      <c r="F126" s="1813"/>
      <c r="G126" s="1813"/>
      <c r="H126" s="1813"/>
      <c r="I126" s="1813"/>
      <c r="J126" s="1813"/>
      <c r="K126" s="1813"/>
      <c r="L126" s="1813"/>
      <c r="M126" s="1813"/>
      <c r="N126" s="1813"/>
      <c r="O126" s="1813"/>
      <c r="P126" s="1813"/>
      <c r="Q126" s="1813"/>
      <c r="R126" s="1813"/>
      <c r="S126" s="1813"/>
      <c r="T126" s="1813"/>
      <c r="U126" s="1813"/>
      <c r="V126" s="1813"/>
      <c r="W126" s="1813"/>
      <c r="X126" s="1813"/>
      <c r="Y126" s="1813"/>
    </row>
    <row r="127" spans="6:25" ht="16.5" customHeight="1">
      <c r="F127" s="1813"/>
      <c r="G127" s="1813"/>
      <c r="H127" s="1813"/>
      <c r="I127" s="1813"/>
      <c r="J127" s="1813"/>
      <c r="K127" s="1813"/>
      <c r="L127" s="1813"/>
      <c r="M127" s="1813"/>
      <c r="N127" s="1813"/>
      <c r="O127" s="1813"/>
      <c r="P127" s="1813"/>
      <c r="Q127" s="1813"/>
      <c r="R127" s="1813"/>
      <c r="S127" s="1813"/>
      <c r="T127" s="1813"/>
      <c r="U127" s="1813"/>
      <c r="V127" s="1813"/>
      <c r="W127" s="1813"/>
      <c r="X127" s="1813"/>
      <c r="Y127" s="1813"/>
    </row>
    <row r="128" spans="6:25" ht="16.5" customHeight="1">
      <c r="F128" s="1813"/>
      <c r="G128" s="1813"/>
      <c r="H128" s="1813"/>
      <c r="I128" s="1813"/>
      <c r="J128" s="1813"/>
      <c r="K128" s="1813"/>
      <c r="L128" s="1813"/>
      <c r="M128" s="1813"/>
      <c r="N128" s="1813"/>
      <c r="O128" s="1813"/>
      <c r="P128" s="1813"/>
      <c r="Q128" s="1813"/>
      <c r="R128" s="1813"/>
      <c r="S128" s="1813"/>
      <c r="T128" s="1813"/>
      <c r="U128" s="1813"/>
      <c r="V128" s="1813"/>
      <c r="W128" s="1813"/>
      <c r="X128" s="1813"/>
      <c r="Y128" s="1813"/>
    </row>
    <row r="129" spans="6:25" ht="16.5" customHeight="1">
      <c r="F129" s="1813"/>
      <c r="G129" s="1813"/>
      <c r="H129" s="1813"/>
      <c r="I129" s="1813"/>
      <c r="J129" s="1813"/>
      <c r="K129" s="1813"/>
      <c r="L129" s="1813"/>
      <c r="M129" s="1813"/>
      <c r="N129" s="1813"/>
      <c r="O129" s="1813"/>
      <c r="P129" s="1813"/>
      <c r="Q129" s="1813"/>
      <c r="R129" s="1813"/>
      <c r="S129" s="1813"/>
      <c r="T129" s="1813"/>
      <c r="U129" s="1813"/>
      <c r="V129" s="1813"/>
      <c r="W129" s="1813"/>
      <c r="X129" s="1813"/>
      <c r="Y129" s="1813"/>
    </row>
    <row r="130" spans="6:25" ht="16.5" customHeight="1">
      <c r="F130" s="1813"/>
      <c r="G130" s="1813"/>
      <c r="H130" s="1813"/>
      <c r="I130" s="1813"/>
      <c r="J130" s="1813"/>
      <c r="K130" s="1813"/>
      <c r="L130" s="1813"/>
      <c r="M130" s="1813"/>
      <c r="N130" s="1813"/>
      <c r="O130" s="1813"/>
      <c r="P130" s="1813"/>
      <c r="Q130" s="1813"/>
      <c r="R130" s="1813"/>
      <c r="S130" s="1813"/>
      <c r="T130" s="1813"/>
      <c r="U130" s="1813"/>
      <c r="V130" s="1813"/>
      <c r="W130" s="1813"/>
      <c r="X130" s="1813"/>
      <c r="Y130" s="1813"/>
    </row>
    <row r="131" spans="6:25" ht="16.5" customHeight="1">
      <c r="F131" s="1813"/>
      <c r="G131" s="1813"/>
      <c r="H131" s="1813"/>
      <c r="I131" s="1813"/>
      <c r="J131" s="1813"/>
      <c r="K131" s="1813"/>
      <c r="L131" s="1813"/>
      <c r="M131" s="1813"/>
      <c r="N131" s="1813"/>
      <c r="O131" s="1813"/>
      <c r="P131" s="1813"/>
      <c r="Q131" s="1813"/>
      <c r="R131" s="1813"/>
      <c r="S131" s="1813"/>
      <c r="T131" s="1813"/>
      <c r="U131" s="1813"/>
      <c r="V131" s="1813"/>
      <c r="W131" s="1813"/>
      <c r="X131" s="1813"/>
      <c r="Y131" s="1813"/>
    </row>
    <row r="132" spans="6:25" ht="16.5" customHeight="1">
      <c r="F132" s="1813"/>
      <c r="G132" s="1813"/>
      <c r="H132" s="1813"/>
      <c r="I132" s="1813"/>
      <c r="J132" s="1813"/>
      <c r="K132" s="1813"/>
      <c r="L132" s="1813"/>
      <c r="M132" s="1813"/>
      <c r="N132" s="1813"/>
      <c r="O132" s="1813"/>
      <c r="P132" s="1813"/>
      <c r="Q132" s="1813"/>
      <c r="R132" s="1813"/>
      <c r="S132" s="1813"/>
      <c r="T132" s="1813"/>
      <c r="U132" s="1813"/>
      <c r="V132" s="1813"/>
      <c r="W132" s="1813"/>
      <c r="X132" s="1813"/>
      <c r="Y132" s="1813"/>
    </row>
    <row r="133" spans="6:25" ht="16.5" customHeight="1">
      <c r="F133" s="1813"/>
      <c r="G133" s="1813"/>
      <c r="H133" s="1813"/>
      <c r="I133" s="1813"/>
      <c r="J133" s="1813"/>
      <c r="K133" s="1813"/>
      <c r="L133" s="1813"/>
      <c r="M133" s="1813"/>
      <c r="N133" s="1813"/>
      <c r="O133" s="1813"/>
      <c r="P133" s="1813"/>
      <c r="Q133" s="1813"/>
      <c r="R133" s="1813"/>
      <c r="S133" s="1813"/>
      <c r="T133" s="1813"/>
      <c r="U133" s="1813"/>
      <c r="V133" s="1813"/>
      <c r="W133" s="1813"/>
      <c r="X133" s="1813"/>
      <c r="Y133" s="1813"/>
    </row>
    <row r="134" spans="6:25" ht="16.5" customHeight="1">
      <c r="F134" s="1813"/>
      <c r="G134" s="1813"/>
      <c r="H134" s="1813"/>
      <c r="I134" s="1813"/>
      <c r="J134" s="1813"/>
      <c r="K134" s="1813"/>
      <c r="L134" s="1813"/>
      <c r="M134" s="1813"/>
      <c r="N134" s="1813"/>
      <c r="O134" s="1813"/>
      <c r="P134" s="1813"/>
      <c r="Q134" s="1813"/>
      <c r="R134" s="1813"/>
      <c r="S134" s="1813"/>
      <c r="T134" s="1813"/>
      <c r="U134" s="1813"/>
      <c r="V134" s="1813"/>
      <c r="W134" s="1813"/>
      <c r="X134" s="1813"/>
      <c r="Y134" s="1813"/>
    </row>
    <row r="135" spans="6:25" ht="16.5" customHeight="1">
      <c r="F135" s="1813"/>
      <c r="G135" s="1813"/>
      <c r="H135" s="1813"/>
      <c r="I135" s="1813"/>
      <c r="J135" s="1813"/>
      <c r="K135" s="1813"/>
      <c r="L135" s="1813"/>
      <c r="M135" s="1813"/>
      <c r="N135" s="1813"/>
      <c r="O135" s="1813"/>
      <c r="P135" s="1813"/>
      <c r="Q135" s="1813"/>
      <c r="R135" s="1813"/>
      <c r="S135" s="1813"/>
      <c r="T135" s="1813"/>
      <c r="U135" s="1813"/>
      <c r="V135" s="1813"/>
      <c r="W135" s="1813"/>
      <c r="X135" s="1813"/>
      <c r="Y135" s="1813"/>
    </row>
    <row r="136" spans="6:25" ht="16.5" customHeight="1">
      <c r="F136" s="1813"/>
      <c r="G136" s="1813"/>
      <c r="H136" s="1813"/>
      <c r="I136" s="1813"/>
      <c r="J136" s="1813"/>
      <c r="K136" s="1813"/>
      <c r="L136" s="1813"/>
      <c r="M136" s="1813"/>
      <c r="N136" s="1813"/>
      <c r="O136" s="1813"/>
      <c r="P136" s="1813"/>
      <c r="Q136" s="1813"/>
      <c r="R136" s="1813"/>
      <c r="S136" s="1813"/>
      <c r="T136" s="1813"/>
      <c r="U136" s="1813"/>
      <c r="V136" s="1813"/>
      <c r="W136" s="1813"/>
      <c r="X136" s="1813"/>
      <c r="Y136" s="1813"/>
    </row>
    <row r="137" spans="6:25" ht="16.5" customHeight="1">
      <c r="F137" s="1813"/>
      <c r="G137" s="1813"/>
      <c r="H137" s="1813"/>
      <c r="I137" s="1813"/>
      <c r="J137" s="1813"/>
      <c r="K137" s="1813"/>
      <c r="L137" s="1813"/>
      <c r="M137" s="1813"/>
      <c r="N137" s="1813"/>
      <c r="O137" s="1813"/>
      <c r="P137" s="1813"/>
      <c r="Q137" s="1813"/>
      <c r="R137" s="1813"/>
      <c r="S137" s="1813"/>
      <c r="T137" s="1813"/>
      <c r="U137" s="1813"/>
      <c r="V137" s="1813"/>
      <c r="W137" s="1813"/>
      <c r="X137" s="1813"/>
      <c r="Y137" s="1813"/>
    </row>
    <row r="138" spans="6:25" ht="16.5" customHeight="1">
      <c r="F138" s="1813"/>
      <c r="G138" s="1813"/>
      <c r="H138" s="1813"/>
      <c r="I138" s="1813"/>
      <c r="J138" s="1813"/>
      <c r="K138" s="1813"/>
      <c r="L138" s="1813"/>
      <c r="M138" s="1813"/>
      <c r="N138" s="1813"/>
      <c r="O138" s="1813"/>
      <c r="P138" s="1813"/>
      <c r="Q138" s="1813"/>
      <c r="R138" s="1813"/>
      <c r="S138" s="1813"/>
      <c r="T138" s="1813"/>
      <c r="U138" s="1813"/>
      <c r="V138" s="1813"/>
      <c r="W138" s="1813"/>
      <c r="X138" s="1813"/>
      <c r="Y138" s="1813"/>
    </row>
    <row r="139" spans="6:25" ht="16.5" customHeight="1">
      <c r="F139" s="1813"/>
      <c r="G139" s="1813"/>
      <c r="H139" s="1813"/>
      <c r="I139" s="1813"/>
      <c r="J139" s="1813"/>
      <c r="K139" s="1813"/>
      <c r="L139" s="1813"/>
      <c r="M139" s="1813"/>
      <c r="N139" s="1813"/>
      <c r="O139" s="1813"/>
      <c r="P139" s="1813"/>
      <c r="Q139" s="1813"/>
      <c r="R139" s="1813"/>
      <c r="S139" s="1813"/>
      <c r="T139" s="1813"/>
      <c r="U139" s="1813"/>
      <c r="V139" s="1813"/>
      <c r="W139" s="1813"/>
      <c r="X139" s="1813"/>
      <c r="Y139" s="1813"/>
    </row>
    <row r="140" spans="6:25" ht="16.5" customHeight="1">
      <c r="F140" s="1813"/>
      <c r="G140" s="1813"/>
      <c r="H140" s="1813"/>
      <c r="I140" s="1813"/>
      <c r="J140" s="1813"/>
      <c r="K140" s="1813"/>
      <c r="L140" s="1813"/>
      <c r="M140" s="1813"/>
      <c r="N140" s="1813"/>
      <c r="O140" s="1813"/>
      <c r="P140" s="1813"/>
      <c r="Q140" s="1813"/>
      <c r="R140" s="1813"/>
      <c r="S140" s="1813"/>
      <c r="T140" s="1813"/>
      <c r="U140" s="1813"/>
      <c r="V140" s="1813"/>
      <c r="W140" s="1813"/>
      <c r="X140" s="1813"/>
      <c r="Y140" s="1813"/>
    </row>
    <row r="141" spans="6:25" ht="16.5" customHeight="1">
      <c r="F141" s="1813"/>
      <c r="G141" s="1813"/>
      <c r="H141" s="1813"/>
      <c r="I141" s="1813"/>
      <c r="J141" s="1813"/>
      <c r="K141" s="1813"/>
      <c r="L141" s="1813"/>
      <c r="M141" s="1813"/>
      <c r="N141" s="1813"/>
      <c r="O141" s="1813"/>
      <c r="P141" s="1813"/>
      <c r="Q141" s="1813"/>
      <c r="R141" s="1813"/>
      <c r="S141" s="1813"/>
      <c r="T141" s="1813"/>
      <c r="U141" s="1813"/>
      <c r="V141" s="1813"/>
      <c r="W141" s="1813"/>
      <c r="X141" s="1813"/>
      <c r="Y141" s="1813"/>
    </row>
    <row r="142" spans="6:25" ht="16.5" customHeight="1">
      <c r="F142" s="1813"/>
      <c r="G142" s="1813"/>
      <c r="H142" s="1813"/>
      <c r="I142" s="1813"/>
      <c r="J142" s="1813"/>
      <c r="K142" s="1813"/>
      <c r="L142" s="1813"/>
      <c r="M142" s="1813"/>
      <c r="N142" s="1813"/>
      <c r="O142" s="1813"/>
      <c r="P142" s="1813"/>
      <c r="Q142" s="1813"/>
      <c r="R142" s="1813"/>
      <c r="S142" s="1813"/>
      <c r="T142" s="1813"/>
      <c r="U142" s="1813"/>
      <c r="V142" s="1813"/>
      <c r="W142" s="1813"/>
      <c r="X142" s="1813"/>
      <c r="Y142" s="1813"/>
    </row>
    <row r="143" spans="6:25" ht="16.5" customHeight="1">
      <c r="F143" s="1813"/>
      <c r="G143" s="1813"/>
      <c r="H143" s="1813"/>
      <c r="I143" s="1813"/>
      <c r="J143" s="1813"/>
      <c r="K143" s="1813"/>
      <c r="L143" s="1813"/>
      <c r="M143" s="1813"/>
      <c r="N143" s="1813"/>
      <c r="O143" s="1813"/>
      <c r="P143" s="1813"/>
      <c r="Q143" s="1813"/>
      <c r="R143" s="1813"/>
      <c r="S143" s="1813"/>
      <c r="T143" s="1813"/>
      <c r="U143" s="1813"/>
      <c r="V143" s="1813"/>
      <c r="W143" s="1813"/>
      <c r="X143" s="1813"/>
      <c r="Y143" s="1813"/>
    </row>
    <row r="144" spans="6:25" ht="16.5" customHeight="1">
      <c r="F144" s="1813"/>
      <c r="G144" s="1813"/>
      <c r="H144" s="1813"/>
      <c r="I144" s="1813"/>
      <c r="J144" s="1813"/>
      <c r="K144" s="1813"/>
      <c r="L144" s="1813"/>
      <c r="M144" s="1813"/>
      <c r="N144" s="1813"/>
      <c r="O144" s="1813"/>
      <c r="P144" s="1813"/>
      <c r="Q144" s="1813"/>
      <c r="R144" s="1813"/>
      <c r="S144" s="1813"/>
      <c r="T144" s="1813"/>
      <c r="U144" s="1813"/>
      <c r="V144" s="1813"/>
      <c r="W144" s="1813"/>
      <c r="X144" s="1813"/>
      <c r="Y144" s="1813"/>
    </row>
    <row r="145" spans="6:25" ht="16.5" customHeight="1">
      <c r="F145" s="1813"/>
      <c r="G145" s="1813"/>
      <c r="H145" s="1813"/>
      <c r="I145" s="1813"/>
      <c r="J145" s="1813"/>
      <c r="K145" s="1813"/>
      <c r="L145" s="1813"/>
      <c r="M145" s="1813"/>
      <c r="N145" s="1813"/>
      <c r="O145" s="1813"/>
      <c r="P145" s="1813"/>
      <c r="Q145" s="1813"/>
      <c r="R145" s="1813"/>
      <c r="S145" s="1813"/>
      <c r="T145" s="1813"/>
      <c r="U145" s="1813"/>
      <c r="V145" s="1813"/>
      <c r="W145" s="1813"/>
      <c r="X145" s="1813"/>
      <c r="Y145" s="1813"/>
    </row>
    <row r="146" spans="6:25" ht="16.5" customHeight="1">
      <c r="F146" s="1813"/>
      <c r="G146" s="1813"/>
      <c r="H146" s="1813"/>
      <c r="I146" s="1813"/>
      <c r="J146" s="1813"/>
      <c r="K146" s="1813"/>
      <c r="L146" s="1813"/>
      <c r="M146" s="1813"/>
      <c r="N146" s="1813"/>
      <c r="O146" s="1813"/>
      <c r="P146" s="1813"/>
      <c r="Q146" s="1813"/>
      <c r="R146" s="1813"/>
      <c r="S146" s="1813"/>
      <c r="T146" s="1813"/>
      <c r="U146" s="1813"/>
      <c r="V146" s="1813"/>
      <c r="W146" s="1813"/>
      <c r="X146" s="1813"/>
      <c r="Y146" s="1813"/>
    </row>
    <row r="147" spans="6:25" ht="16.5" customHeight="1">
      <c r="F147" s="1813"/>
      <c r="G147" s="1813"/>
      <c r="H147" s="1813"/>
      <c r="I147" s="1813"/>
      <c r="J147" s="1813"/>
      <c r="K147" s="1813"/>
      <c r="L147" s="1813"/>
      <c r="M147" s="1813"/>
      <c r="N147" s="1813"/>
      <c r="O147" s="1813"/>
      <c r="P147" s="1813"/>
      <c r="Q147" s="1813"/>
      <c r="R147" s="1813"/>
      <c r="S147" s="1813"/>
      <c r="T147" s="1813"/>
      <c r="U147" s="1813"/>
      <c r="V147" s="1813"/>
      <c r="W147" s="1813"/>
      <c r="X147" s="1813"/>
      <c r="Y147" s="1813"/>
    </row>
    <row r="148" spans="6:25" ht="16.5" customHeight="1">
      <c r="F148" s="1813"/>
      <c r="G148" s="1813"/>
      <c r="H148" s="1813"/>
      <c r="I148" s="1813"/>
      <c r="J148" s="1813"/>
      <c r="K148" s="1813"/>
      <c r="L148" s="1813"/>
      <c r="M148" s="1813"/>
      <c r="N148" s="1813"/>
      <c r="O148" s="1813"/>
      <c r="P148" s="1813"/>
      <c r="Q148" s="1813"/>
      <c r="R148" s="1813"/>
      <c r="S148" s="1813"/>
      <c r="T148" s="1813"/>
      <c r="U148" s="1813"/>
      <c r="V148" s="1813"/>
      <c r="W148" s="1813"/>
      <c r="X148" s="1813"/>
      <c r="Y148" s="1813"/>
    </row>
    <row r="149" spans="6:25" ht="16.5" customHeight="1">
      <c r="F149" s="1813"/>
      <c r="G149" s="1813"/>
      <c r="H149" s="1813"/>
      <c r="I149" s="1813"/>
      <c r="J149" s="1813"/>
      <c r="K149" s="1813"/>
      <c r="L149" s="1813"/>
      <c r="M149" s="1813"/>
      <c r="N149" s="1813"/>
      <c r="O149" s="1813"/>
      <c r="P149" s="1813"/>
      <c r="Q149" s="1813"/>
      <c r="R149" s="1813"/>
      <c r="S149" s="1813"/>
      <c r="T149" s="1813"/>
      <c r="U149" s="1813"/>
      <c r="V149" s="1813"/>
      <c r="W149" s="1813"/>
      <c r="X149" s="1813"/>
      <c r="Y149" s="1813"/>
    </row>
    <row r="150" spans="6:25" ht="16.5" customHeight="1">
      <c r="F150" s="1813"/>
      <c r="G150" s="1813"/>
      <c r="H150" s="1813"/>
      <c r="I150" s="1813"/>
      <c r="J150" s="1813"/>
      <c r="K150" s="1813"/>
      <c r="L150" s="1813"/>
      <c r="M150" s="1813"/>
      <c r="N150" s="1813"/>
      <c r="O150" s="1813"/>
      <c r="P150" s="1813"/>
      <c r="Q150" s="1813"/>
      <c r="R150" s="1813"/>
      <c r="S150" s="1813"/>
      <c r="T150" s="1813"/>
      <c r="U150" s="1813"/>
      <c r="V150" s="1813"/>
      <c r="W150" s="1813"/>
      <c r="X150" s="1813"/>
      <c r="Y150" s="1813"/>
    </row>
    <row r="151" spans="6:25" ht="16.5" customHeight="1">
      <c r="F151" s="1813"/>
      <c r="G151" s="1813"/>
      <c r="H151" s="1813"/>
      <c r="I151" s="1813"/>
      <c r="J151" s="1813"/>
      <c r="K151" s="1813"/>
      <c r="L151" s="1813"/>
      <c r="M151" s="1813"/>
      <c r="N151" s="1813"/>
      <c r="O151" s="1813"/>
      <c r="P151" s="1813"/>
      <c r="Q151" s="1813"/>
      <c r="R151" s="1813"/>
      <c r="S151" s="1813"/>
      <c r="T151" s="1813"/>
      <c r="U151" s="1813"/>
      <c r="V151" s="1813"/>
      <c r="W151" s="1813"/>
      <c r="X151" s="1813"/>
      <c r="Y151" s="1813"/>
    </row>
    <row r="152" spans="6:25" ht="16.5" customHeight="1">
      <c r="F152" s="1813"/>
      <c r="G152" s="1813"/>
      <c r="H152" s="1813"/>
      <c r="I152" s="1813"/>
      <c r="J152" s="1813"/>
      <c r="K152" s="1813"/>
      <c r="L152" s="1813"/>
      <c r="M152" s="1813"/>
      <c r="N152" s="1813"/>
      <c r="O152" s="1813"/>
      <c r="P152" s="1813"/>
      <c r="Q152" s="1813"/>
      <c r="R152" s="1813"/>
      <c r="S152" s="1813"/>
      <c r="T152" s="1813"/>
      <c r="U152" s="1813"/>
      <c r="V152" s="1813"/>
      <c r="W152" s="1813"/>
      <c r="X152" s="1813"/>
      <c r="Y152" s="1813"/>
    </row>
    <row r="153" spans="6:25" ht="16.5" customHeight="1">
      <c r="F153" s="1813"/>
      <c r="G153" s="1813"/>
      <c r="H153" s="1813"/>
      <c r="I153" s="1813"/>
      <c r="J153" s="1813"/>
      <c r="K153" s="1813"/>
      <c r="L153" s="1813"/>
      <c r="M153" s="1813"/>
      <c r="N153" s="1813"/>
      <c r="O153" s="1813"/>
      <c r="P153" s="1813"/>
      <c r="Q153" s="1813"/>
      <c r="R153" s="1813"/>
      <c r="S153" s="1813"/>
      <c r="T153" s="1813"/>
      <c r="U153" s="1813"/>
      <c r="V153" s="1813"/>
      <c r="W153" s="1813"/>
      <c r="X153" s="1813"/>
      <c r="Y153" s="1813"/>
    </row>
    <row r="154" spans="6:25" ht="16.5" customHeight="1">
      <c r="F154" s="1813"/>
      <c r="G154" s="1813"/>
      <c r="H154" s="1813"/>
      <c r="I154" s="1813"/>
      <c r="J154" s="1813"/>
      <c r="K154" s="1813"/>
      <c r="L154" s="1813"/>
      <c r="M154" s="1813"/>
      <c r="N154" s="1813"/>
      <c r="O154" s="1813"/>
      <c r="P154" s="1813"/>
      <c r="Q154" s="1813"/>
      <c r="R154" s="1813"/>
      <c r="S154" s="1813"/>
      <c r="T154" s="1813"/>
      <c r="U154" s="1813"/>
      <c r="V154" s="1813"/>
      <c r="W154" s="1813"/>
      <c r="X154" s="1813"/>
      <c r="Y154" s="1813"/>
    </row>
    <row r="155" spans="6:25" ht="16.5" customHeight="1">
      <c r="F155" s="1813"/>
      <c r="G155" s="1813"/>
      <c r="H155" s="1813"/>
      <c r="I155" s="1813"/>
      <c r="J155" s="1813"/>
      <c r="K155" s="1813"/>
      <c r="L155" s="1813"/>
      <c r="M155" s="1813"/>
      <c r="N155" s="1813"/>
      <c r="O155" s="1813"/>
      <c r="P155" s="1813"/>
      <c r="Q155" s="1813"/>
      <c r="R155" s="1813"/>
      <c r="S155" s="1813"/>
      <c r="T155" s="1813"/>
      <c r="U155" s="1813"/>
      <c r="V155" s="1813"/>
      <c r="W155" s="1813"/>
      <c r="X155" s="1813"/>
      <c r="Y155" s="1813"/>
    </row>
  </sheetData>
  <sheetProtection/>
  <printOptions/>
  <pageMargins left="0.43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2"/>
  <headerFooter alignWithMargins="0">
    <oddFooter>&amp;L&amp;"Times New Roman,Normal"&amp;8&amp;Z&amp;F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0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00390625" style="9" customWidth="1"/>
    <col min="9" max="9" width="5.42187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78"/>
      <c r="B2" s="518" t="str">
        <f>+'TOT-1214'!B2</f>
        <v>ANEXO I al Memorándum D.T.E.E. N° 90 /2016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</row>
    <row r="3" s="8" customFormat="1" ht="12.75">
      <c r="A3" s="79"/>
    </row>
    <row r="4" spans="1:4" s="14" customFormat="1" ht="11.25">
      <c r="A4" s="12" t="s">
        <v>2</v>
      </c>
      <c r="B4" s="80"/>
      <c r="C4" s="80"/>
      <c r="D4" s="80"/>
    </row>
    <row r="5" spans="1:4" s="14" customFormat="1" ht="11.25">
      <c r="A5" s="12" t="s">
        <v>3</v>
      </c>
      <c r="B5" s="80"/>
      <c r="C5" s="80"/>
      <c r="D5" s="80"/>
    </row>
    <row r="6" s="8" customFormat="1" ht="13.5" thickBot="1"/>
    <row r="7" spans="2:27" s="8" customFormat="1" ht="13.5" thickTop="1"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440"/>
    </row>
    <row r="8" spans="2:27" s="18" customFormat="1" ht="20.25">
      <c r="B8" s="85"/>
      <c r="C8" s="23"/>
      <c r="D8" s="23"/>
      <c r="F8" s="86" t="s">
        <v>75</v>
      </c>
      <c r="G8" s="51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20"/>
    </row>
    <row r="9" spans="2:27" s="8" customFormat="1" ht="12.75">
      <c r="B9" s="5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55"/>
    </row>
    <row r="10" spans="2:27" s="18" customFormat="1" ht="20.25">
      <c r="B10" s="85"/>
      <c r="C10" s="23"/>
      <c r="D10" s="23"/>
      <c r="F10" s="87" t="s">
        <v>76</v>
      </c>
      <c r="H10" s="521"/>
      <c r="I10" s="522"/>
      <c r="J10" s="522"/>
      <c r="K10" s="522"/>
      <c r="L10" s="522"/>
      <c r="M10" s="522"/>
      <c r="N10" s="522"/>
      <c r="O10" s="522"/>
      <c r="P10" s="522"/>
      <c r="Q10" s="522"/>
      <c r="R10" s="23"/>
      <c r="S10" s="23"/>
      <c r="T10" s="23"/>
      <c r="U10" s="23"/>
      <c r="V10" s="23"/>
      <c r="W10" s="23"/>
      <c r="X10" s="23"/>
      <c r="Y10" s="23"/>
      <c r="Z10" s="23"/>
      <c r="AA10" s="442"/>
    </row>
    <row r="11" spans="2:27" s="8" customFormat="1" ht="16.5" customHeight="1">
      <c r="B11" s="53"/>
      <c r="C11" s="11"/>
      <c r="D11" s="11"/>
      <c r="E11" s="11"/>
      <c r="F11" s="523"/>
      <c r="H11" s="24"/>
      <c r="I11" s="90"/>
      <c r="J11" s="90"/>
      <c r="K11" s="90"/>
      <c r="L11" s="90"/>
      <c r="M11" s="90"/>
      <c r="N11" s="90"/>
      <c r="O11" s="90"/>
      <c r="P11" s="90"/>
      <c r="Q11" s="90"/>
      <c r="R11" s="11"/>
      <c r="S11" s="11"/>
      <c r="T11" s="11"/>
      <c r="U11" s="11"/>
      <c r="V11" s="11"/>
      <c r="W11" s="11"/>
      <c r="X11" s="11"/>
      <c r="Y11" s="11"/>
      <c r="Z11" s="11"/>
      <c r="AA11" s="55"/>
    </row>
    <row r="12" spans="2:27" s="18" customFormat="1" ht="20.25">
      <c r="B12" s="85"/>
      <c r="C12" s="23"/>
      <c r="D12" s="23"/>
      <c r="F12" s="87" t="s">
        <v>77</v>
      </c>
      <c r="H12" s="521"/>
      <c r="I12" s="522"/>
      <c r="J12" s="522"/>
      <c r="K12" s="522"/>
      <c r="L12" s="522"/>
      <c r="M12" s="522"/>
      <c r="N12" s="522"/>
      <c r="O12" s="522"/>
      <c r="P12" s="522"/>
      <c r="Q12" s="522"/>
      <c r="R12" s="23"/>
      <c r="S12" s="23"/>
      <c r="T12" s="23"/>
      <c r="U12" s="23"/>
      <c r="V12" s="23"/>
      <c r="W12" s="23"/>
      <c r="X12" s="23"/>
      <c r="Y12" s="23"/>
      <c r="Z12" s="23"/>
      <c r="AA12" s="442"/>
    </row>
    <row r="13" spans="2:27" s="8" customFormat="1" ht="16.5" customHeight="1">
      <c r="B13" s="53"/>
      <c r="C13" s="11"/>
      <c r="D13" s="11"/>
      <c r="E13" s="11"/>
      <c r="F13" s="523"/>
      <c r="H13" s="24"/>
      <c r="I13" s="90"/>
      <c r="J13" s="90"/>
      <c r="K13" s="90"/>
      <c r="L13" s="90"/>
      <c r="M13" s="90"/>
      <c r="N13" s="90"/>
      <c r="O13" s="90"/>
      <c r="P13" s="90"/>
      <c r="Q13" s="90"/>
      <c r="R13" s="11"/>
      <c r="S13" s="11"/>
      <c r="T13" s="11"/>
      <c r="U13" s="11"/>
      <c r="V13" s="11"/>
      <c r="W13" s="11"/>
      <c r="X13" s="11"/>
      <c r="Y13" s="11"/>
      <c r="Z13" s="11"/>
      <c r="AA13" s="55"/>
    </row>
    <row r="14" spans="2:27" s="34" customFormat="1" ht="16.5" customHeight="1">
      <c r="B14" s="35" t="str">
        <f>'TOT-1214'!B14</f>
        <v>Desde el 01 al 31 de diciembre de 2014</v>
      </c>
      <c r="C14" s="39"/>
      <c r="D14" s="39"/>
      <c r="E14" s="524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4"/>
      <c r="S14" s="524"/>
      <c r="T14" s="524"/>
      <c r="U14" s="524"/>
      <c r="V14" s="524"/>
      <c r="W14" s="524"/>
      <c r="X14" s="524"/>
      <c r="Y14" s="524"/>
      <c r="Z14" s="524"/>
      <c r="AA14" s="526"/>
    </row>
    <row r="15" spans="2:27" s="8" customFormat="1" ht="16.5" customHeight="1" thickBot="1">
      <c r="B15" s="5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55"/>
    </row>
    <row r="16" spans="2:27" s="8" customFormat="1" ht="16.5" customHeight="1" thickBot="1" thickTop="1">
      <c r="B16" s="53"/>
      <c r="C16" s="11"/>
      <c r="D16" s="11"/>
      <c r="E16" s="11"/>
      <c r="F16" s="527" t="s">
        <v>56</v>
      </c>
      <c r="G16" s="275"/>
      <c r="H16" s="311">
        <v>1.193</v>
      </c>
      <c r="I16" s="454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55"/>
    </row>
    <row r="17" spans="2:27" s="8" customFormat="1" ht="16.5" customHeight="1" thickBot="1" thickTop="1">
      <c r="B17" s="53"/>
      <c r="C17" s="11"/>
      <c r="D17" s="11"/>
      <c r="E17" s="11"/>
      <c r="F17" s="528" t="s">
        <v>57</v>
      </c>
      <c r="G17" s="529"/>
      <c r="H17" s="530">
        <v>20</v>
      </c>
      <c r="I17" s="454"/>
      <c r="J17" s="9"/>
      <c r="K17" s="97"/>
      <c r="L17" s="98"/>
      <c r="M17" s="11"/>
      <c r="N17" s="11"/>
      <c r="O17" s="11"/>
      <c r="Q17" s="11"/>
      <c r="R17" s="11"/>
      <c r="S17" s="11"/>
      <c r="T17" s="99"/>
      <c r="U17" s="99"/>
      <c r="V17" s="99"/>
      <c r="W17" s="99"/>
      <c r="X17" s="99"/>
      <c r="Y17" s="99"/>
      <c r="Z17" s="99"/>
      <c r="AA17" s="55"/>
    </row>
    <row r="18" spans="2:27" s="8" customFormat="1" ht="16.5" customHeight="1" thickBot="1" thickTop="1">
      <c r="B18" s="53"/>
      <c r="C18" s="100">
        <v>3</v>
      </c>
      <c r="D18" s="100">
        <v>4</v>
      </c>
      <c r="E18" s="100">
        <v>5</v>
      </c>
      <c r="F18" s="100">
        <v>6</v>
      </c>
      <c r="G18" s="100">
        <v>7</v>
      </c>
      <c r="H18" s="100">
        <v>8</v>
      </c>
      <c r="I18" s="100">
        <v>9</v>
      </c>
      <c r="J18" s="100">
        <v>10</v>
      </c>
      <c r="K18" s="100">
        <v>11</v>
      </c>
      <c r="L18" s="100">
        <v>12</v>
      </c>
      <c r="M18" s="100">
        <v>13</v>
      </c>
      <c r="N18" s="100">
        <v>14</v>
      </c>
      <c r="O18" s="100">
        <v>15</v>
      </c>
      <c r="P18" s="100">
        <v>16</v>
      </c>
      <c r="Q18" s="100">
        <v>17</v>
      </c>
      <c r="R18" s="100">
        <v>18</v>
      </c>
      <c r="S18" s="100">
        <v>19</v>
      </c>
      <c r="T18" s="100">
        <v>20</v>
      </c>
      <c r="U18" s="100">
        <v>21</v>
      </c>
      <c r="V18" s="100">
        <v>22</v>
      </c>
      <c r="W18" s="100">
        <v>23</v>
      </c>
      <c r="X18" s="100">
        <v>24</v>
      </c>
      <c r="Y18" s="100">
        <v>25</v>
      </c>
      <c r="Z18" s="100">
        <v>26</v>
      </c>
      <c r="AA18" s="55"/>
    </row>
    <row r="19" spans="2:27" s="8" customFormat="1" ht="33.75" customHeight="1" thickBot="1" thickTop="1">
      <c r="B19" s="53"/>
      <c r="C19" s="317" t="s">
        <v>28</v>
      </c>
      <c r="D19" s="101" t="s">
        <v>29</v>
      </c>
      <c r="E19" s="101" t="s">
        <v>30</v>
      </c>
      <c r="F19" s="104" t="s">
        <v>58</v>
      </c>
      <c r="G19" s="102" t="s">
        <v>59</v>
      </c>
      <c r="H19" s="531" t="s">
        <v>78</v>
      </c>
      <c r="I19" s="322" t="s">
        <v>35</v>
      </c>
      <c r="J19" s="102" t="s">
        <v>36</v>
      </c>
      <c r="K19" s="102" t="s">
        <v>37</v>
      </c>
      <c r="L19" s="104" t="s">
        <v>38</v>
      </c>
      <c r="M19" s="104" t="s">
        <v>39</v>
      </c>
      <c r="N19" s="109" t="s">
        <v>179</v>
      </c>
      <c r="O19" s="109" t="s">
        <v>40</v>
      </c>
      <c r="P19" s="102" t="s">
        <v>42</v>
      </c>
      <c r="Q19" s="322" t="s">
        <v>34</v>
      </c>
      <c r="R19" s="532" t="s">
        <v>71</v>
      </c>
      <c r="S19" s="533" t="s">
        <v>79</v>
      </c>
      <c r="T19" s="534"/>
      <c r="U19" s="327" t="s">
        <v>80</v>
      </c>
      <c r="V19" s="328"/>
      <c r="W19" s="535" t="s">
        <v>47</v>
      </c>
      <c r="X19" s="326" t="s">
        <v>44</v>
      </c>
      <c r="Y19" s="120" t="s">
        <v>49</v>
      </c>
      <c r="Z19" s="536" t="s">
        <v>50</v>
      </c>
      <c r="AA19" s="55"/>
    </row>
    <row r="20" spans="2:27" s="8" customFormat="1" ht="16.5" customHeight="1" thickTop="1">
      <c r="B20" s="53"/>
      <c r="C20" s="331"/>
      <c r="D20" s="331"/>
      <c r="E20" s="331"/>
      <c r="F20" s="537"/>
      <c r="G20" s="537"/>
      <c r="H20" s="537"/>
      <c r="I20" s="419"/>
      <c r="J20" s="538"/>
      <c r="K20" s="538"/>
      <c r="L20" s="539"/>
      <c r="M20" s="539"/>
      <c r="N20" s="537"/>
      <c r="O20" s="141"/>
      <c r="P20" s="539"/>
      <c r="Q20" s="540"/>
      <c r="R20" s="541"/>
      <c r="S20" s="542"/>
      <c r="T20" s="543"/>
      <c r="U20" s="340"/>
      <c r="V20" s="341"/>
      <c r="W20" s="544"/>
      <c r="X20" s="544"/>
      <c r="Y20" s="545"/>
      <c r="Z20" s="546"/>
      <c r="AA20" s="55"/>
    </row>
    <row r="21" spans="2:27" s="8" customFormat="1" ht="16.5" customHeight="1">
      <c r="B21" s="53"/>
      <c r="C21" s="140"/>
      <c r="D21" s="140"/>
      <c r="E21" s="140"/>
      <c r="F21" s="547"/>
      <c r="G21" s="548"/>
      <c r="H21" s="549"/>
      <c r="I21" s="550"/>
      <c r="J21" s="551"/>
      <c r="K21" s="552"/>
      <c r="L21" s="553"/>
      <c r="M21" s="554"/>
      <c r="N21" s="555"/>
      <c r="O21" s="147"/>
      <c r="P21" s="420"/>
      <c r="Q21" s="556"/>
      <c r="R21" s="557"/>
      <c r="S21" s="558"/>
      <c r="T21" s="559"/>
      <c r="U21" s="353"/>
      <c r="V21" s="354"/>
      <c r="W21" s="560"/>
      <c r="X21" s="560"/>
      <c r="Y21" s="420"/>
      <c r="Z21" s="561"/>
      <c r="AA21" s="55"/>
    </row>
    <row r="22" spans="2:27" s="8" customFormat="1" ht="16.5" customHeight="1">
      <c r="B22" s="53"/>
      <c r="C22" s="140">
        <v>67</v>
      </c>
      <c r="D22" s="140">
        <v>278057</v>
      </c>
      <c r="E22" s="159">
        <v>645</v>
      </c>
      <c r="F22" s="562" t="s">
        <v>274</v>
      </c>
      <c r="G22" s="485" t="s">
        <v>275</v>
      </c>
      <c r="H22" s="563">
        <v>120</v>
      </c>
      <c r="I22" s="362">
        <f aca="true" t="shared" si="0" ref="I22:I34">H22*$H$16</f>
        <v>143.16</v>
      </c>
      <c r="J22" s="488">
        <v>41974</v>
      </c>
      <c r="K22" s="194">
        <v>42005</v>
      </c>
      <c r="L22" s="490">
        <f aca="true" t="shared" si="1" ref="L22:L34">IF(F22="","",(K22-J22)*24)</f>
        <v>744</v>
      </c>
      <c r="M22" s="491">
        <f aca="true" t="shared" si="2" ref="M22:M34">IF(F22="","",ROUND((K22-J22)*24*60,0))</f>
        <v>44640</v>
      </c>
      <c r="N22" s="168" t="s">
        <v>198</v>
      </c>
      <c r="O22" s="1028" t="s">
        <v>257</v>
      </c>
      <c r="P22" s="170" t="str">
        <f aca="true" t="shared" si="3" ref="P22:P34">IF(F22="","",IF(OR(N22="P",N22="RP"),"--","NO"))</f>
        <v>--</v>
      </c>
      <c r="Q22" s="564">
        <f aca="true" t="shared" si="4" ref="Q22:Q34">IF(OR(N22="P",N22="RP"),$H$17/10,$H$17)</f>
        <v>2</v>
      </c>
      <c r="R22" s="565">
        <f aca="true" t="shared" si="5" ref="R22:R34">IF(N22="P",I22*Q22*ROUND(M22/60,2),"--")</f>
        <v>213022.08</v>
      </c>
      <c r="S22" s="558" t="str">
        <f aca="true" t="shared" si="6" ref="S22:S34">IF(AND(N22="F",P22="NO"),I22*Q22,"--")</f>
        <v>--</v>
      </c>
      <c r="T22" s="559" t="str">
        <f aca="true" t="shared" si="7" ref="T22:T34">IF(N22="F",I22*Q22*ROUND(M22/60,2),"--")</f>
        <v>--</v>
      </c>
      <c r="U22" s="373" t="str">
        <f aca="true" t="shared" si="8" ref="U22:U34">IF(AND(N22="R",P22="NO"),I22*Q22*O22/100,"--")</f>
        <v>--</v>
      </c>
      <c r="V22" s="374" t="str">
        <f aca="true" t="shared" si="9" ref="V22:V34">IF(N22="R",I22*Q22*O22/100*ROUND(M22/60,2),"--")</f>
        <v>--</v>
      </c>
      <c r="W22" s="560" t="str">
        <f aca="true" t="shared" si="10" ref="W22:W34">IF(N22="RF",I22*Q22*ROUND(M22/60,2),"--")</f>
        <v>--</v>
      </c>
      <c r="X22" s="422" t="str">
        <f aca="true" t="shared" si="11" ref="X22:X34">IF(N22="RP",I22*Q22*O22/100*ROUND(M22/60,2),"--")</f>
        <v>--</v>
      </c>
      <c r="Y22" s="170" t="s">
        <v>81</v>
      </c>
      <c r="Z22" s="494">
        <f aca="true" t="shared" si="12" ref="Z22:Z34">IF(F22="","",SUM(R22:X22)*IF(Y22="SI",1,2)*IF(AND(O22&lt;&gt;"--",N22="RF"),O22/100,1))</f>
        <v>213022.08</v>
      </c>
      <c r="AA22" s="55"/>
    </row>
    <row r="23" spans="2:27" s="8" customFormat="1" ht="16.5" customHeight="1">
      <c r="B23" s="53"/>
      <c r="C23" s="140">
        <v>68</v>
      </c>
      <c r="D23" s="140">
        <v>282203</v>
      </c>
      <c r="E23" s="140">
        <v>613</v>
      </c>
      <c r="F23" s="562" t="s">
        <v>220</v>
      </c>
      <c r="G23" s="485" t="s">
        <v>258</v>
      </c>
      <c r="H23" s="563">
        <v>150</v>
      </c>
      <c r="I23" s="362">
        <f t="shared" si="0"/>
        <v>178.95000000000002</v>
      </c>
      <c r="J23" s="488">
        <v>41975.90902777778</v>
      </c>
      <c r="K23" s="194">
        <v>41975.93541666667</v>
      </c>
      <c r="L23" s="490">
        <f t="shared" si="1"/>
        <v>0.6333333333022892</v>
      </c>
      <c r="M23" s="491">
        <f t="shared" si="2"/>
        <v>38</v>
      </c>
      <c r="N23" s="168" t="s">
        <v>194</v>
      </c>
      <c r="O23" s="1028" t="s">
        <v>257</v>
      </c>
      <c r="P23" s="170" t="str">
        <f t="shared" si="3"/>
        <v>NO</v>
      </c>
      <c r="Q23" s="564">
        <f t="shared" si="4"/>
        <v>20</v>
      </c>
      <c r="R23" s="565" t="str">
        <f t="shared" si="5"/>
        <v>--</v>
      </c>
      <c r="S23" s="558">
        <f t="shared" si="6"/>
        <v>3579.0000000000005</v>
      </c>
      <c r="T23" s="559">
        <f t="shared" si="7"/>
        <v>2254.7700000000004</v>
      </c>
      <c r="U23" s="373" t="str">
        <f t="shared" si="8"/>
        <v>--</v>
      </c>
      <c r="V23" s="374" t="str">
        <f t="shared" si="9"/>
        <v>--</v>
      </c>
      <c r="W23" s="560" t="str">
        <f t="shared" si="10"/>
        <v>--</v>
      </c>
      <c r="X23" s="422" t="str">
        <f t="shared" si="11"/>
        <v>--</v>
      </c>
      <c r="Y23" s="170" t="s">
        <v>81</v>
      </c>
      <c r="Z23" s="494">
        <f t="shared" si="12"/>
        <v>5833.77</v>
      </c>
      <c r="AA23" s="55"/>
    </row>
    <row r="24" spans="2:27" s="8" customFormat="1" ht="16.5" customHeight="1">
      <c r="B24" s="53"/>
      <c r="C24" s="140">
        <v>69</v>
      </c>
      <c r="D24" s="140">
        <v>282208</v>
      </c>
      <c r="E24" s="140">
        <v>615</v>
      </c>
      <c r="F24" s="562" t="s">
        <v>220</v>
      </c>
      <c r="G24" s="485" t="s">
        <v>259</v>
      </c>
      <c r="H24" s="563">
        <v>150</v>
      </c>
      <c r="I24" s="362">
        <f t="shared" si="0"/>
        <v>178.95000000000002</v>
      </c>
      <c r="J24" s="488">
        <v>41976.92986111111</v>
      </c>
      <c r="K24" s="194">
        <v>41976.989583333336</v>
      </c>
      <c r="L24" s="490">
        <f t="shared" si="1"/>
        <v>1.4333333334652707</v>
      </c>
      <c r="M24" s="491">
        <f t="shared" si="2"/>
        <v>86</v>
      </c>
      <c r="N24" s="168" t="s">
        <v>198</v>
      </c>
      <c r="O24" s="1028" t="s">
        <v>257</v>
      </c>
      <c r="P24" s="170" t="str">
        <f t="shared" si="3"/>
        <v>--</v>
      </c>
      <c r="Q24" s="564">
        <f t="shared" si="4"/>
        <v>2</v>
      </c>
      <c r="R24" s="565">
        <f t="shared" si="5"/>
        <v>511.797</v>
      </c>
      <c r="S24" s="558" t="str">
        <f t="shared" si="6"/>
        <v>--</v>
      </c>
      <c r="T24" s="559" t="str">
        <f t="shared" si="7"/>
        <v>--</v>
      </c>
      <c r="U24" s="373" t="str">
        <f t="shared" si="8"/>
        <v>--</v>
      </c>
      <c r="V24" s="374" t="str">
        <f t="shared" si="9"/>
        <v>--</v>
      </c>
      <c r="W24" s="560" t="str">
        <f t="shared" si="10"/>
        <v>--</v>
      </c>
      <c r="X24" s="422" t="str">
        <f t="shared" si="11"/>
        <v>--</v>
      </c>
      <c r="Y24" s="170" t="s">
        <v>81</v>
      </c>
      <c r="Z24" s="494">
        <f t="shared" si="12"/>
        <v>511.797</v>
      </c>
      <c r="AA24" s="566"/>
    </row>
    <row r="25" spans="2:27" s="8" customFormat="1" ht="16.5" customHeight="1">
      <c r="B25" s="53"/>
      <c r="C25" s="140">
        <v>70</v>
      </c>
      <c r="D25" s="140">
        <v>282210</v>
      </c>
      <c r="E25" s="159">
        <v>3999</v>
      </c>
      <c r="F25" s="562" t="s">
        <v>220</v>
      </c>
      <c r="G25" s="485" t="s">
        <v>260</v>
      </c>
      <c r="H25" s="563">
        <v>150</v>
      </c>
      <c r="I25" s="362">
        <f t="shared" si="0"/>
        <v>178.95000000000002</v>
      </c>
      <c r="J25" s="488">
        <v>41977.8375</v>
      </c>
      <c r="K25" s="194">
        <v>41977.90833333333</v>
      </c>
      <c r="L25" s="490">
        <f t="shared" si="1"/>
        <v>1.6999999999534339</v>
      </c>
      <c r="M25" s="491">
        <f t="shared" si="2"/>
        <v>102</v>
      </c>
      <c r="N25" s="168" t="s">
        <v>198</v>
      </c>
      <c r="O25" s="1028" t="s">
        <v>257</v>
      </c>
      <c r="P25" s="170" t="str">
        <f t="shared" si="3"/>
        <v>--</v>
      </c>
      <c r="Q25" s="564">
        <f t="shared" si="4"/>
        <v>2</v>
      </c>
      <c r="R25" s="565">
        <f t="shared" si="5"/>
        <v>608.4300000000001</v>
      </c>
      <c r="S25" s="558" t="str">
        <f t="shared" si="6"/>
        <v>--</v>
      </c>
      <c r="T25" s="559" t="str">
        <f t="shared" si="7"/>
        <v>--</v>
      </c>
      <c r="U25" s="373" t="str">
        <f t="shared" si="8"/>
        <v>--</v>
      </c>
      <c r="V25" s="374" t="str">
        <f t="shared" si="9"/>
        <v>--</v>
      </c>
      <c r="W25" s="560" t="str">
        <f t="shared" si="10"/>
        <v>--</v>
      </c>
      <c r="X25" s="422" t="str">
        <f t="shared" si="11"/>
        <v>--</v>
      </c>
      <c r="Y25" s="170" t="s">
        <v>81</v>
      </c>
      <c r="Z25" s="494">
        <f t="shared" si="12"/>
        <v>608.4300000000001</v>
      </c>
      <c r="AA25" s="566"/>
    </row>
    <row r="26" spans="2:27" s="8" customFormat="1" ht="16.5" customHeight="1">
      <c r="B26" s="53"/>
      <c r="C26" s="140">
        <v>71</v>
      </c>
      <c r="D26" s="140">
        <v>282212</v>
      </c>
      <c r="E26" s="140">
        <v>1338</v>
      </c>
      <c r="F26" s="562" t="s">
        <v>253</v>
      </c>
      <c r="G26" s="485" t="s">
        <v>261</v>
      </c>
      <c r="H26" s="563">
        <v>150</v>
      </c>
      <c r="I26" s="362">
        <f t="shared" si="0"/>
        <v>178.95000000000002</v>
      </c>
      <c r="J26" s="488">
        <v>41978.586805555555</v>
      </c>
      <c r="K26" s="194">
        <v>41979.42291666667</v>
      </c>
      <c r="L26" s="490">
        <f t="shared" si="1"/>
        <v>20.06666666676756</v>
      </c>
      <c r="M26" s="491">
        <f t="shared" si="2"/>
        <v>1204</v>
      </c>
      <c r="N26" s="168" t="s">
        <v>194</v>
      </c>
      <c r="O26" s="1028" t="s">
        <v>257</v>
      </c>
      <c r="P26" s="170" t="str">
        <f t="shared" si="3"/>
        <v>NO</v>
      </c>
      <c r="Q26" s="564">
        <f t="shared" si="4"/>
        <v>20</v>
      </c>
      <c r="R26" s="565" t="str">
        <f t="shared" si="5"/>
        <v>--</v>
      </c>
      <c r="S26" s="558">
        <f t="shared" si="6"/>
        <v>3579.0000000000005</v>
      </c>
      <c r="T26" s="559">
        <f t="shared" si="7"/>
        <v>71830.53000000001</v>
      </c>
      <c r="U26" s="373" t="str">
        <f t="shared" si="8"/>
        <v>--</v>
      </c>
      <c r="V26" s="374" t="str">
        <f t="shared" si="9"/>
        <v>--</v>
      </c>
      <c r="W26" s="560" t="str">
        <f t="shared" si="10"/>
        <v>--</v>
      </c>
      <c r="X26" s="422" t="str">
        <f t="shared" si="11"/>
        <v>--</v>
      </c>
      <c r="Y26" s="170" t="s">
        <v>81</v>
      </c>
      <c r="Z26" s="494">
        <f t="shared" si="12"/>
        <v>75409.53000000001</v>
      </c>
      <c r="AA26" s="566"/>
    </row>
    <row r="27" spans="2:27" s="8" customFormat="1" ht="16.5" customHeight="1">
      <c r="B27" s="53"/>
      <c r="C27" s="140">
        <v>72</v>
      </c>
      <c r="D27" s="140">
        <v>282226</v>
      </c>
      <c r="E27" s="159">
        <v>1338</v>
      </c>
      <c r="F27" s="562" t="s">
        <v>253</v>
      </c>
      <c r="G27" s="485" t="s">
        <v>261</v>
      </c>
      <c r="H27" s="563">
        <v>150</v>
      </c>
      <c r="I27" s="362">
        <f t="shared" si="0"/>
        <v>178.95000000000002</v>
      </c>
      <c r="J27" s="488">
        <v>41980.03611111111</v>
      </c>
      <c r="K27" s="194">
        <v>41980.8875</v>
      </c>
      <c r="L27" s="490">
        <f t="shared" si="1"/>
        <v>20.43333333323244</v>
      </c>
      <c r="M27" s="491">
        <f t="shared" si="2"/>
        <v>1226</v>
      </c>
      <c r="N27" s="168" t="s">
        <v>194</v>
      </c>
      <c r="O27" s="1028" t="s">
        <v>257</v>
      </c>
      <c r="P27" s="170" t="str">
        <f t="shared" si="3"/>
        <v>NO</v>
      </c>
      <c r="Q27" s="564">
        <f t="shared" si="4"/>
        <v>20</v>
      </c>
      <c r="R27" s="565" t="str">
        <f t="shared" si="5"/>
        <v>--</v>
      </c>
      <c r="S27" s="558">
        <f t="shared" si="6"/>
        <v>3579.0000000000005</v>
      </c>
      <c r="T27" s="559">
        <f t="shared" si="7"/>
        <v>73118.97</v>
      </c>
      <c r="U27" s="373" t="str">
        <f t="shared" si="8"/>
        <v>--</v>
      </c>
      <c r="V27" s="374" t="str">
        <f t="shared" si="9"/>
        <v>--</v>
      </c>
      <c r="W27" s="560" t="str">
        <f t="shared" si="10"/>
        <v>--</v>
      </c>
      <c r="X27" s="422" t="str">
        <f t="shared" si="11"/>
        <v>--</v>
      </c>
      <c r="Y27" s="170" t="s">
        <v>81</v>
      </c>
      <c r="Z27" s="494">
        <f t="shared" si="12"/>
        <v>76697.97</v>
      </c>
      <c r="AA27" s="566"/>
    </row>
    <row r="28" spans="2:27" s="8" customFormat="1" ht="16.5" customHeight="1">
      <c r="B28" s="53"/>
      <c r="C28" s="140">
        <v>73</v>
      </c>
      <c r="D28" s="140">
        <v>282557</v>
      </c>
      <c r="E28" s="159">
        <v>590</v>
      </c>
      <c r="F28" s="562" t="s">
        <v>262</v>
      </c>
      <c r="G28" s="485" t="s">
        <v>263</v>
      </c>
      <c r="H28" s="563">
        <v>245</v>
      </c>
      <c r="I28" s="362">
        <f t="shared" si="0"/>
        <v>292.285</v>
      </c>
      <c r="J28" s="488">
        <v>41983.20625</v>
      </c>
      <c r="K28" s="194">
        <v>41983.444444444445</v>
      </c>
      <c r="L28" s="490">
        <f t="shared" si="1"/>
        <v>5.71666666661622</v>
      </c>
      <c r="M28" s="491">
        <f t="shared" si="2"/>
        <v>343</v>
      </c>
      <c r="N28" s="168" t="s">
        <v>198</v>
      </c>
      <c r="O28" s="1028" t="s">
        <v>257</v>
      </c>
      <c r="P28" s="170" t="str">
        <f t="shared" si="3"/>
        <v>--</v>
      </c>
      <c r="Q28" s="564">
        <f t="shared" si="4"/>
        <v>2</v>
      </c>
      <c r="R28" s="565">
        <f t="shared" si="5"/>
        <v>3343.7404</v>
      </c>
      <c r="S28" s="558" t="str">
        <f t="shared" si="6"/>
        <v>--</v>
      </c>
      <c r="T28" s="559" t="str">
        <f t="shared" si="7"/>
        <v>--</v>
      </c>
      <c r="U28" s="373" t="str">
        <f t="shared" si="8"/>
        <v>--</v>
      </c>
      <c r="V28" s="374" t="str">
        <f t="shared" si="9"/>
        <v>--</v>
      </c>
      <c r="W28" s="560" t="str">
        <f t="shared" si="10"/>
        <v>--</v>
      </c>
      <c r="X28" s="422" t="str">
        <f t="shared" si="11"/>
        <v>--</v>
      </c>
      <c r="Y28" s="170" t="s">
        <v>81</v>
      </c>
      <c r="Z28" s="494">
        <f t="shared" si="12"/>
        <v>3343.7404</v>
      </c>
      <c r="AA28" s="566"/>
    </row>
    <row r="29" spans="2:27" s="8" customFormat="1" ht="16.5" customHeight="1">
      <c r="B29" s="53"/>
      <c r="C29" s="140">
        <v>74</v>
      </c>
      <c r="D29" s="140">
        <v>282558</v>
      </c>
      <c r="E29" s="140">
        <v>589</v>
      </c>
      <c r="F29" s="562" t="s">
        <v>262</v>
      </c>
      <c r="G29" s="485" t="s">
        <v>264</v>
      </c>
      <c r="H29" s="563">
        <v>245</v>
      </c>
      <c r="I29" s="362">
        <f t="shared" si="0"/>
        <v>292.285</v>
      </c>
      <c r="J29" s="488">
        <v>41983.20694444444</v>
      </c>
      <c r="K29" s="194">
        <v>41983.42013888889</v>
      </c>
      <c r="L29" s="490">
        <f t="shared" si="1"/>
        <v>5.116666666755918</v>
      </c>
      <c r="M29" s="491">
        <f t="shared" si="2"/>
        <v>307</v>
      </c>
      <c r="N29" s="168" t="s">
        <v>198</v>
      </c>
      <c r="O29" s="1028" t="s">
        <v>257</v>
      </c>
      <c r="P29" s="170" t="str">
        <f t="shared" si="3"/>
        <v>--</v>
      </c>
      <c r="Q29" s="564">
        <f t="shared" si="4"/>
        <v>2</v>
      </c>
      <c r="R29" s="565">
        <f t="shared" si="5"/>
        <v>2992.9984000000004</v>
      </c>
      <c r="S29" s="558" t="str">
        <f t="shared" si="6"/>
        <v>--</v>
      </c>
      <c r="T29" s="559" t="str">
        <f t="shared" si="7"/>
        <v>--</v>
      </c>
      <c r="U29" s="373" t="str">
        <f t="shared" si="8"/>
        <v>--</v>
      </c>
      <c r="V29" s="374" t="str">
        <f t="shared" si="9"/>
        <v>--</v>
      </c>
      <c r="W29" s="560" t="str">
        <f t="shared" si="10"/>
        <v>--</v>
      </c>
      <c r="X29" s="422" t="str">
        <f t="shared" si="11"/>
        <v>--</v>
      </c>
      <c r="Y29" s="170" t="s">
        <v>81</v>
      </c>
      <c r="Z29" s="494">
        <f t="shared" si="12"/>
        <v>2992.9984000000004</v>
      </c>
      <c r="AA29" s="55"/>
    </row>
    <row r="30" spans="2:27" s="8" customFormat="1" ht="16.5" customHeight="1">
      <c r="B30" s="53"/>
      <c r="C30" s="140">
        <v>75</v>
      </c>
      <c r="D30" s="140">
        <v>282563</v>
      </c>
      <c r="E30" s="159">
        <v>592</v>
      </c>
      <c r="F30" s="562" t="s">
        <v>262</v>
      </c>
      <c r="G30" s="485" t="s">
        <v>265</v>
      </c>
      <c r="H30" s="563">
        <v>245</v>
      </c>
      <c r="I30" s="362">
        <f t="shared" si="0"/>
        <v>292.285</v>
      </c>
      <c r="J30" s="488">
        <v>41984.229166666664</v>
      </c>
      <c r="K30" s="194">
        <v>41984.561111111114</v>
      </c>
      <c r="L30" s="490">
        <f t="shared" si="1"/>
        <v>7.966666666790843</v>
      </c>
      <c r="M30" s="491">
        <f t="shared" si="2"/>
        <v>478</v>
      </c>
      <c r="N30" s="168" t="s">
        <v>198</v>
      </c>
      <c r="O30" s="1028" t="s">
        <v>257</v>
      </c>
      <c r="P30" s="170" t="str">
        <f t="shared" si="3"/>
        <v>--</v>
      </c>
      <c r="Q30" s="564">
        <f t="shared" si="4"/>
        <v>2</v>
      </c>
      <c r="R30" s="565">
        <f t="shared" si="5"/>
        <v>4659.0229</v>
      </c>
      <c r="S30" s="558" t="str">
        <f t="shared" si="6"/>
        <v>--</v>
      </c>
      <c r="T30" s="559" t="str">
        <f t="shared" si="7"/>
        <v>--</v>
      </c>
      <c r="U30" s="373" t="str">
        <f t="shared" si="8"/>
        <v>--</v>
      </c>
      <c r="V30" s="374" t="str">
        <f t="shared" si="9"/>
        <v>--</v>
      </c>
      <c r="W30" s="560" t="str">
        <f t="shared" si="10"/>
        <v>--</v>
      </c>
      <c r="X30" s="422" t="str">
        <f t="shared" si="11"/>
        <v>--</v>
      </c>
      <c r="Y30" s="170" t="s">
        <v>81</v>
      </c>
      <c r="Z30" s="494">
        <f t="shared" si="12"/>
        <v>4659.0229</v>
      </c>
      <c r="AA30" s="55"/>
    </row>
    <row r="31" spans="2:27" s="8" customFormat="1" ht="16.5" customHeight="1">
      <c r="B31" s="53"/>
      <c r="C31" s="140">
        <v>76</v>
      </c>
      <c r="D31" s="140">
        <v>283012</v>
      </c>
      <c r="E31" s="159">
        <v>589</v>
      </c>
      <c r="F31" s="562" t="s">
        <v>262</v>
      </c>
      <c r="G31" s="485" t="s">
        <v>264</v>
      </c>
      <c r="H31" s="563">
        <v>245</v>
      </c>
      <c r="I31" s="362">
        <f t="shared" si="0"/>
        <v>292.285</v>
      </c>
      <c r="J31" s="488">
        <v>41995.20972222222</v>
      </c>
      <c r="K31" s="194">
        <v>41995.64722222222</v>
      </c>
      <c r="L31" s="490">
        <f t="shared" si="1"/>
        <v>10.5</v>
      </c>
      <c r="M31" s="491">
        <f t="shared" si="2"/>
        <v>630</v>
      </c>
      <c r="N31" s="168" t="s">
        <v>198</v>
      </c>
      <c r="O31" s="1028" t="s">
        <v>257</v>
      </c>
      <c r="P31" s="170" t="str">
        <f t="shared" si="3"/>
        <v>--</v>
      </c>
      <c r="Q31" s="564">
        <f t="shared" si="4"/>
        <v>2</v>
      </c>
      <c r="R31" s="565">
        <f t="shared" si="5"/>
        <v>6137.985000000001</v>
      </c>
      <c r="S31" s="558" t="str">
        <f t="shared" si="6"/>
        <v>--</v>
      </c>
      <c r="T31" s="559" t="str">
        <f t="shared" si="7"/>
        <v>--</v>
      </c>
      <c r="U31" s="373" t="str">
        <f t="shared" si="8"/>
        <v>--</v>
      </c>
      <c r="V31" s="374" t="str">
        <f t="shared" si="9"/>
        <v>--</v>
      </c>
      <c r="W31" s="560" t="str">
        <f t="shared" si="10"/>
        <v>--</v>
      </c>
      <c r="X31" s="422" t="str">
        <f t="shared" si="11"/>
        <v>--</v>
      </c>
      <c r="Y31" s="170" t="s">
        <v>81</v>
      </c>
      <c r="Z31" s="494">
        <f t="shared" si="12"/>
        <v>6137.985000000001</v>
      </c>
      <c r="AA31" s="55"/>
    </row>
    <row r="32" spans="2:27" s="8" customFormat="1" ht="16.5" customHeight="1">
      <c r="B32" s="53"/>
      <c r="C32" s="140">
        <v>77</v>
      </c>
      <c r="D32" s="140">
        <v>283016</v>
      </c>
      <c r="E32" s="159">
        <v>588</v>
      </c>
      <c r="F32" s="562" t="s">
        <v>262</v>
      </c>
      <c r="G32" s="485" t="s">
        <v>266</v>
      </c>
      <c r="H32" s="563">
        <v>245</v>
      </c>
      <c r="I32" s="362">
        <f t="shared" si="0"/>
        <v>292.285</v>
      </c>
      <c r="J32" s="488">
        <v>41996.209027777775</v>
      </c>
      <c r="K32" s="194">
        <v>41996.475694444445</v>
      </c>
      <c r="L32" s="490">
        <f t="shared" si="1"/>
        <v>6.400000000081491</v>
      </c>
      <c r="M32" s="491">
        <f t="shared" si="2"/>
        <v>384</v>
      </c>
      <c r="N32" s="168" t="s">
        <v>198</v>
      </c>
      <c r="O32" s="1028" t="s">
        <v>257</v>
      </c>
      <c r="P32" s="170" t="str">
        <f t="shared" si="3"/>
        <v>--</v>
      </c>
      <c r="Q32" s="564">
        <f t="shared" si="4"/>
        <v>2</v>
      </c>
      <c r="R32" s="565">
        <f t="shared" si="5"/>
        <v>3741.2480000000005</v>
      </c>
      <c r="S32" s="558" t="str">
        <f t="shared" si="6"/>
        <v>--</v>
      </c>
      <c r="T32" s="559" t="str">
        <f t="shared" si="7"/>
        <v>--</v>
      </c>
      <c r="U32" s="373" t="str">
        <f t="shared" si="8"/>
        <v>--</v>
      </c>
      <c r="V32" s="374" t="str">
        <f t="shared" si="9"/>
        <v>--</v>
      </c>
      <c r="W32" s="560" t="str">
        <f t="shared" si="10"/>
        <v>--</v>
      </c>
      <c r="X32" s="422" t="str">
        <f t="shared" si="11"/>
        <v>--</v>
      </c>
      <c r="Y32" s="170" t="s">
        <v>81</v>
      </c>
      <c r="Z32" s="494">
        <f t="shared" si="12"/>
        <v>3741.2480000000005</v>
      </c>
      <c r="AA32" s="55"/>
    </row>
    <row r="33" spans="2:27" s="8" customFormat="1" ht="16.5" customHeight="1">
      <c r="B33" s="53"/>
      <c r="C33" s="140">
        <v>78</v>
      </c>
      <c r="D33" s="140">
        <v>283019</v>
      </c>
      <c r="E33" s="140">
        <v>651</v>
      </c>
      <c r="F33" s="562" t="s">
        <v>277</v>
      </c>
      <c r="G33" s="485" t="s">
        <v>276</v>
      </c>
      <c r="H33" s="563">
        <v>120</v>
      </c>
      <c r="I33" s="362">
        <f t="shared" si="0"/>
        <v>143.16</v>
      </c>
      <c r="J33" s="488">
        <v>41996.52361111111</v>
      </c>
      <c r="K33" s="194">
        <v>42004.99930555555</v>
      </c>
      <c r="L33" s="490">
        <f t="shared" si="1"/>
        <v>203.41666666668607</v>
      </c>
      <c r="M33" s="491">
        <f t="shared" si="2"/>
        <v>12205</v>
      </c>
      <c r="N33" s="168" t="s">
        <v>198</v>
      </c>
      <c r="O33" s="1028" t="s">
        <v>257</v>
      </c>
      <c r="P33" s="170" t="str">
        <f t="shared" si="3"/>
        <v>--</v>
      </c>
      <c r="Q33" s="564">
        <f t="shared" si="4"/>
        <v>2</v>
      </c>
      <c r="R33" s="565">
        <f t="shared" si="5"/>
        <v>58243.2144</v>
      </c>
      <c r="S33" s="558" t="str">
        <f t="shared" si="6"/>
        <v>--</v>
      </c>
      <c r="T33" s="559" t="str">
        <f t="shared" si="7"/>
        <v>--</v>
      </c>
      <c r="U33" s="373" t="str">
        <f t="shared" si="8"/>
        <v>--</v>
      </c>
      <c r="V33" s="374" t="str">
        <f t="shared" si="9"/>
        <v>--</v>
      </c>
      <c r="W33" s="560" t="str">
        <f t="shared" si="10"/>
        <v>--</v>
      </c>
      <c r="X33" s="422" t="str">
        <f t="shared" si="11"/>
        <v>--</v>
      </c>
      <c r="Y33" s="170" t="s">
        <v>81</v>
      </c>
      <c r="Z33" s="494">
        <f t="shared" si="12"/>
        <v>58243.2144</v>
      </c>
      <c r="AA33" s="55"/>
    </row>
    <row r="34" spans="2:27" s="8" customFormat="1" ht="16.5" customHeight="1">
      <c r="B34" s="53"/>
      <c r="C34" s="140"/>
      <c r="D34" s="140"/>
      <c r="E34" s="140"/>
      <c r="F34" s="562"/>
      <c r="G34" s="485"/>
      <c r="H34" s="563"/>
      <c r="I34" s="362">
        <f t="shared" si="0"/>
        <v>0</v>
      </c>
      <c r="J34" s="488"/>
      <c r="K34" s="194"/>
      <c r="L34" s="490">
        <f t="shared" si="1"/>
      </c>
      <c r="M34" s="491">
        <f t="shared" si="2"/>
      </c>
      <c r="N34" s="168"/>
      <c r="O34" s="272">
        <f>IF(F34="","","--")</f>
      </c>
      <c r="P34" s="170">
        <f t="shared" si="3"/>
      </c>
      <c r="Q34" s="564">
        <f t="shared" si="4"/>
        <v>20</v>
      </c>
      <c r="R34" s="565" t="str">
        <f t="shared" si="5"/>
        <v>--</v>
      </c>
      <c r="S34" s="558" t="str">
        <f t="shared" si="6"/>
        <v>--</v>
      </c>
      <c r="T34" s="559" t="str">
        <f t="shared" si="7"/>
        <v>--</v>
      </c>
      <c r="U34" s="373" t="str">
        <f t="shared" si="8"/>
        <v>--</v>
      </c>
      <c r="V34" s="374" t="str">
        <f t="shared" si="9"/>
        <v>--</v>
      </c>
      <c r="W34" s="560" t="str">
        <f t="shared" si="10"/>
        <v>--</v>
      </c>
      <c r="X34" s="422" t="str">
        <f t="shared" si="11"/>
        <v>--</v>
      </c>
      <c r="Y34" s="170">
        <f>IF(F34="","","SI")</f>
      </c>
      <c r="Z34" s="494">
        <f t="shared" si="12"/>
      </c>
      <c r="AA34" s="55"/>
    </row>
    <row r="35" spans="2:27" s="8" customFormat="1" ht="16.5" customHeight="1" thickBot="1">
      <c r="B35" s="53"/>
      <c r="C35" s="567"/>
      <c r="D35" s="567"/>
      <c r="E35" s="567"/>
      <c r="F35" s="567"/>
      <c r="G35" s="567"/>
      <c r="H35" s="567"/>
      <c r="I35" s="382"/>
      <c r="J35" s="495"/>
      <c r="K35" s="495"/>
      <c r="L35" s="496"/>
      <c r="M35" s="496"/>
      <c r="N35" s="495"/>
      <c r="O35" s="206"/>
      <c r="P35" s="205"/>
      <c r="Q35" s="568"/>
      <c r="R35" s="569"/>
      <c r="S35" s="570"/>
      <c r="T35" s="571"/>
      <c r="U35" s="394"/>
      <c r="V35" s="395"/>
      <c r="W35" s="572"/>
      <c r="X35" s="572"/>
      <c r="Y35" s="205"/>
      <c r="Z35" s="573"/>
      <c r="AA35" s="55"/>
    </row>
    <row r="36" spans="2:27" s="8" customFormat="1" ht="16.5" customHeight="1" thickBot="1" thickTop="1">
      <c r="B36" s="53"/>
      <c r="C36" s="219" t="s">
        <v>180</v>
      </c>
      <c r="D36" s="261"/>
      <c r="E36" s="219"/>
      <c r="F36" s="221"/>
      <c r="I36" s="11"/>
      <c r="J36" s="11"/>
      <c r="K36" s="11"/>
      <c r="L36" s="11"/>
      <c r="M36" s="11"/>
      <c r="N36" s="11"/>
      <c r="O36" s="11"/>
      <c r="P36" s="11"/>
      <c r="Q36" s="11"/>
      <c r="R36" s="574">
        <f aca="true" t="shared" si="13" ref="R36:X36">SUM(R20:R35)</f>
        <v>293260.5161</v>
      </c>
      <c r="S36" s="575">
        <f t="shared" si="13"/>
        <v>10737.000000000002</v>
      </c>
      <c r="T36" s="576">
        <f t="shared" si="13"/>
        <v>147204.27000000002</v>
      </c>
      <c r="U36" s="404">
        <f t="shared" si="13"/>
        <v>0</v>
      </c>
      <c r="V36" s="405">
        <f t="shared" si="13"/>
        <v>0</v>
      </c>
      <c r="W36" s="577">
        <f t="shared" si="13"/>
        <v>0</v>
      </c>
      <c r="X36" s="577">
        <f t="shared" si="13"/>
        <v>0</v>
      </c>
      <c r="Z36" s="508">
        <f>ROUND(SUM(Z20:Z35),2)</f>
        <v>451201.79</v>
      </c>
      <c r="AA36" s="578"/>
    </row>
    <row r="37" spans="2:27" s="8" customFormat="1" ht="16.5" customHeight="1" thickBot="1" thickTop="1">
      <c r="B37" s="235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7"/>
    </row>
    <row r="38" spans="6:29" ht="16.5" customHeight="1" thickTop="1">
      <c r="F38" s="579"/>
      <c r="G38" s="579"/>
      <c r="H38" s="579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</row>
    <row r="39" spans="6:29" ht="16.5" customHeight="1">
      <c r="F39" s="579"/>
      <c r="G39" s="579"/>
      <c r="H39" s="579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</row>
    <row r="40" spans="6:29" ht="16.5" customHeight="1">
      <c r="F40" s="579"/>
      <c r="G40" s="579"/>
      <c r="H40" s="579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</row>
    <row r="41" spans="6:29" ht="16.5" customHeight="1">
      <c r="F41" s="579"/>
      <c r="G41" s="579"/>
      <c r="H41" s="579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</row>
    <row r="42" spans="6:29" ht="16.5" customHeight="1">
      <c r="F42" s="579"/>
      <c r="G42" s="579"/>
      <c r="H42" s="579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</row>
    <row r="43" spans="6:29" ht="16.5" customHeight="1">
      <c r="F43" s="579"/>
      <c r="G43" s="579"/>
      <c r="H43" s="579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</row>
    <row r="44" spans="6:29" ht="16.5" customHeight="1"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</row>
    <row r="45" spans="6:29" ht="16.5" customHeight="1"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</row>
    <row r="46" spans="6:29" ht="16.5" customHeight="1"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</row>
    <row r="47" spans="6:29" ht="16.5" customHeight="1"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</row>
    <row r="48" spans="6:29" ht="16.5" customHeight="1"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</row>
    <row r="49" spans="6:29" ht="16.5" customHeight="1"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</row>
    <row r="50" spans="6:29" ht="16.5" customHeight="1"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</row>
    <row r="51" spans="6:29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</row>
    <row r="52" spans="6:29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</row>
    <row r="53" spans="6:29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</row>
    <row r="54" spans="6:29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</row>
    <row r="55" spans="6:29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</row>
    <row r="56" spans="6:29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</row>
    <row r="57" spans="6:29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</row>
    <row r="58" spans="6:29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</row>
    <row r="59" spans="6:29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</row>
    <row r="60" spans="6:29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</row>
    <row r="61" spans="6:29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</row>
    <row r="62" spans="6:29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</row>
    <row r="63" spans="6:29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</row>
    <row r="64" spans="6:29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</row>
    <row r="65" spans="6:29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</row>
    <row r="66" spans="6:29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</row>
    <row r="67" spans="6:29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</row>
    <row r="68" spans="6:29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</row>
    <row r="69" spans="6:29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</row>
    <row r="70" spans="6:29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</row>
    <row r="71" spans="6:29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</row>
    <row r="72" spans="6:29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</row>
    <row r="73" spans="6:29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</row>
    <row r="74" spans="6:29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</row>
    <row r="75" spans="6:29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</row>
    <row r="76" spans="6:29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</row>
    <row r="77" spans="6:29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</row>
    <row r="78" spans="6:29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</row>
    <row r="79" spans="6:29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</row>
    <row r="80" spans="6:29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</row>
    <row r="81" spans="6:29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</row>
    <row r="82" spans="6:29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</row>
    <row r="83" spans="6:29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</row>
    <row r="84" spans="6:29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</row>
    <row r="85" spans="6:29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</row>
    <row r="86" spans="6:29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</row>
    <row r="87" spans="6:29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</row>
    <row r="88" spans="6:29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</row>
    <row r="89" spans="6:29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</row>
    <row r="90" spans="6:29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</row>
    <row r="91" spans="6:29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</row>
    <row r="92" spans="6:29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</row>
    <row r="93" spans="6:29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</row>
    <row r="94" spans="6:29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</row>
    <row r="95" spans="6:29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</row>
    <row r="96" spans="6:29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</row>
    <row r="97" spans="6:29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</row>
    <row r="98" spans="6:29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</row>
    <row r="99" spans="6:29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</row>
    <row r="100" spans="6:29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</row>
    <row r="101" spans="6:29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</row>
    <row r="102" spans="6:29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</row>
    <row r="103" spans="6:29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</row>
    <row r="104" spans="6:29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</row>
    <row r="105" spans="6:29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</row>
    <row r="106" spans="6:29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</row>
    <row r="107" spans="6:29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</row>
    <row r="108" spans="6:29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</row>
    <row r="109" spans="6:29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</row>
    <row r="110" spans="6:29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</row>
    <row r="111" spans="6:29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</row>
    <row r="112" spans="6:29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</row>
    <row r="113" spans="6:29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</row>
    <row r="114" spans="6:29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</row>
    <row r="115" spans="6:29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</row>
    <row r="116" spans="6:29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</row>
    <row r="117" spans="6:29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</row>
    <row r="118" spans="6:29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</row>
    <row r="119" spans="6:29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</row>
    <row r="120" spans="6:29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</row>
    <row r="121" spans="6:29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</row>
    <row r="122" spans="6:29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13"/>
    </row>
    <row r="123" spans="6:29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</row>
    <row r="124" spans="6:29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</row>
    <row r="125" spans="6:29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</row>
    <row r="126" spans="6:29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  <c r="AB126" s="413"/>
      <c r="AC126" s="413"/>
    </row>
    <row r="127" spans="6:29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</row>
    <row r="128" spans="6:29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</row>
    <row r="129" spans="6:29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</row>
    <row r="130" spans="6:29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13"/>
    </row>
    <row r="131" spans="6:29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</row>
    <row r="132" spans="6:29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  <c r="AB132" s="413"/>
      <c r="AC132" s="413"/>
    </row>
    <row r="133" spans="6:29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</row>
    <row r="134" spans="6:29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</row>
    <row r="135" spans="6:29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</row>
    <row r="136" spans="6:29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</row>
    <row r="137" spans="6:29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</row>
    <row r="138" spans="6:29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</row>
    <row r="139" spans="6:29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</row>
    <row r="140" spans="6:29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</row>
    <row r="141" spans="6:29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</row>
    <row r="142" spans="6:29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</row>
    <row r="143" spans="6:29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</row>
    <row r="144" spans="6:29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</row>
    <row r="145" spans="6:29" ht="16.5" customHeight="1">
      <c r="F145" s="413"/>
      <c r="G145" s="413"/>
      <c r="H145" s="413"/>
      <c r="AB145" s="413"/>
      <c r="AC145" s="413"/>
    </row>
    <row r="146" spans="6:8" ht="16.5" customHeight="1">
      <c r="F146" s="413"/>
      <c r="G146" s="413"/>
      <c r="H146" s="413"/>
    </row>
    <row r="147" spans="6:8" ht="16.5" customHeight="1">
      <c r="F147" s="413"/>
      <c r="G147" s="413"/>
      <c r="H147" s="413"/>
    </row>
    <row r="148" spans="6:8" ht="16.5" customHeight="1">
      <c r="F148" s="413"/>
      <c r="G148" s="413"/>
      <c r="H148" s="413"/>
    </row>
    <row r="149" spans="6:8" ht="16.5" customHeight="1">
      <c r="F149" s="413"/>
      <c r="G149" s="413"/>
      <c r="H149" s="413"/>
    </row>
    <row r="150" spans="6:8" ht="16.5" customHeight="1">
      <c r="F150" s="413"/>
      <c r="G150" s="413"/>
      <c r="H150" s="413"/>
    </row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8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="75" zoomScaleNormal="75" zoomScalePageLayoutView="0" workbookViewId="0" topLeftCell="F13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00390625" style="9" customWidth="1"/>
    <col min="9" max="9" width="9.5742187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78"/>
      <c r="B2" s="518" t="str">
        <f>'TOT-1214'!B2</f>
        <v>ANEXO I al Memorándum D.T.E.E. N° 90 /2016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</row>
    <row r="3" s="8" customFormat="1" ht="12.75">
      <c r="A3" s="79"/>
    </row>
    <row r="4" spans="1:4" s="14" customFormat="1" ht="11.25">
      <c r="A4" s="12" t="s">
        <v>2</v>
      </c>
      <c r="B4" s="80"/>
      <c r="C4" s="80"/>
      <c r="D4" s="80"/>
    </row>
    <row r="5" spans="1:4" s="14" customFormat="1" ht="11.25">
      <c r="A5" s="12" t="s">
        <v>3</v>
      </c>
      <c r="B5" s="80"/>
      <c r="C5" s="80"/>
      <c r="D5" s="80"/>
    </row>
    <row r="6" s="8" customFormat="1" ht="13.5" thickBot="1"/>
    <row r="7" spans="2:27" s="8" customFormat="1" ht="13.5" thickTop="1"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440"/>
    </row>
    <row r="8" spans="2:27" s="18" customFormat="1" ht="20.25">
      <c r="B8" s="85"/>
      <c r="C8" s="23"/>
      <c r="D8" s="23"/>
      <c r="F8" s="86" t="s">
        <v>75</v>
      </c>
      <c r="G8" s="51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20"/>
    </row>
    <row r="9" spans="2:27" s="8" customFormat="1" ht="12.75">
      <c r="B9" s="5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55"/>
    </row>
    <row r="10" spans="2:27" s="18" customFormat="1" ht="20.25">
      <c r="B10" s="85"/>
      <c r="C10" s="23"/>
      <c r="D10" s="23"/>
      <c r="F10" s="87" t="s">
        <v>76</v>
      </c>
      <c r="H10" s="521"/>
      <c r="I10" s="522"/>
      <c r="J10" s="522"/>
      <c r="K10" s="522"/>
      <c r="L10" s="522"/>
      <c r="M10" s="522"/>
      <c r="N10" s="522"/>
      <c r="O10" s="522"/>
      <c r="P10" s="522"/>
      <c r="Q10" s="522"/>
      <c r="R10" s="23"/>
      <c r="S10" s="23"/>
      <c r="T10" s="23"/>
      <c r="U10" s="23"/>
      <c r="V10" s="23"/>
      <c r="W10" s="23"/>
      <c r="X10" s="23"/>
      <c r="Y10" s="23"/>
      <c r="Z10" s="23"/>
      <c r="AA10" s="442"/>
    </row>
    <row r="11" spans="2:27" s="8" customFormat="1" ht="16.5" customHeight="1">
      <c r="B11" s="53"/>
      <c r="C11" s="11"/>
      <c r="D11" s="11"/>
      <c r="E11" s="11"/>
      <c r="F11" s="523"/>
      <c r="H11" s="24"/>
      <c r="I11" s="90"/>
      <c r="J11" s="90"/>
      <c r="K11" s="90"/>
      <c r="L11" s="90"/>
      <c r="M11" s="90"/>
      <c r="N11" s="90"/>
      <c r="O11" s="90"/>
      <c r="P11" s="90"/>
      <c r="Q11" s="90"/>
      <c r="R11" s="11"/>
      <c r="S11" s="11"/>
      <c r="T11" s="11"/>
      <c r="U11" s="11"/>
      <c r="V11" s="11"/>
      <c r="W11" s="11"/>
      <c r="X11" s="11"/>
      <c r="Y11" s="11"/>
      <c r="Z11" s="11"/>
      <c r="AA11" s="55"/>
    </row>
    <row r="12" spans="2:27" s="18" customFormat="1" ht="20.25">
      <c r="B12" s="85"/>
      <c r="C12" s="23"/>
      <c r="D12" s="23"/>
      <c r="F12" s="87" t="s">
        <v>320</v>
      </c>
      <c r="H12" s="521"/>
      <c r="I12" s="522"/>
      <c r="J12" s="522"/>
      <c r="K12" s="522"/>
      <c r="L12" s="522"/>
      <c r="M12" s="522"/>
      <c r="N12" s="522"/>
      <c r="O12" s="522"/>
      <c r="P12" s="522"/>
      <c r="Q12" s="522"/>
      <c r="R12" s="23"/>
      <c r="S12" s="23"/>
      <c r="T12" s="23"/>
      <c r="U12" s="23"/>
      <c r="V12" s="23"/>
      <c r="W12" s="23"/>
      <c r="X12" s="23"/>
      <c r="Y12" s="23"/>
      <c r="Z12" s="23"/>
      <c r="AA12" s="442"/>
    </row>
    <row r="13" spans="2:27" s="8" customFormat="1" ht="16.5" customHeight="1">
      <c r="B13" s="53"/>
      <c r="C13" s="11"/>
      <c r="D13" s="11"/>
      <c r="E13" s="11"/>
      <c r="F13" s="523"/>
      <c r="H13" s="24"/>
      <c r="I13" s="90"/>
      <c r="J13" s="90"/>
      <c r="K13" s="90"/>
      <c r="L13" s="90"/>
      <c r="M13" s="90"/>
      <c r="N13" s="90"/>
      <c r="O13" s="90"/>
      <c r="P13" s="90"/>
      <c r="Q13" s="90"/>
      <c r="R13" s="11"/>
      <c r="S13" s="11"/>
      <c r="T13" s="11"/>
      <c r="U13" s="11"/>
      <c r="V13" s="11"/>
      <c r="W13" s="11"/>
      <c r="X13" s="11"/>
      <c r="Y13" s="11"/>
      <c r="Z13" s="11"/>
      <c r="AA13" s="55"/>
    </row>
    <row r="14" spans="2:27" s="34" customFormat="1" ht="16.5" customHeight="1">
      <c r="B14" s="35" t="str">
        <f>'TOT-1214'!B14</f>
        <v>Desde el 01 al 31 de diciembre de 2014</v>
      </c>
      <c r="C14" s="39"/>
      <c r="D14" s="39"/>
      <c r="E14" s="524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4"/>
      <c r="S14" s="524"/>
      <c r="T14" s="524"/>
      <c r="U14" s="524"/>
      <c r="V14" s="524"/>
      <c r="W14" s="524"/>
      <c r="X14" s="524"/>
      <c r="Y14" s="524"/>
      <c r="Z14" s="524"/>
      <c r="AA14" s="526"/>
    </row>
    <row r="15" spans="2:27" s="8" customFormat="1" ht="16.5" customHeight="1" thickBot="1">
      <c r="B15" s="5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55"/>
    </row>
    <row r="16" spans="2:27" s="8" customFormat="1" ht="16.5" customHeight="1" thickBot="1" thickTop="1">
      <c r="B16" s="53"/>
      <c r="C16" s="11"/>
      <c r="D16" s="11"/>
      <c r="E16" s="11"/>
      <c r="F16" s="527" t="s">
        <v>56</v>
      </c>
      <c r="G16" s="275"/>
      <c r="H16" s="311">
        <v>0.319</v>
      </c>
      <c r="I16" s="454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55"/>
    </row>
    <row r="17" spans="2:27" s="8" customFormat="1" ht="16.5" customHeight="1" thickBot="1" thickTop="1">
      <c r="B17" s="53"/>
      <c r="C17" s="11"/>
      <c r="D17" s="11"/>
      <c r="E17" s="11"/>
      <c r="F17" s="528" t="s">
        <v>57</v>
      </c>
      <c r="G17" s="529"/>
      <c r="H17" s="530">
        <v>20</v>
      </c>
      <c r="I17" s="454"/>
      <c r="J17" s="9"/>
      <c r="K17" s="97"/>
      <c r="L17" s="98"/>
      <c r="M17" s="11"/>
      <c r="N17" s="11"/>
      <c r="O17" s="11"/>
      <c r="Q17" s="11"/>
      <c r="R17" s="11"/>
      <c r="S17" s="11"/>
      <c r="T17" s="99"/>
      <c r="U17" s="99"/>
      <c r="V17" s="99"/>
      <c r="W17" s="99"/>
      <c r="X17" s="99"/>
      <c r="Y17" s="99"/>
      <c r="Z17" s="99"/>
      <c r="AA17" s="55"/>
    </row>
    <row r="18" spans="2:27" s="8" customFormat="1" ht="16.5" customHeight="1" thickBot="1" thickTop="1">
      <c r="B18" s="53"/>
      <c r="C18" s="100">
        <v>3</v>
      </c>
      <c r="D18" s="100">
        <v>4</v>
      </c>
      <c r="E18" s="100">
        <v>5</v>
      </c>
      <c r="F18" s="100">
        <v>6</v>
      </c>
      <c r="G18" s="100">
        <v>7</v>
      </c>
      <c r="H18" s="100">
        <v>8</v>
      </c>
      <c r="I18" s="100">
        <v>9</v>
      </c>
      <c r="J18" s="100">
        <v>10</v>
      </c>
      <c r="K18" s="100">
        <v>11</v>
      </c>
      <c r="L18" s="100">
        <v>12</v>
      </c>
      <c r="M18" s="100">
        <v>13</v>
      </c>
      <c r="N18" s="100">
        <v>14</v>
      </c>
      <c r="O18" s="100">
        <v>15</v>
      </c>
      <c r="P18" s="100">
        <v>16</v>
      </c>
      <c r="Q18" s="100">
        <v>17</v>
      </c>
      <c r="R18" s="100">
        <v>18</v>
      </c>
      <c r="S18" s="100">
        <v>19</v>
      </c>
      <c r="T18" s="100">
        <v>20</v>
      </c>
      <c r="U18" s="100">
        <v>21</v>
      </c>
      <c r="V18" s="100">
        <v>22</v>
      </c>
      <c r="W18" s="100">
        <v>23</v>
      </c>
      <c r="X18" s="100">
        <v>24</v>
      </c>
      <c r="Y18" s="100">
        <v>25</v>
      </c>
      <c r="Z18" s="100">
        <v>26</v>
      </c>
      <c r="AA18" s="55"/>
    </row>
    <row r="19" spans="2:27" s="8" customFormat="1" ht="33.75" customHeight="1" thickBot="1" thickTop="1">
      <c r="B19" s="53"/>
      <c r="C19" s="317" t="s">
        <v>28</v>
      </c>
      <c r="D19" s="101" t="s">
        <v>29</v>
      </c>
      <c r="E19" s="101" t="s">
        <v>30</v>
      </c>
      <c r="F19" s="104" t="s">
        <v>58</v>
      </c>
      <c r="G19" s="102" t="s">
        <v>59</v>
      </c>
      <c r="H19" s="531" t="s">
        <v>78</v>
      </c>
      <c r="I19" s="531" t="s">
        <v>35</v>
      </c>
      <c r="J19" s="102" t="s">
        <v>36</v>
      </c>
      <c r="K19" s="102" t="s">
        <v>37</v>
      </c>
      <c r="L19" s="104" t="s">
        <v>38</v>
      </c>
      <c r="M19" s="104" t="s">
        <v>39</v>
      </c>
      <c r="N19" s="109" t="s">
        <v>179</v>
      </c>
      <c r="O19" s="109" t="s">
        <v>40</v>
      </c>
      <c r="P19" s="102" t="s">
        <v>42</v>
      </c>
      <c r="Q19" s="322" t="s">
        <v>34</v>
      </c>
      <c r="R19" s="532" t="s">
        <v>71</v>
      </c>
      <c r="S19" s="533" t="s">
        <v>79</v>
      </c>
      <c r="T19" s="534"/>
      <c r="U19" s="327" t="s">
        <v>80</v>
      </c>
      <c r="V19" s="328"/>
      <c r="W19" s="535" t="s">
        <v>47</v>
      </c>
      <c r="X19" s="326" t="s">
        <v>44</v>
      </c>
      <c r="Y19" s="120" t="s">
        <v>49</v>
      </c>
      <c r="Z19" s="536" t="s">
        <v>50</v>
      </c>
      <c r="AA19" s="55"/>
    </row>
    <row r="20" spans="2:27" s="8" customFormat="1" ht="16.5" customHeight="1" thickTop="1">
      <c r="B20" s="53"/>
      <c r="C20" s="331"/>
      <c r="D20" s="331"/>
      <c r="E20" s="331"/>
      <c r="F20" s="537"/>
      <c r="G20" s="537"/>
      <c r="H20" s="537"/>
      <c r="I20" s="537"/>
      <c r="J20" s="538"/>
      <c r="K20" s="538"/>
      <c r="L20" s="539"/>
      <c r="M20" s="539"/>
      <c r="N20" s="537"/>
      <c r="O20" s="141"/>
      <c r="P20" s="539"/>
      <c r="Q20" s="540"/>
      <c r="R20" s="541"/>
      <c r="S20" s="542"/>
      <c r="T20" s="543"/>
      <c r="U20" s="340"/>
      <c r="V20" s="341"/>
      <c r="W20" s="544"/>
      <c r="X20" s="544"/>
      <c r="Y20" s="545"/>
      <c r="Z20" s="546"/>
      <c r="AA20" s="55"/>
    </row>
    <row r="21" spans="2:27" s="8" customFormat="1" ht="16.5" customHeight="1">
      <c r="B21" s="53"/>
      <c r="C21" s="140"/>
      <c r="D21" s="140"/>
      <c r="E21" s="140"/>
      <c r="F21" s="547"/>
      <c r="G21" s="548"/>
      <c r="H21" s="549"/>
      <c r="I21" s="549"/>
      <c r="J21" s="551"/>
      <c r="K21" s="552"/>
      <c r="L21" s="553"/>
      <c r="M21" s="554"/>
      <c r="N21" s="555"/>
      <c r="O21" s="147"/>
      <c r="P21" s="420"/>
      <c r="Q21" s="556"/>
      <c r="R21" s="557"/>
      <c r="S21" s="558"/>
      <c r="T21" s="559"/>
      <c r="U21" s="353"/>
      <c r="V21" s="354"/>
      <c r="W21" s="560"/>
      <c r="X21" s="560"/>
      <c r="Y21" s="420"/>
      <c r="Z21" s="561"/>
      <c r="AA21" s="55"/>
    </row>
    <row r="22" spans="2:27" s="8" customFormat="1" ht="16.5" customHeight="1">
      <c r="B22" s="53"/>
      <c r="C22" s="140">
        <v>79</v>
      </c>
      <c r="D22" s="140">
        <v>282215</v>
      </c>
      <c r="E22" s="159">
        <v>2672</v>
      </c>
      <c r="F22" s="562" t="s">
        <v>307</v>
      </c>
      <c r="G22" s="485" t="s">
        <v>309</v>
      </c>
      <c r="H22" s="563">
        <v>80</v>
      </c>
      <c r="I22" s="563">
        <f aca="true" t="shared" si="0" ref="I22:I41">H22*$H$16</f>
        <v>25.52</v>
      </c>
      <c r="J22" s="488">
        <v>41978.77847222222</v>
      </c>
      <c r="K22" s="194">
        <v>41983.69305555555</v>
      </c>
      <c r="L22" s="490">
        <f aca="true" t="shared" si="1" ref="L22:L41">IF(F22="","",(K22-J22)*24)</f>
        <v>117.94999999995343</v>
      </c>
      <c r="M22" s="491">
        <f aca="true" t="shared" si="2" ref="M22:M41">IF(F22="","",ROUND((K22-J22)*24*60,0))</f>
        <v>7077</v>
      </c>
      <c r="N22" s="168" t="s">
        <v>194</v>
      </c>
      <c r="O22" s="272" t="str">
        <f aca="true" t="shared" si="3" ref="O22:O41">IF(F22="","","--")</f>
        <v>--</v>
      </c>
      <c r="P22" s="170" t="str">
        <f aca="true" t="shared" si="4" ref="P22:P41">IF(F22="","",IF(OR(N22="P",N22="RP"),"--","NO"))</f>
        <v>NO</v>
      </c>
      <c r="Q22" s="564">
        <f aca="true" t="shared" si="5" ref="Q22:Q41">IF(OR(N22="P",N22="RP"),$H$17/10,$H$17)</f>
        <v>20</v>
      </c>
      <c r="R22" s="565" t="str">
        <f aca="true" t="shared" si="6" ref="R22:R41">IF(N22="P",I22*Q22*ROUND(M22/60,2),"--")</f>
        <v>--</v>
      </c>
      <c r="S22" s="558">
        <f aca="true" t="shared" si="7" ref="S22:S41">IF(AND(N22="F",P22="NO"),I22*Q22,"--")</f>
        <v>510.4</v>
      </c>
      <c r="T22" s="559">
        <f aca="true" t="shared" si="8" ref="T22:T41">IF(N22="F",I22*Q22*ROUND(M22/60,2),"--")</f>
        <v>60201.68</v>
      </c>
      <c r="U22" s="373" t="str">
        <f aca="true" t="shared" si="9" ref="U22:U41">IF(AND(N22="R",P22="NO"),I22*Q22*O22/100,"--")</f>
        <v>--</v>
      </c>
      <c r="V22" s="374" t="str">
        <f aca="true" t="shared" si="10" ref="V22:V41">IF(N22="R",I22*Q22*O22/100*ROUND(M22/60,2),"--")</f>
        <v>--</v>
      </c>
      <c r="W22" s="560" t="str">
        <f aca="true" t="shared" si="11" ref="W22:W41">IF(N22="RF",I22*Q22*ROUND(M22/60,2),"--")</f>
        <v>--</v>
      </c>
      <c r="X22" s="422" t="str">
        <f aca="true" t="shared" si="12" ref="X22:X41">IF(N22="RP",I22*Q22*O22/100*ROUND(M22/60,2),"--")</f>
        <v>--</v>
      </c>
      <c r="Y22" s="170" t="s">
        <v>81</v>
      </c>
      <c r="Z22" s="494">
        <f aca="true" t="shared" si="13" ref="Z22:Z41">IF(F22="","",SUM(R22:X22)*IF(Y22="SI",1,2)*IF(AND(O22&lt;&gt;"--",N22="RF"),O22/100,1))</f>
        <v>60712.08</v>
      </c>
      <c r="AA22" s="566"/>
    </row>
    <row r="23" spans="2:27" s="8" customFormat="1" ht="16.5" customHeight="1">
      <c r="B23" s="53"/>
      <c r="C23" s="140">
        <v>80</v>
      </c>
      <c r="D23" s="140">
        <v>282562</v>
      </c>
      <c r="E23" s="159">
        <v>2672</v>
      </c>
      <c r="F23" s="562" t="s">
        <v>307</v>
      </c>
      <c r="G23" s="485" t="s">
        <v>309</v>
      </c>
      <c r="H23" s="563">
        <v>80</v>
      </c>
      <c r="I23" s="563">
        <f t="shared" si="0"/>
        <v>25.52</v>
      </c>
      <c r="J23" s="488">
        <v>41983.69375</v>
      </c>
      <c r="K23" s="194">
        <v>42004.99930555556</v>
      </c>
      <c r="L23" s="490">
        <f t="shared" si="1"/>
        <v>511.33333333348855</v>
      </c>
      <c r="M23" s="491">
        <f t="shared" si="2"/>
        <v>30680</v>
      </c>
      <c r="N23" s="168" t="s">
        <v>198</v>
      </c>
      <c r="O23" s="272" t="str">
        <f t="shared" si="3"/>
        <v>--</v>
      </c>
      <c r="P23" s="170" t="str">
        <f t="shared" si="4"/>
        <v>--</v>
      </c>
      <c r="Q23" s="564">
        <f t="shared" si="5"/>
        <v>2</v>
      </c>
      <c r="R23" s="565">
        <f t="shared" si="6"/>
        <v>26098.283199999998</v>
      </c>
      <c r="S23" s="558" t="str">
        <f t="shared" si="7"/>
        <v>--</v>
      </c>
      <c r="T23" s="559" t="str">
        <f t="shared" si="8"/>
        <v>--</v>
      </c>
      <c r="U23" s="373" t="str">
        <f t="shared" si="9"/>
        <v>--</v>
      </c>
      <c r="V23" s="374" t="str">
        <f t="shared" si="10"/>
        <v>--</v>
      </c>
      <c r="W23" s="560" t="str">
        <f t="shared" si="11"/>
        <v>--</v>
      </c>
      <c r="X23" s="422" t="str">
        <f t="shared" si="12"/>
        <v>--</v>
      </c>
      <c r="Y23" s="170" t="str">
        <f aca="true" t="shared" si="14" ref="Y23:Y41">IF(F23="","","SI")</f>
        <v>SI</v>
      </c>
      <c r="Z23" s="494">
        <f t="shared" si="13"/>
        <v>26098.283199999998</v>
      </c>
      <c r="AA23" s="566"/>
    </row>
    <row r="24" spans="2:27" s="8" customFormat="1" ht="16.5" customHeight="1">
      <c r="B24" s="53"/>
      <c r="C24" s="140">
        <v>81</v>
      </c>
      <c r="D24" s="140">
        <v>282796</v>
      </c>
      <c r="E24" s="159">
        <v>668</v>
      </c>
      <c r="F24" s="562" t="s">
        <v>311</v>
      </c>
      <c r="G24" s="485" t="s">
        <v>310</v>
      </c>
      <c r="H24" s="563">
        <v>80</v>
      </c>
      <c r="I24" s="563">
        <f t="shared" si="0"/>
        <v>25.52</v>
      </c>
      <c r="J24" s="488">
        <v>41994.27361111111</v>
      </c>
      <c r="K24" s="194">
        <v>41994.600694444445</v>
      </c>
      <c r="L24" s="490">
        <f t="shared" si="1"/>
        <v>7.850000000093132</v>
      </c>
      <c r="M24" s="491">
        <f t="shared" si="2"/>
        <v>471</v>
      </c>
      <c r="N24" s="168" t="s">
        <v>194</v>
      </c>
      <c r="O24" s="272" t="str">
        <f t="shared" si="3"/>
        <v>--</v>
      </c>
      <c r="P24" s="170" t="str">
        <f t="shared" si="4"/>
        <v>NO</v>
      </c>
      <c r="Q24" s="564">
        <f t="shared" si="5"/>
        <v>20</v>
      </c>
      <c r="R24" s="565" t="str">
        <f t="shared" si="6"/>
        <v>--</v>
      </c>
      <c r="S24" s="558">
        <f t="shared" si="7"/>
        <v>510.4</v>
      </c>
      <c r="T24" s="559">
        <f t="shared" si="8"/>
        <v>4006.6399999999994</v>
      </c>
      <c r="U24" s="373" t="str">
        <f t="shared" si="9"/>
        <v>--</v>
      </c>
      <c r="V24" s="374" t="str">
        <f t="shared" si="10"/>
        <v>--</v>
      </c>
      <c r="W24" s="560" t="str">
        <f t="shared" si="11"/>
        <v>--</v>
      </c>
      <c r="X24" s="422" t="str">
        <f t="shared" si="12"/>
        <v>--</v>
      </c>
      <c r="Y24" s="170" t="str">
        <f t="shared" si="14"/>
        <v>SI</v>
      </c>
      <c r="Z24" s="494">
        <f t="shared" si="13"/>
        <v>4517.039999999999</v>
      </c>
      <c r="AA24" s="566"/>
    </row>
    <row r="25" spans="2:27" s="8" customFormat="1" ht="16.5" customHeight="1">
      <c r="B25" s="53"/>
      <c r="C25" s="140"/>
      <c r="D25" s="140"/>
      <c r="E25" s="140"/>
      <c r="F25" s="562"/>
      <c r="G25" s="485"/>
      <c r="H25" s="563"/>
      <c r="I25" s="563">
        <f t="shared" si="0"/>
        <v>0</v>
      </c>
      <c r="J25" s="488"/>
      <c r="K25" s="194"/>
      <c r="L25" s="490">
        <f t="shared" si="1"/>
      </c>
      <c r="M25" s="491">
        <f t="shared" si="2"/>
      </c>
      <c r="N25" s="168"/>
      <c r="O25" s="272">
        <f t="shared" si="3"/>
      </c>
      <c r="P25" s="170">
        <f t="shared" si="4"/>
      </c>
      <c r="Q25" s="564">
        <f t="shared" si="5"/>
        <v>20</v>
      </c>
      <c r="R25" s="565" t="str">
        <f t="shared" si="6"/>
        <v>--</v>
      </c>
      <c r="S25" s="558" t="str">
        <f t="shared" si="7"/>
        <v>--</v>
      </c>
      <c r="T25" s="559" t="str">
        <f t="shared" si="8"/>
        <v>--</v>
      </c>
      <c r="U25" s="373" t="str">
        <f t="shared" si="9"/>
        <v>--</v>
      </c>
      <c r="V25" s="374" t="str">
        <f t="shared" si="10"/>
        <v>--</v>
      </c>
      <c r="W25" s="560" t="str">
        <f t="shared" si="11"/>
        <v>--</v>
      </c>
      <c r="X25" s="422" t="str">
        <f t="shared" si="12"/>
        <v>--</v>
      </c>
      <c r="Y25" s="170">
        <f t="shared" si="14"/>
      </c>
      <c r="Z25" s="494">
        <f t="shared" si="13"/>
      </c>
      <c r="AA25" s="566"/>
    </row>
    <row r="26" spans="2:27" s="8" customFormat="1" ht="16.5" customHeight="1">
      <c r="B26" s="53"/>
      <c r="C26" s="140"/>
      <c r="D26" s="140"/>
      <c r="E26" s="159"/>
      <c r="F26" s="562"/>
      <c r="G26" s="485"/>
      <c r="H26" s="563"/>
      <c r="I26" s="563">
        <f t="shared" si="0"/>
        <v>0</v>
      </c>
      <c r="J26" s="488"/>
      <c r="K26" s="194"/>
      <c r="L26" s="490">
        <f t="shared" si="1"/>
      </c>
      <c r="M26" s="491">
        <f t="shared" si="2"/>
      </c>
      <c r="N26" s="168"/>
      <c r="O26" s="272">
        <f t="shared" si="3"/>
      </c>
      <c r="P26" s="170">
        <f t="shared" si="4"/>
      </c>
      <c r="Q26" s="564">
        <f t="shared" si="5"/>
        <v>20</v>
      </c>
      <c r="R26" s="565" t="str">
        <f t="shared" si="6"/>
        <v>--</v>
      </c>
      <c r="S26" s="558" t="str">
        <f t="shared" si="7"/>
        <v>--</v>
      </c>
      <c r="T26" s="559" t="str">
        <f t="shared" si="8"/>
        <v>--</v>
      </c>
      <c r="U26" s="373" t="str">
        <f t="shared" si="9"/>
        <v>--</v>
      </c>
      <c r="V26" s="374" t="str">
        <f t="shared" si="10"/>
        <v>--</v>
      </c>
      <c r="W26" s="560" t="str">
        <f t="shared" si="11"/>
        <v>--</v>
      </c>
      <c r="X26" s="422" t="str">
        <f t="shared" si="12"/>
        <v>--</v>
      </c>
      <c r="Y26" s="170">
        <f t="shared" si="14"/>
      </c>
      <c r="Z26" s="494">
        <f t="shared" si="13"/>
      </c>
      <c r="AA26" s="566"/>
    </row>
    <row r="27" spans="2:27" s="8" customFormat="1" ht="16.5" customHeight="1">
      <c r="B27" s="53"/>
      <c r="C27" s="140"/>
      <c r="D27" s="140"/>
      <c r="E27" s="140"/>
      <c r="F27" s="562"/>
      <c r="G27" s="485"/>
      <c r="H27" s="563"/>
      <c r="I27" s="563">
        <f t="shared" si="0"/>
        <v>0</v>
      </c>
      <c r="J27" s="488"/>
      <c r="K27" s="194"/>
      <c r="L27" s="490">
        <f t="shared" si="1"/>
      </c>
      <c r="M27" s="491">
        <f t="shared" si="2"/>
      </c>
      <c r="N27" s="168"/>
      <c r="O27" s="272">
        <f t="shared" si="3"/>
      </c>
      <c r="P27" s="170">
        <f t="shared" si="4"/>
      </c>
      <c r="Q27" s="564">
        <f t="shared" si="5"/>
        <v>20</v>
      </c>
      <c r="R27" s="565" t="str">
        <f t="shared" si="6"/>
        <v>--</v>
      </c>
      <c r="S27" s="558" t="str">
        <f t="shared" si="7"/>
        <v>--</v>
      </c>
      <c r="T27" s="559" t="str">
        <f t="shared" si="8"/>
        <v>--</v>
      </c>
      <c r="U27" s="373" t="str">
        <f t="shared" si="9"/>
        <v>--</v>
      </c>
      <c r="V27" s="374" t="str">
        <f t="shared" si="10"/>
        <v>--</v>
      </c>
      <c r="W27" s="560" t="str">
        <f t="shared" si="11"/>
        <v>--</v>
      </c>
      <c r="X27" s="422" t="str">
        <f t="shared" si="12"/>
        <v>--</v>
      </c>
      <c r="Y27" s="170">
        <f t="shared" si="14"/>
      </c>
      <c r="Z27" s="494">
        <f t="shared" si="13"/>
      </c>
      <c r="AA27" s="566"/>
    </row>
    <row r="28" spans="2:27" s="8" customFormat="1" ht="16.5" customHeight="1">
      <c r="B28" s="53"/>
      <c r="C28" s="140"/>
      <c r="D28" s="140"/>
      <c r="E28" s="159"/>
      <c r="F28" s="562"/>
      <c r="G28" s="485"/>
      <c r="H28" s="563"/>
      <c r="I28" s="563">
        <f t="shared" si="0"/>
        <v>0</v>
      </c>
      <c r="J28" s="488"/>
      <c r="K28" s="194"/>
      <c r="L28" s="490">
        <f t="shared" si="1"/>
      </c>
      <c r="M28" s="491">
        <f t="shared" si="2"/>
      </c>
      <c r="N28" s="168"/>
      <c r="O28" s="272">
        <f t="shared" si="3"/>
      </c>
      <c r="P28" s="170">
        <f t="shared" si="4"/>
      </c>
      <c r="Q28" s="564">
        <f t="shared" si="5"/>
        <v>20</v>
      </c>
      <c r="R28" s="565" t="str">
        <f t="shared" si="6"/>
        <v>--</v>
      </c>
      <c r="S28" s="558" t="str">
        <f t="shared" si="7"/>
        <v>--</v>
      </c>
      <c r="T28" s="559" t="str">
        <f t="shared" si="8"/>
        <v>--</v>
      </c>
      <c r="U28" s="373" t="str">
        <f t="shared" si="9"/>
        <v>--</v>
      </c>
      <c r="V28" s="374" t="str">
        <f t="shared" si="10"/>
        <v>--</v>
      </c>
      <c r="W28" s="560" t="str">
        <f t="shared" si="11"/>
        <v>--</v>
      </c>
      <c r="X28" s="422" t="str">
        <f t="shared" si="12"/>
        <v>--</v>
      </c>
      <c r="Y28" s="170">
        <f t="shared" si="14"/>
      </c>
      <c r="Z28" s="494">
        <f t="shared" si="13"/>
      </c>
      <c r="AA28" s="566"/>
    </row>
    <row r="29" spans="2:27" s="8" customFormat="1" ht="16.5" customHeight="1">
      <c r="B29" s="53"/>
      <c r="C29" s="140"/>
      <c r="D29" s="140"/>
      <c r="E29" s="140"/>
      <c r="F29" s="562"/>
      <c r="G29" s="485"/>
      <c r="H29" s="563"/>
      <c r="I29" s="563">
        <f t="shared" si="0"/>
        <v>0</v>
      </c>
      <c r="J29" s="488"/>
      <c r="K29" s="194"/>
      <c r="L29" s="490">
        <f t="shared" si="1"/>
      </c>
      <c r="M29" s="491">
        <f t="shared" si="2"/>
      </c>
      <c r="N29" s="168"/>
      <c r="O29" s="272">
        <f t="shared" si="3"/>
      </c>
      <c r="P29" s="170">
        <f t="shared" si="4"/>
      </c>
      <c r="Q29" s="564">
        <f t="shared" si="5"/>
        <v>20</v>
      </c>
      <c r="R29" s="565" t="str">
        <f t="shared" si="6"/>
        <v>--</v>
      </c>
      <c r="S29" s="558" t="str">
        <f t="shared" si="7"/>
        <v>--</v>
      </c>
      <c r="T29" s="559" t="str">
        <f t="shared" si="8"/>
        <v>--</v>
      </c>
      <c r="U29" s="373" t="str">
        <f t="shared" si="9"/>
        <v>--</v>
      </c>
      <c r="V29" s="374" t="str">
        <f t="shared" si="10"/>
        <v>--</v>
      </c>
      <c r="W29" s="560" t="str">
        <f t="shared" si="11"/>
        <v>--</v>
      </c>
      <c r="X29" s="422" t="str">
        <f t="shared" si="12"/>
        <v>--</v>
      </c>
      <c r="Y29" s="170">
        <f t="shared" si="14"/>
      </c>
      <c r="Z29" s="494">
        <f t="shared" si="13"/>
      </c>
      <c r="AA29" s="566"/>
    </row>
    <row r="30" spans="2:27" s="8" customFormat="1" ht="16.5" customHeight="1">
      <c r="B30" s="53"/>
      <c r="C30" s="140"/>
      <c r="D30" s="140"/>
      <c r="E30" s="159"/>
      <c r="F30" s="562"/>
      <c r="G30" s="485"/>
      <c r="H30" s="563"/>
      <c r="I30" s="563">
        <f t="shared" si="0"/>
        <v>0</v>
      </c>
      <c r="J30" s="488"/>
      <c r="K30" s="194"/>
      <c r="L30" s="490">
        <f t="shared" si="1"/>
      </c>
      <c r="M30" s="491">
        <f t="shared" si="2"/>
      </c>
      <c r="N30" s="168"/>
      <c r="O30" s="272">
        <f t="shared" si="3"/>
      </c>
      <c r="P30" s="170">
        <f t="shared" si="4"/>
      </c>
      <c r="Q30" s="564">
        <f t="shared" si="5"/>
        <v>20</v>
      </c>
      <c r="R30" s="565" t="str">
        <f t="shared" si="6"/>
        <v>--</v>
      </c>
      <c r="S30" s="558" t="str">
        <f t="shared" si="7"/>
        <v>--</v>
      </c>
      <c r="T30" s="559" t="str">
        <f t="shared" si="8"/>
        <v>--</v>
      </c>
      <c r="U30" s="373" t="str">
        <f t="shared" si="9"/>
        <v>--</v>
      </c>
      <c r="V30" s="374" t="str">
        <f t="shared" si="10"/>
        <v>--</v>
      </c>
      <c r="W30" s="560" t="str">
        <f t="shared" si="11"/>
        <v>--</v>
      </c>
      <c r="X30" s="422" t="str">
        <f t="shared" si="12"/>
        <v>--</v>
      </c>
      <c r="Y30" s="170">
        <f t="shared" si="14"/>
      </c>
      <c r="Z30" s="494">
        <f t="shared" si="13"/>
      </c>
      <c r="AA30" s="566"/>
    </row>
    <row r="31" spans="2:27" s="8" customFormat="1" ht="16.5" customHeight="1">
      <c r="B31" s="53"/>
      <c r="C31" s="140"/>
      <c r="D31" s="140"/>
      <c r="E31" s="140"/>
      <c r="F31" s="562"/>
      <c r="G31" s="485"/>
      <c r="H31" s="563"/>
      <c r="I31" s="563">
        <f t="shared" si="0"/>
        <v>0</v>
      </c>
      <c r="J31" s="488"/>
      <c r="K31" s="194"/>
      <c r="L31" s="490">
        <f t="shared" si="1"/>
      </c>
      <c r="M31" s="491">
        <f t="shared" si="2"/>
      </c>
      <c r="N31" s="168"/>
      <c r="O31" s="272">
        <f t="shared" si="3"/>
      </c>
      <c r="P31" s="170">
        <f t="shared" si="4"/>
      </c>
      <c r="Q31" s="564">
        <f t="shared" si="5"/>
        <v>20</v>
      </c>
      <c r="R31" s="565" t="str">
        <f t="shared" si="6"/>
        <v>--</v>
      </c>
      <c r="S31" s="558" t="str">
        <f t="shared" si="7"/>
        <v>--</v>
      </c>
      <c r="T31" s="559" t="str">
        <f t="shared" si="8"/>
        <v>--</v>
      </c>
      <c r="U31" s="373" t="str">
        <f t="shared" si="9"/>
        <v>--</v>
      </c>
      <c r="V31" s="374" t="str">
        <f t="shared" si="10"/>
        <v>--</v>
      </c>
      <c r="W31" s="560" t="str">
        <f t="shared" si="11"/>
        <v>--</v>
      </c>
      <c r="X31" s="422" t="str">
        <f t="shared" si="12"/>
        <v>--</v>
      </c>
      <c r="Y31" s="170">
        <f t="shared" si="14"/>
      </c>
      <c r="Z31" s="494">
        <f t="shared" si="13"/>
      </c>
      <c r="AA31" s="55"/>
    </row>
    <row r="32" spans="2:27" s="8" customFormat="1" ht="16.5" customHeight="1">
      <c r="B32" s="53"/>
      <c r="C32" s="140"/>
      <c r="D32" s="140"/>
      <c r="E32" s="159"/>
      <c r="F32" s="562"/>
      <c r="G32" s="485"/>
      <c r="H32" s="563"/>
      <c r="I32" s="563">
        <f t="shared" si="0"/>
        <v>0</v>
      </c>
      <c r="J32" s="488"/>
      <c r="K32" s="194"/>
      <c r="L32" s="490">
        <f t="shared" si="1"/>
      </c>
      <c r="M32" s="491">
        <f t="shared" si="2"/>
      </c>
      <c r="N32" s="168"/>
      <c r="O32" s="272">
        <f t="shared" si="3"/>
      </c>
      <c r="P32" s="170">
        <f t="shared" si="4"/>
      </c>
      <c r="Q32" s="564">
        <f t="shared" si="5"/>
        <v>20</v>
      </c>
      <c r="R32" s="565" t="str">
        <f t="shared" si="6"/>
        <v>--</v>
      </c>
      <c r="S32" s="558" t="str">
        <f t="shared" si="7"/>
        <v>--</v>
      </c>
      <c r="T32" s="559" t="str">
        <f t="shared" si="8"/>
        <v>--</v>
      </c>
      <c r="U32" s="373" t="str">
        <f t="shared" si="9"/>
        <v>--</v>
      </c>
      <c r="V32" s="374" t="str">
        <f t="shared" si="10"/>
        <v>--</v>
      </c>
      <c r="W32" s="560" t="str">
        <f t="shared" si="11"/>
        <v>--</v>
      </c>
      <c r="X32" s="422" t="str">
        <f t="shared" si="12"/>
        <v>--</v>
      </c>
      <c r="Y32" s="170">
        <f t="shared" si="14"/>
      </c>
      <c r="Z32" s="494">
        <f t="shared" si="13"/>
      </c>
      <c r="AA32" s="55"/>
    </row>
    <row r="33" spans="2:27" s="8" customFormat="1" ht="16.5" customHeight="1">
      <c r="B33" s="53"/>
      <c r="C33" s="140"/>
      <c r="D33" s="140"/>
      <c r="E33" s="140"/>
      <c r="F33" s="562"/>
      <c r="G33" s="485"/>
      <c r="H33" s="563"/>
      <c r="I33" s="563">
        <f t="shared" si="0"/>
        <v>0</v>
      </c>
      <c r="J33" s="488"/>
      <c r="K33" s="194"/>
      <c r="L33" s="490">
        <f t="shared" si="1"/>
      </c>
      <c r="M33" s="491">
        <f t="shared" si="2"/>
      </c>
      <c r="N33" s="168"/>
      <c r="O33" s="272">
        <f t="shared" si="3"/>
      </c>
      <c r="P33" s="170">
        <f t="shared" si="4"/>
      </c>
      <c r="Q33" s="564">
        <f t="shared" si="5"/>
        <v>20</v>
      </c>
      <c r="R33" s="565" t="str">
        <f t="shared" si="6"/>
        <v>--</v>
      </c>
      <c r="S33" s="558" t="str">
        <f t="shared" si="7"/>
        <v>--</v>
      </c>
      <c r="T33" s="559" t="str">
        <f t="shared" si="8"/>
        <v>--</v>
      </c>
      <c r="U33" s="373" t="str">
        <f t="shared" si="9"/>
        <v>--</v>
      </c>
      <c r="V33" s="374" t="str">
        <f t="shared" si="10"/>
        <v>--</v>
      </c>
      <c r="W33" s="560" t="str">
        <f t="shared" si="11"/>
        <v>--</v>
      </c>
      <c r="X33" s="422" t="str">
        <f t="shared" si="12"/>
        <v>--</v>
      </c>
      <c r="Y33" s="170">
        <f t="shared" si="14"/>
      </c>
      <c r="Z33" s="494">
        <f t="shared" si="13"/>
      </c>
      <c r="AA33" s="55"/>
    </row>
    <row r="34" spans="2:27" s="8" customFormat="1" ht="16.5" customHeight="1">
      <c r="B34" s="53"/>
      <c r="C34" s="140"/>
      <c r="D34" s="140"/>
      <c r="E34" s="159"/>
      <c r="F34" s="562"/>
      <c r="G34" s="485"/>
      <c r="H34" s="563"/>
      <c r="I34" s="563">
        <f t="shared" si="0"/>
        <v>0</v>
      </c>
      <c r="J34" s="488"/>
      <c r="K34" s="194"/>
      <c r="L34" s="490">
        <f t="shared" si="1"/>
      </c>
      <c r="M34" s="491">
        <f t="shared" si="2"/>
      </c>
      <c r="N34" s="168"/>
      <c r="O34" s="272">
        <f t="shared" si="3"/>
      </c>
      <c r="P34" s="170">
        <f t="shared" si="4"/>
      </c>
      <c r="Q34" s="564">
        <f t="shared" si="5"/>
        <v>20</v>
      </c>
      <c r="R34" s="565" t="str">
        <f t="shared" si="6"/>
        <v>--</v>
      </c>
      <c r="S34" s="558" t="str">
        <f t="shared" si="7"/>
        <v>--</v>
      </c>
      <c r="T34" s="559" t="str">
        <f t="shared" si="8"/>
        <v>--</v>
      </c>
      <c r="U34" s="373" t="str">
        <f t="shared" si="9"/>
        <v>--</v>
      </c>
      <c r="V34" s="374" t="str">
        <f t="shared" si="10"/>
        <v>--</v>
      </c>
      <c r="W34" s="560" t="str">
        <f t="shared" si="11"/>
        <v>--</v>
      </c>
      <c r="X34" s="422" t="str">
        <f t="shared" si="12"/>
        <v>--</v>
      </c>
      <c r="Y34" s="170">
        <f t="shared" si="14"/>
      </c>
      <c r="Z34" s="494">
        <f t="shared" si="13"/>
      </c>
      <c r="AA34" s="55"/>
    </row>
    <row r="35" spans="2:27" s="8" customFormat="1" ht="16.5" customHeight="1">
      <c r="B35" s="53"/>
      <c r="C35" s="140"/>
      <c r="D35" s="140"/>
      <c r="E35" s="140"/>
      <c r="F35" s="562"/>
      <c r="G35" s="485"/>
      <c r="H35" s="563"/>
      <c r="I35" s="563">
        <f t="shared" si="0"/>
        <v>0</v>
      </c>
      <c r="J35" s="488"/>
      <c r="K35" s="194"/>
      <c r="L35" s="490">
        <f t="shared" si="1"/>
      </c>
      <c r="M35" s="491">
        <f t="shared" si="2"/>
      </c>
      <c r="N35" s="168"/>
      <c r="O35" s="272">
        <f t="shared" si="3"/>
      </c>
      <c r="P35" s="170">
        <f t="shared" si="4"/>
      </c>
      <c r="Q35" s="564">
        <f t="shared" si="5"/>
        <v>20</v>
      </c>
      <c r="R35" s="565" t="str">
        <f t="shared" si="6"/>
        <v>--</v>
      </c>
      <c r="S35" s="558" t="str">
        <f t="shared" si="7"/>
        <v>--</v>
      </c>
      <c r="T35" s="559" t="str">
        <f t="shared" si="8"/>
        <v>--</v>
      </c>
      <c r="U35" s="373" t="str">
        <f t="shared" si="9"/>
        <v>--</v>
      </c>
      <c r="V35" s="374" t="str">
        <f t="shared" si="10"/>
        <v>--</v>
      </c>
      <c r="W35" s="560" t="str">
        <f t="shared" si="11"/>
        <v>--</v>
      </c>
      <c r="X35" s="422" t="str">
        <f t="shared" si="12"/>
        <v>--</v>
      </c>
      <c r="Y35" s="170">
        <f t="shared" si="14"/>
      </c>
      <c r="Z35" s="494">
        <f t="shared" si="13"/>
      </c>
      <c r="AA35" s="55"/>
    </row>
    <row r="36" spans="2:27" s="8" customFormat="1" ht="16.5" customHeight="1">
      <c r="B36" s="53"/>
      <c r="C36" s="140"/>
      <c r="D36" s="140"/>
      <c r="E36" s="159"/>
      <c r="F36" s="562"/>
      <c r="G36" s="485"/>
      <c r="H36" s="563"/>
      <c r="I36" s="563">
        <f t="shared" si="0"/>
        <v>0</v>
      </c>
      <c r="J36" s="488"/>
      <c r="K36" s="194"/>
      <c r="L36" s="490">
        <f t="shared" si="1"/>
      </c>
      <c r="M36" s="491">
        <f t="shared" si="2"/>
      </c>
      <c r="N36" s="168"/>
      <c r="O36" s="272">
        <f t="shared" si="3"/>
      </c>
      <c r="P36" s="170">
        <f t="shared" si="4"/>
      </c>
      <c r="Q36" s="564">
        <f t="shared" si="5"/>
        <v>20</v>
      </c>
      <c r="R36" s="565" t="str">
        <f t="shared" si="6"/>
        <v>--</v>
      </c>
      <c r="S36" s="558" t="str">
        <f t="shared" si="7"/>
        <v>--</v>
      </c>
      <c r="T36" s="559" t="str">
        <f t="shared" si="8"/>
        <v>--</v>
      </c>
      <c r="U36" s="373" t="str">
        <f t="shared" si="9"/>
        <v>--</v>
      </c>
      <c r="V36" s="374" t="str">
        <f t="shared" si="10"/>
        <v>--</v>
      </c>
      <c r="W36" s="560" t="str">
        <f t="shared" si="11"/>
        <v>--</v>
      </c>
      <c r="X36" s="422" t="str">
        <f t="shared" si="12"/>
        <v>--</v>
      </c>
      <c r="Y36" s="170">
        <f t="shared" si="14"/>
      </c>
      <c r="Z36" s="494">
        <f t="shared" si="13"/>
      </c>
      <c r="AA36" s="55"/>
    </row>
    <row r="37" spans="2:27" s="8" customFormat="1" ht="16.5" customHeight="1">
      <c r="B37" s="53"/>
      <c r="C37" s="140"/>
      <c r="D37" s="140"/>
      <c r="E37" s="140"/>
      <c r="F37" s="562"/>
      <c r="G37" s="485"/>
      <c r="H37" s="563"/>
      <c r="I37" s="563">
        <f t="shared" si="0"/>
        <v>0</v>
      </c>
      <c r="J37" s="488"/>
      <c r="K37" s="194"/>
      <c r="L37" s="490">
        <f t="shared" si="1"/>
      </c>
      <c r="M37" s="491">
        <f t="shared" si="2"/>
      </c>
      <c r="N37" s="168"/>
      <c r="O37" s="272">
        <f t="shared" si="3"/>
      </c>
      <c r="P37" s="170">
        <f t="shared" si="4"/>
      </c>
      <c r="Q37" s="564">
        <f t="shared" si="5"/>
        <v>20</v>
      </c>
      <c r="R37" s="565" t="str">
        <f t="shared" si="6"/>
        <v>--</v>
      </c>
      <c r="S37" s="558" t="str">
        <f t="shared" si="7"/>
        <v>--</v>
      </c>
      <c r="T37" s="559" t="str">
        <f t="shared" si="8"/>
        <v>--</v>
      </c>
      <c r="U37" s="373" t="str">
        <f t="shared" si="9"/>
        <v>--</v>
      </c>
      <c r="V37" s="374" t="str">
        <f t="shared" si="10"/>
        <v>--</v>
      </c>
      <c r="W37" s="560" t="str">
        <f t="shared" si="11"/>
        <v>--</v>
      </c>
      <c r="X37" s="422" t="str">
        <f t="shared" si="12"/>
        <v>--</v>
      </c>
      <c r="Y37" s="170">
        <f t="shared" si="14"/>
      </c>
      <c r="Z37" s="494">
        <f t="shared" si="13"/>
      </c>
      <c r="AA37" s="55"/>
    </row>
    <row r="38" spans="2:27" s="8" customFormat="1" ht="16.5" customHeight="1">
      <c r="B38" s="53"/>
      <c r="C38" s="140"/>
      <c r="D38" s="140"/>
      <c r="E38" s="159"/>
      <c r="F38" s="562"/>
      <c r="G38" s="485"/>
      <c r="H38" s="563"/>
      <c r="I38" s="563">
        <f t="shared" si="0"/>
        <v>0</v>
      </c>
      <c r="J38" s="488"/>
      <c r="K38" s="194"/>
      <c r="L38" s="490">
        <f t="shared" si="1"/>
      </c>
      <c r="M38" s="491">
        <f t="shared" si="2"/>
      </c>
      <c r="N38" s="168"/>
      <c r="O38" s="272">
        <f t="shared" si="3"/>
      </c>
      <c r="P38" s="170">
        <f t="shared" si="4"/>
      </c>
      <c r="Q38" s="564">
        <f t="shared" si="5"/>
        <v>20</v>
      </c>
      <c r="R38" s="565" t="str">
        <f t="shared" si="6"/>
        <v>--</v>
      </c>
      <c r="S38" s="558" t="str">
        <f t="shared" si="7"/>
        <v>--</v>
      </c>
      <c r="T38" s="559" t="str">
        <f t="shared" si="8"/>
        <v>--</v>
      </c>
      <c r="U38" s="373" t="str">
        <f t="shared" si="9"/>
        <v>--</v>
      </c>
      <c r="V38" s="374" t="str">
        <f t="shared" si="10"/>
        <v>--</v>
      </c>
      <c r="W38" s="560" t="str">
        <f t="shared" si="11"/>
        <v>--</v>
      </c>
      <c r="X38" s="422" t="str">
        <f t="shared" si="12"/>
        <v>--</v>
      </c>
      <c r="Y38" s="170">
        <f t="shared" si="14"/>
      </c>
      <c r="Z38" s="494">
        <f t="shared" si="13"/>
      </c>
      <c r="AA38" s="55"/>
    </row>
    <row r="39" spans="2:27" s="8" customFormat="1" ht="16.5" customHeight="1">
      <c r="B39" s="53"/>
      <c r="C39" s="140"/>
      <c r="D39" s="140"/>
      <c r="E39" s="140"/>
      <c r="F39" s="562"/>
      <c r="G39" s="485"/>
      <c r="H39" s="563"/>
      <c r="I39" s="563">
        <f t="shared" si="0"/>
        <v>0</v>
      </c>
      <c r="J39" s="488"/>
      <c r="K39" s="194"/>
      <c r="L39" s="490">
        <f t="shared" si="1"/>
      </c>
      <c r="M39" s="491">
        <f t="shared" si="2"/>
      </c>
      <c r="N39" s="168"/>
      <c r="O39" s="272">
        <f t="shared" si="3"/>
      </c>
      <c r="P39" s="170">
        <f t="shared" si="4"/>
      </c>
      <c r="Q39" s="564">
        <f t="shared" si="5"/>
        <v>20</v>
      </c>
      <c r="R39" s="565" t="str">
        <f t="shared" si="6"/>
        <v>--</v>
      </c>
      <c r="S39" s="558" t="str">
        <f t="shared" si="7"/>
        <v>--</v>
      </c>
      <c r="T39" s="559" t="str">
        <f t="shared" si="8"/>
        <v>--</v>
      </c>
      <c r="U39" s="373" t="str">
        <f t="shared" si="9"/>
        <v>--</v>
      </c>
      <c r="V39" s="374" t="str">
        <f t="shared" si="10"/>
        <v>--</v>
      </c>
      <c r="W39" s="560" t="str">
        <f t="shared" si="11"/>
        <v>--</v>
      </c>
      <c r="X39" s="422" t="str">
        <f t="shared" si="12"/>
        <v>--</v>
      </c>
      <c r="Y39" s="170">
        <f t="shared" si="14"/>
      </c>
      <c r="Z39" s="494">
        <f t="shared" si="13"/>
      </c>
      <c r="AA39" s="55"/>
    </row>
    <row r="40" spans="2:27" s="8" customFormat="1" ht="16.5" customHeight="1">
      <c r="B40" s="53"/>
      <c r="C40" s="140"/>
      <c r="D40" s="140"/>
      <c r="E40" s="159"/>
      <c r="F40" s="562"/>
      <c r="G40" s="485"/>
      <c r="H40" s="563"/>
      <c r="I40" s="563">
        <f t="shared" si="0"/>
        <v>0</v>
      </c>
      <c r="J40" s="488"/>
      <c r="K40" s="194"/>
      <c r="L40" s="490">
        <f t="shared" si="1"/>
      </c>
      <c r="M40" s="491">
        <f t="shared" si="2"/>
      </c>
      <c r="N40" s="168"/>
      <c r="O40" s="272">
        <f t="shared" si="3"/>
      </c>
      <c r="P40" s="170">
        <f t="shared" si="4"/>
      </c>
      <c r="Q40" s="564">
        <f t="shared" si="5"/>
        <v>20</v>
      </c>
      <c r="R40" s="565" t="str">
        <f t="shared" si="6"/>
        <v>--</v>
      </c>
      <c r="S40" s="558" t="str">
        <f t="shared" si="7"/>
        <v>--</v>
      </c>
      <c r="T40" s="559" t="str">
        <f t="shared" si="8"/>
        <v>--</v>
      </c>
      <c r="U40" s="373" t="str">
        <f t="shared" si="9"/>
        <v>--</v>
      </c>
      <c r="V40" s="374" t="str">
        <f t="shared" si="10"/>
        <v>--</v>
      </c>
      <c r="W40" s="560" t="str">
        <f t="shared" si="11"/>
        <v>--</v>
      </c>
      <c r="X40" s="422" t="str">
        <f t="shared" si="12"/>
        <v>--</v>
      </c>
      <c r="Y40" s="170">
        <f t="shared" si="14"/>
      </c>
      <c r="Z40" s="494">
        <f t="shared" si="13"/>
      </c>
      <c r="AA40" s="55"/>
    </row>
    <row r="41" spans="2:27" s="8" customFormat="1" ht="16.5" customHeight="1">
      <c r="B41" s="53"/>
      <c r="C41" s="140"/>
      <c r="D41" s="140"/>
      <c r="E41" s="140"/>
      <c r="F41" s="562"/>
      <c r="G41" s="485"/>
      <c r="H41" s="563"/>
      <c r="I41" s="563">
        <f t="shared" si="0"/>
        <v>0</v>
      </c>
      <c r="J41" s="488"/>
      <c r="K41" s="194"/>
      <c r="L41" s="490">
        <f t="shared" si="1"/>
      </c>
      <c r="M41" s="491">
        <f t="shared" si="2"/>
      </c>
      <c r="N41" s="168"/>
      <c r="O41" s="272">
        <f t="shared" si="3"/>
      </c>
      <c r="P41" s="170">
        <f t="shared" si="4"/>
      </c>
      <c r="Q41" s="564">
        <f t="shared" si="5"/>
        <v>20</v>
      </c>
      <c r="R41" s="565" t="str">
        <f t="shared" si="6"/>
        <v>--</v>
      </c>
      <c r="S41" s="558" t="str">
        <f t="shared" si="7"/>
        <v>--</v>
      </c>
      <c r="T41" s="559" t="str">
        <f t="shared" si="8"/>
        <v>--</v>
      </c>
      <c r="U41" s="373" t="str">
        <f t="shared" si="9"/>
        <v>--</v>
      </c>
      <c r="V41" s="374" t="str">
        <f t="shared" si="10"/>
        <v>--</v>
      </c>
      <c r="W41" s="560" t="str">
        <f t="shared" si="11"/>
        <v>--</v>
      </c>
      <c r="X41" s="422" t="str">
        <f t="shared" si="12"/>
        <v>--</v>
      </c>
      <c r="Y41" s="170">
        <f t="shared" si="14"/>
      </c>
      <c r="Z41" s="494">
        <f t="shared" si="13"/>
      </c>
      <c r="AA41" s="55"/>
    </row>
    <row r="42" spans="2:27" s="8" customFormat="1" ht="16.5" customHeight="1" thickBot="1">
      <c r="B42" s="53"/>
      <c r="C42" s="567"/>
      <c r="D42" s="567"/>
      <c r="E42" s="567"/>
      <c r="F42" s="567"/>
      <c r="G42" s="567"/>
      <c r="H42" s="567"/>
      <c r="I42" s="567"/>
      <c r="J42" s="495"/>
      <c r="K42" s="495"/>
      <c r="L42" s="496"/>
      <c r="M42" s="496"/>
      <c r="N42" s="495"/>
      <c r="O42" s="206"/>
      <c r="P42" s="205"/>
      <c r="Q42" s="568"/>
      <c r="R42" s="569"/>
      <c r="S42" s="570"/>
      <c r="T42" s="571"/>
      <c r="U42" s="394"/>
      <c r="V42" s="395"/>
      <c r="W42" s="572"/>
      <c r="X42" s="572"/>
      <c r="Y42" s="205"/>
      <c r="Z42" s="573"/>
      <c r="AA42" s="55"/>
    </row>
    <row r="43" spans="2:27" s="8" customFormat="1" ht="16.5" customHeight="1" thickBot="1" thickTop="1">
      <c r="B43" s="53"/>
      <c r="C43" s="219" t="s">
        <v>180</v>
      </c>
      <c r="D43" s="261" t="s">
        <v>308</v>
      </c>
      <c r="E43" s="219"/>
      <c r="F43" s="221"/>
      <c r="I43" s="11"/>
      <c r="J43" s="11"/>
      <c r="K43" s="11"/>
      <c r="L43" s="11"/>
      <c r="M43" s="11"/>
      <c r="N43" s="11"/>
      <c r="O43" s="11"/>
      <c r="P43" s="11"/>
      <c r="Q43" s="11"/>
      <c r="R43" s="574">
        <f aca="true" t="shared" si="15" ref="R43:X43">SUM(R20:R42)</f>
        <v>26098.283199999998</v>
      </c>
      <c r="S43" s="575">
        <f t="shared" si="15"/>
        <v>1020.8</v>
      </c>
      <c r="T43" s="576">
        <f t="shared" si="15"/>
        <v>64208.32</v>
      </c>
      <c r="U43" s="404">
        <f t="shared" si="15"/>
        <v>0</v>
      </c>
      <c r="V43" s="405">
        <f t="shared" si="15"/>
        <v>0</v>
      </c>
      <c r="W43" s="577">
        <f t="shared" si="15"/>
        <v>0</v>
      </c>
      <c r="X43" s="577">
        <f t="shared" si="15"/>
        <v>0</v>
      </c>
      <c r="Z43" s="508">
        <f>ROUND(SUM(Z20:Z42),2)</f>
        <v>91327.4</v>
      </c>
      <c r="AA43" s="578"/>
    </row>
    <row r="44" spans="2:27" s="8" customFormat="1" ht="16.5" customHeight="1" thickBot="1" thickTop="1"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7"/>
    </row>
    <row r="45" spans="6:29" ht="16.5" customHeight="1" thickTop="1">
      <c r="F45" s="579"/>
      <c r="G45" s="579"/>
      <c r="H45" s="579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</row>
    <row r="46" spans="6:29" ht="16.5" customHeight="1">
      <c r="F46" s="579"/>
      <c r="G46" s="579"/>
      <c r="H46" s="579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</row>
    <row r="47" spans="6:29" ht="16.5" customHeight="1">
      <c r="F47" s="579"/>
      <c r="G47" s="579"/>
      <c r="H47" s="579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</row>
    <row r="48" spans="6:29" ht="16.5" customHeight="1">
      <c r="F48" s="579"/>
      <c r="G48" s="579"/>
      <c r="H48" s="579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</row>
    <row r="49" spans="6:29" ht="16.5" customHeight="1">
      <c r="F49" s="579"/>
      <c r="G49" s="579"/>
      <c r="H49" s="579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</row>
    <row r="50" spans="6:29" ht="16.5" customHeight="1">
      <c r="F50" s="579"/>
      <c r="G50" s="579"/>
      <c r="H50" s="579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</row>
    <row r="51" spans="6:29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</row>
    <row r="52" spans="6:29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</row>
    <row r="53" spans="6:29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</row>
    <row r="54" spans="6:29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</row>
    <row r="55" spans="6:29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</row>
    <row r="56" spans="6:29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</row>
    <row r="57" spans="6:29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</row>
    <row r="58" spans="6:29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</row>
    <row r="59" spans="6:29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</row>
    <row r="60" spans="6:29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</row>
    <row r="61" spans="6:29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</row>
    <row r="62" spans="6:29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</row>
    <row r="63" spans="6:29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</row>
    <row r="64" spans="6:29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</row>
    <row r="65" spans="6:29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</row>
    <row r="66" spans="6:29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</row>
    <row r="67" spans="6:29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</row>
    <row r="68" spans="6:29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</row>
    <row r="69" spans="6:29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</row>
    <row r="70" spans="6:29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</row>
    <row r="71" spans="6:29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</row>
    <row r="72" spans="6:29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</row>
    <row r="73" spans="6:29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</row>
    <row r="74" spans="6:29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</row>
    <row r="75" spans="6:29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</row>
    <row r="76" spans="6:29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</row>
    <row r="77" spans="6:29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</row>
    <row r="78" spans="6:29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</row>
    <row r="79" spans="6:29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</row>
    <row r="80" spans="6:29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</row>
    <row r="81" spans="6:29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</row>
    <row r="82" spans="6:29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</row>
    <row r="83" spans="6:29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</row>
    <row r="84" spans="6:29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</row>
    <row r="85" spans="6:29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</row>
    <row r="86" spans="6:29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</row>
    <row r="87" spans="6:29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</row>
    <row r="88" spans="6:29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</row>
    <row r="89" spans="6:29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</row>
    <row r="90" spans="6:29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</row>
    <row r="91" spans="6:29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</row>
    <row r="92" spans="6:29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</row>
    <row r="93" spans="6:29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</row>
    <row r="94" spans="6:29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</row>
    <row r="95" spans="6:29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</row>
    <row r="96" spans="6:29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</row>
    <row r="97" spans="6:29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</row>
    <row r="98" spans="6:29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</row>
    <row r="99" spans="6:29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</row>
    <row r="100" spans="6:29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</row>
    <row r="101" spans="6:29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</row>
    <row r="102" spans="6:29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</row>
    <row r="103" spans="6:29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</row>
    <row r="104" spans="6:29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</row>
    <row r="105" spans="6:29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</row>
    <row r="106" spans="6:29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</row>
    <row r="107" spans="6:29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</row>
    <row r="108" spans="6:29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</row>
    <row r="109" spans="6:29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</row>
    <row r="110" spans="6:29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</row>
    <row r="111" spans="6:29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</row>
    <row r="112" spans="6:29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</row>
    <row r="113" spans="6:29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</row>
    <row r="114" spans="6:29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</row>
    <row r="115" spans="6:29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</row>
    <row r="116" spans="6:29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</row>
    <row r="117" spans="6:29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</row>
    <row r="118" spans="6:29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</row>
    <row r="119" spans="6:29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</row>
    <row r="120" spans="6:29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</row>
    <row r="121" spans="6:29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</row>
    <row r="122" spans="6:29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13"/>
    </row>
    <row r="123" spans="6:29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</row>
    <row r="124" spans="6:29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</row>
    <row r="125" spans="6:29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</row>
    <row r="126" spans="6:29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  <c r="AB126" s="413"/>
      <c r="AC126" s="413"/>
    </row>
    <row r="127" spans="6:29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</row>
    <row r="128" spans="6:29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</row>
    <row r="129" spans="6:29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</row>
    <row r="130" spans="6:29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13"/>
    </row>
    <row r="131" spans="6:29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</row>
    <row r="132" spans="6:29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  <c r="AB132" s="413"/>
      <c r="AC132" s="413"/>
    </row>
    <row r="133" spans="6:29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</row>
    <row r="134" spans="6:29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</row>
    <row r="135" spans="6:29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</row>
    <row r="136" spans="6:29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</row>
    <row r="137" spans="6:29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</row>
    <row r="138" spans="6:29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</row>
    <row r="139" spans="6:29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</row>
    <row r="140" spans="6:29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</row>
    <row r="141" spans="6:29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</row>
    <row r="142" spans="6:29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</row>
    <row r="143" spans="6:29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</row>
    <row r="144" spans="6:29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</row>
    <row r="145" spans="6:29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</row>
    <row r="146" spans="6:29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  <c r="AB146" s="413"/>
      <c r="AC146" s="413"/>
    </row>
    <row r="147" spans="6:29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</row>
    <row r="148" spans="6:29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</row>
    <row r="149" spans="6:29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</row>
    <row r="150" spans="6:29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</row>
    <row r="151" spans="6:29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</row>
    <row r="152" spans="6:29" ht="16.5" customHeight="1">
      <c r="F152" s="413"/>
      <c r="G152" s="413"/>
      <c r="H152" s="413"/>
      <c r="AB152" s="413"/>
      <c r="AC152" s="413"/>
    </row>
    <row r="153" spans="6:8" ht="16.5" customHeight="1">
      <c r="F153" s="413"/>
      <c r="G153" s="413"/>
      <c r="H153" s="413"/>
    </row>
    <row r="154" spans="6:8" ht="16.5" customHeight="1">
      <c r="F154" s="413"/>
      <c r="G154" s="413"/>
      <c r="H154" s="413"/>
    </row>
    <row r="155" spans="6:8" ht="16.5" customHeight="1">
      <c r="F155" s="413"/>
      <c r="G155" s="413"/>
      <c r="H155" s="413"/>
    </row>
    <row r="156" spans="6:8" ht="16.5" customHeight="1">
      <c r="F156" s="413"/>
      <c r="G156" s="413"/>
      <c r="H156" s="413"/>
    </row>
    <row r="157" spans="6:8" ht="16.5" customHeight="1">
      <c r="F157" s="413"/>
      <c r="G157" s="413"/>
      <c r="H157" s="413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00390625" style="9" customWidth="1"/>
    <col min="9" max="9" width="5.421875" style="9" hidden="1" customWidth="1"/>
    <col min="10" max="10" width="16.28125" style="9" customWidth="1"/>
    <col min="11" max="11" width="16.421875" style="9" customWidth="1"/>
    <col min="12" max="15" width="9.7109375" style="9" customWidth="1"/>
    <col min="16" max="16" width="6.00390625" style="9" customWidth="1"/>
    <col min="17" max="17" width="4.00390625" style="9" hidden="1" customWidth="1"/>
    <col min="18" max="18" width="13.140625" style="9" hidden="1" customWidth="1"/>
    <col min="19" max="22" width="6.00390625" style="9" hidden="1" customWidth="1"/>
    <col min="23" max="23" width="12.00390625" style="9" hidden="1" customWidth="1"/>
    <col min="24" max="24" width="12.5742187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78"/>
      <c r="B2" s="518" t="str">
        <f>'TOT-1214'!B2</f>
        <v>ANEXO I al Memorándum D.T.E.E. N° 90 /2016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</row>
    <row r="3" s="8" customFormat="1" ht="12.75">
      <c r="A3" s="79"/>
    </row>
    <row r="4" spans="1:4" s="14" customFormat="1" ht="11.25">
      <c r="A4" s="12" t="s">
        <v>2</v>
      </c>
      <c r="B4" s="80"/>
      <c r="C4" s="80"/>
      <c r="D4" s="80"/>
    </row>
    <row r="5" spans="1:4" s="14" customFormat="1" ht="11.25">
      <c r="A5" s="12" t="s">
        <v>3</v>
      </c>
      <c r="B5" s="80"/>
      <c r="C5" s="80"/>
      <c r="D5" s="80"/>
    </row>
    <row r="6" s="8" customFormat="1" ht="13.5" thickBot="1"/>
    <row r="7" spans="2:27" s="8" customFormat="1" ht="13.5" thickTop="1"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440"/>
    </row>
    <row r="8" spans="2:27" s="18" customFormat="1" ht="20.25">
      <c r="B8" s="85"/>
      <c r="C8" s="23"/>
      <c r="D8" s="23"/>
      <c r="F8" s="86" t="s">
        <v>75</v>
      </c>
      <c r="G8" s="51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20"/>
    </row>
    <row r="9" spans="2:27" s="8" customFormat="1" ht="12.75">
      <c r="B9" s="5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55"/>
    </row>
    <row r="10" spans="2:27" s="18" customFormat="1" ht="20.25">
      <c r="B10" s="85"/>
      <c r="C10" s="23"/>
      <c r="D10" s="23"/>
      <c r="F10" s="87" t="s">
        <v>76</v>
      </c>
      <c r="H10" s="521"/>
      <c r="I10" s="522"/>
      <c r="J10" s="522"/>
      <c r="K10" s="522"/>
      <c r="L10" s="522"/>
      <c r="M10" s="522"/>
      <c r="N10" s="522"/>
      <c r="O10" s="522"/>
      <c r="P10" s="522"/>
      <c r="Q10" s="522"/>
      <c r="R10" s="23"/>
      <c r="S10" s="23"/>
      <c r="T10" s="23"/>
      <c r="U10" s="23"/>
      <c r="V10" s="23"/>
      <c r="W10" s="23"/>
      <c r="X10" s="23"/>
      <c r="Y10" s="23"/>
      <c r="Z10" s="23"/>
      <c r="AA10" s="442"/>
    </row>
    <row r="11" spans="2:27" s="8" customFormat="1" ht="16.5" customHeight="1">
      <c r="B11" s="53"/>
      <c r="C11" s="11"/>
      <c r="D11" s="11"/>
      <c r="E11" s="11"/>
      <c r="F11" s="523"/>
      <c r="H11" s="24"/>
      <c r="I11" s="90"/>
      <c r="J11" s="90"/>
      <c r="K11" s="90"/>
      <c r="L11" s="90"/>
      <c r="M11" s="90"/>
      <c r="N11" s="90"/>
      <c r="O11" s="90"/>
      <c r="P11" s="90"/>
      <c r="Q11" s="90"/>
      <c r="R11" s="11"/>
      <c r="S11" s="11"/>
      <c r="T11" s="11"/>
      <c r="U11" s="11"/>
      <c r="V11" s="11"/>
      <c r="W11" s="11"/>
      <c r="X11" s="11"/>
      <c r="Y11" s="11"/>
      <c r="Z11" s="11"/>
      <c r="AA11" s="55"/>
    </row>
    <row r="12" spans="2:27" s="18" customFormat="1" ht="20.25">
      <c r="B12" s="85"/>
      <c r="C12" s="23"/>
      <c r="D12" s="23"/>
      <c r="F12" s="87" t="s">
        <v>290</v>
      </c>
      <c r="H12" s="521"/>
      <c r="I12" s="522"/>
      <c r="J12" s="522"/>
      <c r="K12" s="522"/>
      <c r="L12" s="522"/>
      <c r="M12" s="522"/>
      <c r="N12" s="522"/>
      <c r="O12" s="522"/>
      <c r="P12" s="522"/>
      <c r="Q12" s="522"/>
      <c r="R12" s="23"/>
      <c r="S12" s="23"/>
      <c r="T12" s="23"/>
      <c r="U12" s="23"/>
      <c r="V12" s="23"/>
      <c r="W12" s="23"/>
      <c r="X12" s="23"/>
      <c r="Y12" s="23"/>
      <c r="Z12" s="23"/>
      <c r="AA12" s="442"/>
    </row>
    <row r="13" spans="2:27" s="8" customFormat="1" ht="16.5" customHeight="1">
      <c r="B13" s="53"/>
      <c r="C13" s="11"/>
      <c r="D13" s="11"/>
      <c r="E13" s="11"/>
      <c r="F13" s="523"/>
      <c r="H13" s="24"/>
      <c r="I13" s="90"/>
      <c r="J13" s="90"/>
      <c r="K13" s="90"/>
      <c r="L13" s="90"/>
      <c r="M13" s="90"/>
      <c r="N13" s="90"/>
      <c r="O13" s="90"/>
      <c r="P13" s="90"/>
      <c r="Q13" s="90"/>
      <c r="R13" s="11"/>
      <c r="S13" s="11"/>
      <c r="T13" s="11"/>
      <c r="U13" s="11"/>
      <c r="V13" s="11"/>
      <c r="W13" s="11"/>
      <c r="X13" s="11"/>
      <c r="Y13" s="11"/>
      <c r="Z13" s="11"/>
      <c r="AA13" s="55"/>
    </row>
    <row r="14" spans="2:27" s="34" customFormat="1" ht="16.5" customHeight="1">
      <c r="B14" s="35" t="str">
        <f>'TOT-1214'!B14</f>
        <v>Desde el 01 al 31 de diciembre de 2014</v>
      </c>
      <c r="C14" s="39"/>
      <c r="D14" s="39"/>
      <c r="E14" s="524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4"/>
      <c r="S14" s="524"/>
      <c r="T14" s="524"/>
      <c r="U14" s="524"/>
      <c r="V14" s="524"/>
      <c r="W14" s="524"/>
      <c r="X14" s="524"/>
      <c r="Y14" s="524"/>
      <c r="Z14" s="524"/>
      <c r="AA14" s="526"/>
    </row>
    <row r="15" spans="2:27" s="8" customFormat="1" ht="16.5" customHeight="1" thickBot="1">
      <c r="B15" s="5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55"/>
    </row>
    <row r="16" spans="2:27" s="8" customFormat="1" ht="16.5" customHeight="1" thickBot="1" thickTop="1">
      <c r="B16" s="53"/>
      <c r="C16" s="11"/>
      <c r="D16" s="11"/>
      <c r="E16" s="11"/>
      <c r="F16" s="527" t="s">
        <v>56</v>
      </c>
      <c r="G16" s="275"/>
      <c r="H16" s="311">
        <v>0.7</v>
      </c>
      <c r="I16" s="454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55"/>
    </row>
    <row r="17" spans="2:27" s="8" customFormat="1" ht="16.5" customHeight="1" thickBot="1" thickTop="1">
      <c r="B17" s="53"/>
      <c r="C17" s="11"/>
      <c r="D17" s="11"/>
      <c r="E17" s="11"/>
      <c r="F17" s="528" t="s">
        <v>57</v>
      </c>
      <c r="G17" s="529"/>
      <c r="H17" s="530">
        <v>20</v>
      </c>
      <c r="I17" s="454"/>
      <c r="J17" s="9"/>
      <c r="K17" s="97"/>
      <c r="L17" s="98"/>
      <c r="M17" s="11"/>
      <c r="N17" s="11"/>
      <c r="O17" s="11"/>
      <c r="Q17" s="11"/>
      <c r="R17" s="11"/>
      <c r="S17" s="11"/>
      <c r="T17" s="99"/>
      <c r="U17" s="99"/>
      <c r="V17" s="99"/>
      <c r="W17" s="99"/>
      <c r="X17" s="99"/>
      <c r="Y17" s="99"/>
      <c r="Z17" s="99"/>
      <c r="AA17" s="55"/>
    </row>
    <row r="18" spans="2:27" s="8" customFormat="1" ht="16.5" customHeight="1" thickBot="1" thickTop="1">
      <c r="B18" s="53"/>
      <c r="C18" s="100">
        <v>3</v>
      </c>
      <c r="D18" s="100">
        <v>4</v>
      </c>
      <c r="E18" s="100">
        <v>5</v>
      </c>
      <c r="F18" s="100">
        <v>6</v>
      </c>
      <c r="G18" s="100">
        <v>7</v>
      </c>
      <c r="H18" s="100">
        <v>8</v>
      </c>
      <c r="I18" s="100">
        <v>9</v>
      </c>
      <c r="J18" s="100">
        <v>10</v>
      </c>
      <c r="K18" s="100">
        <v>11</v>
      </c>
      <c r="L18" s="100">
        <v>12</v>
      </c>
      <c r="M18" s="100">
        <v>13</v>
      </c>
      <c r="N18" s="100">
        <v>14</v>
      </c>
      <c r="O18" s="100">
        <v>15</v>
      </c>
      <c r="P18" s="100">
        <v>16</v>
      </c>
      <c r="Q18" s="100">
        <v>17</v>
      </c>
      <c r="R18" s="100">
        <v>18</v>
      </c>
      <c r="S18" s="100">
        <v>19</v>
      </c>
      <c r="T18" s="100">
        <v>20</v>
      </c>
      <c r="U18" s="100">
        <v>21</v>
      </c>
      <c r="V18" s="100">
        <v>22</v>
      </c>
      <c r="W18" s="100">
        <v>23</v>
      </c>
      <c r="X18" s="100">
        <v>24</v>
      </c>
      <c r="Y18" s="100">
        <v>25</v>
      </c>
      <c r="Z18" s="100">
        <v>26</v>
      </c>
      <c r="AA18" s="55"/>
    </row>
    <row r="19" spans="2:27" s="8" customFormat="1" ht="33.75" customHeight="1" thickBot="1" thickTop="1">
      <c r="B19" s="53"/>
      <c r="C19" s="317" t="s">
        <v>28</v>
      </c>
      <c r="D19" s="101" t="s">
        <v>29</v>
      </c>
      <c r="E19" s="101" t="s">
        <v>30</v>
      </c>
      <c r="F19" s="104" t="s">
        <v>58</v>
      </c>
      <c r="G19" s="102" t="s">
        <v>59</v>
      </c>
      <c r="H19" s="531" t="s">
        <v>78</v>
      </c>
      <c r="I19" s="322" t="s">
        <v>35</v>
      </c>
      <c r="J19" s="102" t="s">
        <v>36</v>
      </c>
      <c r="K19" s="102" t="s">
        <v>37</v>
      </c>
      <c r="L19" s="104" t="s">
        <v>38</v>
      </c>
      <c r="M19" s="104" t="s">
        <v>39</v>
      </c>
      <c r="N19" s="109" t="s">
        <v>179</v>
      </c>
      <c r="O19" s="109" t="s">
        <v>40</v>
      </c>
      <c r="P19" s="102" t="s">
        <v>42</v>
      </c>
      <c r="Q19" s="322" t="s">
        <v>34</v>
      </c>
      <c r="R19" s="532" t="s">
        <v>71</v>
      </c>
      <c r="S19" s="533" t="s">
        <v>79</v>
      </c>
      <c r="T19" s="534"/>
      <c r="U19" s="327" t="s">
        <v>80</v>
      </c>
      <c r="V19" s="328"/>
      <c r="W19" s="535" t="s">
        <v>47</v>
      </c>
      <c r="X19" s="326" t="s">
        <v>44</v>
      </c>
      <c r="Y19" s="120" t="s">
        <v>49</v>
      </c>
      <c r="Z19" s="536" t="s">
        <v>50</v>
      </c>
      <c r="AA19" s="55"/>
    </row>
    <row r="20" spans="2:27" s="8" customFormat="1" ht="16.5" customHeight="1" thickTop="1">
      <c r="B20" s="53"/>
      <c r="C20" s="331"/>
      <c r="D20" s="331"/>
      <c r="E20" s="331"/>
      <c r="F20" s="537"/>
      <c r="G20" s="537"/>
      <c r="H20" s="537"/>
      <c r="I20" s="419"/>
      <c r="J20" s="538"/>
      <c r="K20" s="538"/>
      <c r="L20" s="539"/>
      <c r="M20" s="539"/>
      <c r="N20" s="537"/>
      <c r="O20" s="141"/>
      <c r="P20" s="539"/>
      <c r="Q20" s="540"/>
      <c r="R20" s="541"/>
      <c r="S20" s="542"/>
      <c r="T20" s="543"/>
      <c r="U20" s="340"/>
      <c r="V20" s="341"/>
      <c r="W20" s="544"/>
      <c r="X20" s="544"/>
      <c r="Y20" s="545"/>
      <c r="Z20" s="546"/>
      <c r="AA20" s="55"/>
    </row>
    <row r="21" spans="2:27" s="8" customFormat="1" ht="16.5" customHeight="1">
      <c r="B21" s="53"/>
      <c r="C21" s="140"/>
      <c r="D21" s="140"/>
      <c r="E21" s="140"/>
      <c r="F21" s="547"/>
      <c r="G21" s="548"/>
      <c r="H21" s="549"/>
      <c r="I21" s="550"/>
      <c r="J21" s="551"/>
      <c r="K21" s="552"/>
      <c r="L21" s="553"/>
      <c r="M21" s="554"/>
      <c r="N21" s="555"/>
      <c r="O21" s="147"/>
      <c r="P21" s="420"/>
      <c r="Q21" s="556"/>
      <c r="R21" s="557"/>
      <c r="S21" s="558"/>
      <c r="T21" s="559"/>
      <c r="U21" s="353"/>
      <c r="V21" s="354"/>
      <c r="W21" s="560"/>
      <c r="X21" s="560"/>
      <c r="Y21" s="420"/>
      <c r="Z21" s="561"/>
      <c r="AA21" s="55"/>
    </row>
    <row r="22" spans="2:27" s="8" customFormat="1" ht="16.5" customHeight="1">
      <c r="B22" s="53"/>
      <c r="C22" s="140">
        <v>82</v>
      </c>
      <c r="D22" s="140">
        <v>282554</v>
      </c>
      <c r="E22" s="159">
        <v>2155</v>
      </c>
      <c r="F22" s="1492" t="s">
        <v>291</v>
      </c>
      <c r="G22" s="1493" t="s">
        <v>331</v>
      </c>
      <c r="H22" s="189">
        <v>120</v>
      </c>
      <c r="I22" s="362">
        <f aca="true" t="shared" si="0" ref="I22:I41">H22*$H$16</f>
        <v>84</v>
      </c>
      <c r="J22" s="488">
        <v>41982.31875</v>
      </c>
      <c r="K22" s="194">
        <v>41983.59444444445</v>
      </c>
      <c r="L22" s="490">
        <f aca="true" t="shared" si="1" ref="L22:L41">IF(F22="","",(K22-J22)*24)</f>
        <v>30.61666666675592</v>
      </c>
      <c r="M22" s="491">
        <f aca="true" t="shared" si="2" ref="M22:M41">IF(F22="","",ROUND((K22-J22)*24*60,0))</f>
        <v>1837</v>
      </c>
      <c r="N22" s="168" t="s">
        <v>198</v>
      </c>
      <c r="O22" s="1028" t="s">
        <v>257</v>
      </c>
      <c r="P22" s="170" t="str">
        <f aca="true" t="shared" si="3" ref="P22:P41">IF(F22="","",IF(OR(N22="P",N22="RP"),"--","NO"))</f>
        <v>--</v>
      </c>
      <c r="Q22" s="564">
        <f aca="true" t="shared" si="4" ref="Q22:Q41">IF(OR(N22="P",N22="RP"),$H$17/10,$H$17)</f>
        <v>2</v>
      </c>
      <c r="R22" s="565">
        <f aca="true" t="shared" si="5" ref="R22:R41">IF(N22="P",I22*Q22*ROUND(M22/60,2),"--")</f>
        <v>5144.16</v>
      </c>
      <c r="S22" s="558" t="str">
        <f aca="true" t="shared" si="6" ref="S22:S41">IF(AND(N22="F",P22="NO"),I22*Q22,"--")</f>
        <v>--</v>
      </c>
      <c r="T22" s="559" t="str">
        <f aca="true" t="shared" si="7" ref="T22:T41">IF(N22="F",I22*Q22*ROUND(M22/60,2),"--")</f>
        <v>--</v>
      </c>
      <c r="U22" s="373" t="str">
        <f aca="true" t="shared" si="8" ref="U22:U41">IF(AND(N22="R",P22="NO"),I22*Q22*O22/100,"--")</f>
        <v>--</v>
      </c>
      <c r="V22" s="374" t="str">
        <f aca="true" t="shared" si="9" ref="V22:V41">IF(N22="R",I22*Q22*O22/100*ROUND(M22/60,2),"--")</f>
        <v>--</v>
      </c>
      <c r="W22" s="560" t="str">
        <f aca="true" t="shared" si="10" ref="W22:W41">IF(N22="RF",I22*Q22*ROUND(M22/60,2),"--")</f>
        <v>--</v>
      </c>
      <c r="X22" s="422" t="str">
        <f aca="true" t="shared" si="11" ref="X22:X41">IF(N22="RP",I22*Q22*O22/100*ROUND(M22/60,2),"--")</f>
        <v>--</v>
      </c>
      <c r="Y22" s="170" t="s">
        <v>81</v>
      </c>
      <c r="Z22" s="494">
        <f aca="true" t="shared" si="12" ref="Z22:Z41">IF(F22="","",SUM(R22:X22)*IF(Y22="SI",1,2)*IF(AND(O22&lt;&gt;"--",N22="RF"),O22/100,1))</f>
        <v>5144.16</v>
      </c>
      <c r="AA22" s="55"/>
    </row>
    <row r="23" spans="2:27" s="8" customFormat="1" ht="16.5" customHeight="1">
      <c r="B23" s="53"/>
      <c r="C23" s="140">
        <v>83</v>
      </c>
      <c r="D23" s="140">
        <v>282565</v>
      </c>
      <c r="E23" s="140">
        <v>5153</v>
      </c>
      <c r="F23" s="1492" t="s">
        <v>292</v>
      </c>
      <c r="G23" s="1493" t="s">
        <v>330</v>
      </c>
      <c r="H23" s="189">
        <v>120</v>
      </c>
      <c r="I23" s="362">
        <f t="shared" si="0"/>
        <v>84</v>
      </c>
      <c r="J23" s="488">
        <v>41984.31597222222</v>
      </c>
      <c r="K23" s="194">
        <v>41984.64513888889</v>
      </c>
      <c r="L23" s="490">
        <f t="shared" si="1"/>
        <v>7.900000000081491</v>
      </c>
      <c r="M23" s="491">
        <f t="shared" si="2"/>
        <v>474</v>
      </c>
      <c r="N23" s="168" t="s">
        <v>198</v>
      </c>
      <c r="O23" s="272" t="str">
        <f aca="true" t="shared" si="13" ref="O23:O41">IF(F23="","","--")</f>
        <v>--</v>
      </c>
      <c r="P23" s="170" t="str">
        <f t="shared" si="3"/>
        <v>--</v>
      </c>
      <c r="Q23" s="564">
        <f t="shared" si="4"/>
        <v>2</v>
      </c>
      <c r="R23" s="565">
        <f t="shared" si="5"/>
        <v>1327.2</v>
      </c>
      <c r="S23" s="558" t="str">
        <f t="shared" si="6"/>
        <v>--</v>
      </c>
      <c r="T23" s="559" t="str">
        <f t="shared" si="7"/>
        <v>--</v>
      </c>
      <c r="U23" s="373" t="str">
        <f t="shared" si="8"/>
        <v>--</v>
      </c>
      <c r="V23" s="374" t="str">
        <f t="shared" si="9"/>
        <v>--</v>
      </c>
      <c r="W23" s="560" t="str">
        <f t="shared" si="10"/>
        <v>--</v>
      </c>
      <c r="X23" s="422" t="str">
        <f t="shared" si="11"/>
        <v>--</v>
      </c>
      <c r="Y23" s="170" t="str">
        <f aca="true" t="shared" si="14" ref="Y23:Y41">IF(F23="","","SI")</f>
        <v>SI</v>
      </c>
      <c r="Z23" s="494">
        <f t="shared" si="12"/>
        <v>1327.2</v>
      </c>
      <c r="AA23" s="55"/>
    </row>
    <row r="24" spans="2:27" s="8" customFormat="1" ht="16.5" customHeight="1">
      <c r="B24" s="53"/>
      <c r="C24" s="140"/>
      <c r="D24" s="140"/>
      <c r="E24" s="159"/>
      <c r="F24" s="562"/>
      <c r="G24" s="485"/>
      <c r="H24" s="563"/>
      <c r="I24" s="362">
        <f t="shared" si="0"/>
        <v>0</v>
      </c>
      <c r="J24" s="488"/>
      <c r="K24" s="194"/>
      <c r="L24" s="490">
        <f t="shared" si="1"/>
      </c>
      <c r="M24" s="491">
        <f t="shared" si="2"/>
      </c>
      <c r="N24" s="168"/>
      <c r="O24" s="272">
        <f t="shared" si="13"/>
      </c>
      <c r="P24" s="170">
        <f t="shared" si="3"/>
      </c>
      <c r="Q24" s="564">
        <f t="shared" si="4"/>
        <v>20</v>
      </c>
      <c r="R24" s="565" t="str">
        <f t="shared" si="5"/>
        <v>--</v>
      </c>
      <c r="S24" s="558" t="str">
        <f t="shared" si="6"/>
        <v>--</v>
      </c>
      <c r="T24" s="559" t="str">
        <f t="shared" si="7"/>
        <v>--</v>
      </c>
      <c r="U24" s="373" t="str">
        <f t="shared" si="8"/>
        <v>--</v>
      </c>
      <c r="V24" s="374" t="str">
        <f t="shared" si="9"/>
        <v>--</v>
      </c>
      <c r="W24" s="560" t="str">
        <f t="shared" si="10"/>
        <v>--</v>
      </c>
      <c r="X24" s="422" t="str">
        <f t="shared" si="11"/>
        <v>--</v>
      </c>
      <c r="Y24" s="170">
        <f t="shared" si="14"/>
      </c>
      <c r="Z24" s="494">
        <f t="shared" si="12"/>
      </c>
      <c r="AA24" s="55"/>
    </row>
    <row r="25" spans="2:27" s="8" customFormat="1" ht="16.5" customHeight="1">
      <c r="B25" s="53"/>
      <c r="C25" s="140"/>
      <c r="D25" s="140"/>
      <c r="E25" s="140"/>
      <c r="F25" s="562"/>
      <c r="G25" s="485"/>
      <c r="H25" s="563"/>
      <c r="I25" s="362">
        <f t="shared" si="0"/>
        <v>0</v>
      </c>
      <c r="J25" s="488"/>
      <c r="K25" s="194"/>
      <c r="L25" s="490">
        <f t="shared" si="1"/>
      </c>
      <c r="M25" s="491">
        <f t="shared" si="2"/>
      </c>
      <c r="N25" s="168"/>
      <c r="O25" s="272">
        <f t="shared" si="13"/>
      </c>
      <c r="P25" s="170">
        <f t="shared" si="3"/>
      </c>
      <c r="Q25" s="564">
        <f t="shared" si="4"/>
        <v>20</v>
      </c>
      <c r="R25" s="565" t="str">
        <f t="shared" si="5"/>
        <v>--</v>
      </c>
      <c r="S25" s="558" t="str">
        <f t="shared" si="6"/>
        <v>--</v>
      </c>
      <c r="T25" s="559" t="str">
        <f t="shared" si="7"/>
        <v>--</v>
      </c>
      <c r="U25" s="373" t="str">
        <f t="shared" si="8"/>
        <v>--</v>
      </c>
      <c r="V25" s="374" t="str">
        <f t="shared" si="9"/>
        <v>--</v>
      </c>
      <c r="W25" s="560" t="str">
        <f t="shared" si="10"/>
        <v>--</v>
      </c>
      <c r="X25" s="422" t="str">
        <f t="shared" si="11"/>
        <v>--</v>
      </c>
      <c r="Y25" s="170">
        <f t="shared" si="14"/>
      </c>
      <c r="Z25" s="494">
        <f t="shared" si="12"/>
      </c>
      <c r="AA25" s="566"/>
    </row>
    <row r="26" spans="2:27" s="8" customFormat="1" ht="16.5" customHeight="1">
      <c r="B26" s="53"/>
      <c r="C26" s="140"/>
      <c r="D26" s="140"/>
      <c r="E26" s="159"/>
      <c r="F26" s="562"/>
      <c r="G26" s="485"/>
      <c r="H26" s="563"/>
      <c r="I26" s="362">
        <f t="shared" si="0"/>
        <v>0</v>
      </c>
      <c r="J26" s="488"/>
      <c r="K26" s="194"/>
      <c r="L26" s="490">
        <f t="shared" si="1"/>
      </c>
      <c r="M26" s="491">
        <f t="shared" si="2"/>
      </c>
      <c r="N26" s="168"/>
      <c r="O26" s="272">
        <f t="shared" si="13"/>
      </c>
      <c r="P26" s="170">
        <f t="shared" si="3"/>
      </c>
      <c r="Q26" s="564">
        <f t="shared" si="4"/>
        <v>20</v>
      </c>
      <c r="R26" s="565" t="str">
        <f t="shared" si="5"/>
        <v>--</v>
      </c>
      <c r="S26" s="558" t="str">
        <f t="shared" si="6"/>
        <v>--</v>
      </c>
      <c r="T26" s="559" t="str">
        <f t="shared" si="7"/>
        <v>--</v>
      </c>
      <c r="U26" s="373" t="str">
        <f t="shared" si="8"/>
        <v>--</v>
      </c>
      <c r="V26" s="374" t="str">
        <f t="shared" si="9"/>
        <v>--</v>
      </c>
      <c r="W26" s="560" t="str">
        <f t="shared" si="10"/>
        <v>--</v>
      </c>
      <c r="X26" s="422" t="str">
        <f t="shared" si="11"/>
        <v>--</v>
      </c>
      <c r="Y26" s="170">
        <f t="shared" si="14"/>
      </c>
      <c r="Z26" s="494">
        <f t="shared" si="12"/>
      </c>
      <c r="AA26" s="566"/>
    </row>
    <row r="27" spans="2:27" s="8" customFormat="1" ht="16.5" customHeight="1">
      <c r="B27" s="53"/>
      <c r="C27" s="140"/>
      <c r="D27" s="140"/>
      <c r="E27" s="140"/>
      <c r="F27" s="562"/>
      <c r="G27" s="485"/>
      <c r="H27" s="563"/>
      <c r="I27" s="362">
        <f t="shared" si="0"/>
        <v>0</v>
      </c>
      <c r="J27" s="488"/>
      <c r="K27" s="194"/>
      <c r="L27" s="490">
        <f t="shared" si="1"/>
      </c>
      <c r="M27" s="491">
        <f t="shared" si="2"/>
      </c>
      <c r="N27" s="168"/>
      <c r="O27" s="272">
        <f t="shared" si="13"/>
      </c>
      <c r="P27" s="170">
        <f t="shared" si="3"/>
      </c>
      <c r="Q27" s="564">
        <f t="shared" si="4"/>
        <v>20</v>
      </c>
      <c r="R27" s="565" t="str">
        <f t="shared" si="5"/>
        <v>--</v>
      </c>
      <c r="S27" s="558" t="str">
        <f t="shared" si="6"/>
        <v>--</v>
      </c>
      <c r="T27" s="559" t="str">
        <f t="shared" si="7"/>
        <v>--</v>
      </c>
      <c r="U27" s="373" t="str">
        <f t="shared" si="8"/>
        <v>--</v>
      </c>
      <c r="V27" s="374" t="str">
        <f t="shared" si="9"/>
        <v>--</v>
      </c>
      <c r="W27" s="560" t="str">
        <f t="shared" si="10"/>
        <v>--</v>
      </c>
      <c r="X27" s="422" t="str">
        <f t="shared" si="11"/>
        <v>--</v>
      </c>
      <c r="Y27" s="170">
        <f t="shared" si="14"/>
      </c>
      <c r="Z27" s="494">
        <f t="shared" si="12"/>
      </c>
      <c r="AA27" s="566"/>
    </row>
    <row r="28" spans="2:27" s="8" customFormat="1" ht="16.5" customHeight="1">
      <c r="B28" s="53"/>
      <c r="C28" s="140"/>
      <c r="D28" s="140"/>
      <c r="E28" s="159"/>
      <c r="F28" s="562"/>
      <c r="G28" s="485"/>
      <c r="H28" s="563"/>
      <c r="I28" s="362">
        <f t="shared" si="0"/>
        <v>0</v>
      </c>
      <c r="J28" s="488"/>
      <c r="K28" s="194"/>
      <c r="L28" s="490">
        <f t="shared" si="1"/>
      </c>
      <c r="M28" s="491">
        <f t="shared" si="2"/>
      </c>
      <c r="N28" s="168"/>
      <c r="O28" s="272">
        <f t="shared" si="13"/>
      </c>
      <c r="P28" s="170">
        <f t="shared" si="3"/>
      </c>
      <c r="Q28" s="564">
        <f t="shared" si="4"/>
        <v>20</v>
      </c>
      <c r="R28" s="565" t="str">
        <f t="shared" si="5"/>
        <v>--</v>
      </c>
      <c r="S28" s="558" t="str">
        <f t="shared" si="6"/>
        <v>--</v>
      </c>
      <c r="T28" s="559" t="str">
        <f t="shared" si="7"/>
        <v>--</v>
      </c>
      <c r="U28" s="373" t="str">
        <f t="shared" si="8"/>
        <v>--</v>
      </c>
      <c r="V28" s="374" t="str">
        <f t="shared" si="9"/>
        <v>--</v>
      </c>
      <c r="W28" s="560" t="str">
        <f t="shared" si="10"/>
        <v>--</v>
      </c>
      <c r="X28" s="422" t="str">
        <f t="shared" si="11"/>
        <v>--</v>
      </c>
      <c r="Y28" s="170">
        <f t="shared" si="14"/>
      </c>
      <c r="Z28" s="494">
        <f t="shared" si="12"/>
      </c>
      <c r="AA28" s="566"/>
    </row>
    <row r="29" spans="2:27" s="8" customFormat="1" ht="16.5" customHeight="1">
      <c r="B29" s="53"/>
      <c r="C29" s="140"/>
      <c r="D29" s="140"/>
      <c r="E29" s="140"/>
      <c r="F29" s="562"/>
      <c r="G29" s="485"/>
      <c r="H29" s="563"/>
      <c r="I29" s="362">
        <f t="shared" si="0"/>
        <v>0</v>
      </c>
      <c r="J29" s="488"/>
      <c r="K29" s="194"/>
      <c r="L29" s="490">
        <f t="shared" si="1"/>
      </c>
      <c r="M29" s="491">
        <f t="shared" si="2"/>
      </c>
      <c r="N29" s="168"/>
      <c r="O29" s="272">
        <f t="shared" si="13"/>
      </c>
      <c r="P29" s="170">
        <f t="shared" si="3"/>
      </c>
      <c r="Q29" s="564">
        <f t="shared" si="4"/>
        <v>20</v>
      </c>
      <c r="R29" s="565" t="str">
        <f t="shared" si="5"/>
        <v>--</v>
      </c>
      <c r="S29" s="558" t="str">
        <f t="shared" si="6"/>
        <v>--</v>
      </c>
      <c r="T29" s="559" t="str">
        <f t="shared" si="7"/>
        <v>--</v>
      </c>
      <c r="U29" s="373" t="str">
        <f t="shared" si="8"/>
        <v>--</v>
      </c>
      <c r="V29" s="374" t="str">
        <f t="shared" si="9"/>
        <v>--</v>
      </c>
      <c r="W29" s="560" t="str">
        <f t="shared" si="10"/>
        <v>--</v>
      </c>
      <c r="X29" s="422" t="str">
        <f t="shared" si="11"/>
        <v>--</v>
      </c>
      <c r="Y29" s="170">
        <f t="shared" si="14"/>
      </c>
      <c r="Z29" s="494">
        <f t="shared" si="12"/>
      </c>
      <c r="AA29" s="566"/>
    </row>
    <row r="30" spans="2:27" s="8" customFormat="1" ht="16.5" customHeight="1">
      <c r="B30" s="53"/>
      <c r="C30" s="140"/>
      <c r="D30" s="140"/>
      <c r="E30" s="159"/>
      <c r="F30" s="562"/>
      <c r="G30" s="485"/>
      <c r="H30" s="563"/>
      <c r="I30" s="362">
        <f t="shared" si="0"/>
        <v>0</v>
      </c>
      <c r="J30" s="488"/>
      <c r="K30" s="194"/>
      <c r="L30" s="490">
        <f t="shared" si="1"/>
      </c>
      <c r="M30" s="491">
        <f t="shared" si="2"/>
      </c>
      <c r="N30" s="168"/>
      <c r="O30" s="272">
        <f t="shared" si="13"/>
      </c>
      <c r="P30" s="170">
        <f t="shared" si="3"/>
      </c>
      <c r="Q30" s="564">
        <f t="shared" si="4"/>
        <v>20</v>
      </c>
      <c r="R30" s="565" t="str">
        <f t="shared" si="5"/>
        <v>--</v>
      </c>
      <c r="S30" s="558" t="str">
        <f t="shared" si="6"/>
        <v>--</v>
      </c>
      <c r="T30" s="559" t="str">
        <f t="shared" si="7"/>
        <v>--</v>
      </c>
      <c r="U30" s="373" t="str">
        <f t="shared" si="8"/>
        <v>--</v>
      </c>
      <c r="V30" s="374" t="str">
        <f t="shared" si="9"/>
        <v>--</v>
      </c>
      <c r="W30" s="560" t="str">
        <f t="shared" si="10"/>
        <v>--</v>
      </c>
      <c r="X30" s="422" t="str">
        <f t="shared" si="11"/>
        <v>--</v>
      </c>
      <c r="Y30" s="170">
        <f t="shared" si="14"/>
      </c>
      <c r="Z30" s="494">
        <f t="shared" si="12"/>
      </c>
      <c r="AA30" s="566"/>
    </row>
    <row r="31" spans="2:27" s="8" customFormat="1" ht="16.5" customHeight="1">
      <c r="B31" s="53"/>
      <c r="C31" s="140"/>
      <c r="D31" s="140"/>
      <c r="E31" s="140"/>
      <c r="F31" s="562"/>
      <c r="G31" s="485"/>
      <c r="H31" s="563"/>
      <c r="I31" s="362">
        <f t="shared" si="0"/>
        <v>0</v>
      </c>
      <c r="J31" s="488"/>
      <c r="K31" s="194"/>
      <c r="L31" s="490">
        <f t="shared" si="1"/>
      </c>
      <c r="M31" s="491">
        <f t="shared" si="2"/>
      </c>
      <c r="N31" s="168"/>
      <c r="O31" s="272">
        <f t="shared" si="13"/>
      </c>
      <c r="P31" s="170">
        <f t="shared" si="3"/>
      </c>
      <c r="Q31" s="564">
        <f t="shared" si="4"/>
        <v>20</v>
      </c>
      <c r="R31" s="565" t="str">
        <f t="shared" si="5"/>
        <v>--</v>
      </c>
      <c r="S31" s="558" t="str">
        <f t="shared" si="6"/>
        <v>--</v>
      </c>
      <c r="T31" s="559" t="str">
        <f t="shared" si="7"/>
        <v>--</v>
      </c>
      <c r="U31" s="373" t="str">
        <f t="shared" si="8"/>
        <v>--</v>
      </c>
      <c r="V31" s="374" t="str">
        <f t="shared" si="9"/>
        <v>--</v>
      </c>
      <c r="W31" s="560" t="str">
        <f t="shared" si="10"/>
        <v>--</v>
      </c>
      <c r="X31" s="422" t="str">
        <f t="shared" si="11"/>
        <v>--</v>
      </c>
      <c r="Y31" s="170">
        <f t="shared" si="14"/>
      </c>
      <c r="Z31" s="494">
        <f t="shared" si="12"/>
      </c>
      <c r="AA31" s="55"/>
    </row>
    <row r="32" spans="2:27" s="8" customFormat="1" ht="16.5" customHeight="1">
      <c r="B32" s="53"/>
      <c r="C32" s="140"/>
      <c r="D32" s="140"/>
      <c r="E32" s="159"/>
      <c r="F32" s="562"/>
      <c r="G32" s="485"/>
      <c r="H32" s="563"/>
      <c r="I32" s="362">
        <f t="shared" si="0"/>
        <v>0</v>
      </c>
      <c r="J32" s="488"/>
      <c r="K32" s="194"/>
      <c r="L32" s="490">
        <f t="shared" si="1"/>
      </c>
      <c r="M32" s="491">
        <f t="shared" si="2"/>
      </c>
      <c r="N32" s="168"/>
      <c r="O32" s="272">
        <f t="shared" si="13"/>
      </c>
      <c r="P32" s="170">
        <f t="shared" si="3"/>
      </c>
      <c r="Q32" s="564">
        <f t="shared" si="4"/>
        <v>20</v>
      </c>
      <c r="R32" s="565" t="str">
        <f t="shared" si="5"/>
        <v>--</v>
      </c>
      <c r="S32" s="558" t="str">
        <f t="shared" si="6"/>
        <v>--</v>
      </c>
      <c r="T32" s="559" t="str">
        <f t="shared" si="7"/>
        <v>--</v>
      </c>
      <c r="U32" s="373" t="str">
        <f t="shared" si="8"/>
        <v>--</v>
      </c>
      <c r="V32" s="374" t="str">
        <f t="shared" si="9"/>
        <v>--</v>
      </c>
      <c r="W32" s="560" t="str">
        <f t="shared" si="10"/>
        <v>--</v>
      </c>
      <c r="X32" s="422" t="str">
        <f t="shared" si="11"/>
        <v>--</v>
      </c>
      <c r="Y32" s="170">
        <f t="shared" si="14"/>
      </c>
      <c r="Z32" s="494">
        <f t="shared" si="12"/>
      </c>
      <c r="AA32" s="55"/>
    </row>
    <row r="33" spans="2:27" s="8" customFormat="1" ht="16.5" customHeight="1">
      <c r="B33" s="53"/>
      <c r="C33" s="140"/>
      <c r="D33" s="140"/>
      <c r="E33" s="140"/>
      <c r="F33" s="562"/>
      <c r="G33" s="485"/>
      <c r="H33" s="563"/>
      <c r="I33" s="362">
        <f t="shared" si="0"/>
        <v>0</v>
      </c>
      <c r="J33" s="488"/>
      <c r="K33" s="194"/>
      <c r="L33" s="490">
        <f t="shared" si="1"/>
      </c>
      <c r="M33" s="491">
        <f t="shared" si="2"/>
      </c>
      <c r="N33" s="168"/>
      <c r="O33" s="272">
        <f t="shared" si="13"/>
      </c>
      <c r="P33" s="170">
        <f t="shared" si="3"/>
      </c>
      <c r="Q33" s="564">
        <f t="shared" si="4"/>
        <v>20</v>
      </c>
      <c r="R33" s="565" t="str">
        <f t="shared" si="5"/>
        <v>--</v>
      </c>
      <c r="S33" s="558" t="str">
        <f t="shared" si="6"/>
        <v>--</v>
      </c>
      <c r="T33" s="559" t="str">
        <f t="shared" si="7"/>
        <v>--</v>
      </c>
      <c r="U33" s="373" t="str">
        <f t="shared" si="8"/>
        <v>--</v>
      </c>
      <c r="V33" s="374" t="str">
        <f t="shared" si="9"/>
        <v>--</v>
      </c>
      <c r="W33" s="560" t="str">
        <f t="shared" si="10"/>
        <v>--</v>
      </c>
      <c r="X33" s="422" t="str">
        <f t="shared" si="11"/>
        <v>--</v>
      </c>
      <c r="Y33" s="170">
        <f t="shared" si="14"/>
      </c>
      <c r="Z33" s="494">
        <f t="shared" si="12"/>
      </c>
      <c r="AA33" s="55"/>
    </row>
    <row r="34" spans="2:27" s="8" customFormat="1" ht="16.5" customHeight="1">
      <c r="B34" s="53"/>
      <c r="C34" s="140"/>
      <c r="D34" s="140"/>
      <c r="E34" s="159"/>
      <c r="F34" s="562"/>
      <c r="G34" s="485"/>
      <c r="H34" s="563"/>
      <c r="I34" s="362">
        <f t="shared" si="0"/>
        <v>0</v>
      </c>
      <c r="J34" s="488"/>
      <c r="K34" s="194"/>
      <c r="L34" s="490">
        <f t="shared" si="1"/>
      </c>
      <c r="M34" s="491">
        <f t="shared" si="2"/>
      </c>
      <c r="N34" s="168"/>
      <c r="O34" s="272">
        <f t="shared" si="13"/>
      </c>
      <c r="P34" s="170">
        <f t="shared" si="3"/>
      </c>
      <c r="Q34" s="564">
        <f t="shared" si="4"/>
        <v>20</v>
      </c>
      <c r="R34" s="565" t="str">
        <f t="shared" si="5"/>
        <v>--</v>
      </c>
      <c r="S34" s="558" t="str">
        <f t="shared" si="6"/>
        <v>--</v>
      </c>
      <c r="T34" s="559" t="str">
        <f t="shared" si="7"/>
        <v>--</v>
      </c>
      <c r="U34" s="373" t="str">
        <f t="shared" si="8"/>
        <v>--</v>
      </c>
      <c r="V34" s="374" t="str">
        <f t="shared" si="9"/>
        <v>--</v>
      </c>
      <c r="W34" s="560" t="str">
        <f t="shared" si="10"/>
        <v>--</v>
      </c>
      <c r="X34" s="422" t="str">
        <f t="shared" si="11"/>
        <v>--</v>
      </c>
      <c r="Y34" s="170">
        <f t="shared" si="14"/>
      </c>
      <c r="Z34" s="494">
        <f t="shared" si="12"/>
      </c>
      <c r="AA34" s="55"/>
    </row>
    <row r="35" spans="2:27" s="8" customFormat="1" ht="16.5" customHeight="1">
      <c r="B35" s="53"/>
      <c r="C35" s="140"/>
      <c r="D35" s="140"/>
      <c r="E35" s="140"/>
      <c r="F35" s="562"/>
      <c r="G35" s="485"/>
      <c r="H35" s="563"/>
      <c r="I35" s="362">
        <f t="shared" si="0"/>
        <v>0</v>
      </c>
      <c r="J35" s="488"/>
      <c r="K35" s="194"/>
      <c r="L35" s="490">
        <f t="shared" si="1"/>
      </c>
      <c r="M35" s="491">
        <f t="shared" si="2"/>
      </c>
      <c r="N35" s="168"/>
      <c r="O35" s="272">
        <f t="shared" si="13"/>
      </c>
      <c r="P35" s="170">
        <f t="shared" si="3"/>
      </c>
      <c r="Q35" s="564">
        <f t="shared" si="4"/>
        <v>20</v>
      </c>
      <c r="R35" s="565" t="str">
        <f t="shared" si="5"/>
        <v>--</v>
      </c>
      <c r="S35" s="558" t="str">
        <f t="shared" si="6"/>
        <v>--</v>
      </c>
      <c r="T35" s="559" t="str">
        <f t="shared" si="7"/>
        <v>--</v>
      </c>
      <c r="U35" s="373" t="str">
        <f t="shared" si="8"/>
        <v>--</v>
      </c>
      <c r="V35" s="374" t="str">
        <f t="shared" si="9"/>
        <v>--</v>
      </c>
      <c r="W35" s="560" t="str">
        <f t="shared" si="10"/>
        <v>--</v>
      </c>
      <c r="X35" s="422" t="str">
        <f t="shared" si="11"/>
        <v>--</v>
      </c>
      <c r="Y35" s="170">
        <f t="shared" si="14"/>
      </c>
      <c r="Z35" s="494">
        <f t="shared" si="12"/>
      </c>
      <c r="AA35" s="55"/>
    </row>
    <row r="36" spans="2:27" s="8" customFormat="1" ht="16.5" customHeight="1">
      <c r="B36" s="53"/>
      <c r="C36" s="140"/>
      <c r="D36" s="140"/>
      <c r="E36" s="159"/>
      <c r="F36" s="562"/>
      <c r="G36" s="485"/>
      <c r="H36" s="563"/>
      <c r="I36" s="362">
        <f t="shared" si="0"/>
        <v>0</v>
      </c>
      <c r="J36" s="488"/>
      <c r="K36" s="194"/>
      <c r="L36" s="490">
        <f t="shared" si="1"/>
      </c>
      <c r="M36" s="491">
        <f t="shared" si="2"/>
      </c>
      <c r="N36" s="168"/>
      <c r="O36" s="272">
        <f t="shared" si="13"/>
      </c>
      <c r="P36" s="170">
        <f t="shared" si="3"/>
      </c>
      <c r="Q36" s="564">
        <f t="shared" si="4"/>
        <v>20</v>
      </c>
      <c r="R36" s="565" t="str">
        <f t="shared" si="5"/>
        <v>--</v>
      </c>
      <c r="S36" s="558" t="str">
        <f t="shared" si="6"/>
        <v>--</v>
      </c>
      <c r="T36" s="559" t="str">
        <f t="shared" si="7"/>
        <v>--</v>
      </c>
      <c r="U36" s="373" t="str">
        <f t="shared" si="8"/>
        <v>--</v>
      </c>
      <c r="V36" s="374" t="str">
        <f t="shared" si="9"/>
        <v>--</v>
      </c>
      <c r="W36" s="560" t="str">
        <f t="shared" si="10"/>
        <v>--</v>
      </c>
      <c r="X36" s="422" t="str">
        <f t="shared" si="11"/>
        <v>--</v>
      </c>
      <c r="Y36" s="170">
        <f t="shared" si="14"/>
      </c>
      <c r="Z36" s="494">
        <f t="shared" si="12"/>
      </c>
      <c r="AA36" s="55"/>
    </row>
    <row r="37" spans="2:27" s="8" customFormat="1" ht="16.5" customHeight="1">
      <c r="B37" s="53"/>
      <c r="C37" s="140"/>
      <c r="D37" s="140"/>
      <c r="E37" s="140"/>
      <c r="F37" s="562"/>
      <c r="G37" s="485"/>
      <c r="H37" s="563"/>
      <c r="I37" s="362">
        <f t="shared" si="0"/>
        <v>0</v>
      </c>
      <c r="J37" s="488"/>
      <c r="K37" s="194"/>
      <c r="L37" s="490">
        <f t="shared" si="1"/>
      </c>
      <c r="M37" s="491">
        <f t="shared" si="2"/>
      </c>
      <c r="N37" s="168"/>
      <c r="O37" s="272">
        <f t="shared" si="13"/>
      </c>
      <c r="P37" s="170">
        <f t="shared" si="3"/>
      </c>
      <c r="Q37" s="564">
        <f t="shared" si="4"/>
        <v>20</v>
      </c>
      <c r="R37" s="565" t="str">
        <f t="shared" si="5"/>
        <v>--</v>
      </c>
      <c r="S37" s="558" t="str">
        <f t="shared" si="6"/>
        <v>--</v>
      </c>
      <c r="T37" s="559" t="str">
        <f t="shared" si="7"/>
        <v>--</v>
      </c>
      <c r="U37" s="373" t="str">
        <f t="shared" si="8"/>
        <v>--</v>
      </c>
      <c r="V37" s="374" t="str">
        <f t="shared" si="9"/>
        <v>--</v>
      </c>
      <c r="W37" s="560" t="str">
        <f t="shared" si="10"/>
        <v>--</v>
      </c>
      <c r="X37" s="422" t="str">
        <f t="shared" si="11"/>
        <v>--</v>
      </c>
      <c r="Y37" s="170">
        <f t="shared" si="14"/>
      </c>
      <c r="Z37" s="494">
        <f t="shared" si="12"/>
      </c>
      <c r="AA37" s="55"/>
    </row>
    <row r="38" spans="2:27" s="8" customFormat="1" ht="16.5" customHeight="1">
      <c r="B38" s="53"/>
      <c r="C38" s="140"/>
      <c r="D38" s="140"/>
      <c r="E38" s="159"/>
      <c r="F38" s="562"/>
      <c r="G38" s="485"/>
      <c r="H38" s="563"/>
      <c r="I38" s="362">
        <f t="shared" si="0"/>
        <v>0</v>
      </c>
      <c r="J38" s="488"/>
      <c r="K38" s="194"/>
      <c r="L38" s="490">
        <f t="shared" si="1"/>
      </c>
      <c r="M38" s="491">
        <f t="shared" si="2"/>
      </c>
      <c r="N38" s="168"/>
      <c r="O38" s="272">
        <f t="shared" si="13"/>
      </c>
      <c r="P38" s="170">
        <f t="shared" si="3"/>
      </c>
      <c r="Q38" s="564">
        <f t="shared" si="4"/>
        <v>20</v>
      </c>
      <c r="R38" s="565" t="str">
        <f t="shared" si="5"/>
        <v>--</v>
      </c>
      <c r="S38" s="558" t="str">
        <f t="shared" si="6"/>
        <v>--</v>
      </c>
      <c r="T38" s="559" t="str">
        <f t="shared" si="7"/>
        <v>--</v>
      </c>
      <c r="U38" s="373" t="str">
        <f t="shared" si="8"/>
        <v>--</v>
      </c>
      <c r="V38" s="374" t="str">
        <f t="shared" si="9"/>
        <v>--</v>
      </c>
      <c r="W38" s="560" t="str">
        <f t="shared" si="10"/>
        <v>--</v>
      </c>
      <c r="X38" s="422" t="str">
        <f t="shared" si="11"/>
        <v>--</v>
      </c>
      <c r="Y38" s="170">
        <f t="shared" si="14"/>
      </c>
      <c r="Z38" s="494">
        <f t="shared" si="12"/>
      </c>
      <c r="AA38" s="55"/>
    </row>
    <row r="39" spans="2:27" s="8" customFormat="1" ht="16.5" customHeight="1">
      <c r="B39" s="53"/>
      <c r="C39" s="140"/>
      <c r="D39" s="140"/>
      <c r="E39" s="140"/>
      <c r="F39" s="562"/>
      <c r="G39" s="485"/>
      <c r="H39" s="563"/>
      <c r="I39" s="362">
        <f t="shared" si="0"/>
        <v>0</v>
      </c>
      <c r="J39" s="488"/>
      <c r="K39" s="194"/>
      <c r="L39" s="490">
        <f t="shared" si="1"/>
      </c>
      <c r="M39" s="491">
        <f t="shared" si="2"/>
      </c>
      <c r="N39" s="168"/>
      <c r="O39" s="272">
        <f t="shared" si="13"/>
      </c>
      <c r="P39" s="170">
        <f t="shared" si="3"/>
      </c>
      <c r="Q39" s="564">
        <f t="shared" si="4"/>
        <v>20</v>
      </c>
      <c r="R39" s="565" t="str">
        <f t="shared" si="5"/>
        <v>--</v>
      </c>
      <c r="S39" s="558" t="str">
        <f t="shared" si="6"/>
        <v>--</v>
      </c>
      <c r="T39" s="559" t="str">
        <f t="shared" si="7"/>
        <v>--</v>
      </c>
      <c r="U39" s="373" t="str">
        <f t="shared" si="8"/>
        <v>--</v>
      </c>
      <c r="V39" s="374" t="str">
        <f t="shared" si="9"/>
        <v>--</v>
      </c>
      <c r="W39" s="560" t="str">
        <f t="shared" si="10"/>
        <v>--</v>
      </c>
      <c r="X39" s="422" t="str">
        <f t="shared" si="11"/>
        <v>--</v>
      </c>
      <c r="Y39" s="170">
        <f t="shared" si="14"/>
      </c>
      <c r="Z39" s="494">
        <f t="shared" si="12"/>
      </c>
      <c r="AA39" s="55"/>
    </row>
    <row r="40" spans="2:27" s="8" customFormat="1" ht="16.5" customHeight="1">
      <c r="B40" s="53"/>
      <c r="C40" s="140"/>
      <c r="D40" s="140"/>
      <c r="E40" s="159"/>
      <c r="F40" s="562"/>
      <c r="G40" s="485"/>
      <c r="H40" s="563"/>
      <c r="I40" s="362">
        <f t="shared" si="0"/>
        <v>0</v>
      </c>
      <c r="J40" s="488"/>
      <c r="K40" s="194"/>
      <c r="L40" s="490">
        <f t="shared" si="1"/>
      </c>
      <c r="M40" s="491">
        <f t="shared" si="2"/>
      </c>
      <c r="N40" s="168"/>
      <c r="O40" s="272">
        <f t="shared" si="13"/>
      </c>
      <c r="P40" s="170">
        <f t="shared" si="3"/>
      </c>
      <c r="Q40" s="564">
        <f t="shared" si="4"/>
        <v>20</v>
      </c>
      <c r="R40" s="565" t="str">
        <f t="shared" si="5"/>
        <v>--</v>
      </c>
      <c r="S40" s="558" t="str">
        <f t="shared" si="6"/>
        <v>--</v>
      </c>
      <c r="T40" s="559" t="str">
        <f t="shared" si="7"/>
        <v>--</v>
      </c>
      <c r="U40" s="373" t="str">
        <f t="shared" si="8"/>
        <v>--</v>
      </c>
      <c r="V40" s="374" t="str">
        <f t="shared" si="9"/>
        <v>--</v>
      </c>
      <c r="W40" s="560" t="str">
        <f t="shared" si="10"/>
        <v>--</v>
      </c>
      <c r="X40" s="422" t="str">
        <f t="shared" si="11"/>
        <v>--</v>
      </c>
      <c r="Y40" s="170">
        <f t="shared" si="14"/>
      </c>
      <c r="Z40" s="494">
        <f t="shared" si="12"/>
      </c>
      <c r="AA40" s="55"/>
    </row>
    <row r="41" spans="2:27" s="8" customFormat="1" ht="16.5" customHeight="1">
      <c r="B41" s="53"/>
      <c r="C41" s="140"/>
      <c r="D41" s="140"/>
      <c r="E41" s="140"/>
      <c r="F41" s="562"/>
      <c r="G41" s="485"/>
      <c r="H41" s="563"/>
      <c r="I41" s="362">
        <f t="shared" si="0"/>
        <v>0</v>
      </c>
      <c r="J41" s="488"/>
      <c r="K41" s="194"/>
      <c r="L41" s="490">
        <f t="shared" si="1"/>
      </c>
      <c r="M41" s="491">
        <f t="shared" si="2"/>
      </c>
      <c r="N41" s="168"/>
      <c r="O41" s="272">
        <f t="shared" si="13"/>
      </c>
      <c r="P41" s="170">
        <f t="shared" si="3"/>
      </c>
      <c r="Q41" s="564">
        <f t="shared" si="4"/>
        <v>20</v>
      </c>
      <c r="R41" s="565" t="str">
        <f t="shared" si="5"/>
        <v>--</v>
      </c>
      <c r="S41" s="558" t="str">
        <f t="shared" si="6"/>
        <v>--</v>
      </c>
      <c r="T41" s="559" t="str">
        <f t="shared" si="7"/>
        <v>--</v>
      </c>
      <c r="U41" s="373" t="str">
        <f t="shared" si="8"/>
        <v>--</v>
      </c>
      <c r="V41" s="374" t="str">
        <f t="shared" si="9"/>
        <v>--</v>
      </c>
      <c r="W41" s="560" t="str">
        <f t="shared" si="10"/>
        <v>--</v>
      </c>
      <c r="X41" s="422" t="str">
        <f t="shared" si="11"/>
        <v>--</v>
      </c>
      <c r="Y41" s="170">
        <f t="shared" si="14"/>
      </c>
      <c r="Z41" s="494">
        <f t="shared" si="12"/>
      </c>
      <c r="AA41" s="55"/>
    </row>
    <row r="42" spans="2:27" s="8" customFormat="1" ht="16.5" customHeight="1" thickBot="1">
      <c r="B42" s="53"/>
      <c r="C42" s="567"/>
      <c r="D42" s="567"/>
      <c r="E42" s="567"/>
      <c r="F42" s="567"/>
      <c r="G42" s="567"/>
      <c r="H42" s="567"/>
      <c r="I42" s="382"/>
      <c r="J42" s="495"/>
      <c r="K42" s="495"/>
      <c r="L42" s="496"/>
      <c r="M42" s="496"/>
      <c r="N42" s="495"/>
      <c r="O42" s="206"/>
      <c r="P42" s="205"/>
      <c r="Q42" s="568"/>
      <c r="R42" s="569"/>
      <c r="S42" s="570"/>
      <c r="T42" s="571"/>
      <c r="U42" s="394"/>
      <c r="V42" s="395"/>
      <c r="W42" s="572"/>
      <c r="X42" s="572"/>
      <c r="Y42" s="205"/>
      <c r="Z42" s="573"/>
      <c r="AA42" s="55"/>
    </row>
    <row r="43" spans="2:27" s="8" customFormat="1" ht="16.5" customHeight="1" thickBot="1" thickTop="1">
      <c r="B43" s="53"/>
      <c r="C43" s="219" t="s">
        <v>180</v>
      </c>
      <c r="D43" s="1494" t="s">
        <v>281</v>
      </c>
      <c r="E43" s="219"/>
      <c r="F43" s="221"/>
      <c r="I43" s="11"/>
      <c r="J43" s="11"/>
      <c r="K43" s="11"/>
      <c r="L43" s="11"/>
      <c r="M43" s="11"/>
      <c r="N43" s="11"/>
      <c r="O43" s="11"/>
      <c r="P43" s="11"/>
      <c r="Q43" s="11"/>
      <c r="R43" s="574">
        <f aca="true" t="shared" si="15" ref="R43:X43">SUM(R20:R42)</f>
        <v>6471.36</v>
      </c>
      <c r="S43" s="575">
        <f t="shared" si="15"/>
        <v>0</v>
      </c>
      <c r="T43" s="576">
        <f t="shared" si="15"/>
        <v>0</v>
      </c>
      <c r="U43" s="404">
        <f t="shared" si="15"/>
        <v>0</v>
      </c>
      <c r="V43" s="405">
        <f t="shared" si="15"/>
        <v>0</v>
      </c>
      <c r="W43" s="577">
        <f t="shared" si="15"/>
        <v>0</v>
      </c>
      <c r="X43" s="577">
        <f t="shared" si="15"/>
        <v>0</v>
      </c>
      <c r="Z43" s="508">
        <f>ROUND(SUM(Z20:Z42),2)</f>
        <v>6471.36</v>
      </c>
      <c r="AA43" s="578"/>
    </row>
    <row r="44" spans="2:27" s="8" customFormat="1" ht="16.5" customHeight="1" thickBot="1" thickTop="1"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7"/>
    </row>
    <row r="45" spans="6:29" ht="16.5" customHeight="1" thickTop="1">
      <c r="F45" s="579"/>
      <c r="G45" s="579"/>
      <c r="H45" s="579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</row>
    <row r="46" spans="6:29" ht="16.5" customHeight="1">
      <c r="F46" s="579"/>
      <c r="G46" s="579"/>
      <c r="H46" s="579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</row>
    <row r="47" spans="6:29" ht="16.5" customHeight="1">
      <c r="F47" s="579"/>
      <c r="G47" s="579"/>
      <c r="H47" s="579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</row>
    <row r="48" spans="6:29" ht="16.5" customHeight="1">
      <c r="F48" s="579"/>
      <c r="G48" s="579"/>
      <c r="H48" s="579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</row>
    <row r="49" spans="6:29" ht="16.5" customHeight="1">
      <c r="F49" s="579"/>
      <c r="G49" s="579"/>
      <c r="H49" s="579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</row>
    <row r="50" spans="6:29" ht="16.5" customHeight="1">
      <c r="F50" s="579"/>
      <c r="G50" s="579"/>
      <c r="H50" s="579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</row>
    <row r="51" spans="6:29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</row>
    <row r="52" spans="6:29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</row>
    <row r="53" spans="6:29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</row>
    <row r="54" spans="6:29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</row>
    <row r="55" spans="6:29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</row>
    <row r="56" spans="6:29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</row>
    <row r="57" spans="6:29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</row>
    <row r="58" spans="6:29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</row>
    <row r="59" spans="6:29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</row>
    <row r="60" spans="6:29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</row>
    <row r="61" spans="6:29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</row>
    <row r="62" spans="6:29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</row>
    <row r="63" spans="6:29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</row>
    <row r="64" spans="6:29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</row>
    <row r="65" spans="6:29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</row>
    <row r="66" spans="6:29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</row>
    <row r="67" spans="6:29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</row>
    <row r="68" spans="6:29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</row>
    <row r="69" spans="6:29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</row>
    <row r="70" spans="6:29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</row>
    <row r="71" spans="6:29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</row>
    <row r="72" spans="6:29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</row>
    <row r="73" spans="6:29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</row>
    <row r="74" spans="6:29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</row>
    <row r="75" spans="6:29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</row>
    <row r="76" spans="6:29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</row>
    <row r="77" spans="6:29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</row>
    <row r="78" spans="6:29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</row>
    <row r="79" spans="6:29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</row>
    <row r="80" spans="6:29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</row>
    <row r="81" spans="6:29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</row>
    <row r="82" spans="6:29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</row>
    <row r="83" spans="6:29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</row>
    <row r="84" spans="6:29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</row>
    <row r="85" spans="6:29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</row>
    <row r="86" spans="6:29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</row>
    <row r="87" spans="6:29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</row>
    <row r="88" spans="6:29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</row>
    <row r="89" spans="6:29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</row>
    <row r="90" spans="6:29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</row>
    <row r="91" spans="6:29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</row>
    <row r="92" spans="6:29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</row>
    <row r="93" spans="6:29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</row>
    <row r="94" spans="6:29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</row>
    <row r="95" spans="6:29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</row>
    <row r="96" spans="6:29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</row>
    <row r="97" spans="6:29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</row>
    <row r="98" spans="6:29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</row>
    <row r="99" spans="6:29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</row>
    <row r="100" spans="6:29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</row>
    <row r="101" spans="6:29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</row>
    <row r="102" spans="6:29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</row>
    <row r="103" spans="6:29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</row>
    <row r="104" spans="6:29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</row>
    <row r="105" spans="6:29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</row>
    <row r="106" spans="6:29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</row>
    <row r="107" spans="6:29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</row>
    <row r="108" spans="6:29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</row>
    <row r="109" spans="6:29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</row>
    <row r="110" spans="6:29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</row>
    <row r="111" spans="6:29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</row>
    <row r="112" spans="6:29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</row>
    <row r="113" spans="6:29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</row>
    <row r="114" spans="6:29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</row>
    <row r="115" spans="6:29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</row>
    <row r="116" spans="6:29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</row>
    <row r="117" spans="6:29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</row>
    <row r="118" spans="6:29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</row>
    <row r="119" spans="6:29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</row>
    <row r="120" spans="6:29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</row>
    <row r="121" spans="6:29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</row>
    <row r="122" spans="6:29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13"/>
    </row>
    <row r="123" spans="6:29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</row>
    <row r="124" spans="6:29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</row>
    <row r="125" spans="6:29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</row>
    <row r="126" spans="6:29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  <c r="AB126" s="413"/>
      <c r="AC126" s="413"/>
    </row>
    <row r="127" spans="6:29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</row>
    <row r="128" spans="6:29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</row>
    <row r="129" spans="6:29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</row>
    <row r="130" spans="6:29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13"/>
    </row>
    <row r="131" spans="6:29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</row>
    <row r="132" spans="6:29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  <c r="AB132" s="413"/>
      <c r="AC132" s="413"/>
    </row>
    <row r="133" spans="6:29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</row>
    <row r="134" spans="6:29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</row>
    <row r="135" spans="6:29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</row>
    <row r="136" spans="6:29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</row>
    <row r="137" spans="6:29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</row>
    <row r="138" spans="6:29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</row>
    <row r="139" spans="6:29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</row>
    <row r="140" spans="6:29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</row>
    <row r="141" spans="6:29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</row>
    <row r="142" spans="6:29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</row>
    <row r="143" spans="6:29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</row>
    <row r="144" spans="6:29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</row>
    <row r="145" spans="6:29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</row>
    <row r="146" spans="6:29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  <c r="AB146" s="413"/>
      <c r="AC146" s="413"/>
    </row>
    <row r="147" spans="6:29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</row>
    <row r="148" spans="6:29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</row>
    <row r="149" spans="6:29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</row>
    <row r="150" spans="6:29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</row>
    <row r="151" spans="6:29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</row>
    <row r="152" spans="6:29" ht="16.5" customHeight="1">
      <c r="F152" s="413"/>
      <c r="G152" s="413"/>
      <c r="H152" s="413"/>
      <c r="AB152" s="413"/>
      <c r="AC152" s="413"/>
    </row>
    <row r="153" spans="6:8" ht="16.5" customHeight="1">
      <c r="F153" s="413"/>
      <c r="G153" s="413"/>
      <c r="H153" s="413"/>
    </row>
    <row r="154" spans="6:8" ht="16.5" customHeight="1">
      <c r="F154" s="413"/>
      <c r="G154" s="413"/>
      <c r="H154" s="413"/>
    </row>
    <row r="155" spans="6:8" ht="16.5" customHeight="1">
      <c r="F155" s="413"/>
      <c r="G155" s="413"/>
      <c r="H155" s="413"/>
    </row>
    <row r="156" spans="6:8" ht="16.5" customHeight="1">
      <c r="F156" s="413"/>
      <c r="G156" s="413"/>
      <c r="H156" s="413"/>
    </row>
    <row r="157" spans="6:8" ht="16.5" customHeight="1">
      <c r="F157" s="413"/>
      <c r="G157" s="413"/>
      <c r="H157" s="413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73"/>
  <sheetViews>
    <sheetView zoomScale="60" zoomScaleNormal="60" zoomScalePageLayoutView="0" workbookViewId="0" topLeftCell="A1">
      <selection activeCell="D2" sqref="D2"/>
    </sheetView>
  </sheetViews>
  <sheetFormatPr defaultColWidth="11.421875" defaultRowHeight="12.75"/>
  <cols>
    <col min="1" max="1" width="7.00390625" style="1324" customWidth="1"/>
    <col min="2" max="2" width="14.140625" style="1324" customWidth="1"/>
    <col min="3" max="3" width="4.7109375" style="1324" customWidth="1"/>
    <col min="4" max="4" width="36.140625" style="1324" customWidth="1"/>
    <col min="5" max="5" width="20.7109375" style="1324" customWidth="1"/>
    <col min="6" max="6" width="15.00390625" style="1324" customWidth="1"/>
    <col min="7" max="7" width="13.8515625" style="1324" customWidth="1"/>
    <col min="8" max="8" width="7.140625" style="1324" hidden="1" customWidth="1"/>
    <col min="9" max="9" width="8.28125" style="1324" hidden="1" customWidth="1"/>
    <col min="10" max="11" width="18.7109375" style="1324" customWidth="1"/>
    <col min="12" max="13" width="10.7109375" style="1324" customWidth="1"/>
    <col min="14" max="14" width="9.7109375" style="1324" customWidth="1"/>
    <col min="15" max="15" width="10.57421875" style="1324" customWidth="1"/>
    <col min="16" max="16" width="8.421875" style="1324" customWidth="1"/>
    <col min="17" max="17" width="13.28125" style="1324" customWidth="1"/>
    <col min="18" max="18" width="12.28125" style="1324" hidden="1" customWidth="1"/>
    <col min="19" max="19" width="13.140625" style="1324" hidden="1" customWidth="1"/>
    <col min="20" max="20" width="10.8515625" style="1324" hidden="1" customWidth="1"/>
    <col min="21" max="21" width="9.8515625" style="1324" hidden="1" customWidth="1"/>
    <col min="22" max="22" width="5.28125" style="1324" hidden="1" customWidth="1"/>
    <col min="23" max="23" width="16.57421875" style="1324" hidden="1" customWidth="1"/>
    <col min="24" max="25" width="12.28125" style="1324" hidden="1" customWidth="1"/>
    <col min="26" max="27" width="5.28125" style="1324" hidden="1" customWidth="1"/>
    <col min="28" max="28" width="10.8515625" style="1324" customWidth="1"/>
    <col min="29" max="29" width="22.8515625" style="1324" customWidth="1"/>
    <col min="30" max="30" width="11.8515625" style="1324" customWidth="1"/>
    <col min="31" max="31" width="4.140625" style="1324" customWidth="1"/>
    <col min="32" max="32" width="7.140625" style="1324" customWidth="1"/>
    <col min="33" max="33" width="5.28125" style="1324" customWidth="1"/>
    <col min="34" max="34" width="5.421875" style="1324" customWidth="1"/>
    <col min="35" max="35" width="4.7109375" style="1324" customWidth="1"/>
    <col min="36" max="36" width="5.28125" style="1324" customWidth="1"/>
    <col min="37" max="38" width="13.28125" style="1324" customWidth="1"/>
    <col min="39" max="39" width="6.57421875" style="1324" customWidth="1"/>
    <col min="40" max="40" width="6.421875" style="1324" customWidth="1"/>
    <col min="41" max="44" width="11.421875" style="1324" customWidth="1"/>
    <col min="45" max="45" width="12.7109375" style="1324" customWidth="1"/>
    <col min="46" max="48" width="11.421875" style="1324" customWidth="1"/>
    <col min="49" max="49" width="21.00390625" style="1324" customWidth="1"/>
    <col min="50" max="16384" width="11.421875" style="1324" customWidth="1"/>
  </cols>
  <sheetData>
    <row r="1" spans="1:30" ht="13.5">
      <c r="A1" s="1329"/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30"/>
      <c r="O1" s="1330"/>
      <c r="P1" s="1330"/>
      <c r="Q1" s="1330"/>
      <c r="R1" s="1330"/>
      <c r="S1" s="1330"/>
      <c r="T1" s="1330"/>
      <c r="U1" s="1330"/>
      <c r="V1" s="1330"/>
      <c r="AD1" s="1326"/>
    </row>
    <row r="2" spans="1:23" ht="27" customHeight="1">
      <c r="A2" s="1329"/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  <c r="U2" s="1330"/>
      <c r="V2" s="1330"/>
      <c r="W2" s="1330"/>
    </row>
    <row r="3" spans="1:30" s="1817" customFormat="1" ht="30.75">
      <c r="A3" s="1814"/>
      <c r="B3" s="1815" t="str">
        <f>'TOT-1214'!B2</f>
        <v>ANEXO I al Memorándum D.T.E.E. N° 90 /2016</v>
      </c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  <c r="P3" s="1816"/>
      <c r="Q3" s="1816"/>
      <c r="R3" s="1816"/>
      <c r="S3" s="1816"/>
      <c r="T3" s="1816"/>
      <c r="U3" s="1816"/>
      <c r="V3" s="1816"/>
      <c r="W3" s="1816"/>
      <c r="AB3" s="1816"/>
      <c r="AC3" s="1816"/>
      <c r="AD3" s="1816"/>
    </row>
    <row r="4" spans="1:2" s="1334" customFormat="1" ht="11.25">
      <c r="A4" s="1333" t="s">
        <v>2</v>
      </c>
      <c r="B4" s="1333"/>
    </row>
    <row r="5" spans="1:2" s="1334" customFormat="1" ht="11.25">
      <c r="A5" s="1333" t="s">
        <v>3</v>
      </c>
      <c r="B5" s="1333"/>
    </row>
    <row r="6" s="1334" customFormat="1" ht="37.5" customHeight="1" thickBot="1">
      <c r="A6" s="1333"/>
    </row>
    <row r="7" spans="1:30" ht="16.5" customHeight="1" thickTop="1">
      <c r="A7" s="1330"/>
      <c r="B7" s="1335"/>
      <c r="C7" s="1336"/>
      <c r="D7" s="1336"/>
      <c r="E7" s="1337"/>
      <c r="F7" s="1336"/>
      <c r="G7" s="1336"/>
      <c r="H7" s="1336"/>
      <c r="I7" s="1336"/>
      <c r="J7" s="1336"/>
      <c r="K7" s="1336"/>
      <c r="L7" s="1336"/>
      <c r="M7" s="1336"/>
      <c r="N7" s="1336"/>
      <c r="O7" s="1336"/>
      <c r="P7" s="1336"/>
      <c r="Q7" s="1336"/>
      <c r="R7" s="1336"/>
      <c r="S7" s="1336"/>
      <c r="T7" s="1336"/>
      <c r="U7" s="1336"/>
      <c r="V7" s="1336"/>
      <c r="W7" s="1818"/>
      <c r="X7" s="1818"/>
      <c r="Y7" s="1818"/>
      <c r="Z7" s="1818"/>
      <c r="AA7" s="1818"/>
      <c r="AB7" s="1818"/>
      <c r="AC7" s="1818"/>
      <c r="AD7" s="1338"/>
    </row>
    <row r="8" spans="1:30" ht="20.25">
      <c r="A8" s="1330"/>
      <c r="B8" s="1345"/>
      <c r="C8" s="1346"/>
      <c r="D8" s="1342" t="s">
        <v>82</v>
      </c>
      <c r="E8" s="1346"/>
      <c r="F8" s="1346"/>
      <c r="G8" s="1346"/>
      <c r="H8" s="1346"/>
      <c r="I8" s="1346"/>
      <c r="J8" s="1346"/>
      <c r="K8" s="1346"/>
      <c r="L8" s="1346"/>
      <c r="M8" s="1346"/>
      <c r="N8" s="1346"/>
      <c r="O8" s="1346"/>
      <c r="P8" s="1819"/>
      <c r="Q8" s="1819"/>
      <c r="R8" s="1346"/>
      <c r="S8" s="1346"/>
      <c r="T8" s="1346"/>
      <c r="U8" s="1346"/>
      <c r="V8" s="1346"/>
      <c r="AD8" s="1347"/>
    </row>
    <row r="9" spans="1:30" ht="16.5" customHeight="1">
      <c r="A9" s="1330"/>
      <c r="B9" s="1345"/>
      <c r="C9" s="1346"/>
      <c r="D9" s="1346"/>
      <c r="E9" s="1346"/>
      <c r="F9" s="1346"/>
      <c r="G9" s="1346"/>
      <c r="H9" s="1346"/>
      <c r="I9" s="1346"/>
      <c r="J9" s="1346"/>
      <c r="K9" s="1346"/>
      <c r="L9" s="1346"/>
      <c r="M9" s="1346"/>
      <c r="N9" s="1346"/>
      <c r="O9" s="1346"/>
      <c r="P9" s="1346"/>
      <c r="Q9" s="1346"/>
      <c r="R9" s="1346"/>
      <c r="S9" s="1346"/>
      <c r="T9" s="1346"/>
      <c r="U9" s="1346"/>
      <c r="V9" s="1346"/>
      <c r="AD9" s="1347"/>
    </row>
    <row r="10" spans="2:30" s="1359" customFormat="1" ht="20.25">
      <c r="B10" s="1820"/>
      <c r="C10" s="1821"/>
      <c r="D10" s="1342" t="s">
        <v>83</v>
      </c>
      <c r="E10" s="1821"/>
      <c r="F10" s="1821"/>
      <c r="G10" s="1821"/>
      <c r="H10" s="1821"/>
      <c r="N10" s="1821"/>
      <c r="O10" s="1821"/>
      <c r="P10" s="1822"/>
      <c r="Q10" s="1822"/>
      <c r="R10" s="1821"/>
      <c r="S10" s="1821"/>
      <c r="T10" s="1821"/>
      <c r="U10" s="1821"/>
      <c r="V10" s="1821"/>
      <c r="W10" s="1324"/>
      <c r="X10" s="1821"/>
      <c r="Y10" s="1821"/>
      <c r="Z10" s="1821"/>
      <c r="AA10" s="1821"/>
      <c r="AB10" s="1821"/>
      <c r="AC10" s="1324"/>
      <c r="AD10" s="1823"/>
    </row>
    <row r="11" spans="1:30" ht="16.5" customHeight="1">
      <c r="A11" s="1330"/>
      <c r="B11" s="1345"/>
      <c r="C11" s="1346"/>
      <c r="D11" s="1346"/>
      <c r="E11" s="1346"/>
      <c r="F11" s="1346"/>
      <c r="G11" s="1346"/>
      <c r="H11" s="1346"/>
      <c r="I11" s="1346"/>
      <c r="J11" s="1346"/>
      <c r="K11" s="1346"/>
      <c r="L11" s="1346"/>
      <c r="M11" s="1346"/>
      <c r="N11" s="1346"/>
      <c r="O11" s="1346"/>
      <c r="P11" s="1346"/>
      <c r="Q11" s="1346"/>
      <c r="R11" s="1346"/>
      <c r="S11" s="1346"/>
      <c r="T11" s="1346"/>
      <c r="U11" s="1346"/>
      <c r="V11" s="1346"/>
      <c r="AD11" s="1347"/>
    </row>
    <row r="12" spans="2:30" s="1359" customFormat="1" ht="20.25">
      <c r="B12" s="1820"/>
      <c r="C12" s="1821"/>
      <c r="D12" s="1342" t="s">
        <v>350</v>
      </c>
      <c r="E12" s="1821"/>
      <c r="F12" s="1821"/>
      <c r="G12" s="1821"/>
      <c r="H12" s="1821"/>
      <c r="N12" s="1821"/>
      <c r="O12" s="1821"/>
      <c r="P12" s="1822"/>
      <c r="Q12" s="1822"/>
      <c r="R12" s="1821"/>
      <c r="S12" s="1821"/>
      <c r="T12" s="1821"/>
      <c r="U12" s="1821"/>
      <c r="V12" s="1821"/>
      <c r="W12" s="1324"/>
      <c r="X12" s="1821"/>
      <c r="Y12" s="1821"/>
      <c r="Z12" s="1821"/>
      <c r="AA12" s="1821"/>
      <c r="AB12" s="1821"/>
      <c r="AC12" s="1324"/>
      <c r="AD12" s="1823"/>
    </row>
    <row r="13" spans="1:30" ht="16.5" customHeight="1">
      <c r="A13" s="1330"/>
      <c r="B13" s="1345"/>
      <c r="C13" s="1346"/>
      <c r="D13" s="1346"/>
      <c r="E13" s="1330"/>
      <c r="F13" s="1330"/>
      <c r="G13" s="1330"/>
      <c r="H13" s="1330"/>
      <c r="I13" s="1824"/>
      <c r="J13" s="1824"/>
      <c r="K13" s="1824"/>
      <c r="L13" s="1824"/>
      <c r="M13" s="1824"/>
      <c r="N13" s="1824"/>
      <c r="O13" s="1824"/>
      <c r="P13" s="1824"/>
      <c r="Q13" s="1824"/>
      <c r="R13" s="1346"/>
      <c r="S13" s="1346"/>
      <c r="T13" s="1346"/>
      <c r="U13" s="1346"/>
      <c r="V13" s="1346"/>
      <c r="AD13" s="1347"/>
    </row>
    <row r="14" spans="2:30" s="1359" customFormat="1" ht="19.5">
      <c r="B14" s="1360" t="str">
        <f>'TOT-1214'!B14</f>
        <v>Desde el 01 al 31 de diciembre de 2014</v>
      </c>
      <c r="C14" s="1825"/>
      <c r="D14" s="1361"/>
      <c r="E14" s="1361"/>
      <c r="F14" s="1361"/>
      <c r="G14" s="1361"/>
      <c r="H14" s="1361"/>
      <c r="I14" s="1826"/>
      <c r="J14" s="1827"/>
      <c r="K14" s="1826"/>
      <c r="L14" s="1826"/>
      <c r="M14" s="1826"/>
      <c r="N14" s="1826"/>
      <c r="O14" s="1826"/>
      <c r="P14" s="1826"/>
      <c r="Q14" s="1826"/>
      <c r="R14" s="1826"/>
      <c r="S14" s="1826"/>
      <c r="T14" s="1826"/>
      <c r="U14" s="1828"/>
      <c r="V14" s="1828"/>
      <c r="W14" s="1324"/>
      <c r="X14" s="1829"/>
      <c r="Y14" s="1829"/>
      <c r="Z14" s="1829"/>
      <c r="AA14" s="1829"/>
      <c r="AB14" s="1828"/>
      <c r="AC14" s="1827"/>
      <c r="AD14" s="1830"/>
    </row>
    <row r="15" spans="1:30" ht="16.5" customHeight="1">
      <c r="A15" s="1330"/>
      <c r="B15" s="1345"/>
      <c r="C15" s="1346"/>
      <c r="D15" s="1346"/>
      <c r="E15" s="1364"/>
      <c r="F15" s="1364"/>
      <c r="G15" s="1346"/>
      <c r="H15" s="1346"/>
      <c r="I15" s="1346"/>
      <c r="J15" s="1831"/>
      <c r="K15" s="1346"/>
      <c r="L15" s="1346"/>
      <c r="M15" s="1346"/>
      <c r="N15" s="1330"/>
      <c r="O15" s="1330"/>
      <c r="P15" s="1346"/>
      <c r="Q15" s="1346"/>
      <c r="R15" s="1346"/>
      <c r="S15" s="1346"/>
      <c r="T15" s="1346"/>
      <c r="U15" s="1346"/>
      <c r="V15" s="1346"/>
      <c r="AD15" s="1347"/>
    </row>
    <row r="16" spans="1:30" ht="16.5" customHeight="1">
      <c r="A16" s="1330"/>
      <c r="B16" s="1345"/>
      <c r="C16" s="1346"/>
      <c r="D16" s="1346"/>
      <c r="E16" s="1364"/>
      <c r="F16" s="1364"/>
      <c r="G16" s="1346"/>
      <c r="H16" s="1346"/>
      <c r="I16" s="1832"/>
      <c r="J16" s="1346"/>
      <c r="K16" s="1491"/>
      <c r="M16" s="1346"/>
      <c r="N16" s="1330"/>
      <c r="O16" s="1330"/>
      <c r="P16" s="1346"/>
      <c r="Q16" s="1346"/>
      <c r="R16" s="1346"/>
      <c r="S16" s="1346"/>
      <c r="T16" s="1346"/>
      <c r="U16" s="1346"/>
      <c r="V16" s="1346"/>
      <c r="AD16" s="1347"/>
    </row>
    <row r="17" spans="1:30" ht="16.5" customHeight="1">
      <c r="A17" s="1330"/>
      <c r="B17" s="1345"/>
      <c r="C17" s="1346"/>
      <c r="D17" s="1346"/>
      <c r="E17" s="1364"/>
      <c r="F17" s="1364"/>
      <c r="G17" s="1346"/>
      <c r="H17" s="1346"/>
      <c r="I17" s="1832"/>
      <c r="J17" s="1346"/>
      <c r="K17" s="1491"/>
      <c r="M17" s="1346"/>
      <c r="N17" s="1330"/>
      <c r="O17" s="1330"/>
      <c r="P17" s="1346"/>
      <c r="Q17" s="1346"/>
      <c r="R17" s="1346"/>
      <c r="S17" s="1346"/>
      <c r="T17" s="1346"/>
      <c r="U17" s="1346"/>
      <c r="V17" s="1346"/>
      <c r="AD17" s="1347"/>
    </row>
    <row r="18" spans="1:30" ht="16.5" customHeight="1">
      <c r="A18" s="1330"/>
      <c r="B18" s="1345"/>
      <c r="C18" s="1833" t="s">
        <v>84</v>
      </c>
      <c r="D18" s="1834" t="s">
        <v>85</v>
      </c>
      <c r="E18" s="1364"/>
      <c r="F18" s="1364"/>
      <c r="G18" s="1346"/>
      <c r="H18" s="1346"/>
      <c r="I18" s="1346"/>
      <c r="J18" s="1831"/>
      <c r="K18" s="1346"/>
      <c r="L18" s="1346"/>
      <c r="M18" s="1346"/>
      <c r="N18" s="1330"/>
      <c r="O18" s="1330"/>
      <c r="P18" s="1346"/>
      <c r="Q18" s="1346"/>
      <c r="R18" s="1346"/>
      <c r="S18" s="1346"/>
      <c r="T18" s="1346"/>
      <c r="U18" s="1346"/>
      <c r="V18" s="1346"/>
      <c r="AD18" s="1347"/>
    </row>
    <row r="19" spans="2:30" s="1835" customFormat="1" ht="16.5" customHeight="1">
      <c r="B19" s="1836"/>
      <c r="C19" s="1837"/>
      <c r="D19" s="1838"/>
      <c r="E19" s="1839"/>
      <c r="F19" s="1840"/>
      <c r="G19" s="1837"/>
      <c r="H19" s="1837"/>
      <c r="I19" s="1837"/>
      <c r="J19" s="1841"/>
      <c r="K19" s="1837"/>
      <c r="L19" s="1837"/>
      <c r="M19" s="1837"/>
      <c r="P19" s="1837"/>
      <c r="Q19" s="1837"/>
      <c r="R19" s="1837"/>
      <c r="S19" s="1837"/>
      <c r="T19" s="1837"/>
      <c r="U19" s="1837"/>
      <c r="V19" s="1837"/>
      <c r="W19" s="1324"/>
      <c r="AD19" s="1842"/>
    </row>
    <row r="20" spans="2:30" s="1835" customFormat="1" ht="16.5" customHeight="1">
      <c r="B20" s="1836"/>
      <c r="C20" s="1837"/>
      <c r="D20" s="1843" t="s">
        <v>86</v>
      </c>
      <c r="F20" s="1844">
        <v>434.062</v>
      </c>
      <c r="G20" s="1843" t="s">
        <v>87</v>
      </c>
      <c r="H20" s="1837"/>
      <c r="I20" s="1837"/>
      <c r="J20" s="1845"/>
      <c r="K20" s="1846" t="s">
        <v>88</v>
      </c>
      <c r="L20" s="1847">
        <v>0.025</v>
      </c>
      <c r="R20" s="1837"/>
      <c r="S20" s="1837"/>
      <c r="T20" s="1837"/>
      <c r="U20" s="1837"/>
      <c r="V20" s="1837"/>
      <c r="W20" s="1324"/>
      <c r="AD20" s="1842"/>
    </row>
    <row r="21" spans="2:30" s="1835" customFormat="1" ht="16.5" customHeight="1">
      <c r="B21" s="1836"/>
      <c r="C21" s="1837"/>
      <c r="D21" s="1843" t="s">
        <v>89</v>
      </c>
      <c r="E21" s="1848"/>
      <c r="F21" s="1849">
        <v>1.193</v>
      </c>
      <c r="G21" s="1850" t="s">
        <v>90</v>
      </c>
      <c r="H21" s="1837"/>
      <c r="I21" s="1837"/>
      <c r="J21" s="1837"/>
      <c r="K21" s="1838" t="s">
        <v>91</v>
      </c>
      <c r="L21" s="1837">
        <f>MID(B14,16,2)*24</f>
        <v>744</v>
      </c>
      <c r="M21" s="1837" t="s">
        <v>92</v>
      </c>
      <c r="N21" s="1837"/>
      <c r="O21" s="1370"/>
      <c r="P21" s="1371"/>
      <c r="Q21" s="1346"/>
      <c r="R21" s="1837"/>
      <c r="S21" s="1837"/>
      <c r="T21" s="1837"/>
      <c r="U21" s="1837"/>
      <c r="V21" s="1837"/>
      <c r="W21" s="1324"/>
      <c r="AD21" s="1842"/>
    </row>
    <row r="22" spans="2:30" s="1835" customFormat="1" ht="16.5" customHeight="1">
      <c r="B22" s="1836"/>
      <c r="C22" s="1837"/>
      <c r="D22" s="1843" t="s">
        <v>321</v>
      </c>
      <c r="E22" s="1848"/>
      <c r="F22" s="1851">
        <v>20</v>
      </c>
      <c r="G22" s="1850"/>
      <c r="H22" s="1837"/>
      <c r="I22" s="1837"/>
      <c r="J22" s="1837"/>
      <c r="K22" s="1838"/>
      <c r="L22" s="1837"/>
      <c r="M22" s="1837"/>
      <c r="N22" s="1837"/>
      <c r="O22" s="1370"/>
      <c r="P22" s="1371"/>
      <c r="Q22" s="1346"/>
      <c r="R22" s="1837"/>
      <c r="S22" s="1837"/>
      <c r="T22" s="1837"/>
      <c r="U22" s="1837"/>
      <c r="V22" s="1837"/>
      <c r="W22" s="1324"/>
      <c r="AD22" s="1842"/>
    </row>
    <row r="23" spans="2:30" s="1835" customFormat="1" ht="16.5" customHeight="1">
      <c r="B23" s="1836"/>
      <c r="C23" s="1837"/>
      <c r="D23" s="1837"/>
      <c r="E23" s="1852"/>
      <c r="F23" s="1837"/>
      <c r="G23" s="1837"/>
      <c r="H23" s="1837"/>
      <c r="I23" s="1837"/>
      <c r="J23" s="1837"/>
      <c r="K23" s="1837"/>
      <c r="L23" s="1837"/>
      <c r="M23" s="1837"/>
      <c r="N23" s="1837"/>
      <c r="O23" s="1837"/>
      <c r="P23" s="1837"/>
      <c r="Q23" s="1837"/>
      <c r="R23" s="1837"/>
      <c r="S23" s="1837"/>
      <c r="T23" s="1837"/>
      <c r="U23" s="1837"/>
      <c r="V23" s="1837"/>
      <c r="W23" s="1324"/>
      <c r="AD23" s="1842"/>
    </row>
    <row r="24" spans="1:30" ht="16.5" customHeight="1">
      <c r="A24" s="1330"/>
      <c r="B24" s="1345"/>
      <c r="C24" s="1833" t="s">
        <v>93</v>
      </c>
      <c r="D24" s="1853" t="s">
        <v>323</v>
      </c>
      <c r="I24" s="1346"/>
      <c r="J24" s="1835"/>
      <c r="O24" s="1346"/>
      <c r="P24" s="1346"/>
      <c r="Q24" s="1346"/>
      <c r="R24" s="1346"/>
      <c r="S24" s="1346"/>
      <c r="T24" s="1346"/>
      <c r="V24" s="1346"/>
      <c r="X24" s="1346"/>
      <c r="Y24" s="1346"/>
      <c r="Z24" s="1346"/>
      <c r="AA24" s="1346"/>
      <c r="AB24" s="1346"/>
      <c r="AC24" s="1346"/>
      <c r="AD24" s="1347"/>
    </row>
    <row r="25" spans="1:30" ht="10.5" customHeight="1" thickBot="1">
      <c r="A25" s="1330"/>
      <c r="B25" s="1345"/>
      <c r="C25" s="1364"/>
      <c r="D25" s="1853"/>
      <c r="I25" s="1346"/>
      <c r="J25" s="1835"/>
      <c r="O25" s="1346"/>
      <c r="P25" s="1346"/>
      <c r="Q25" s="1346"/>
      <c r="R25" s="1346"/>
      <c r="S25" s="1346"/>
      <c r="T25" s="1346"/>
      <c r="V25" s="1346"/>
      <c r="X25" s="1346"/>
      <c r="Y25" s="1346"/>
      <c r="Z25" s="1346"/>
      <c r="AA25" s="1346"/>
      <c r="AB25" s="1346"/>
      <c r="AC25" s="1346"/>
      <c r="AD25" s="1347"/>
    </row>
    <row r="26" spans="2:30" s="1835" customFormat="1" ht="21" customHeight="1" thickBot="1" thickTop="1">
      <c r="B26" s="1836"/>
      <c r="C26" s="1840"/>
      <c r="D26" s="1324"/>
      <c r="E26" s="1324"/>
      <c r="F26" s="1324"/>
      <c r="G26" s="1324"/>
      <c r="H26" s="1324"/>
      <c r="I26" s="1324"/>
      <c r="J26" s="1854" t="s">
        <v>94</v>
      </c>
      <c r="K26" s="1855">
        <f>AC65*L20</f>
        <v>51807.2576732</v>
      </c>
      <c r="L26" s="1324"/>
      <c r="S26" s="1324"/>
      <c r="T26" s="1324"/>
      <c r="U26" s="1324"/>
      <c r="W26" s="1324"/>
      <c r="AD26" s="1842"/>
    </row>
    <row r="27" spans="2:30" s="1835" customFormat="1" ht="11.25" customHeight="1" thickTop="1">
      <c r="B27" s="1836"/>
      <c r="C27" s="1840"/>
      <c r="D27" s="1837"/>
      <c r="E27" s="1852"/>
      <c r="F27" s="1837"/>
      <c r="G27" s="1837"/>
      <c r="H27" s="1837"/>
      <c r="I27" s="1837"/>
      <c r="J27" s="1837"/>
      <c r="K27" s="1837"/>
      <c r="L27" s="1837"/>
      <c r="M27" s="1837"/>
      <c r="N27" s="1837"/>
      <c r="O27" s="1837"/>
      <c r="P27" s="1837"/>
      <c r="Q27" s="1837"/>
      <c r="R27" s="1837"/>
      <c r="S27" s="1837"/>
      <c r="T27" s="1837"/>
      <c r="U27" s="1324"/>
      <c r="W27" s="1324"/>
      <c r="AD27" s="1842"/>
    </row>
    <row r="28" spans="1:30" ht="16.5" customHeight="1">
      <c r="A28" s="1330"/>
      <c r="B28" s="1345"/>
      <c r="C28" s="1833" t="s">
        <v>95</v>
      </c>
      <c r="D28" s="1853" t="s">
        <v>182</v>
      </c>
      <c r="E28" s="1476"/>
      <c r="F28" s="1346"/>
      <c r="G28" s="1346"/>
      <c r="H28" s="1346"/>
      <c r="I28" s="1346"/>
      <c r="J28" s="1346"/>
      <c r="K28" s="1346"/>
      <c r="L28" s="1346"/>
      <c r="M28" s="1346"/>
      <c r="N28" s="1346"/>
      <c r="O28" s="1346"/>
      <c r="P28" s="1346"/>
      <c r="Q28" s="1346"/>
      <c r="R28" s="1346"/>
      <c r="S28" s="1346"/>
      <c r="T28" s="1346"/>
      <c r="U28" s="1346"/>
      <c r="V28" s="1346"/>
      <c r="AD28" s="1347"/>
    </row>
    <row r="29" spans="1:30" ht="21.75" customHeight="1" thickBot="1">
      <c r="A29" s="1330"/>
      <c r="B29" s="1345"/>
      <c r="C29" s="1346"/>
      <c r="D29" s="1346"/>
      <c r="E29" s="1476"/>
      <c r="F29" s="1346"/>
      <c r="G29" s="1346"/>
      <c r="H29" s="1346"/>
      <c r="I29" s="1346"/>
      <c r="J29" s="1346"/>
      <c r="K29" s="1346"/>
      <c r="L29" s="1346"/>
      <c r="M29" s="1346"/>
      <c r="N29" s="1346"/>
      <c r="O29" s="1346"/>
      <c r="P29" s="1346"/>
      <c r="Q29" s="1346"/>
      <c r="R29" s="1346"/>
      <c r="S29" s="1346"/>
      <c r="T29" s="1346"/>
      <c r="U29" s="1346"/>
      <c r="V29" s="1346"/>
      <c r="AD29" s="1347"/>
    </row>
    <row r="30" spans="2:31" s="1330" customFormat="1" ht="33.75" customHeight="1" thickBot="1" thickTop="1">
      <c r="B30" s="1345"/>
      <c r="C30" s="1374" t="s">
        <v>28</v>
      </c>
      <c r="D30" s="1856" t="s">
        <v>5</v>
      </c>
      <c r="E30" s="1857" t="s">
        <v>31</v>
      </c>
      <c r="F30" s="1858" t="s">
        <v>32</v>
      </c>
      <c r="G30" s="1378" t="s">
        <v>33</v>
      </c>
      <c r="H30" s="1859" t="s">
        <v>34</v>
      </c>
      <c r="I30" s="1860" t="s">
        <v>35</v>
      </c>
      <c r="J30" s="1375" t="s">
        <v>36</v>
      </c>
      <c r="K30" s="1381" t="s">
        <v>37</v>
      </c>
      <c r="L30" s="1382" t="s">
        <v>38</v>
      </c>
      <c r="M30" s="1377" t="s">
        <v>39</v>
      </c>
      <c r="N30" s="1382" t="s">
        <v>96</v>
      </c>
      <c r="O30" s="1382" t="s">
        <v>40</v>
      </c>
      <c r="P30" s="1381" t="s">
        <v>41</v>
      </c>
      <c r="Q30" s="1375" t="s">
        <v>42</v>
      </c>
      <c r="R30" s="1861" t="s">
        <v>43</v>
      </c>
      <c r="S30" s="1862" t="s">
        <v>44</v>
      </c>
      <c r="T30" s="1863" t="s">
        <v>52</v>
      </c>
      <c r="U30" s="1864"/>
      <c r="V30" s="1865"/>
      <c r="W30" s="1866" t="s">
        <v>97</v>
      </c>
      <c r="X30" s="1867"/>
      <c r="Y30" s="1868"/>
      <c r="Z30" s="1869" t="s">
        <v>47</v>
      </c>
      <c r="AA30" s="1870" t="s">
        <v>98</v>
      </c>
      <c r="AB30" s="1871" t="s">
        <v>49</v>
      </c>
      <c r="AC30" s="1872" t="s">
        <v>50</v>
      </c>
      <c r="AD30" s="1394"/>
      <c r="AE30" s="1324"/>
    </row>
    <row r="31" spans="1:30" ht="16.5" customHeight="1" thickTop="1">
      <c r="A31" s="1330"/>
      <c r="B31" s="1345"/>
      <c r="C31" s="1873"/>
      <c r="D31" s="1874"/>
      <c r="E31" s="1875"/>
      <c r="F31" s="1876"/>
      <c r="G31" s="1877"/>
      <c r="H31" s="1878"/>
      <c r="I31" s="1879"/>
      <c r="J31" s="1880"/>
      <c r="K31" s="1881"/>
      <c r="L31" s="1873"/>
      <c r="M31" s="1873"/>
      <c r="N31" s="1882"/>
      <c r="O31" s="1882"/>
      <c r="P31" s="1873"/>
      <c r="Q31" s="1883"/>
      <c r="R31" s="1884"/>
      <c r="S31" s="1885"/>
      <c r="T31" s="1886"/>
      <c r="U31" s="1887"/>
      <c r="V31" s="1888"/>
      <c r="W31" s="1889"/>
      <c r="X31" s="1890"/>
      <c r="Y31" s="1891"/>
      <c r="Z31" s="1892"/>
      <c r="AA31" s="1893"/>
      <c r="AB31" s="1894"/>
      <c r="AC31" s="1895"/>
      <c r="AD31" s="1347"/>
    </row>
    <row r="32" spans="1:30" ht="16.5" customHeight="1">
      <c r="A32" s="1330"/>
      <c r="B32" s="1345"/>
      <c r="C32" s="1896" t="s">
        <v>99</v>
      </c>
      <c r="D32" s="142" t="s">
        <v>204</v>
      </c>
      <c r="E32" s="638">
        <v>500</v>
      </c>
      <c r="F32" s="639">
        <v>3.5999999046325684</v>
      </c>
      <c r="G32" s="640" t="s">
        <v>193</v>
      </c>
      <c r="H32" s="1897">
        <f>IF(G32="A",200,IF(G32="B",60,20))</f>
        <v>20</v>
      </c>
      <c r="I32" s="1898">
        <f>IF(F32&gt;100,F32,100)*$F$20/100</f>
        <v>434.06200000000007</v>
      </c>
      <c r="J32" s="164">
        <v>41978.77777777778</v>
      </c>
      <c r="K32" s="165">
        <v>41978.80694444444</v>
      </c>
      <c r="L32" s="1899">
        <f>IF(D32="","",(K32-J32)*24)</f>
        <v>0.6999999998370185</v>
      </c>
      <c r="M32" s="1900">
        <f>IF(D32="","",ROUND((K32-J32)*24*60,0))</f>
        <v>42</v>
      </c>
      <c r="N32" s="1901" t="s">
        <v>194</v>
      </c>
      <c r="O32" s="1902" t="str">
        <f>IF(D32="","","--")</f>
        <v>--</v>
      </c>
      <c r="P32" s="1425" t="str">
        <f>IF(D32="","","NO")</f>
        <v>NO</v>
      </c>
      <c r="Q32" s="1425" t="str">
        <f>IF(D32="","",IF(OR(N32="P",N32="RP"),"--","NO"))</f>
        <v>NO</v>
      </c>
      <c r="R32" s="1903" t="str">
        <f>IF(N32="P",+I32*H32*ROUND(M32/60,2)/100,"--")</f>
        <v>--</v>
      </c>
      <c r="S32" s="1904" t="str">
        <f>IF(N32="RP",I32*H32*ROUND(M32/60,2)*0.01*O32/100,"--")</f>
        <v>--</v>
      </c>
      <c r="T32" s="1905">
        <f>IF(AND(N32="F",Q32="NO"),IF(P32="SI",1.2,1)*I32*H32,"--")</f>
        <v>8681.240000000002</v>
      </c>
      <c r="U32" s="1906">
        <f>IF(AND(M32&gt;10,N32="F"),IF(M32&lt;=300,ROUND(M32/60,2),5)*I32*H32*IF(P32="SI",1.2,1),"--")</f>
        <v>6076.868</v>
      </c>
      <c r="V32" s="1907" t="str">
        <f>IF(AND(N32="F",M32&gt;300),IF(P32="SI",1.2,1)*(ROUND(M32/60,2)-5)*I32*H32*0.1,"--")</f>
        <v>--</v>
      </c>
      <c r="W32" s="1908" t="str">
        <f>IF(AND(N32="R",Q32="NO"),IF(P32="SI",1.2,1)*I32*H32*O32/100,"--")</f>
        <v>--</v>
      </c>
      <c r="X32" s="1909" t="str">
        <f>IF(AND(M32&gt;10,N32="R"),IF(M32&lt;=300,ROUND(M32/60,2),5)*I32*H32*O32/100*IF(P32="SI",1.2,1),"--")</f>
        <v>--</v>
      </c>
      <c r="Y32" s="1910" t="str">
        <f>IF(AND(N32="R",M32&gt;300),IF(P32="SI",1.2,1)*(ROUND(M32/60,2)-5)*I32*H32*O32/100*0.1,"--")</f>
        <v>--</v>
      </c>
      <c r="Z32" s="1911" t="str">
        <f>IF(N32="RF",IF(P32="SI",1.2,1)*ROUND(M32/60,2)*I32*H32*0.1,"--")</f>
        <v>--</v>
      </c>
      <c r="AA32" s="1912" t="str">
        <f>IF(N32="RR",IF(P32="SI",1.2,1)*ROUND(M32/60,2)*I32*H32*O32/100*0.1,"--")</f>
        <v>--</v>
      </c>
      <c r="AB32" s="1913" t="str">
        <f>IF(D32="","","SI")</f>
        <v>SI</v>
      </c>
      <c r="AC32" s="1437">
        <f>IF(D32="","",SUM(R32:AA32)*IF(AB32="SI",1,2))</f>
        <v>14758.108000000002</v>
      </c>
      <c r="AD32" s="1347"/>
    </row>
    <row r="33" spans="1:30" ht="16.5" customHeight="1">
      <c r="A33" s="1330"/>
      <c r="B33" s="1345"/>
      <c r="C33" s="1896" t="s">
        <v>100</v>
      </c>
      <c r="D33" s="1914"/>
      <c r="E33" s="1915"/>
      <c r="F33" s="1916"/>
      <c r="G33" s="1917"/>
      <c r="H33" s="1897">
        <f>IF(G33="A",200,IF(G33="B",60,20))</f>
        <v>20</v>
      </c>
      <c r="I33" s="1898">
        <f>IF(F33&gt;100,F33,100)*$F$20/100</f>
        <v>434.06200000000007</v>
      </c>
      <c r="J33" s="1918"/>
      <c r="K33" s="1919"/>
      <c r="L33" s="1899">
        <f>IF(D33="","",(K33-J33)*24)</f>
      </c>
      <c r="M33" s="1900">
        <f>IF(D33="","",ROUND((K33-J33)*24*60,0))</f>
      </c>
      <c r="N33" s="1901"/>
      <c r="O33" s="1902">
        <f>IF(D33="","","--")</f>
      </c>
      <c r="P33" s="1425">
        <f>IF(D33="","","NO")</f>
      </c>
      <c r="Q33" s="1425">
        <f>IF(D33="","",IF(OR(N33="P",N33="RP"),"--","NO"))</f>
      </c>
      <c r="R33" s="1903" t="str">
        <f>IF(N33="P",+I33*H33*ROUND(M33/60,2)/100,"--")</f>
        <v>--</v>
      </c>
      <c r="S33" s="1904" t="str">
        <f>IF(N33="RP",I33*H33*ROUND(M33/60,2)*0.01*O33/100,"--")</f>
        <v>--</v>
      </c>
      <c r="T33" s="1905" t="str">
        <f>IF(AND(N33="F",Q33="NO"),IF(P33="SI",1.2,1)*I33*H33,"--")</f>
        <v>--</v>
      </c>
      <c r="U33" s="1906" t="str">
        <f>IF(AND(M33&gt;10,N33="F"),IF(M33&lt;=300,ROUND(M33/60,2),5)*I33*H33*IF(P33="SI",1.2,1),"--")</f>
        <v>--</v>
      </c>
      <c r="V33" s="1907" t="str">
        <f>IF(AND(N33="F",M33&gt;300),IF(P33="SI",1.2,1)*(ROUND(M33/60,2)-5)*I33*H33*0.1,"--")</f>
        <v>--</v>
      </c>
      <c r="W33" s="1908" t="str">
        <f>IF(AND(N33="R",Q33="NO"),IF(P33="SI",1.2,1)*I33*H33*O33/100,"--")</f>
        <v>--</v>
      </c>
      <c r="X33" s="1909" t="str">
        <f>IF(AND(M33&gt;10,N33="R"),IF(M33&lt;=300,ROUND(M33/60,2),5)*I33*H33*O33/100*IF(P33="SI",1.2,1),"--")</f>
        <v>--</v>
      </c>
      <c r="Y33" s="1910" t="str">
        <f>IF(AND(N33="R",M33&gt;300),IF(P33="SI",1.2,1)*(ROUND(M33/60,2)-5)*I33*H33*O33/100*0.1,"--")</f>
        <v>--</v>
      </c>
      <c r="Z33" s="1911" t="str">
        <f>IF(N33="RF",IF(P33="SI",1.2,1)*ROUND(M33/60,2)*I33*H33*0.1,"--")</f>
        <v>--</v>
      </c>
      <c r="AA33" s="1912" t="str">
        <f>IF(N33="RR",IF(P33="SI",1.2,1)*ROUND(M33/60,2)*I33*H33*O33/100*0.1,"--")</f>
        <v>--</v>
      </c>
      <c r="AB33" s="1913">
        <f>IF(D33="","","SI")</f>
      </c>
      <c r="AC33" s="1437">
        <f>IF(D33="","",SUM(R33:AA33)*IF(AB33="SI",1,2))</f>
      </c>
      <c r="AD33" s="1347"/>
    </row>
    <row r="34" spans="1:30" ht="16.5" customHeight="1">
      <c r="A34" s="1330"/>
      <c r="B34" s="1345"/>
      <c r="C34" s="1920" t="s">
        <v>101</v>
      </c>
      <c r="D34" s="1914"/>
      <c r="E34" s="1915"/>
      <c r="F34" s="1916"/>
      <c r="G34" s="1917"/>
      <c r="H34" s="1897">
        <f>IF(G34="A",200,IF(G34="B",60,20))</f>
        <v>20</v>
      </c>
      <c r="I34" s="1898">
        <f>IF(F34&gt;100,F34,100)*$F$20/100</f>
        <v>434.06200000000007</v>
      </c>
      <c r="J34" s="1918"/>
      <c r="K34" s="1919"/>
      <c r="L34" s="1899">
        <f>IF(D34="","",(K34-J34)*24)</f>
      </c>
      <c r="M34" s="1900">
        <f>IF(D34="","",ROUND((K34-J34)*24*60,0))</f>
      </c>
      <c r="N34" s="1921"/>
      <c r="O34" s="1902">
        <f>IF(D34="","","--")</f>
      </c>
      <c r="P34" s="1425">
        <f>IF(D34="","","NO")</f>
      </c>
      <c r="Q34" s="1425">
        <f>IF(D34="","",IF(OR(N34="P",N34="RP"),"--","NO"))</f>
      </c>
      <c r="R34" s="1903" t="str">
        <f>IF(N34="P",+I34*H34*ROUND(M34/60,2)/100,"--")</f>
        <v>--</v>
      </c>
      <c r="S34" s="1904" t="str">
        <f>IF(N34="RP",I34*H34*ROUND(M34/60,2)*0.01*O34/100,"--")</f>
        <v>--</v>
      </c>
      <c r="T34" s="1905" t="str">
        <f>IF(AND(N34="F",Q34="NO"),IF(P34="SI",1.2,1)*I34*H34,"--")</f>
        <v>--</v>
      </c>
      <c r="U34" s="1906" t="str">
        <f>IF(AND(M34&gt;10,N34="F"),IF(M34&lt;=300,ROUND(M34/60,2),5)*I34*H34*IF(P34="SI",1.2,1),"--")</f>
        <v>--</v>
      </c>
      <c r="V34" s="1907" t="str">
        <f>IF(AND(N34="F",M34&gt;300),IF(P34="SI",1.2,1)*(ROUND(M34/60,2)-5)*I34*H34*0.1,"--")</f>
        <v>--</v>
      </c>
      <c r="W34" s="1908" t="str">
        <f>IF(AND(N34="R",Q34="NO"),IF(P34="SI",1.2,1)*I34*H34*O34/100,"--")</f>
        <v>--</v>
      </c>
      <c r="X34" s="1909" t="str">
        <f>IF(AND(M34&gt;10,N34="R"),IF(M34&lt;=300,ROUND(M34/60,2),5)*I34*H34*O34/100*IF(P34="SI",1.2,1),"--")</f>
        <v>--</v>
      </c>
      <c r="Y34" s="1910" t="str">
        <f>IF(AND(N34="R",M34&gt;300),IF(P34="SI",1.2,1)*(ROUND(M34/60,2)-5)*I34*H34*O34/100*0.1,"--")</f>
        <v>--</v>
      </c>
      <c r="Z34" s="1911" t="str">
        <f>IF(N34="RF",IF(P34="SI",1.2,1)*ROUND(M34/60,2)*I34*H34*0.1,"--")</f>
        <v>--</v>
      </c>
      <c r="AA34" s="1912" t="str">
        <f>IF(N34="RR",IF(P34="SI",1.2,1)*ROUND(M34/60,2)*I34*H34*O34/100*0.1,"--")</f>
        <v>--</v>
      </c>
      <c r="AB34" s="1913">
        <f>IF(D34="","","SI")</f>
      </c>
      <c r="AC34" s="1437">
        <f>IF(D34="","",SUM(R34:AA34)*IF(AB34="SI",1,2))</f>
      </c>
      <c r="AD34" s="1347"/>
    </row>
    <row r="35" spans="1:30" ht="16.5" customHeight="1" thickBot="1">
      <c r="A35" s="1835"/>
      <c r="B35" s="1345"/>
      <c r="C35" s="1922"/>
      <c r="D35" s="1923"/>
      <c r="E35" s="1924"/>
      <c r="F35" s="1925"/>
      <c r="G35" s="1926"/>
      <c r="H35" s="1927"/>
      <c r="I35" s="1928"/>
      <c r="J35" s="1929"/>
      <c r="K35" s="1929"/>
      <c r="L35" s="1456"/>
      <c r="M35" s="1456"/>
      <c r="N35" s="1456"/>
      <c r="O35" s="1930"/>
      <c r="P35" s="1456"/>
      <c r="Q35" s="1456"/>
      <c r="R35" s="1931"/>
      <c r="S35" s="1932"/>
      <c r="T35" s="1933"/>
      <c r="U35" s="1934"/>
      <c r="V35" s="1935"/>
      <c r="W35" s="1936"/>
      <c r="X35" s="1937"/>
      <c r="Y35" s="1938"/>
      <c r="Z35" s="1939"/>
      <c r="AA35" s="1940"/>
      <c r="AB35" s="1941"/>
      <c r="AC35" s="1942"/>
      <c r="AD35" s="1943"/>
    </row>
    <row r="36" spans="1:30" ht="17.25" thickBot="1" thickTop="1">
      <c r="A36" s="1835"/>
      <c r="B36" s="1345"/>
      <c r="C36" s="1840"/>
      <c r="D36" s="1840"/>
      <c r="E36" s="1944"/>
      <c r="F36" s="1852"/>
      <c r="G36" s="1945"/>
      <c r="H36" s="1945"/>
      <c r="I36" s="1946"/>
      <c r="J36" s="1946"/>
      <c r="K36" s="1946"/>
      <c r="L36" s="1946"/>
      <c r="M36" s="1946"/>
      <c r="N36" s="1946"/>
      <c r="O36" s="1947"/>
      <c r="P36" s="1946"/>
      <c r="Q36" s="1946"/>
      <c r="R36" s="1948">
        <f aca="true" t="shared" si="0" ref="R36:AA36">SUM(R31:R35)</f>
        <v>0</v>
      </c>
      <c r="S36" s="1949">
        <f t="shared" si="0"/>
        <v>0</v>
      </c>
      <c r="T36" s="1950">
        <f t="shared" si="0"/>
        <v>8681.240000000002</v>
      </c>
      <c r="U36" s="1950">
        <f t="shared" si="0"/>
        <v>6076.868</v>
      </c>
      <c r="V36" s="1950">
        <f t="shared" si="0"/>
        <v>0</v>
      </c>
      <c r="W36" s="1951">
        <f t="shared" si="0"/>
        <v>0</v>
      </c>
      <c r="X36" s="1951">
        <f t="shared" si="0"/>
        <v>0</v>
      </c>
      <c r="Y36" s="1951">
        <f t="shared" si="0"/>
        <v>0</v>
      </c>
      <c r="Z36" s="1952">
        <f t="shared" si="0"/>
        <v>0</v>
      </c>
      <c r="AA36" s="1953">
        <f t="shared" si="0"/>
        <v>0</v>
      </c>
      <c r="AB36" s="1954"/>
      <c r="AC36" s="1955">
        <f>SUM(AC31:AC35)</f>
        <v>14758.108000000002</v>
      </c>
      <c r="AD36" s="1943"/>
    </row>
    <row r="37" spans="1:30" ht="17.25" thickBot="1" thickTop="1">
      <c r="A37" s="1835"/>
      <c r="B37" s="1345"/>
      <c r="C37" s="1956"/>
      <c r="D37" s="1957"/>
      <c r="G37" s="1958"/>
      <c r="H37" s="1959"/>
      <c r="I37" s="1960"/>
      <c r="J37" s="1960"/>
      <c r="L37" s="1946"/>
      <c r="M37" s="1946"/>
      <c r="N37" s="1946"/>
      <c r="O37" s="1947"/>
      <c r="P37" s="1946"/>
      <c r="Q37" s="1946"/>
      <c r="R37" s="1961"/>
      <c r="S37" s="1962"/>
      <c r="T37" s="1963"/>
      <c r="U37" s="1963"/>
      <c r="V37" s="1963"/>
      <c r="W37" s="1961"/>
      <c r="X37" s="1961"/>
      <c r="Y37" s="1961"/>
      <c r="Z37" s="1961"/>
      <c r="AA37" s="1961"/>
      <c r="AB37" s="1964"/>
      <c r="AC37" s="1965"/>
      <c r="AD37" s="1943"/>
    </row>
    <row r="38" spans="1:33" s="1330" customFormat="1" ht="27" thickBot="1" thickTop="1">
      <c r="A38" s="1329"/>
      <c r="B38" s="1966"/>
      <c r="C38" s="1967" t="s">
        <v>28</v>
      </c>
      <c r="D38" s="1968" t="s">
        <v>58</v>
      </c>
      <c r="E38" s="1969" t="s">
        <v>59</v>
      </c>
      <c r="F38" s="2526" t="s">
        <v>60</v>
      </c>
      <c r="G38" s="2527"/>
      <c r="H38" s="1970" t="s">
        <v>35</v>
      </c>
      <c r="I38" s="1971"/>
      <c r="J38" s="1969" t="s">
        <v>36</v>
      </c>
      <c r="K38" s="1969" t="s">
        <v>37</v>
      </c>
      <c r="L38" s="1968" t="s">
        <v>61</v>
      </c>
      <c r="M38" s="1968" t="s">
        <v>39</v>
      </c>
      <c r="N38" s="1382" t="s">
        <v>113</v>
      </c>
      <c r="O38" s="1969" t="s">
        <v>42</v>
      </c>
      <c r="P38" s="2528" t="s">
        <v>114</v>
      </c>
      <c r="Q38" s="2529"/>
      <c r="R38" s="1970" t="s">
        <v>115</v>
      </c>
      <c r="S38" s="1972" t="s">
        <v>43</v>
      </c>
      <c r="T38" s="1973" t="s">
        <v>116</v>
      </c>
      <c r="U38" s="1974"/>
      <c r="V38" s="1975" t="s">
        <v>47</v>
      </c>
      <c r="W38" s="1976" t="s">
        <v>117</v>
      </c>
      <c r="X38" s="1977"/>
      <c r="Y38" s="1977"/>
      <c r="Z38" s="1977"/>
      <c r="AA38" s="1978"/>
      <c r="AB38" s="1393" t="s">
        <v>49</v>
      </c>
      <c r="AC38" s="1872" t="s">
        <v>50</v>
      </c>
      <c r="AD38" s="1347"/>
      <c r="AF38" s="1324"/>
      <c r="AG38" s="1324"/>
    </row>
    <row r="39" spans="1:30" ht="15.75" thickTop="1">
      <c r="A39" s="1330"/>
      <c r="B39" s="1345"/>
      <c r="C39" s="1413"/>
      <c r="D39" s="1413"/>
      <c r="E39" s="1413"/>
      <c r="F39" s="2524"/>
      <c r="G39" s="2525"/>
      <c r="H39" s="1979"/>
      <c r="I39" s="1979"/>
      <c r="J39" s="1413"/>
      <c r="K39" s="1413"/>
      <c r="L39" s="1413"/>
      <c r="M39" s="1413"/>
      <c r="N39" s="1413"/>
      <c r="O39" s="1980"/>
      <c r="P39" s="2524"/>
      <c r="Q39" s="2525"/>
      <c r="R39" s="1981"/>
      <c r="S39" s="1981"/>
      <c r="T39" s="1981"/>
      <c r="U39" s="1981"/>
      <c r="V39" s="1981"/>
      <c r="W39" s="1981"/>
      <c r="X39" s="1981"/>
      <c r="Y39" s="1981"/>
      <c r="Z39" s="1981"/>
      <c r="AA39" s="1982"/>
      <c r="AB39" s="1980"/>
      <c r="AC39" s="1983"/>
      <c r="AD39" s="1347"/>
    </row>
    <row r="40" spans="1:30" ht="15">
      <c r="A40" s="1330"/>
      <c r="B40" s="1345"/>
      <c r="C40" s="1896" t="s">
        <v>99</v>
      </c>
      <c r="D40" s="1984"/>
      <c r="E40" s="1985"/>
      <c r="F40" s="2530"/>
      <c r="G40" s="2531"/>
      <c r="H40" s="1986">
        <f>F40*$F$22</f>
        <v>0</v>
      </c>
      <c r="I40" s="1987"/>
      <c r="J40" s="1988"/>
      <c r="K40" s="1450"/>
      <c r="L40" s="1989">
        <f>IF(D40="","",(K40-J40)*24)</f>
      </c>
      <c r="M40" s="1990">
        <f>IF(D40="","",(K40-J40)*24*60)</f>
      </c>
      <c r="N40" s="1991"/>
      <c r="O40" s="1992">
        <f>IF(D40="","",IF(N40="P","--","NO"))</f>
      </c>
      <c r="P40" s="2532">
        <f>IF(D40="","","--")</f>
      </c>
      <c r="Q40" s="2533"/>
      <c r="R40" s="1993">
        <f>IF(OR(N40="P",N40="RP"),20/10,20)</f>
        <v>20</v>
      </c>
      <c r="S40" s="1994" t="str">
        <f>IF(N40="P",H40*R40*ROUND(M40/60,2),"--")</f>
        <v>--</v>
      </c>
      <c r="T40" s="1995" t="str">
        <f>IF(AND(N40="F",O40="NO"),H40*R40,"--")</f>
        <v>--</v>
      </c>
      <c r="U40" s="1996" t="str">
        <f>IF(N40="F",H40*R40*ROUND(M40/60,2),"--")</f>
        <v>--</v>
      </c>
      <c r="V40" s="1997" t="str">
        <f>IF(N40="RF",H40*R40*ROUND(M40/60,2),"--")</f>
        <v>--</v>
      </c>
      <c r="W40" s="1998" t="str">
        <f>IF(N40="RP",H40*R40*P40/100*ROUND(M40/60,2),"--")</f>
        <v>--</v>
      </c>
      <c r="X40" s="1999"/>
      <c r="Y40" s="1999"/>
      <c r="Z40" s="1999"/>
      <c r="AA40" s="2000"/>
      <c r="AB40" s="2001">
        <f>IF(D40="","","SI")</f>
      </c>
      <c r="AC40" s="2002">
        <f>IF(D40="","",SUM(S40:W40)*IF(AB40="SI",1,2)*IF(AND(P40&lt;&gt;"--",N40="RF"),P40/100,1))</f>
      </c>
      <c r="AD40" s="1943"/>
    </row>
    <row r="41" spans="1:30" ht="16.5" thickBot="1">
      <c r="A41" s="1835"/>
      <c r="B41" s="1345"/>
      <c r="C41" s="2004"/>
      <c r="D41" s="2005"/>
      <c r="E41" s="2006"/>
      <c r="F41" s="2512"/>
      <c r="G41" s="2513"/>
      <c r="H41" s="2007"/>
      <c r="I41" s="2007"/>
      <c r="J41" s="2008"/>
      <c r="K41" s="2009"/>
      <c r="L41" s="2010"/>
      <c r="M41" s="2011"/>
      <c r="N41" s="2012"/>
      <c r="O41" s="1456"/>
      <c r="P41" s="2518"/>
      <c r="Q41" s="2519"/>
      <c r="R41" s="2014"/>
      <c r="S41" s="2014"/>
      <c r="T41" s="2014"/>
      <c r="U41" s="2014"/>
      <c r="V41" s="2014"/>
      <c r="W41" s="2014"/>
      <c r="X41" s="2014"/>
      <c r="Y41" s="2014"/>
      <c r="Z41" s="2014"/>
      <c r="AA41" s="2015"/>
      <c r="AB41" s="2016"/>
      <c r="AC41" s="2017"/>
      <c r="AD41" s="1943"/>
    </row>
    <row r="42" spans="1:30" ht="17.25" thickBot="1" thickTop="1">
      <c r="A42" s="1835"/>
      <c r="B42" s="1345"/>
      <c r="C42" s="2018"/>
      <c r="D42" s="1476"/>
      <c r="E42" s="1476"/>
      <c r="F42" s="2019"/>
      <c r="G42" s="2020"/>
      <c r="H42" s="2021"/>
      <c r="I42" s="2022"/>
      <c r="J42" s="2023"/>
      <c r="K42" s="2024"/>
      <c r="L42" s="2025"/>
      <c r="M42" s="2021"/>
      <c r="N42" s="2026"/>
      <c r="O42" s="1478"/>
      <c r="P42" s="2027"/>
      <c r="Q42" s="2028"/>
      <c r="R42" s="2029"/>
      <c r="S42" s="2029"/>
      <c r="T42" s="2029"/>
      <c r="U42" s="2030"/>
      <c r="V42" s="2030"/>
      <c r="W42" s="2030"/>
      <c r="X42" s="2030"/>
      <c r="Y42" s="2030"/>
      <c r="Z42" s="2030"/>
      <c r="AA42" s="2030"/>
      <c r="AB42" s="2030"/>
      <c r="AC42" s="2031">
        <f>SUM(AC39:AC41)</f>
        <v>0</v>
      </c>
      <c r="AD42" s="1943"/>
    </row>
    <row r="43" spans="1:30" ht="17.25" thickBot="1" thickTop="1">
      <c r="A43" s="1835"/>
      <c r="B43" s="1345"/>
      <c r="C43" s="2018"/>
      <c r="D43" s="1346"/>
      <c r="E43" s="2018"/>
      <c r="F43" s="1346"/>
      <c r="G43" s="2018"/>
      <c r="H43" s="1346"/>
      <c r="I43" s="2018"/>
      <c r="J43" s="1346"/>
      <c r="K43" s="2018"/>
      <c r="L43" s="1346"/>
      <c r="M43" s="2018"/>
      <c r="N43" s="1346"/>
      <c r="O43" s="2018"/>
      <c r="P43" s="1346"/>
      <c r="Q43" s="2018"/>
      <c r="R43" s="1346"/>
      <c r="S43" s="2018"/>
      <c r="T43" s="1346"/>
      <c r="U43" s="2018"/>
      <c r="V43" s="1346"/>
      <c r="W43" s="2018"/>
      <c r="X43" s="1346"/>
      <c r="Y43" s="2018"/>
      <c r="Z43" s="1346"/>
      <c r="AA43" s="2018"/>
      <c r="AB43" s="1346"/>
      <c r="AC43" s="2018"/>
      <c r="AD43" s="1943"/>
    </row>
    <row r="44" spans="1:33" s="1330" customFormat="1" ht="31.5" customHeight="1" thickBot="1" thickTop="1">
      <c r="A44" s="1329"/>
      <c r="B44" s="1966"/>
      <c r="C44" s="1967" t="s">
        <v>28</v>
      </c>
      <c r="D44" s="1968" t="s">
        <v>58</v>
      </c>
      <c r="E44" s="1375" t="s">
        <v>59</v>
      </c>
      <c r="F44" s="2520" t="s">
        <v>78</v>
      </c>
      <c r="G44" s="2521"/>
      <c r="H44" s="1970" t="s">
        <v>35</v>
      </c>
      <c r="I44" s="2032"/>
      <c r="J44" s="1375" t="s">
        <v>36</v>
      </c>
      <c r="K44" s="1375" t="s">
        <v>37</v>
      </c>
      <c r="L44" s="1377" t="s">
        <v>38</v>
      </c>
      <c r="M44" s="1377" t="s">
        <v>39</v>
      </c>
      <c r="N44" s="1382" t="s">
        <v>179</v>
      </c>
      <c r="O44" s="1382" t="s">
        <v>40</v>
      </c>
      <c r="P44" s="2522" t="s">
        <v>42</v>
      </c>
      <c r="Q44" s="2523"/>
      <c r="R44" s="2034" t="s">
        <v>34</v>
      </c>
      <c r="S44" s="2035" t="s">
        <v>71</v>
      </c>
      <c r="T44" s="2036" t="s">
        <v>79</v>
      </c>
      <c r="U44" s="2037"/>
      <c r="V44" s="2038" t="s">
        <v>80</v>
      </c>
      <c r="W44" s="2039"/>
      <c r="X44" s="2040" t="s">
        <v>47</v>
      </c>
      <c r="Y44" s="2041" t="s">
        <v>44</v>
      </c>
      <c r="Z44" s="2032"/>
      <c r="AA44" s="2032"/>
      <c r="AB44" s="1393" t="s">
        <v>49</v>
      </c>
      <c r="AC44" s="2042" t="s">
        <v>50</v>
      </c>
      <c r="AD44" s="1347"/>
      <c r="AF44" s="1324"/>
      <c r="AG44" s="1324"/>
    </row>
    <row r="45" spans="1:30" ht="15.75" thickTop="1">
      <c r="A45" s="1330"/>
      <c r="B45" s="1345"/>
      <c r="C45" s="1413"/>
      <c r="D45" s="1413"/>
      <c r="E45" s="1413"/>
      <c r="F45" s="2524"/>
      <c r="G45" s="2525"/>
      <c r="H45" s="1979"/>
      <c r="I45" s="1979"/>
      <c r="J45" s="1413"/>
      <c r="K45" s="1413"/>
      <c r="L45" s="1413"/>
      <c r="M45" s="1413"/>
      <c r="N45" s="2043"/>
      <c r="O45" s="1902">
        <f aca="true" t="shared" si="1" ref="O45:O51">IF(D45="","","--")</f>
      </c>
      <c r="P45" s="2044"/>
      <c r="Q45" s="2045"/>
      <c r="R45" s="1981"/>
      <c r="S45" s="1981"/>
      <c r="T45" s="1981"/>
      <c r="U45" s="1981"/>
      <c r="V45" s="1981"/>
      <c r="W45" s="1981"/>
      <c r="X45" s="1981"/>
      <c r="Y45" s="1981"/>
      <c r="Z45" s="1981"/>
      <c r="AA45" s="1982"/>
      <c r="AB45" s="2001">
        <f aca="true" t="shared" si="2" ref="AB45:AB51">IF(D45="","","SI")</f>
      </c>
      <c r="AC45" s="1983"/>
      <c r="AD45" s="1347"/>
    </row>
    <row r="46" spans="1:30" ht="15">
      <c r="A46" s="1330"/>
      <c r="B46" s="1345"/>
      <c r="C46" s="1896" t="s">
        <v>99</v>
      </c>
      <c r="D46" s="562" t="s">
        <v>307</v>
      </c>
      <c r="E46" s="485" t="s">
        <v>309</v>
      </c>
      <c r="F46" s="2514">
        <v>80</v>
      </c>
      <c r="G46" s="2515"/>
      <c r="H46" s="2048">
        <f aca="true" t="shared" si="3" ref="H46:H51">F46*$F$21</f>
        <v>95.44</v>
      </c>
      <c r="I46" s="2032"/>
      <c r="J46" s="488">
        <v>41978.77847222222</v>
      </c>
      <c r="K46" s="194">
        <v>41983.69305555555</v>
      </c>
      <c r="L46" s="2050">
        <f aca="true" t="shared" si="4" ref="L46:L51">IF(D46="","",(K46-J46)*24)</f>
        <v>117.94999999995343</v>
      </c>
      <c r="M46" s="1900">
        <f aca="true" t="shared" si="5" ref="M46:M51">IF(D46="","",ROUND((K46-J46)*24*60,0))</f>
        <v>7077</v>
      </c>
      <c r="N46" s="168" t="s">
        <v>194</v>
      </c>
      <c r="O46" s="1902" t="str">
        <f t="shared" si="1"/>
        <v>--</v>
      </c>
      <c r="P46" s="2516" t="s">
        <v>298</v>
      </c>
      <c r="Q46" s="2517"/>
      <c r="R46" s="2052">
        <f aca="true" t="shared" si="6" ref="R46:R51">IF(OR(N46="P",N46="RP"),$F$22/10,$F$22)</f>
        <v>20</v>
      </c>
      <c r="S46" s="2053" t="str">
        <f aca="true" t="shared" si="7" ref="S46:S51">IF(N46="P",H46*R46*ROUND(M46/60,2),"--")</f>
        <v>--</v>
      </c>
      <c r="T46" s="2054">
        <f aca="true" t="shared" si="8" ref="T46:T51">IF(AND(N46="F",P46="NO"),H46*R46,"--")</f>
        <v>1908.8</v>
      </c>
      <c r="U46" s="2055">
        <f aca="true" t="shared" si="9" ref="U46:U51">IF(N46="F",H46*R46*ROUND(M46/60,2),"--")</f>
        <v>225142.96</v>
      </c>
      <c r="V46" s="2056" t="str">
        <f aca="true" t="shared" si="10" ref="V46:V51">IF(AND(N46="R",P46="NO"),H46*R46*O46/100,"--")</f>
        <v>--</v>
      </c>
      <c r="W46" s="2057" t="str">
        <f aca="true" t="shared" si="11" ref="W46:W51">IF(N46="R",H46*R46*O46/100*ROUND(M46/60,2),"--")</f>
        <v>--</v>
      </c>
      <c r="X46" s="2058" t="str">
        <f aca="true" t="shared" si="12" ref="X46:X51">IF(N46="RF",H46*R46*ROUND(M46/60,2),"--")</f>
        <v>--</v>
      </c>
      <c r="Y46" s="2059" t="str">
        <f aca="true" t="shared" si="13" ref="Y46:Y51">IF(N46="RP",H46*R46*O46/100*ROUND(M46/60,2),"--")</f>
        <v>--</v>
      </c>
      <c r="Z46" s="2032"/>
      <c r="AA46" s="2032"/>
      <c r="AB46" s="1425" t="str">
        <f t="shared" si="2"/>
        <v>SI</v>
      </c>
      <c r="AC46" s="2060">
        <f aca="true" t="shared" si="14" ref="AC46:AC51">IF(D46="","",SUM(S46:Y46)*IF(AB46="SI",1,2)*IF(AND(O46&lt;&gt;"--",N46="RF"),O46/100,1))</f>
        <v>227051.75999999998</v>
      </c>
      <c r="AD46" s="1943"/>
    </row>
    <row r="47" spans="2:30" s="1835" customFormat="1" ht="16.5" customHeight="1">
      <c r="B47" s="1836"/>
      <c r="C47" s="1896" t="s">
        <v>100</v>
      </c>
      <c r="D47" s="562" t="s">
        <v>307</v>
      </c>
      <c r="E47" s="485" t="s">
        <v>309</v>
      </c>
      <c r="F47" s="2514">
        <v>80</v>
      </c>
      <c r="G47" s="2515"/>
      <c r="H47" s="2048">
        <f t="shared" si="3"/>
        <v>95.44</v>
      </c>
      <c r="I47" s="2032"/>
      <c r="J47" s="488">
        <v>41983.69375</v>
      </c>
      <c r="K47" s="194">
        <v>42004.99930555556</v>
      </c>
      <c r="L47" s="2050">
        <f t="shared" si="4"/>
        <v>511.33333333348855</v>
      </c>
      <c r="M47" s="1900">
        <f t="shared" si="5"/>
        <v>30680</v>
      </c>
      <c r="N47" s="168" t="s">
        <v>198</v>
      </c>
      <c r="O47" s="1902" t="str">
        <f t="shared" si="1"/>
        <v>--</v>
      </c>
      <c r="P47" s="2516" t="str">
        <f>IF(D47="","",IF(OR(N47="P",N47="RP"),"--","NO"))</f>
        <v>--</v>
      </c>
      <c r="Q47" s="2517"/>
      <c r="R47" s="2052">
        <f t="shared" si="6"/>
        <v>2</v>
      </c>
      <c r="S47" s="2053">
        <f t="shared" si="7"/>
        <v>97602.67039999999</v>
      </c>
      <c r="T47" s="2054" t="str">
        <f t="shared" si="8"/>
        <v>--</v>
      </c>
      <c r="U47" s="2055" t="str">
        <f t="shared" si="9"/>
        <v>--</v>
      </c>
      <c r="V47" s="2056" t="str">
        <f t="shared" si="10"/>
        <v>--</v>
      </c>
      <c r="W47" s="2057" t="str">
        <f t="shared" si="11"/>
        <v>--</v>
      </c>
      <c r="X47" s="2058" t="str">
        <f t="shared" si="12"/>
        <v>--</v>
      </c>
      <c r="Y47" s="2059" t="str">
        <f t="shared" si="13"/>
        <v>--</v>
      </c>
      <c r="Z47" s="2032"/>
      <c r="AA47" s="2032"/>
      <c r="AB47" s="1425" t="str">
        <f t="shared" si="2"/>
        <v>SI</v>
      </c>
      <c r="AC47" s="2060">
        <f t="shared" si="14"/>
        <v>97602.67039999999</v>
      </c>
      <c r="AD47" s="2061"/>
    </row>
    <row r="48" spans="1:30" ht="15">
      <c r="A48" s="1330"/>
      <c r="B48" s="1345"/>
      <c r="C48" s="1896" t="s">
        <v>101</v>
      </c>
      <c r="D48" s="562" t="s">
        <v>311</v>
      </c>
      <c r="E48" s="485" t="s">
        <v>310</v>
      </c>
      <c r="F48" s="2514">
        <v>80</v>
      </c>
      <c r="G48" s="2515"/>
      <c r="H48" s="2048">
        <f t="shared" si="3"/>
        <v>95.44</v>
      </c>
      <c r="I48" s="2032"/>
      <c r="J48" s="488">
        <v>41994.27361111111</v>
      </c>
      <c r="K48" s="194">
        <v>41994.600694444445</v>
      </c>
      <c r="L48" s="2050">
        <f t="shared" si="4"/>
        <v>7.850000000093132</v>
      </c>
      <c r="M48" s="1900">
        <f t="shared" si="5"/>
        <v>471</v>
      </c>
      <c r="N48" s="168" t="s">
        <v>194</v>
      </c>
      <c r="O48" s="1902" t="str">
        <f t="shared" si="1"/>
        <v>--</v>
      </c>
      <c r="P48" s="2516" t="str">
        <f>IF(D48="","",IF(OR(N48="P",N48="RP"),"--","NO"))</f>
        <v>NO</v>
      </c>
      <c r="Q48" s="2517"/>
      <c r="R48" s="2052">
        <f t="shared" si="6"/>
        <v>20</v>
      </c>
      <c r="S48" s="2053" t="str">
        <f t="shared" si="7"/>
        <v>--</v>
      </c>
      <c r="T48" s="2054">
        <f t="shared" si="8"/>
        <v>1908.8</v>
      </c>
      <c r="U48" s="2055">
        <f t="shared" si="9"/>
        <v>14984.079999999998</v>
      </c>
      <c r="V48" s="2056" t="str">
        <f t="shared" si="10"/>
        <v>--</v>
      </c>
      <c r="W48" s="2057" t="str">
        <f t="shared" si="11"/>
        <v>--</v>
      </c>
      <c r="X48" s="2058" t="str">
        <f t="shared" si="12"/>
        <v>--</v>
      </c>
      <c r="Y48" s="2059" t="str">
        <f t="shared" si="13"/>
        <v>--</v>
      </c>
      <c r="Z48" s="2032"/>
      <c r="AA48" s="2032"/>
      <c r="AB48" s="1425" t="str">
        <f t="shared" si="2"/>
        <v>SI</v>
      </c>
      <c r="AC48" s="2060">
        <f t="shared" si="14"/>
        <v>16892.879999999997</v>
      </c>
      <c r="AD48" s="1943"/>
    </row>
    <row r="49" spans="1:30" ht="15">
      <c r="A49" s="1330"/>
      <c r="B49" s="1345"/>
      <c r="C49" s="1896" t="s">
        <v>102</v>
      </c>
      <c r="D49" s="2046"/>
      <c r="E49" s="2047"/>
      <c r="F49" s="2514"/>
      <c r="G49" s="2515"/>
      <c r="H49" s="2048">
        <f t="shared" si="3"/>
        <v>0</v>
      </c>
      <c r="I49" s="2032"/>
      <c r="J49" s="2049"/>
      <c r="K49" s="1152"/>
      <c r="L49" s="2050">
        <f t="shared" si="4"/>
      </c>
      <c r="M49" s="1900">
        <f t="shared" si="5"/>
      </c>
      <c r="N49" s="1423"/>
      <c r="O49" s="1902">
        <f t="shared" si="1"/>
      </c>
      <c r="P49" s="2516">
        <f>IF(D49="","",IF(OR(N49="P",N49="RP"),"--","NO"))</f>
      </c>
      <c r="Q49" s="2517"/>
      <c r="R49" s="2052">
        <f t="shared" si="6"/>
        <v>20</v>
      </c>
      <c r="S49" s="2053" t="str">
        <f t="shared" si="7"/>
        <v>--</v>
      </c>
      <c r="T49" s="2054" t="str">
        <f t="shared" si="8"/>
        <v>--</v>
      </c>
      <c r="U49" s="2055" t="str">
        <f t="shared" si="9"/>
        <v>--</v>
      </c>
      <c r="V49" s="2056" t="str">
        <f t="shared" si="10"/>
        <v>--</v>
      </c>
      <c r="W49" s="2057" t="str">
        <f t="shared" si="11"/>
        <v>--</v>
      </c>
      <c r="X49" s="2058" t="str">
        <f t="shared" si="12"/>
        <v>--</v>
      </c>
      <c r="Y49" s="2059" t="str">
        <f t="shared" si="13"/>
        <v>--</v>
      </c>
      <c r="Z49" s="2032"/>
      <c r="AA49" s="2032"/>
      <c r="AB49" s="1425">
        <f t="shared" si="2"/>
      </c>
      <c r="AC49" s="2060">
        <f t="shared" si="14"/>
      </c>
      <c r="AD49" s="1943"/>
    </row>
    <row r="50" spans="1:30" ht="15">
      <c r="A50" s="1330"/>
      <c r="B50" s="1345"/>
      <c r="C50" s="1896" t="s">
        <v>103</v>
      </c>
      <c r="D50" s="2062"/>
      <c r="E50" s="2063"/>
      <c r="F50" s="2514"/>
      <c r="G50" s="2515"/>
      <c r="H50" s="2048">
        <f t="shared" si="3"/>
        <v>0</v>
      </c>
      <c r="I50" s="2032"/>
      <c r="J50" s="2049"/>
      <c r="K50" s="1152"/>
      <c r="L50" s="2050">
        <f t="shared" si="4"/>
      </c>
      <c r="M50" s="1900">
        <f t="shared" si="5"/>
      </c>
      <c r="N50" s="1423"/>
      <c r="O50" s="1902">
        <f t="shared" si="1"/>
      </c>
      <c r="P50" s="2516">
        <f>IF(D50="","",IF(OR(N50="P",N50="RP"),"--","NO"))</f>
      </c>
      <c r="Q50" s="2517"/>
      <c r="R50" s="2052">
        <f t="shared" si="6"/>
        <v>20</v>
      </c>
      <c r="S50" s="2053" t="str">
        <f t="shared" si="7"/>
        <v>--</v>
      </c>
      <c r="T50" s="2054" t="str">
        <f t="shared" si="8"/>
        <v>--</v>
      </c>
      <c r="U50" s="2055" t="str">
        <f t="shared" si="9"/>
        <v>--</v>
      </c>
      <c r="V50" s="2056" t="str">
        <f t="shared" si="10"/>
        <v>--</v>
      </c>
      <c r="W50" s="2057" t="str">
        <f t="shared" si="11"/>
        <v>--</v>
      </c>
      <c r="X50" s="2058" t="str">
        <f t="shared" si="12"/>
        <v>--</v>
      </c>
      <c r="Y50" s="2059" t="str">
        <f t="shared" si="13"/>
        <v>--</v>
      </c>
      <c r="Z50" s="2032"/>
      <c r="AA50" s="2032"/>
      <c r="AB50" s="1425">
        <f t="shared" si="2"/>
      </c>
      <c r="AC50" s="2060">
        <f t="shared" si="14"/>
      </c>
      <c r="AD50" s="1943"/>
    </row>
    <row r="51" spans="1:30" ht="15">
      <c r="A51" s="1330"/>
      <c r="B51" s="1345"/>
      <c r="C51" s="1920" t="s">
        <v>104</v>
      </c>
      <c r="D51" s="2062"/>
      <c r="E51" s="2063"/>
      <c r="F51" s="2514"/>
      <c r="G51" s="2515"/>
      <c r="H51" s="2048">
        <f t="shared" si="3"/>
        <v>0</v>
      </c>
      <c r="I51" s="2032"/>
      <c r="J51" s="2049"/>
      <c r="K51" s="1152"/>
      <c r="L51" s="2050">
        <f t="shared" si="4"/>
      </c>
      <c r="M51" s="1900">
        <f t="shared" si="5"/>
      </c>
      <c r="N51" s="1423"/>
      <c r="O51" s="1902">
        <f t="shared" si="1"/>
      </c>
      <c r="P51" s="2516">
        <f>IF(D51="","",IF(OR(N51="P",N51="RP"),"--","NO"))</f>
      </c>
      <c r="Q51" s="2517"/>
      <c r="R51" s="2052">
        <f t="shared" si="6"/>
        <v>20</v>
      </c>
      <c r="S51" s="2053" t="str">
        <f t="shared" si="7"/>
        <v>--</v>
      </c>
      <c r="T51" s="2054" t="str">
        <f t="shared" si="8"/>
        <v>--</v>
      </c>
      <c r="U51" s="2055" t="str">
        <f t="shared" si="9"/>
        <v>--</v>
      </c>
      <c r="V51" s="2056" t="str">
        <f t="shared" si="10"/>
        <v>--</v>
      </c>
      <c r="W51" s="2057" t="str">
        <f t="shared" si="11"/>
        <v>--</v>
      </c>
      <c r="X51" s="2058" t="str">
        <f t="shared" si="12"/>
        <v>--</v>
      </c>
      <c r="Y51" s="2059" t="str">
        <f t="shared" si="13"/>
        <v>--</v>
      </c>
      <c r="Z51" s="2032"/>
      <c r="AA51" s="2032"/>
      <c r="AB51" s="1425">
        <f t="shared" si="2"/>
      </c>
      <c r="AC51" s="2060">
        <f t="shared" si="14"/>
      </c>
      <c r="AD51" s="1943"/>
    </row>
    <row r="52" spans="1:30" ht="16.5" thickBot="1">
      <c r="A52" s="1835"/>
      <c r="B52" s="1345"/>
      <c r="C52" s="2004"/>
      <c r="D52" s="2005"/>
      <c r="E52" s="2006"/>
      <c r="F52" s="2512"/>
      <c r="G52" s="2513"/>
      <c r="H52" s="2007"/>
      <c r="I52" s="2007"/>
      <c r="J52" s="2008"/>
      <c r="K52" s="2009"/>
      <c r="L52" s="2010"/>
      <c r="M52" s="2011"/>
      <c r="N52" s="2064"/>
      <c r="O52" s="2064"/>
      <c r="P52" s="2065"/>
      <c r="Q52" s="2066"/>
      <c r="R52" s="2014"/>
      <c r="S52" s="2014"/>
      <c r="T52" s="2014"/>
      <c r="U52" s="2014"/>
      <c r="V52" s="2014"/>
      <c r="W52" s="2014"/>
      <c r="X52" s="2014"/>
      <c r="Y52" s="2014"/>
      <c r="Z52" s="2014"/>
      <c r="AA52" s="2015"/>
      <c r="AB52" s="2016"/>
      <c r="AC52" s="2017"/>
      <c r="AD52" s="1943"/>
    </row>
    <row r="53" spans="1:30" ht="17.25" thickBot="1" thickTop="1">
      <c r="A53" s="1835"/>
      <c r="B53" s="1345"/>
      <c r="C53" s="2018"/>
      <c r="D53" s="1476"/>
      <c r="E53" s="1476"/>
      <c r="F53" s="2019"/>
      <c r="G53" s="2020"/>
      <c r="H53" s="2021"/>
      <c r="I53" s="2022"/>
      <c r="J53" s="2023"/>
      <c r="K53" s="2024"/>
      <c r="L53" s="2025"/>
      <c r="M53" s="2021"/>
      <c r="N53" s="2026"/>
      <c r="O53" s="1478"/>
      <c r="P53" s="2027"/>
      <c r="Q53" s="2067"/>
      <c r="R53" s="2029"/>
      <c r="S53" s="2029"/>
      <c r="T53" s="2029"/>
      <c r="U53" s="2030"/>
      <c r="V53" s="2030"/>
      <c r="W53" s="2030"/>
      <c r="X53" s="2030"/>
      <c r="Y53" s="2030"/>
      <c r="Z53" s="2030"/>
      <c r="AA53" s="2030"/>
      <c r="AB53" s="2068"/>
      <c r="AC53" s="2031">
        <f>SUM(AC45:AC52)</f>
        <v>341547.31039999996</v>
      </c>
      <c r="AD53" s="1943"/>
    </row>
    <row r="54" spans="1:30" ht="20.25" thickBot="1" thickTop="1">
      <c r="A54" s="1835"/>
      <c r="B54" s="1345"/>
      <c r="C54" s="2018"/>
      <c r="D54" s="1476"/>
      <c r="E54" s="1476"/>
      <c r="F54" s="2019"/>
      <c r="G54" s="2020"/>
      <c r="H54" s="2021"/>
      <c r="I54" s="2022"/>
      <c r="J54" s="1854" t="s">
        <v>118</v>
      </c>
      <c r="K54" s="1855">
        <f>AC36+AC42+AC53</f>
        <v>356305.41839999997</v>
      </c>
      <c r="L54" s="2025"/>
      <c r="M54" s="2021"/>
      <c r="N54" s="2069"/>
      <c r="O54" s="2070"/>
      <c r="P54" s="2027"/>
      <c r="Q54" s="2067"/>
      <c r="R54" s="2071"/>
      <c r="S54" s="2071"/>
      <c r="T54" s="2071"/>
      <c r="U54" s="2068"/>
      <c r="V54" s="2068"/>
      <c r="W54" s="2068"/>
      <c r="X54" s="2068"/>
      <c r="Y54" s="2068"/>
      <c r="Z54" s="2068"/>
      <c r="AA54" s="2068"/>
      <c r="AB54" s="2068"/>
      <c r="AC54" s="2072"/>
      <c r="AD54" s="1943"/>
    </row>
    <row r="55" spans="1:30" ht="13.5" customHeight="1" thickTop="1">
      <c r="A55" s="1835"/>
      <c r="B55" s="1836"/>
      <c r="C55" s="1840"/>
      <c r="D55" s="2073"/>
      <c r="E55" s="2074"/>
      <c r="F55" s="2075"/>
      <c r="G55" s="2076"/>
      <c r="H55" s="2076"/>
      <c r="I55" s="2074"/>
      <c r="J55" s="2077"/>
      <c r="K55" s="2077"/>
      <c r="L55" s="2074"/>
      <c r="M55" s="2074"/>
      <c r="N55" s="2074"/>
      <c r="O55" s="2078"/>
      <c r="P55" s="2074"/>
      <c r="Q55" s="2074"/>
      <c r="R55" s="2079"/>
      <c r="S55" s="2080"/>
      <c r="T55" s="2080"/>
      <c r="U55" s="2081"/>
      <c r="AC55" s="2081"/>
      <c r="AD55" s="2061"/>
    </row>
    <row r="56" spans="1:30" ht="16.5" customHeight="1">
      <c r="A56" s="1835"/>
      <c r="B56" s="1836"/>
      <c r="C56" s="2082" t="s">
        <v>119</v>
      </c>
      <c r="D56" s="2083" t="s">
        <v>183</v>
      </c>
      <c r="E56" s="2074"/>
      <c r="F56" s="2075"/>
      <c r="G56" s="2076"/>
      <c r="H56" s="2076"/>
      <c r="I56" s="2074"/>
      <c r="J56" s="2077"/>
      <c r="K56" s="2077"/>
      <c r="L56" s="2074"/>
      <c r="M56" s="2074"/>
      <c r="N56" s="2074"/>
      <c r="O56" s="2078"/>
      <c r="P56" s="2074"/>
      <c r="Q56" s="2074"/>
      <c r="R56" s="2079"/>
      <c r="S56" s="2080"/>
      <c r="T56" s="2080"/>
      <c r="U56" s="2081"/>
      <c r="AC56" s="2081"/>
      <c r="AD56" s="2061"/>
    </row>
    <row r="57" spans="1:30" ht="16.5" customHeight="1">
      <c r="A57" s="1835"/>
      <c r="B57" s="1836"/>
      <c r="C57" s="2082"/>
      <c r="D57" s="2073"/>
      <c r="E57" s="2074"/>
      <c r="F57" s="2075"/>
      <c r="G57" s="2076"/>
      <c r="H57" s="2076"/>
      <c r="I57" s="2074"/>
      <c r="J57" s="2077"/>
      <c r="K57" s="2077"/>
      <c r="L57" s="2074"/>
      <c r="M57" s="2074"/>
      <c r="N57" s="2074"/>
      <c r="O57" s="2078"/>
      <c r="P57" s="2074"/>
      <c r="Q57" s="2074"/>
      <c r="R57" s="2074"/>
      <c r="S57" s="2079"/>
      <c r="T57" s="2080"/>
      <c r="AD57" s="2061"/>
    </row>
    <row r="58" spans="2:30" s="1835" customFormat="1" ht="16.5" customHeight="1">
      <c r="B58" s="1836"/>
      <c r="C58" s="1840"/>
      <c r="D58" s="2084" t="s">
        <v>5</v>
      </c>
      <c r="E58" s="1946" t="s">
        <v>120</v>
      </c>
      <c r="F58" s="1946" t="s">
        <v>121</v>
      </c>
      <c r="G58" s="2085" t="s">
        <v>184</v>
      </c>
      <c r="H58" s="1947"/>
      <c r="I58" s="1946"/>
      <c r="J58" s="1324"/>
      <c r="K58" s="2086" t="s">
        <v>185</v>
      </c>
      <c r="L58" s="1324"/>
      <c r="M58" s="1324"/>
      <c r="O58" s="2086" t="s">
        <v>186</v>
      </c>
      <c r="P58" s="2087"/>
      <c r="Q58" s="2088"/>
      <c r="R58" s="2089"/>
      <c r="S58" s="1837"/>
      <c r="T58" s="1324"/>
      <c r="U58" s="1324"/>
      <c r="V58" s="1324"/>
      <c r="W58" s="1324"/>
      <c r="X58" s="1837"/>
      <c r="Y58" s="1837"/>
      <c r="Z58" s="1837"/>
      <c r="AA58" s="1837"/>
      <c r="AB58" s="1837"/>
      <c r="AC58" s="2090" t="s">
        <v>187</v>
      </c>
      <c r="AD58" s="2061"/>
    </row>
    <row r="59" spans="2:30" s="1835" customFormat="1" ht="16.5" customHeight="1">
      <c r="B59" s="1836"/>
      <c r="C59" s="1840"/>
      <c r="D59" s="1946" t="s">
        <v>122</v>
      </c>
      <c r="E59" s="2091">
        <v>267</v>
      </c>
      <c r="F59" s="2092">
        <v>500</v>
      </c>
      <c r="G59" s="2093">
        <f>E59*$F$20*$L$21/100</f>
        <v>862255.48176</v>
      </c>
      <c r="H59" s="2093"/>
      <c r="I59" s="2093"/>
      <c r="J59" s="1827"/>
      <c r="K59" s="2094">
        <v>1785011</v>
      </c>
      <c r="L59" s="1827"/>
      <c r="M59" s="2095" t="s">
        <v>325</v>
      </c>
      <c r="R59" s="2089"/>
      <c r="S59" s="1837"/>
      <c r="T59" s="1324"/>
      <c r="U59" s="1324"/>
      <c r="V59" s="1324"/>
      <c r="W59" s="1324"/>
      <c r="X59" s="1837"/>
      <c r="Y59" s="1837"/>
      <c r="Z59" s="1837"/>
      <c r="AA59" s="1837"/>
      <c r="AB59" s="2096"/>
      <c r="AC59" s="1850">
        <f>K59+G59</f>
        <v>2647266.48176</v>
      </c>
      <c r="AD59" s="2061"/>
    </row>
    <row r="60" spans="2:30" s="1835" customFormat="1" ht="16.5" customHeight="1">
      <c r="B60" s="1836"/>
      <c r="C60" s="1840"/>
      <c r="D60" s="1946" t="s">
        <v>123</v>
      </c>
      <c r="E60" s="2091">
        <f>3*3.6</f>
        <v>10.8</v>
      </c>
      <c r="F60" s="2092">
        <v>500</v>
      </c>
      <c r="G60" s="2093">
        <f>E60*$F$20*$L$21/100</f>
        <v>34877.749824</v>
      </c>
      <c r="H60" s="2097"/>
      <c r="I60" s="2098"/>
      <c r="J60" s="1827"/>
      <c r="K60" s="2093">
        <v>45090</v>
      </c>
      <c r="L60" s="1827"/>
      <c r="M60" s="2095" t="s">
        <v>325</v>
      </c>
      <c r="O60" s="2099"/>
      <c r="P60" s="1324"/>
      <c r="Q60" s="2089"/>
      <c r="R60" s="2089"/>
      <c r="S60" s="1837"/>
      <c r="T60" s="1324"/>
      <c r="U60" s="1324"/>
      <c r="V60" s="1324"/>
      <c r="W60" s="1324"/>
      <c r="X60" s="1837"/>
      <c r="Y60" s="1837"/>
      <c r="Z60" s="1837"/>
      <c r="AA60" s="1837"/>
      <c r="AB60" s="1837"/>
      <c r="AC60" s="1850">
        <f>K60+G60</f>
        <v>79967.749824</v>
      </c>
      <c r="AD60" s="2061"/>
    </row>
    <row r="61" spans="2:30" s="1835" customFormat="1" ht="16.5" customHeight="1">
      <c r="B61" s="1836"/>
      <c r="C61" s="1840"/>
      <c r="E61" s="1845"/>
      <c r="F61" s="1946"/>
      <c r="G61" s="1947"/>
      <c r="H61" s="1324"/>
      <c r="I61" s="1946"/>
      <c r="J61" s="1946"/>
      <c r="K61" s="1324"/>
      <c r="L61" s="1850"/>
      <c r="M61" s="2088"/>
      <c r="N61" s="2088"/>
      <c r="O61" s="2094">
        <v>0</v>
      </c>
      <c r="P61" s="1827"/>
      <c r="Q61" s="2095" t="s">
        <v>325</v>
      </c>
      <c r="R61" s="2089"/>
      <c r="S61" s="1837"/>
      <c r="T61" s="1324"/>
      <c r="U61" s="1324"/>
      <c r="V61" s="1324"/>
      <c r="W61" s="1324"/>
      <c r="X61" s="1837"/>
      <c r="Y61" s="1837"/>
      <c r="Z61" s="1837"/>
      <c r="AA61" s="1837"/>
      <c r="AB61" s="1837"/>
      <c r="AC61" s="2100"/>
      <c r="AD61" s="2061"/>
    </row>
    <row r="62" spans="2:30" s="1835" customFormat="1" ht="10.5" customHeight="1" thickBot="1">
      <c r="B62" s="1836"/>
      <c r="C62" s="1840"/>
      <c r="E62" s="1845"/>
      <c r="F62" s="1946"/>
      <c r="G62" s="1947"/>
      <c r="H62" s="1324"/>
      <c r="I62" s="1946"/>
      <c r="J62" s="1946"/>
      <c r="K62" s="1324"/>
      <c r="L62" s="1850"/>
      <c r="M62" s="2088"/>
      <c r="N62" s="2088"/>
      <c r="O62" s="2094"/>
      <c r="P62" s="1827"/>
      <c r="Q62" s="2101"/>
      <c r="R62" s="2089"/>
      <c r="S62" s="1837"/>
      <c r="T62" s="1324"/>
      <c r="U62" s="1324"/>
      <c r="V62" s="1324"/>
      <c r="W62" s="1324"/>
      <c r="X62" s="1837"/>
      <c r="Y62" s="1837"/>
      <c r="Z62" s="1837"/>
      <c r="AA62" s="1837"/>
      <c r="AB62" s="1837"/>
      <c r="AC62" s="1850"/>
      <c r="AD62" s="2061"/>
    </row>
    <row r="63" spans="1:30" ht="21" customHeight="1" thickBot="1" thickTop="1">
      <c r="A63" s="1835"/>
      <c r="B63" s="1836"/>
      <c r="C63" s="1840"/>
      <c r="D63" s="2077"/>
      <c r="E63" s="1845"/>
      <c r="F63" s="1946"/>
      <c r="G63" s="1946"/>
      <c r="H63" s="1947"/>
      <c r="J63" s="1946"/>
      <c r="L63" s="2102"/>
      <c r="M63" s="2088"/>
      <c r="N63" s="2088"/>
      <c r="O63" s="2089"/>
      <c r="P63" s="2089"/>
      <c r="Q63" s="2089"/>
      <c r="R63" s="2089"/>
      <c r="S63" s="2089"/>
      <c r="AB63" s="2103" t="s">
        <v>160</v>
      </c>
      <c r="AC63" s="2104">
        <f>SUM(AC59:AC61)</f>
        <v>2727234.231584</v>
      </c>
      <c r="AD63" s="2061"/>
    </row>
    <row r="64" spans="1:30" ht="16.5" customHeight="1" thickBot="1" thickTop="1">
      <c r="A64" s="1835"/>
      <c r="B64" s="1836"/>
      <c r="C64" s="1840"/>
      <c r="D64" s="2077"/>
      <c r="E64" s="1845"/>
      <c r="F64" s="1946"/>
      <c r="G64" s="1946"/>
      <c r="H64" s="1947"/>
      <c r="J64" s="1946"/>
      <c r="L64" s="2102"/>
      <c r="M64" s="2088"/>
      <c r="N64" s="2088"/>
      <c r="O64" s="2089"/>
      <c r="P64" s="2089"/>
      <c r="Q64" s="2089"/>
      <c r="R64" s="2089"/>
      <c r="S64" s="2089"/>
      <c r="AC64" s="1839"/>
      <c r="AD64" s="2061"/>
    </row>
    <row r="65" spans="1:30" ht="21" customHeight="1" thickBot="1" thickTop="1">
      <c r="A65" s="1835"/>
      <c r="B65" s="1836"/>
      <c r="C65" s="1840"/>
      <c r="D65" s="2077"/>
      <c r="E65" s="1845"/>
      <c r="F65" s="1946"/>
      <c r="G65" s="1946"/>
      <c r="H65" s="1947"/>
      <c r="J65" s="1946"/>
      <c r="L65" s="2102"/>
      <c r="M65" s="2088"/>
      <c r="N65" s="2088"/>
      <c r="O65" s="2089"/>
      <c r="P65" s="2089"/>
      <c r="Q65" s="2089"/>
      <c r="R65" s="2089"/>
      <c r="S65" s="2089"/>
      <c r="AB65" s="2103" t="s">
        <v>322</v>
      </c>
      <c r="AC65" s="2104">
        <v>2072290.306928</v>
      </c>
      <c r="AD65" s="2061"/>
    </row>
    <row r="66" spans="2:30" ht="16.5" customHeight="1" thickTop="1">
      <c r="B66" s="1836"/>
      <c r="C66" s="2082" t="s">
        <v>124</v>
      </c>
      <c r="D66" s="2105" t="s">
        <v>125</v>
      </c>
      <c r="E66" s="1946"/>
      <c r="F66" s="2106"/>
      <c r="G66" s="1945"/>
      <c r="H66" s="2077"/>
      <c r="I66" s="2077"/>
      <c r="J66" s="2077"/>
      <c r="K66" s="1946"/>
      <c r="L66" s="1946"/>
      <c r="M66" s="2077"/>
      <c r="N66" s="1946"/>
      <c r="O66" s="2077"/>
      <c r="P66" s="2077"/>
      <c r="Q66" s="2077"/>
      <c r="R66" s="2077"/>
      <c r="S66" s="2077"/>
      <c r="T66" s="2077"/>
      <c r="U66" s="2077"/>
      <c r="AC66" s="2077"/>
      <c r="AD66" s="2061"/>
    </row>
    <row r="67" spans="2:30" s="1835" customFormat="1" ht="16.5" customHeight="1">
      <c r="B67" s="1836"/>
      <c r="C67" s="1840"/>
      <c r="D67" s="2084" t="s">
        <v>126</v>
      </c>
      <c r="E67" s="2107">
        <f>10*K54*K26/AC63</f>
        <v>67684.71298735817</v>
      </c>
      <c r="G67" s="1945"/>
      <c r="L67" s="1946"/>
      <c r="N67" s="1946"/>
      <c r="O67" s="1947"/>
      <c r="V67" s="1324"/>
      <c r="W67" s="1324"/>
      <c r="AD67" s="2061"/>
    </row>
    <row r="68" spans="2:30" s="1835" customFormat="1" ht="16.5" customHeight="1">
      <c r="B68" s="1836"/>
      <c r="C68" s="1840"/>
      <c r="E68" s="2108"/>
      <c r="F68" s="1852"/>
      <c r="G68" s="1945"/>
      <c r="J68" s="1945"/>
      <c r="K68" s="1965"/>
      <c r="L68" s="1946"/>
      <c r="M68" s="1946"/>
      <c r="N68" s="1946"/>
      <c r="O68" s="1947"/>
      <c r="P68" s="1946"/>
      <c r="Q68" s="1946"/>
      <c r="R68" s="1964"/>
      <c r="S68" s="1964"/>
      <c r="T68" s="1964"/>
      <c r="U68" s="2109"/>
      <c r="V68" s="1324"/>
      <c r="W68" s="1324"/>
      <c r="AC68" s="2109"/>
      <c r="AD68" s="2061"/>
    </row>
    <row r="69" spans="2:30" ht="16.5" customHeight="1">
      <c r="B69" s="1836"/>
      <c r="C69" s="1840"/>
      <c r="D69" s="2110" t="s">
        <v>127</v>
      </c>
      <c r="E69" s="2111"/>
      <c r="F69" s="1852"/>
      <c r="G69" s="1945"/>
      <c r="H69" s="2077"/>
      <c r="I69" s="2077"/>
      <c r="N69" s="1946"/>
      <c r="O69" s="1947"/>
      <c r="P69" s="1946"/>
      <c r="Q69" s="1946"/>
      <c r="R69" s="2087"/>
      <c r="S69" s="2087"/>
      <c r="T69" s="2087"/>
      <c r="U69" s="2088"/>
      <c r="AC69" s="2088"/>
      <c r="AD69" s="2061"/>
    </row>
    <row r="70" spans="2:30" ht="16.5" customHeight="1" thickBot="1">
      <c r="B70" s="1836"/>
      <c r="C70" s="1840"/>
      <c r="D70" s="2110"/>
      <c r="E70" s="2111"/>
      <c r="F70" s="1852"/>
      <c r="G70" s="1945"/>
      <c r="H70" s="2077"/>
      <c r="I70" s="2077"/>
      <c r="N70" s="1946"/>
      <c r="O70" s="1947"/>
      <c r="P70" s="1946"/>
      <c r="Q70" s="1946"/>
      <c r="R70" s="2087"/>
      <c r="S70" s="2087"/>
      <c r="T70" s="2087"/>
      <c r="U70" s="2088"/>
      <c r="AC70" s="2088"/>
      <c r="AD70" s="2061"/>
    </row>
    <row r="71" spans="2:30" s="2112" customFormat="1" ht="21" thickBot="1" thickTop="1">
      <c r="B71" s="2113"/>
      <c r="C71" s="2114"/>
      <c r="D71" s="2115"/>
      <c r="E71" s="2116"/>
      <c r="F71" s="2117"/>
      <c r="G71" s="2118"/>
      <c r="I71" s="1324"/>
      <c r="J71" s="2119" t="s">
        <v>128</v>
      </c>
      <c r="K71" s="2120">
        <f>IF(E67&gt;3*K26,K26*3,E67)</f>
        <v>67684.71298735817</v>
      </c>
      <c r="M71" s="2121"/>
      <c r="N71" s="2122" t="s">
        <v>324</v>
      </c>
      <c r="O71" s="2123"/>
      <c r="P71" s="2121"/>
      <c r="Q71" s="2121"/>
      <c r="R71" s="2124"/>
      <c r="S71" s="2124"/>
      <c r="T71" s="2124"/>
      <c r="U71" s="2125"/>
      <c r="V71" s="1324"/>
      <c r="W71" s="1324"/>
      <c r="AC71" s="2125"/>
      <c r="AD71" s="2126"/>
    </row>
    <row r="72" spans="2:30" ht="16.5" customHeight="1" thickBot="1" thickTop="1">
      <c r="B72" s="2127"/>
      <c r="C72" s="2128"/>
      <c r="D72" s="2128"/>
      <c r="E72" s="2128"/>
      <c r="F72" s="2128"/>
      <c r="G72" s="2128"/>
      <c r="H72" s="2128"/>
      <c r="I72" s="2128"/>
      <c r="J72" s="2128"/>
      <c r="K72" s="2128"/>
      <c r="L72" s="2128"/>
      <c r="M72" s="2128"/>
      <c r="N72" s="2128"/>
      <c r="O72" s="2128"/>
      <c r="P72" s="2128"/>
      <c r="Q72" s="2128"/>
      <c r="R72" s="2128"/>
      <c r="S72" s="2128"/>
      <c r="T72" s="2128"/>
      <c r="U72" s="2128"/>
      <c r="V72" s="2129"/>
      <c r="W72" s="2129"/>
      <c r="X72" s="2129"/>
      <c r="Y72" s="2129"/>
      <c r="Z72" s="2129"/>
      <c r="AA72" s="2129"/>
      <c r="AB72" s="2129"/>
      <c r="AC72" s="2128"/>
      <c r="AD72" s="2130"/>
    </row>
    <row r="73" spans="2:23" ht="16.5" customHeight="1" thickTop="1">
      <c r="B73" s="1491"/>
      <c r="C73" s="2131"/>
      <c r="W73" s="1491"/>
    </row>
  </sheetData>
  <sheetProtection/>
  <mergeCells count="24">
    <mergeCell ref="F38:G38"/>
    <mergeCell ref="P38:Q38"/>
    <mergeCell ref="F39:G39"/>
    <mergeCell ref="P39:Q39"/>
    <mergeCell ref="F40:G40"/>
    <mergeCell ref="P40:Q40"/>
    <mergeCell ref="P49:Q49"/>
    <mergeCell ref="F41:G41"/>
    <mergeCell ref="P41:Q41"/>
    <mergeCell ref="F44:G44"/>
    <mergeCell ref="P44:Q44"/>
    <mergeCell ref="F45:G45"/>
    <mergeCell ref="F46:G46"/>
    <mergeCell ref="P46:Q46"/>
    <mergeCell ref="F52:G52"/>
    <mergeCell ref="F47:G47"/>
    <mergeCell ref="P47:Q47"/>
    <mergeCell ref="F48:G48"/>
    <mergeCell ref="P48:Q48"/>
    <mergeCell ref="F49:G49"/>
    <mergeCell ref="F50:G50"/>
    <mergeCell ref="P50:Q50"/>
    <mergeCell ref="F51:G51"/>
    <mergeCell ref="P51:Q51"/>
  </mergeCells>
  <printOptions/>
  <pageMargins left="1.8" right="0.1968503937007874" top="0.73" bottom="0.34" header="0" footer="0"/>
  <pageSetup horizontalDpi="600" verticalDpi="600" orientation="landscape" paperSize="9" scale="35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78"/>
      <c r="B2" s="2" t="str">
        <f>+'TOT-1214'!B2</f>
        <v>ANEXO I al Memorándum D.T.E.E. N°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79"/>
    </row>
    <row r="4" spans="1:4" s="14" customFormat="1" ht="11.25">
      <c r="A4" s="12" t="s">
        <v>2</v>
      </c>
      <c r="B4" s="80"/>
      <c r="C4" s="80"/>
      <c r="D4" s="80"/>
    </row>
    <row r="5" spans="1:4" s="14" customFormat="1" ht="11.25">
      <c r="A5" s="12" t="s">
        <v>3</v>
      </c>
      <c r="B5" s="80"/>
      <c r="C5" s="80"/>
      <c r="D5" s="80"/>
    </row>
    <row r="6" s="8" customFormat="1" ht="13.5" thickBot="1"/>
    <row r="7" spans="2:32" s="8" customFormat="1" ht="13.5" thickTop="1">
      <c r="B7" s="81"/>
      <c r="C7" s="82"/>
      <c r="D7" s="82"/>
      <c r="E7" s="82"/>
      <c r="F7" s="82"/>
      <c r="G7" s="83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4"/>
    </row>
    <row r="8" spans="2:32" s="18" customFormat="1" ht="20.25">
      <c r="B8" s="85"/>
      <c r="C8" s="23"/>
      <c r="D8" s="23"/>
      <c r="E8" s="23"/>
      <c r="F8" s="86" t="s">
        <v>23</v>
      </c>
      <c r="G8" s="23"/>
      <c r="H8" s="23"/>
      <c r="I8" s="23"/>
      <c r="J8" s="23"/>
      <c r="P8" s="23"/>
      <c r="Q8" s="23"/>
      <c r="R8" s="87"/>
      <c r="S8" s="8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88"/>
    </row>
    <row r="9" spans="2:32" s="8" customFormat="1" ht="12.75">
      <c r="B9" s="5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89"/>
    </row>
    <row r="10" spans="2:32" s="18" customFormat="1" ht="20.25">
      <c r="B10" s="85"/>
      <c r="C10" s="23"/>
      <c r="D10" s="23"/>
      <c r="E10" s="23"/>
      <c r="F10" s="87" t="s">
        <v>24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88"/>
    </row>
    <row r="11" spans="2:32" s="8" customFormat="1" ht="12.75">
      <c r="B11" s="5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89"/>
    </row>
    <row r="12" spans="2:32" s="18" customFormat="1" ht="20.25">
      <c r="B12" s="85"/>
      <c r="C12" s="23"/>
      <c r="D12" s="23"/>
      <c r="E12" s="23"/>
      <c r="F12" s="87" t="s">
        <v>25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87"/>
      <c r="S12" s="8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88"/>
    </row>
    <row r="13" spans="2:32" s="8" customFormat="1" ht="12.75">
      <c r="B13" s="53"/>
      <c r="C13" s="11"/>
      <c r="D13" s="11"/>
      <c r="E13" s="11"/>
      <c r="F13" s="11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89"/>
    </row>
    <row r="14" spans="2:32" s="34" customFormat="1" ht="19.5">
      <c r="B14" s="35" t="str">
        <f>'TOT-1214'!B14</f>
        <v>Desde el 01 al 31 de diciembre de 2014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91"/>
      <c r="Q14" s="91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92"/>
    </row>
    <row r="15" spans="2:32" s="8" customFormat="1" ht="16.5" customHeight="1" thickBot="1">
      <c r="B15" s="53"/>
      <c r="C15" s="11"/>
      <c r="D15" s="11"/>
      <c r="E15" s="11"/>
      <c r="F15" s="11"/>
      <c r="G15" s="75"/>
      <c r="H15" s="75"/>
      <c r="I15" s="11"/>
      <c r="J15" s="11"/>
      <c r="K15" s="11"/>
      <c r="L15" s="93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89"/>
    </row>
    <row r="16" spans="2:32" s="8" customFormat="1" ht="16.5" customHeight="1" thickBot="1" thickTop="1">
      <c r="B16" s="53"/>
      <c r="C16" s="11"/>
      <c r="D16" s="11"/>
      <c r="E16" s="11"/>
      <c r="F16" s="94" t="s">
        <v>26</v>
      </c>
      <c r="G16" s="2507">
        <v>434.062</v>
      </c>
      <c r="H16" s="250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89"/>
    </row>
    <row r="17" spans="2:32" s="8" customFormat="1" ht="16.5" customHeight="1" thickBot="1" thickTop="1">
      <c r="B17" s="53"/>
      <c r="C17" s="11"/>
      <c r="D17" s="11"/>
      <c r="E17" s="11"/>
      <c r="F17" s="94" t="s">
        <v>27</v>
      </c>
      <c r="G17" s="2507">
        <v>361.726</v>
      </c>
      <c r="H17" s="2508"/>
      <c r="I17" s="11"/>
      <c r="J17" s="11"/>
      <c r="K17" s="11"/>
      <c r="L17" s="97"/>
      <c r="M17" s="9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99"/>
      <c r="Y17" s="99"/>
      <c r="Z17" s="99"/>
      <c r="AA17" s="99"/>
      <c r="AB17" s="99"/>
      <c r="AC17" s="99"/>
      <c r="AD17" s="99"/>
      <c r="AF17" s="89"/>
    </row>
    <row r="18" spans="2:32" s="8" customFormat="1" ht="16.5" customHeight="1" thickBot="1" thickTop="1">
      <c r="B18" s="53"/>
      <c r="C18" s="100">
        <v>3</v>
      </c>
      <c r="D18" s="100">
        <v>4</v>
      </c>
      <c r="E18" s="100">
        <v>5</v>
      </c>
      <c r="F18" s="100">
        <v>6</v>
      </c>
      <c r="G18" s="100">
        <v>7</v>
      </c>
      <c r="H18" s="100">
        <v>8</v>
      </c>
      <c r="I18" s="100">
        <v>9</v>
      </c>
      <c r="J18" s="100">
        <v>10</v>
      </c>
      <c r="K18" s="100">
        <v>11</v>
      </c>
      <c r="L18" s="100">
        <v>12</v>
      </c>
      <c r="M18" s="100">
        <v>13</v>
      </c>
      <c r="N18" s="100">
        <v>14</v>
      </c>
      <c r="O18" s="100">
        <v>15</v>
      </c>
      <c r="P18" s="100">
        <v>16</v>
      </c>
      <c r="Q18" s="100">
        <v>17</v>
      </c>
      <c r="R18" s="100">
        <v>18</v>
      </c>
      <c r="S18" s="100">
        <v>19</v>
      </c>
      <c r="T18" s="100">
        <v>20</v>
      </c>
      <c r="U18" s="100">
        <v>21</v>
      </c>
      <c r="V18" s="100">
        <v>22</v>
      </c>
      <c r="W18" s="100">
        <v>23</v>
      </c>
      <c r="X18" s="100">
        <v>24</v>
      </c>
      <c r="Y18" s="100">
        <v>25</v>
      </c>
      <c r="Z18" s="100">
        <v>26</v>
      </c>
      <c r="AA18" s="100">
        <v>27</v>
      </c>
      <c r="AB18" s="100">
        <v>28</v>
      </c>
      <c r="AC18" s="100">
        <v>29</v>
      </c>
      <c r="AD18" s="100">
        <v>30</v>
      </c>
      <c r="AE18" s="100">
        <v>31</v>
      </c>
      <c r="AF18" s="89"/>
    </row>
    <row r="19" spans="2:32" s="8" customFormat="1" ht="33.75" customHeight="1" thickBot="1" thickTop="1">
      <c r="B19" s="53"/>
      <c r="C19" s="101" t="s">
        <v>28</v>
      </c>
      <c r="D19" s="101" t="s">
        <v>29</v>
      </c>
      <c r="E19" s="101" t="s">
        <v>30</v>
      </c>
      <c r="F19" s="102" t="s">
        <v>5</v>
      </c>
      <c r="G19" s="103" t="s">
        <v>31</v>
      </c>
      <c r="H19" s="104" t="s">
        <v>32</v>
      </c>
      <c r="I19" s="105" t="s">
        <v>33</v>
      </c>
      <c r="J19" s="106" t="s">
        <v>34</v>
      </c>
      <c r="K19" s="107" t="s">
        <v>35</v>
      </c>
      <c r="L19" s="102" t="s">
        <v>36</v>
      </c>
      <c r="M19" s="108" t="s">
        <v>37</v>
      </c>
      <c r="N19" s="109" t="s">
        <v>38</v>
      </c>
      <c r="O19" s="104" t="s">
        <v>39</v>
      </c>
      <c r="P19" s="109" t="s">
        <v>179</v>
      </c>
      <c r="Q19" s="104" t="s">
        <v>40</v>
      </c>
      <c r="R19" s="108" t="s">
        <v>41</v>
      </c>
      <c r="S19" s="102" t="s">
        <v>42</v>
      </c>
      <c r="T19" s="110" t="s">
        <v>43</v>
      </c>
      <c r="U19" s="111" t="s">
        <v>44</v>
      </c>
      <c r="V19" s="112" t="s">
        <v>45</v>
      </c>
      <c r="W19" s="113"/>
      <c r="X19" s="114"/>
      <c r="Y19" s="115" t="s">
        <v>46</v>
      </c>
      <c r="Z19" s="116"/>
      <c r="AA19" s="117"/>
      <c r="AB19" s="118" t="s">
        <v>47</v>
      </c>
      <c r="AC19" s="119" t="s">
        <v>48</v>
      </c>
      <c r="AD19" s="120" t="s">
        <v>49</v>
      </c>
      <c r="AE19" s="120" t="s">
        <v>50</v>
      </c>
      <c r="AF19" s="121"/>
    </row>
    <row r="20" spans="2:32" s="8" customFormat="1" ht="16.5" customHeight="1" thickTop="1">
      <c r="B20" s="53"/>
      <c r="C20" s="122"/>
      <c r="D20" s="122"/>
      <c r="E20" s="122"/>
      <c r="F20" s="123"/>
      <c r="G20" s="123"/>
      <c r="H20" s="124"/>
      <c r="I20" s="125"/>
      <c r="J20" s="126"/>
      <c r="K20" s="127"/>
      <c r="L20" s="128"/>
      <c r="M20" s="128"/>
      <c r="N20" s="125"/>
      <c r="O20" s="125"/>
      <c r="P20" s="125"/>
      <c r="Q20" s="125"/>
      <c r="R20" s="125"/>
      <c r="S20" s="125"/>
      <c r="T20" s="129"/>
      <c r="U20" s="130"/>
      <c r="V20" s="131"/>
      <c r="W20" s="132"/>
      <c r="X20" s="133"/>
      <c r="Y20" s="134"/>
      <c r="Z20" s="135"/>
      <c r="AA20" s="136"/>
      <c r="AB20" s="137"/>
      <c r="AC20" s="138"/>
      <c r="AD20" s="125"/>
      <c r="AE20" s="139"/>
      <c r="AF20" s="89"/>
    </row>
    <row r="21" spans="2:32" s="8" customFormat="1" ht="16.5" customHeight="1">
      <c r="B21" s="53"/>
      <c r="C21" s="140"/>
      <c r="D21" s="140"/>
      <c r="E21" s="140"/>
      <c r="F21" s="141"/>
      <c r="G21" s="142"/>
      <c r="H21" s="143"/>
      <c r="I21" s="141"/>
      <c r="J21" s="144"/>
      <c r="K21" s="145"/>
      <c r="L21" s="146"/>
      <c r="M21" s="99"/>
      <c r="N21" s="141"/>
      <c r="O21" s="141"/>
      <c r="P21" s="147"/>
      <c r="Q21" s="141"/>
      <c r="R21" s="141"/>
      <c r="S21" s="141"/>
      <c r="T21" s="148"/>
      <c r="U21" s="149"/>
      <c r="V21" s="150"/>
      <c r="W21" s="151"/>
      <c r="X21" s="152"/>
      <c r="Y21" s="153"/>
      <c r="Z21" s="154"/>
      <c r="AA21" s="155"/>
      <c r="AB21" s="156"/>
      <c r="AC21" s="157"/>
      <c r="AD21" s="141"/>
      <c r="AE21" s="158"/>
      <c r="AF21" s="89"/>
    </row>
    <row r="22" spans="2:32" s="8" customFormat="1" ht="16.5" customHeight="1">
      <c r="B22" s="53"/>
      <c r="C22" s="159">
        <v>1</v>
      </c>
      <c r="D22" s="159">
        <v>281961</v>
      </c>
      <c r="E22" s="159">
        <v>53</v>
      </c>
      <c r="F22" s="159" t="s">
        <v>192</v>
      </c>
      <c r="G22" s="160">
        <v>220</v>
      </c>
      <c r="H22" s="161">
        <v>26</v>
      </c>
      <c r="I22" s="160" t="s">
        <v>193</v>
      </c>
      <c r="J22" s="162">
        <f aca="true" t="shared" si="0" ref="J22:J41">IF(I22="A",200,IF(I22="B",60,20))</f>
        <v>20</v>
      </c>
      <c r="K22" s="163">
        <f aca="true" t="shared" si="1" ref="K22:K41">IF(G22=500,IF(H22&lt;100,100*$G$16/100,H22*$G$16/100),IF(H22&lt;100,100*$G$17/100,H22*$G$17/100))</f>
        <v>361.726</v>
      </c>
      <c r="L22" s="164">
        <v>41974</v>
      </c>
      <c r="M22" s="165">
        <v>41974.74930555555</v>
      </c>
      <c r="N22" s="166">
        <f aca="true" t="shared" si="2" ref="N22:N41">IF(F22="","",(M22-L22)*24)</f>
        <v>17.983333333279006</v>
      </c>
      <c r="O22" s="167">
        <f aca="true" t="shared" si="3" ref="O22:O41">IF(F22="","",ROUND((M22-L22)*24*60,0))</f>
        <v>1079</v>
      </c>
      <c r="P22" s="168" t="s">
        <v>333</v>
      </c>
      <c r="Q22" s="169" t="str">
        <f aca="true" t="shared" si="4" ref="Q22:Q41">IF(F22="","","--")</f>
        <v>--</v>
      </c>
      <c r="R22" s="170" t="str">
        <f aca="true" t="shared" si="5" ref="R22:R41">IF(F22="","","NO")</f>
        <v>NO</v>
      </c>
      <c r="S22" s="170" t="str">
        <f aca="true" t="shared" si="6" ref="S22:S41">IF(F22="","",IF(OR(P22="P",P22="RP"),"--","NO"))</f>
        <v>NO</v>
      </c>
      <c r="T22" s="171" t="str">
        <f aca="true" t="shared" si="7" ref="T22:T41">IF(P22="P",K22*J22*ROUND(O22/60,2)*0.01,"--")</f>
        <v>--</v>
      </c>
      <c r="U22" s="172" t="str">
        <f aca="true" t="shared" si="8" ref="U22:U41">IF(P22="RP",K22*J22*ROUND(O22/60,2)*0.01*Q22/100,"--")</f>
        <v>--</v>
      </c>
      <c r="V22" s="173" t="str">
        <f aca="true" t="shared" si="9" ref="V22:V41">IF(AND(P22="F",S22="NO"),K22*J22*IF(R22="SI",1.2,1),"--")</f>
        <v>--</v>
      </c>
      <c r="W22" s="174" t="str">
        <f aca="true" t="shared" si="10" ref="W22:W41">IF(AND(P22="F",O22&gt;=10),K22*J22*IF(R22="SI",1.2,1)*IF(O22&lt;=300,ROUND(O22/60,2),5),"--")</f>
        <v>--</v>
      </c>
      <c r="X22" s="175" t="str">
        <f aca="true" t="shared" si="11" ref="X22:X41">IF(AND(P22="F",O22&gt;300),(ROUND(O22/60,2)-5)*K22*J22*0.1*IF(R22="SI",1.2,1),"--")</f>
        <v>--</v>
      </c>
      <c r="Y22" s="176" t="str">
        <f aca="true" t="shared" si="12" ref="Y22:Y41">IF(AND(P22="R",S22="NO"),K22*J22*Q22/100*IF(R22="SI",1.2,1),"--")</f>
        <v>--</v>
      </c>
      <c r="Z22" s="177" t="str">
        <f aca="true" t="shared" si="13" ref="Z22:Z41">IF(AND(P22="R",O22&gt;=10),K22*J22*Q22/100*IF(R22="SI",1.2,1)*IF(O22&lt;=300,ROUND(O22/60,2),5),"--")</f>
        <v>--</v>
      </c>
      <c r="AA22" s="178" t="str">
        <f aca="true" t="shared" si="14" ref="AA22:AA41">IF(AND(P22="R",O22&gt;300),(ROUND(O22/60,2)-5)*K22*J22*0.1*Q22/100*IF(R22="SI",1.2,1),"--")</f>
        <v>--</v>
      </c>
      <c r="AB22" s="179">
        <f aca="true" t="shared" si="15" ref="AB22:AB41">IF(P22="RF",ROUND(O22/60,2)*K22*J22*0.1*IF(R22="SI",1.2,1),"--")</f>
        <v>13007.666960000002</v>
      </c>
      <c r="AC22" s="180" t="str">
        <f aca="true" t="shared" si="16" ref="AC22:AC41">IF(P22="RR",ROUND(O22/60,2)*K22*J22*0.1*Q22/100*IF(R22="SI",1.2,1),"--")</f>
        <v>--</v>
      </c>
      <c r="AD22" s="181" t="s">
        <v>81</v>
      </c>
      <c r="AE22" s="182">
        <f aca="true" t="shared" si="17" ref="AE22:AE41">IF(F22="","",SUM(T22:AC22)*IF(AD22="SI",1,2))</f>
        <v>13007.666960000002</v>
      </c>
      <c r="AF22" s="183"/>
    </row>
    <row r="23" spans="2:32" s="8" customFormat="1" ht="16.5" customHeight="1">
      <c r="B23" s="53"/>
      <c r="C23" s="140">
        <v>2</v>
      </c>
      <c r="D23" s="140">
        <v>282202</v>
      </c>
      <c r="E23" s="140">
        <v>35</v>
      </c>
      <c r="F23" s="159" t="s">
        <v>195</v>
      </c>
      <c r="G23" s="160">
        <v>500</v>
      </c>
      <c r="H23" s="161">
        <v>313</v>
      </c>
      <c r="I23" s="160" t="s">
        <v>196</v>
      </c>
      <c r="J23" s="162">
        <f t="shared" si="0"/>
        <v>200</v>
      </c>
      <c r="K23" s="163">
        <f t="shared" si="1"/>
        <v>1358.61406</v>
      </c>
      <c r="L23" s="164">
        <v>41974.686111111114</v>
      </c>
      <c r="M23" s="165">
        <v>41974.70347222222</v>
      </c>
      <c r="N23" s="166">
        <f t="shared" si="2"/>
        <v>0.41666666662786156</v>
      </c>
      <c r="O23" s="167">
        <f t="shared" si="3"/>
        <v>25</v>
      </c>
      <c r="P23" s="168" t="s">
        <v>194</v>
      </c>
      <c r="Q23" s="169" t="str">
        <f t="shared" si="4"/>
        <v>--</v>
      </c>
      <c r="R23" s="170" t="str">
        <f t="shared" si="5"/>
        <v>NO</v>
      </c>
      <c r="S23" s="170" t="str">
        <f t="shared" si="6"/>
        <v>NO</v>
      </c>
      <c r="T23" s="171" t="str">
        <f t="shared" si="7"/>
        <v>--</v>
      </c>
      <c r="U23" s="172" t="str">
        <f t="shared" si="8"/>
        <v>--</v>
      </c>
      <c r="V23" s="173">
        <f t="shared" si="9"/>
        <v>271722.81200000003</v>
      </c>
      <c r="W23" s="174">
        <f t="shared" si="10"/>
        <v>114123.58104</v>
      </c>
      <c r="X23" s="175" t="str">
        <f t="shared" si="11"/>
        <v>--</v>
      </c>
      <c r="Y23" s="176" t="str">
        <f t="shared" si="12"/>
        <v>--</v>
      </c>
      <c r="Z23" s="177" t="str">
        <f t="shared" si="13"/>
        <v>--</v>
      </c>
      <c r="AA23" s="178" t="str">
        <f t="shared" si="14"/>
        <v>--</v>
      </c>
      <c r="AB23" s="179" t="str">
        <f t="shared" si="15"/>
        <v>--</v>
      </c>
      <c r="AC23" s="180" t="str">
        <f t="shared" si="16"/>
        <v>--</v>
      </c>
      <c r="AD23" s="181" t="s">
        <v>81</v>
      </c>
      <c r="AE23" s="182">
        <f t="shared" si="17"/>
        <v>385846.39304000005</v>
      </c>
      <c r="AF23" s="183"/>
    </row>
    <row r="24" spans="2:32" s="8" customFormat="1" ht="16.5" customHeight="1">
      <c r="B24" s="53"/>
      <c r="C24" s="159">
        <v>3</v>
      </c>
      <c r="D24" s="159">
        <v>282564</v>
      </c>
      <c r="E24" s="159">
        <v>27</v>
      </c>
      <c r="F24" s="184" t="s">
        <v>197</v>
      </c>
      <c r="G24" s="185">
        <v>500</v>
      </c>
      <c r="H24" s="186">
        <v>3</v>
      </c>
      <c r="I24" s="185" t="s">
        <v>193</v>
      </c>
      <c r="J24" s="162">
        <f t="shared" si="0"/>
        <v>20</v>
      </c>
      <c r="K24" s="163">
        <f t="shared" si="1"/>
        <v>434.06200000000007</v>
      </c>
      <c r="L24" s="187">
        <v>41984.27361111111</v>
      </c>
      <c r="M24" s="188">
        <v>41984.43541666667</v>
      </c>
      <c r="N24" s="166">
        <f t="shared" si="2"/>
        <v>3.8833333334187046</v>
      </c>
      <c r="O24" s="167">
        <f t="shared" si="3"/>
        <v>233</v>
      </c>
      <c r="P24" s="168" t="s">
        <v>198</v>
      </c>
      <c r="Q24" s="169" t="str">
        <f t="shared" si="4"/>
        <v>--</v>
      </c>
      <c r="R24" s="170" t="str">
        <f t="shared" si="5"/>
        <v>NO</v>
      </c>
      <c r="S24" s="170" t="str">
        <f t="shared" si="6"/>
        <v>--</v>
      </c>
      <c r="T24" s="171">
        <f t="shared" si="7"/>
        <v>336.83211200000005</v>
      </c>
      <c r="U24" s="172" t="str">
        <f t="shared" si="8"/>
        <v>--</v>
      </c>
      <c r="V24" s="173" t="str">
        <f t="shared" si="9"/>
        <v>--</v>
      </c>
      <c r="W24" s="174" t="str">
        <f t="shared" si="10"/>
        <v>--</v>
      </c>
      <c r="X24" s="175" t="str">
        <f t="shared" si="11"/>
        <v>--</v>
      </c>
      <c r="Y24" s="176" t="str">
        <f t="shared" si="12"/>
        <v>--</v>
      </c>
      <c r="Z24" s="177" t="str">
        <f t="shared" si="13"/>
        <v>--</v>
      </c>
      <c r="AA24" s="178" t="str">
        <f t="shared" si="14"/>
        <v>--</v>
      </c>
      <c r="AB24" s="179" t="str">
        <f t="shared" si="15"/>
        <v>--</v>
      </c>
      <c r="AC24" s="180" t="str">
        <f t="shared" si="16"/>
        <v>--</v>
      </c>
      <c r="AD24" s="181" t="s">
        <v>81</v>
      </c>
      <c r="AE24" s="182">
        <v>0</v>
      </c>
      <c r="AF24" s="183"/>
    </row>
    <row r="25" spans="2:32" s="8" customFormat="1" ht="16.5" customHeight="1">
      <c r="B25" s="53"/>
      <c r="C25" s="140">
        <v>4</v>
      </c>
      <c r="D25" s="140">
        <v>282571</v>
      </c>
      <c r="E25" s="140">
        <v>13</v>
      </c>
      <c r="F25" s="184" t="s">
        <v>199</v>
      </c>
      <c r="G25" s="185">
        <v>500</v>
      </c>
      <c r="H25" s="186">
        <v>255</v>
      </c>
      <c r="I25" s="185" t="s">
        <v>193</v>
      </c>
      <c r="J25" s="162">
        <f t="shared" si="0"/>
        <v>20</v>
      </c>
      <c r="K25" s="163">
        <f t="shared" si="1"/>
        <v>1106.8581</v>
      </c>
      <c r="L25" s="187">
        <v>41985.15694444445</v>
      </c>
      <c r="M25" s="188">
        <v>41985.20972222222</v>
      </c>
      <c r="N25" s="166">
        <f t="shared" si="2"/>
        <v>1.2666666666045785</v>
      </c>
      <c r="O25" s="167">
        <f t="shared" si="3"/>
        <v>76</v>
      </c>
      <c r="P25" s="168" t="s">
        <v>194</v>
      </c>
      <c r="Q25" s="169" t="str">
        <f t="shared" si="4"/>
        <v>--</v>
      </c>
      <c r="R25" s="170" t="str">
        <f t="shared" si="5"/>
        <v>NO</v>
      </c>
      <c r="S25" s="170" t="str">
        <f t="shared" si="6"/>
        <v>NO</v>
      </c>
      <c r="T25" s="171" t="str">
        <f t="shared" si="7"/>
        <v>--</v>
      </c>
      <c r="U25" s="172" t="str">
        <f t="shared" si="8"/>
        <v>--</v>
      </c>
      <c r="V25" s="173">
        <f t="shared" si="9"/>
        <v>22137.161999999997</v>
      </c>
      <c r="W25" s="174">
        <f t="shared" si="10"/>
        <v>28114.195739999996</v>
      </c>
      <c r="X25" s="175" t="str">
        <f t="shared" si="11"/>
        <v>--</v>
      </c>
      <c r="Y25" s="176" t="str">
        <f t="shared" si="12"/>
        <v>--</v>
      </c>
      <c r="Z25" s="177" t="str">
        <f t="shared" si="13"/>
        <v>--</v>
      </c>
      <c r="AA25" s="178" t="str">
        <f t="shared" si="14"/>
        <v>--</v>
      </c>
      <c r="AB25" s="179" t="str">
        <f t="shared" si="15"/>
        <v>--</v>
      </c>
      <c r="AC25" s="180" t="str">
        <f t="shared" si="16"/>
        <v>--</v>
      </c>
      <c r="AD25" s="181" t="s">
        <v>81</v>
      </c>
      <c r="AE25" s="182">
        <f t="shared" si="17"/>
        <v>50251.35773999999</v>
      </c>
      <c r="AF25" s="183"/>
    </row>
    <row r="26" spans="2:32" s="8" customFormat="1" ht="16.5" customHeight="1">
      <c r="B26" s="53"/>
      <c r="C26" s="159">
        <v>5</v>
      </c>
      <c r="D26" s="159">
        <v>282574</v>
      </c>
      <c r="E26" s="159">
        <v>2</v>
      </c>
      <c r="F26" s="159" t="s">
        <v>200</v>
      </c>
      <c r="G26" s="160">
        <v>500</v>
      </c>
      <c r="H26" s="161">
        <v>58</v>
      </c>
      <c r="I26" s="160" t="s">
        <v>193</v>
      </c>
      <c r="J26" s="162">
        <f t="shared" si="0"/>
        <v>20</v>
      </c>
      <c r="K26" s="163">
        <f t="shared" si="1"/>
        <v>434.06200000000007</v>
      </c>
      <c r="L26" s="164">
        <v>41985.61388888889</v>
      </c>
      <c r="M26" s="165">
        <v>41986.03055555555</v>
      </c>
      <c r="N26" s="166">
        <f t="shared" si="2"/>
        <v>9.999999999941792</v>
      </c>
      <c r="O26" s="167">
        <f t="shared" si="3"/>
        <v>600</v>
      </c>
      <c r="P26" s="168" t="s">
        <v>198</v>
      </c>
      <c r="Q26" s="169" t="str">
        <f t="shared" si="4"/>
        <v>--</v>
      </c>
      <c r="R26" s="170" t="str">
        <f t="shared" si="5"/>
        <v>NO</v>
      </c>
      <c r="S26" s="170" t="str">
        <f t="shared" si="6"/>
        <v>--</v>
      </c>
      <c r="T26" s="171">
        <f t="shared" si="7"/>
        <v>868.1240000000003</v>
      </c>
      <c r="U26" s="172" t="str">
        <f t="shared" si="8"/>
        <v>--</v>
      </c>
      <c r="V26" s="173" t="str">
        <f t="shared" si="9"/>
        <v>--</v>
      </c>
      <c r="W26" s="174" t="str">
        <f t="shared" si="10"/>
        <v>--</v>
      </c>
      <c r="X26" s="175" t="str">
        <f t="shared" si="11"/>
        <v>--</v>
      </c>
      <c r="Y26" s="176" t="str">
        <f t="shared" si="12"/>
        <v>--</v>
      </c>
      <c r="Z26" s="177" t="str">
        <f t="shared" si="13"/>
        <v>--</v>
      </c>
      <c r="AA26" s="178" t="str">
        <f t="shared" si="14"/>
        <v>--</v>
      </c>
      <c r="AB26" s="179" t="str">
        <f t="shared" si="15"/>
        <v>--</v>
      </c>
      <c r="AC26" s="180" t="str">
        <f t="shared" si="16"/>
        <v>--</v>
      </c>
      <c r="AD26" s="181" t="s">
        <v>81</v>
      </c>
      <c r="AE26" s="182">
        <v>0</v>
      </c>
      <c r="AF26" s="183"/>
    </row>
    <row r="27" spans="2:32" s="8" customFormat="1" ht="16.5" customHeight="1">
      <c r="B27" s="53"/>
      <c r="C27" s="140">
        <v>6</v>
      </c>
      <c r="D27" s="140">
        <v>282576</v>
      </c>
      <c r="E27" s="140">
        <v>41</v>
      </c>
      <c r="F27" s="159" t="s">
        <v>201</v>
      </c>
      <c r="G27" s="160">
        <v>500</v>
      </c>
      <c r="H27" s="161">
        <v>30</v>
      </c>
      <c r="I27" s="160" t="s">
        <v>193</v>
      </c>
      <c r="J27" s="162">
        <f t="shared" si="0"/>
        <v>20</v>
      </c>
      <c r="K27" s="163">
        <f t="shared" si="1"/>
        <v>434.06200000000007</v>
      </c>
      <c r="L27" s="164">
        <v>41986.364583333336</v>
      </c>
      <c r="M27" s="165">
        <v>41986.71388888889</v>
      </c>
      <c r="N27" s="166">
        <f t="shared" si="2"/>
        <v>8.383333333244082</v>
      </c>
      <c r="O27" s="167">
        <f t="shared" si="3"/>
        <v>503</v>
      </c>
      <c r="P27" s="168" t="s">
        <v>198</v>
      </c>
      <c r="Q27" s="169" t="str">
        <f t="shared" si="4"/>
        <v>--</v>
      </c>
      <c r="R27" s="170" t="str">
        <f t="shared" si="5"/>
        <v>NO</v>
      </c>
      <c r="S27" s="170" t="str">
        <f t="shared" si="6"/>
        <v>--</v>
      </c>
      <c r="T27" s="171">
        <f t="shared" si="7"/>
        <v>727.4879120000003</v>
      </c>
      <c r="U27" s="172" t="str">
        <f t="shared" si="8"/>
        <v>--</v>
      </c>
      <c r="V27" s="173" t="str">
        <f t="shared" si="9"/>
        <v>--</v>
      </c>
      <c r="W27" s="174" t="str">
        <f t="shared" si="10"/>
        <v>--</v>
      </c>
      <c r="X27" s="175" t="str">
        <f t="shared" si="11"/>
        <v>--</v>
      </c>
      <c r="Y27" s="176" t="str">
        <f t="shared" si="12"/>
        <v>--</v>
      </c>
      <c r="Z27" s="177" t="str">
        <f t="shared" si="13"/>
        <v>--</v>
      </c>
      <c r="AA27" s="178" t="str">
        <f t="shared" si="14"/>
        <v>--</v>
      </c>
      <c r="AB27" s="179" t="str">
        <f t="shared" si="15"/>
        <v>--</v>
      </c>
      <c r="AC27" s="180" t="str">
        <f t="shared" si="16"/>
        <v>--</v>
      </c>
      <c r="AD27" s="181" t="s">
        <v>81</v>
      </c>
      <c r="AE27" s="182">
        <v>0</v>
      </c>
      <c r="AF27" s="183"/>
    </row>
    <row r="28" spans="2:32" s="8" customFormat="1" ht="16.5" customHeight="1">
      <c r="B28" s="53"/>
      <c r="C28" s="159">
        <v>7</v>
      </c>
      <c r="D28" s="159">
        <v>282794</v>
      </c>
      <c r="E28" s="159">
        <v>31</v>
      </c>
      <c r="F28" s="189" t="s">
        <v>202</v>
      </c>
      <c r="G28" s="190">
        <v>500</v>
      </c>
      <c r="H28" s="191">
        <v>4.5</v>
      </c>
      <c r="I28" s="190" t="s">
        <v>193</v>
      </c>
      <c r="J28" s="162">
        <f t="shared" si="0"/>
        <v>20</v>
      </c>
      <c r="K28" s="163">
        <f t="shared" si="1"/>
        <v>434.06200000000007</v>
      </c>
      <c r="L28" s="192">
        <v>41994.29236111111</v>
      </c>
      <c r="M28" s="193">
        <v>41994.771527777775</v>
      </c>
      <c r="N28" s="166">
        <f t="shared" si="2"/>
        <v>11.499999999941792</v>
      </c>
      <c r="O28" s="167">
        <f t="shared" si="3"/>
        <v>690</v>
      </c>
      <c r="P28" s="168" t="s">
        <v>198</v>
      </c>
      <c r="Q28" s="169" t="str">
        <f t="shared" si="4"/>
        <v>--</v>
      </c>
      <c r="R28" s="170" t="str">
        <f t="shared" si="5"/>
        <v>NO</v>
      </c>
      <c r="S28" s="170" t="str">
        <f t="shared" si="6"/>
        <v>--</v>
      </c>
      <c r="T28" s="171">
        <f t="shared" si="7"/>
        <v>998.3426000000003</v>
      </c>
      <c r="U28" s="172" t="str">
        <f t="shared" si="8"/>
        <v>--</v>
      </c>
      <c r="V28" s="173" t="str">
        <f t="shared" si="9"/>
        <v>--</v>
      </c>
      <c r="W28" s="174" t="str">
        <f t="shared" si="10"/>
        <v>--</v>
      </c>
      <c r="X28" s="175" t="str">
        <f t="shared" si="11"/>
        <v>--</v>
      </c>
      <c r="Y28" s="176" t="str">
        <f t="shared" si="12"/>
        <v>--</v>
      </c>
      <c r="Z28" s="177" t="str">
        <f t="shared" si="13"/>
        <v>--</v>
      </c>
      <c r="AA28" s="178" t="str">
        <f t="shared" si="14"/>
        <v>--</v>
      </c>
      <c r="AB28" s="179" t="str">
        <f t="shared" si="15"/>
        <v>--</v>
      </c>
      <c r="AC28" s="180" t="str">
        <f t="shared" si="16"/>
        <v>--</v>
      </c>
      <c r="AD28" s="181" t="s">
        <v>81</v>
      </c>
      <c r="AE28" s="182">
        <f t="shared" si="17"/>
        <v>998.3426000000003</v>
      </c>
      <c r="AF28" s="183"/>
    </row>
    <row r="29" spans="2:32" s="8" customFormat="1" ht="16.5" customHeight="1">
      <c r="B29" s="53"/>
      <c r="C29" s="140">
        <v>8</v>
      </c>
      <c r="D29" s="140">
        <v>283021</v>
      </c>
      <c r="E29" s="140">
        <v>1344</v>
      </c>
      <c r="F29" s="189" t="s">
        <v>203</v>
      </c>
      <c r="G29" s="190">
        <v>500</v>
      </c>
      <c r="H29" s="191">
        <v>194</v>
      </c>
      <c r="I29" s="190" t="s">
        <v>193</v>
      </c>
      <c r="J29" s="162">
        <f t="shared" si="0"/>
        <v>20</v>
      </c>
      <c r="K29" s="163">
        <f t="shared" si="1"/>
        <v>842.08028</v>
      </c>
      <c r="L29" s="192">
        <v>41999.49791666667</v>
      </c>
      <c r="M29" s="193">
        <v>41999.52569444444</v>
      </c>
      <c r="N29" s="166">
        <f t="shared" si="2"/>
        <v>0.6666666665696539</v>
      </c>
      <c r="O29" s="167">
        <f t="shared" si="3"/>
        <v>40</v>
      </c>
      <c r="P29" s="168" t="s">
        <v>194</v>
      </c>
      <c r="Q29" s="169" t="str">
        <f t="shared" si="4"/>
        <v>--</v>
      </c>
      <c r="R29" s="170" t="str">
        <f t="shared" si="5"/>
        <v>NO</v>
      </c>
      <c r="S29" s="170" t="str">
        <f t="shared" si="6"/>
        <v>NO</v>
      </c>
      <c r="T29" s="171" t="str">
        <f t="shared" si="7"/>
        <v>--</v>
      </c>
      <c r="U29" s="172" t="str">
        <f t="shared" si="8"/>
        <v>--</v>
      </c>
      <c r="V29" s="173">
        <f t="shared" si="9"/>
        <v>16841.6056</v>
      </c>
      <c r="W29" s="174">
        <f t="shared" si="10"/>
        <v>11283.875752</v>
      </c>
      <c r="X29" s="175" t="str">
        <f t="shared" si="11"/>
        <v>--</v>
      </c>
      <c r="Y29" s="176" t="str">
        <f t="shared" si="12"/>
        <v>--</v>
      </c>
      <c r="Z29" s="177" t="str">
        <f t="shared" si="13"/>
        <v>--</v>
      </c>
      <c r="AA29" s="178" t="str">
        <f t="shared" si="14"/>
        <v>--</v>
      </c>
      <c r="AB29" s="179" t="str">
        <f t="shared" si="15"/>
        <v>--</v>
      </c>
      <c r="AC29" s="180" t="str">
        <f t="shared" si="16"/>
        <v>--</v>
      </c>
      <c r="AD29" s="181" t="s">
        <v>81</v>
      </c>
      <c r="AE29" s="182">
        <f t="shared" si="17"/>
        <v>28125.481352</v>
      </c>
      <c r="AF29" s="183"/>
    </row>
    <row r="30" spans="2:32" s="8" customFormat="1" ht="16.5" customHeight="1">
      <c r="B30" s="53"/>
      <c r="C30" s="159"/>
      <c r="D30" s="159"/>
      <c r="E30" s="159"/>
      <c r="F30" s="189"/>
      <c r="G30" s="190"/>
      <c r="H30" s="191"/>
      <c r="I30" s="190"/>
      <c r="J30" s="162"/>
      <c r="K30" s="163"/>
      <c r="L30" s="192"/>
      <c r="M30" s="193"/>
      <c r="N30" s="166"/>
      <c r="O30" s="167"/>
      <c r="P30" s="168"/>
      <c r="Q30" s="169"/>
      <c r="R30" s="170"/>
      <c r="S30" s="170"/>
      <c r="T30" s="171"/>
      <c r="U30" s="172"/>
      <c r="V30" s="173"/>
      <c r="W30" s="174"/>
      <c r="X30" s="175"/>
      <c r="Y30" s="176"/>
      <c r="Z30" s="177"/>
      <c r="AA30" s="178"/>
      <c r="AB30" s="179"/>
      <c r="AC30" s="180"/>
      <c r="AD30" s="181"/>
      <c r="AE30" s="182"/>
      <c r="AF30" s="183"/>
    </row>
    <row r="31" spans="2:32" s="8" customFormat="1" ht="16.5" customHeight="1">
      <c r="B31" s="53"/>
      <c r="C31" s="140">
        <v>10</v>
      </c>
      <c r="D31" s="140">
        <v>283175</v>
      </c>
      <c r="E31" s="140">
        <v>13</v>
      </c>
      <c r="F31" s="189" t="s">
        <v>199</v>
      </c>
      <c r="G31" s="190">
        <v>500</v>
      </c>
      <c r="H31" s="191">
        <v>255</v>
      </c>
      <c r="I31" s="190" t="s">
        <v>193</v>
      </c>
      <c r="J31" s="162">
        <f t="shared" si="0"/>
        <v>20</v>
      </c>
      <c r="K31" s="163">
        <f t="shared" si="1"/>
        <v>1106.8581</v>
      </c>
      <c r="L31" s="192">
        <v>42002.524305555555</v>
      </c>
      <c r="M31" s="193">
        <v>42002.54583333333</v>
      </c>
      <c r="N31" s="166">
        <f t="shared" si="2"/>
        <v>0.5166666666045785</v>
      </c>
      <c r="O31" s="167">
        <f t="shared" si="3"/>
        <v>31</v>
      </c>
      <c r="P31" s="168" t="s">
        <v>194</v>
      </c>
      <c r="Q31" s="169" t="str">
        <f t="shared" si="4"/>
        <v>--</v>
      </c>
      <c r="R31" s="170" t="str">
        <f t="shared" si="5"/>
        <v>NO</v>
      </c>
      <c r="S31" s="170" t="str">
        <f t="shared" si="6"/>
        <v>NO</v>
      </c>
      <c r="T31" s="171" t="str">
        <f t="shared" si="7"/>
        <v>--</v>
      </c>
      <c r="U31" s="172" t="str">
        <f t="shared" si="8"/>
        <v>--</v>
      </c>
      <c r="V31" s="173">
        <f t="shared" si="9"/>
        <v>22137.161999999997</v>
      </c>
      <c r="W31" s="174">
        <f t="shared" si="10"/>
        <v>11511.324239999998</v>
      </c>
      <c r="X31" s="175" t="str">
        <f t="shared" si="11"/>
        <v>--</v>
      </c>
      <c r="Y31" s="176" t="str">
        <f t="shared" si="12"/>
        <v>--</v>
      </c>
      <c r="Z31" s="177" t="str">
        <f t="shared" si="13"/>
        <v>--</v>
      </c>
      <c r="AA31" s="178" t="str">
        <f t="shared" si="14"/>
        <v>--</v>
      </c>
      <c r="AB31" s="179" t="str">
        <f t="shared" si="15"/>
        <v>--</v>
      </c>
      <c r="AC31" s="180" t="str">
        <f t="shared" si="16"/>
        <v>--</v>
      </c>
      <c r="AD31" s="181" t="s">
        <v>81</v>
      </c>
      <c r="AE31" s="182">
        <f t="shared" si="17"/>
        <v>33648.48624</v>
      </c>
      <c r="AF31" s="183"/>
    </row>
    <row r="32" spans="2:32" s="8" customFormat="1" ht="16.5" customHeight="1">
      <c r="B32" s="53"/>
      <c r="C32" s="159"/>
      <c r="D32" s="159"/>
      <c r="E32" s="159"/>
      <c r="F32" s="189"/>
      <c r="G32" s="190"/>
      <c r="H32" s="191"/>
      <c r="I32" s="190"/>
      <c r="J32" s="162">
        <f t="shared" si="0"/>
        <v>20</v>
      </c>
      <c r="K32" s="163">
        <f t="shared" si="1"/>
        <v>361.726</v>
      </c>
      <c r="L32" s="192"/>
      <c r="M32" s="193"/>
      <c r="N32" s="166">
        <f t="shared" si="2"/>
      </c>
      <c r="O32" s="167">
        <f t="shared" si="3"/>
      </c>
      <c r="P32" s="168"/>
      <c r="Q32" s="169">
        <f t="shared" si="4"/>
      </c>
      <c r="R32" s="170">
        <f t="shared" si="5"/>
      </c>
      <c r="S32" s="170">
        <f t="shared" si="6"/>
      </c>
      <c r="T32" s="171" t="str">
        <f t="shared" si="7"/>
        <v>--</v>
      </c>
      <c r="U32" s="172" t="str">
        <f t="shared" si="8"/>
        <v>--</v>
      </c>
      <c r="V32" s="173" t="str">
        <f t="shared" si="9"/>
        <v>--</v>
      </c>
      <c r="W32" s="174" t="str">
        <f t="shared" si="10"/>
        <v>--</v>
      </c>
      <c r="X32" s="175" t="str">
        <f t="shared" si="11"/>
        <v>--</v>
      </c>
      <c r="Y32" s="176" t="str">
        <f t="shared" si="12"/>
        <v>--</v>
      </c>
      <c r="Z32" s="177" t="str">
        <f t="shared" si="13"/>
        <v>--</v>
      </c>
      <c r="AA32" s="178" t="str">
        <f t="shared" si="14"/>
        <v>--</v>
      </c>
      <c r="AB32" s="179" t="str">
        <f t="shared" si="15"/>
        <v>--</v>
      </c>
      <c r="AC32" s="180" t="str">
        <f t="shared" si="16"/>
        <v>--</v>
      </c>
      <c r="AD32" s="181">
        <f aca="true" t="shared" si="18" ref="AD32:AD41">IF(F32="","","SI")</f>
      </c>
      <c r="AE32" s="182">
        <f t="shared" si="17"/>
      </c>
      <c r="AF32" s="183"/>
    </row>
    <row r="33" spans="2:32" s="8" customFormat="1" ht="16.5" customHeight="1">
      <c r="B33" s="53"/>
      <c r="C33" s="140"/>
      <c r="D33" s="140"/>
      <c r="E33" s="140"/>
      <c r="F33" s="189"/>
      <c r="G33" s="190"/>
      <c r="H33" s="191"/>
      <c r="I33" s="190"/>
      <c r="J33" s="162">
        <f t="shared" si="0"/>
        <v>20</v>
      </c>
      <c r="K33" s="163">
        <f t="shared" si="1"/>
        <v>361.726</v>
      </c>
      <c r="L33" s="192"/>
      <c r="M33" s="194"/>
      <c r="N33" s="166">
        <f t="shared" si="2"/>
      </c>
      <c r="O33" s="167">
        <f t="shared" si="3"/>
      </c>
      <c r="P33" s="168"/>
      <c r="Q33" s="169">
        <f t="shared" si="4"/>
      </c>
      <c r="R33" s="170">
        <f t="shared" si="5"/>
      </c>
      <c r="S33" s="170">
        <f t="shared" si="6"/>
      </c>
      <c r="T33" s="171" t="str">
        <f t="shared" si="7"/>
        <v>--</v>
      </c>
      <c r="U33" s="172" t="str">
        <f t="shared" si="8"/>
        <v>--</v>
      </c>
      <c r="V33" s="173" t="str">
        <f t="shared" si="9"/>
        <v>--</v>
      </c>
      <c r="W33" s="174" t="str">
        <f t="shared" si="10"/>
        <v>--</v>
      </c>
      <c r="X33" s="175" t="str">
        <f t="shared" si="11"/>
        <v>--</v>
      </c>
      <c r="Y33" s="176" t="str">
        <f t="shared" si="12"/>
        <v>--</v>
      </c>
      <c r="Z33" s="177" t="str">
        <f t="shared" si="13"/>
        <v>--</v>
      </c>
      <c r="AA33" s="178" t="str">
        <f t="shared" si="14"/>
        <v>--</v>
      </c>
      <c r="AB33" s="179" t="str">
        <f t="shared" si="15"/>
        <v>--</v>
      </c>
      <c r="AC33" s="180" t="str">
        <f t="shared" si="16"/>
        <v>--</v>
      </c>
      <c r="AD33" s="181">
        <f t="shared" si="18"/>
      </c>
      <c r="AE33" s="182">
        <f t="shared" si="17"/>
      </c>
      <c r="AF33" s="183"/>
    </row>
    <row r="34" spans="2:32" s="8" customFormat="1" ht="16.5" customHeight="1">
      <c r="B34" s="53"/>
      <c r="C34" s="159"/>
      <c r="D34" s="159"/>
      <c r="E34" s="159"/>
      <c r="F34" s="189"/>
      <c r="G34" s="190"/>
      <c r="H34" s="191"/>
      <c r="I34" s="190"/>
      <c r="J34" s="162">
        <f t="shared" si="0"/>
        <v>20</v>
      </c>
      <c r="K34" s="163">
        <f t="shared" si="1"/>
        <v>361.726</v>
      </c>
      <c r="L34" s="192"/>
      <c r="M34" s="194"/>
      <c r="N34" s="166">
        <f t="shared" si="2"/>
      </c>
      <c r="O34" s="167">
        <f t="shared" si="3"/>
      </c>
      <c r="P34" s="168"/>
      <c r="Q34" s="169">
        <f t="shared" si="4"/>
      </c>
      <c r="R34" s="170">
        <f t="shared" si="5"/>
      </c>
      <c r="S34" s="170">
        <f t="shared" si="6"/>
      </c>
      <c r="T34" s="171" t="str">
        <f t="shared" si="7"/>
        <v>--</v>
      </c>
      <c r="U34" s="172" t="str">
        <f t="shared" si="8"/>
        <v>--</v>
      </c>
      <c r="V34" s="173" t="str">
        <f t="shared" si="9"/>
        <v>--</v>
      </c>
      <c r="W34" s="174" t="str">
        <f t="shared" si="10"/>
        <v>--</v>
      </c>
      <c r="X34" s="175" t="str">
        <f t="shared" si="11"/>
        <v>--</v>
      </c>
      <c r="Y34" s="176" t="str">
        <f t="shared" si="12"/>
        <v>--</v>
      </c>
      <c r="Z34" s="177" t="str">
        <f t="shared" si="13"/>
        <v>--</v>
      </c>
      <c r="AA34" s="178" t="str">
        <f t="shared" si="14"/>
        <v>--</v>
      </c>
      <c r="AB34" s="179" t="str">
        <f t="shared" si="15"/>
        <v>--</v>
      </c>
      <c r="AC34" s="180" t="str">
        <f t="shared" si="16"/>
        <v>--</v>
      </c>
      <c r="AD34" s="181">
        <f t="shared" si="18"/>
      </c>
      <c r="AE34" s="182">
        <f t="shared" si="17"/>
      </c>
      <c r="AF34" s="183"/>
    </row>
    <row r="35" spans="2:32" s="8" customFormat="1" ht="16.5" customHeight="1">
      <c r="B35" s="53"/>
      <c r="C35" s="140"/>
      <c r="D35" s="140"/>
      <c r="E35" s="140"/>
      <c r="F35" s="189"/>
      <c r="G35" s="190"/>
      <c r="H35" s="191"/>
      <c r="I35" s="190"/>
      <c r="J35" s="162">
        <f t="shared" si="0"/>
        <v>20</v>
      </c>
      <c r="K35" s="163">
        <f t="shared" si="1"/>
        <v>361.726</v>
      </c>
      <c r="L35" s="192"/>
      <c r="M35" s="194"/>
      <c r="N35" s="166">
        <f t="shared" si="2"/>
      </c>
      <c r="O35" s="167">
        <f t="shared" si="3"/>
      </c>
      <c r="P35" s="168"/>
      <c r="Q35" s="169">
        <f t="shared" si="4"/>
      </c>
      <c r="R35" s="170">
        <f t="shared" si="5"/>
      </c>
      <c r="S35" s="170">
        <f t="shared" si="6"/>
      </c>
      <c r="T35" s="171" t="str">
        <f t="shared" si="7"/>
        <v>--</v>
      </c>
      <c r="U35" s="172" t="str">
        <f t="shared" si="8"/>
        <v>--</v>
      </c>
      <c r="V35" s="173" t="str">
        <f t="shared" si="9"/>
        <v>--</v>
      </c>
      <c r="W35" s="174" t="str">
        <f t="shared" si="10"/>
        <v>--</v>
      </c>
      <c r="X35" s="175" t="str">
        <f t="shared" si="11"/>
        <v>--</v>
      </c>
      <c r="Y35" s="176" t="str">
        <f t="shared" si="12"/>
        <v>--</v>
      </c>
      <c r="Z35" s="177" t="str">
        <f t="shared" si="13"/>
        <v>--</v>
      </c>
      <c r="AA35" s="178" t="str">
        <f t="shared" si="14"/>
        <v>--</v>
      </c>
      <c r="AB35" s="179" t="str">
        <f t="shared" si="15"/>
        <v>--</v>
      </c>
      <c r="AC35" s="180" t="str">
        <f t="shared" si="16"/>
        <v>--</v>
      </c>
      <c r="AD35" s="181">
        <f t="shared" si="18"/>
      </c>
      <c r="AE35" s="182">
        <f t="shared" si="17"/>
      </c>
      <c r="AF35" s="183"/>
    </row>
    <row r="36" spans="2:32" s="8" customFormat="1" ht="16.5" customHeight="1">
      <c r="B36" s="53"/>
      <c r="C36" s="159"/>
      <c r="D36" s="159"/>
      <c r="E36" s="159"/>
      <c r="F36" s="189"/>
      <c r="G36" s="190"/>
      <c r="H36" s="191"/>
      <c r="I36" s="190"/>
      <c r="J36" s="162">
        <f t="shared" si="0"/>
        <v>20</v>
      </c>
      <c r="K36" s="163">
        <f t="shared" si="1"/>
        <v>361.726</v>
      </c>
      <c r="L36" s="192"/>
      <c r="M36" s="194"/>
      <c r="N36" s="166">
        <f t="shared" si="2"/>
      </c>
      <c r="O36" s="167">
        <f t="shared" si="3"/>
      </c>
      <c r="P36" s="168"/>
      <c r="Q36" s="169">
        <f t="shared" si="4"/>
      </c>
      <c r="R36" s="170">
        <f t="shared" si="5"/>
      </c>
      <c r="S36" s="170">
        <f t="shared" si="6"/>
      </c>
      <c r="T36" s="171" t="str">
        <f t="shared" si="7"/>
        <v>--</v>
      </c>
      <c r="U36" s="172" t="str">
        <f t="shared" si="8"/>
        <v>--</v>
      </c>
      <c r="V36" s="173" t="str">
        <f t="shared" si="9"/>
        <v>--</v>
      </c>
      <c r="W36" s="174" t="str">
        <f t="shared" si="10"/>
        <v>--</v>
      </c>
      <c r="X36" s="175" t="str">
        <f t="shared" si="11"/>
        <v>--</v>
      </c>
      <c r="Y36" s="176" t="str">
        <f t="shared" si="12"/>
        <v>--</v>
      </c>
      <c r="Z36" s="177" t="str">
        <f t="shared" si="13"/>
        <v>--</v>
      </c>
      <c r="AA36" s="178" t="str">
        <f t="shared" si="14"/>
        <v>--</v>
      </c>
      <c r="AB36" s="179" t="str">
        <f t="shared" si="15"/>
        <v>--</v>
      </c>
      <c r="AC36" s="180" t="str">
        <f t="shared" si="16"/>
        <v>--</v>
      </c>
      <c r="AD36" s="181">
        <f t="shared" si="18"/>
      </c>
      <c r="AE36" s="182">
        <f t="shared" si="17"/>
      </c>
      <c r="AF36" s="183"/>
    </row>
    <row r="37" spans="2:32" s="8" customFormat="1" ht="16.5" customHeight="1">
      <c r="B37" s="53"/>
      <c r="C37" s="140"/>
      <c r="D37" s="140"/>
      <c r="E37" s="140"/>
      <c r="F37" s="189"/>
      <c r="G37" s="190"/>
      <c r="H37" s="191"/>
      <c r="I37" s="190"/>
      <c r="J37" s="162">
        <f t="shared" si="0"/>
        <v>20</v>
      </c>
      <c r="K37" s="163">
        <f t="shared" si="1"/>
        <v>361.726</v>
      </c>
      <c r="L37" s="192"/>
      <c r="M37" s="194"/>
      <c r="N37" s="166">
        <f t="shared" si="2"/>
      </c>
      <c r="O37" s="167">
        <f t="shared" si="3"/>
      </c>
      <c r="P37" s="168"/>
      <c r="Q37" s="169">
        <f t="shared" si="4"/>
      </c>
      <c r="R37" s="170">
        <f t="shared" si="5"/>
      </c>
      <c r="S37" s="170">
        <f t="shared" si="6"/>
      </c>
      <c r="T37" s="171" t="str">
        <f t="shared" si="7"/>
        <v>--</v>
      </c>
      <c r="U37" s="172" t="str">
        <f t="shared" si="8"/>
        <v>--</v>
      </c>
      <c r="V37" s="173" t="str">
        <f t="shared" si="9"/>
        <v>--</v>
      </c>
      <c r="W37" s="174" t="str">
        <f t="shared" si="10"/>
        <v>--</v>
      </c>
      <c r="X37" s="175" t="str">
        <f t="shared" si="11"/>
        <v>--</v>
      </c>
      <c r="Y37" s="176" t="str">
        <f t="shared" si="12"/>
        <v>--</v>
      </c>
      <c r="Z37" s="177" t="str">
        <f t="shared" si="13"/>
        <v>--</v>
      </c>
      <c r="AA37" s="178" t="str">
        <f t="shared" si="14"/>
        <v>--</v>
      </c>
      <c r="AB37" s="179" t="str">
        <f t="shared" si="15"/>
        <v>--</v>
      </c>
      <c r="AC37" s="180" t="str">
        <f t="shared" si="16"/>
        <v>--</v>
      </c>
      <c r="AD37" s="181">
        <f t="shared" si="18"/>
      </c>
      <c r="AE37" s="182">
        <f t="shared" si="17"/>
      </c>
      <c r="AF37" s="183"/>
    </row>
    <row r="38" spans="2:32" s="8" customFormat="1" ht="16.5" customHeight="1">
      <c r="B38" s="53"/>
      <c r="C38" s="159"/>
      <c r="D38" s="159"/>
      <c r="E38" s="159"/>
      <c r="F38" s="189"/>
      <c r="G38" s="190"/>
      <c r="H38" s="191"/>
      <c r="I38" s="190"/>
      <c r="J38" s="162">
        <f t="shared" si="0"/>
        <v>20</v>
      </c>
      <c r="K38" s="163">
        <f t="shared" si="1"/>
        <v>361.726</v>
      </c>
      <c r="L38" s="192"/>
      <c r="M38" s="194"/>
      <c r="N38" s="166">
        <f t="shared" si="2"/>
      </c>
      <c r="O38" s="167">
        <f t="shared" si="3"/>
      </c>
      <c r="P38" s="168"/>
      <c r="Q38" s="169">
        <f t="shared" si="4"/>
      </c>
      <c r="R38" s="170">
        <f t="shared" si="5"/>
      </c>
      <c r="S38" s="170">
        <f t="shared" si="6"/>
      </c>
      <c r="T38" s="171" t="str">
        <f t="shared" si="7"/>
        <v>--</v>
      </c>
      <c r="U38" s="172" t="str">
        <f t="shared" si="8"/>
        <v>--</v>
      </c>
      <c r="V38" s="173" t="str">
        <f t="shared" si="9"/>
        <v>--</v>
      </c>
      <c r="W38" s="174" t="str">
        <f t="shared" si="10"/>
        <v>--</v>
      </c>
      <c r="X38" s="175" t="str">
        <f t="shared" si="11"/>
        <v>--</v>
      </c>
      <c r="Y38" s="176" t="str">
        <f t="shared" si="12"/>
        <v>--</v>
      </c>
      <c r="Z38" s="177" t="str">
        <f t="shared" si="13"/>
        <v>--</v>
      </c>
      <c r="AA38" s="178" t="str">
        <f t="shared" si="14"/>
        <v>--</v>
      </c>
      <c r="AB38" s="179" t="str">
        <f t="shared" si="15"/>
        <v>--</v>
      </c>
      <c r="AC38" s="180" t="str">
        <f t="shared" si="16"/>
        <v>--</v>
      </c>
      <c r="AD38" s="181">
        <f t="shared" si="18"/>
      </c>
      <c r="AE38" s="182">
        <f t="shared" si="17"/>
      </c>
      <c r="AF38" s="183"/>
    </row>
    <row r="39" spans="2:32" s="8" customFormat="1" ht="16.5" customHeight="1">
      <c r="B39" s="53"/>
      <c r="C39" s="140"/>
      <c r="D39" s="140"/>
      <c r="E39" s="140"/>
      <c r="F39" s="189"/>
      <c r="G39" s="190"/>
      <c r="H39" s="191"/>
      <c r="I39" s="190"/>
      <c r="J39" s="162">
        <f t="shared" si="0"/>
        <v>20</v>
      </c>
      <c r="K39" s="163">
        <f t="shared" si="1"/>
        <v>361.726</v>
      </c>
      <c r="L39" s="192"/>
      <c r="M39" s="194"/>
      <c r="N39" s="166">
        <f t="shared" si="2"/>
      </c>
      <c r="O39" s="167">
        <f t="shared" si="3"/>
      </c>
      <c r="P39" s="168"/>
      <c r="Q39" s="169">
        <f t="shared" si="4"/>
      </c>
      <c r="R39" s="170">
        <f t="shared" si="5"/>
      </c>
      <c r="S39" s="170">
        <f t="shared" si="6"/>
      </c>
      <c r="T39" s="171" t="str">
        <f t="shared" si="7"/>
        <v>--</v>
      </c>
      <c r="U39" s="172" t="str">
        <f t="shared" si="8"/>
        <v>--</v>
      </c>
      <c r="V39" s="173" t="str">
        <f t="shared" si="9"/>
        <v>--</v>
      </c>
      <c r="W39" s="174" t="str">
        <f t="shared" si="10"/>
        <v>--</v>
      </c>
      <c r="X39" s="175" t="str">
        <f t="shared" si="11"/>
        <v>--</v>
      </c>
      <c r="Y39" s="176" t="str">
        <f t="shared" si="12"/>
        <v>--</v>
      </c>
      <c r="Z39" s="177" t="str">
        <f t="shared" si="13"/>
        <v>--</v>
      </c>
      <c r="AA39" s="178" t="str">
        <f t="shared" si="14"/>
        <v>--</v>
      </c>
      <c r="AB39" s="179" t="str">
        <f t="shared" si="15"/>
        <v>--</v>
      </c>
      <c r="AC39" s="180" t="str">
        <f t="shared" si="16"/>
        <v>--</v>
      </c>
      <c r="AD39" s="181">
        <f t="shared" si="18"/>
      </c>
      <c r="AE39" s="182">
        <f t="shared" si="17"/>
      </c>
      <c r="AF39" s="183"/>
    </row>
    <row r="40" spans="2:32" s="8" customFormat="1" ht="16.5" customHeight="1">
      <c r="B40" s="53"/>
      <c r="C40" s="159"/>
      <c r="D40" s="159"/>
      <c r="E40" s="159"/>
      <c r="F40" s="189"/>
      <c r="G40" s="190"/>
      <c r="H40" s="191"/>
      <c r="I40" s="190"/>
      <c r="J40" s="162">
        <f t="shared" si="0"/>
        <v>20</v>
      </c>
      <c r="K40" s="163">
        <f t="shared" si="1"/>
        <v>361.726</v>
      </c>
      <c r="L40" s="192"/>
      <c r="M40" s="194"/>
      <c r="N40" s="166">
        <f t="shared" si="2"/>
      </c>
      <c r="O40" s="167">
        <f t="shared" si="3"/>
      </c>
      <c r="P40" s="168"/>
      <c r="Q40" s="169">
        <f t="shared" si="4"/>
      </c>
      <c r="R40" s="170">
        <f t="shared" si="5"/>
      </c>
      <c r="S40" s="170">
        <f t="shared" si="6"/>
      </c>
      <c r="T40" s="171" t="str">
        <f t="shared" si="7"/>
        <v>--</v>
      </c>
      <c r="U40" s="172" t="str">
        <f t="shared" si="8"/>
        <v>--</v>
      </c>
      <c r="V40" s="173" t="str">
        <f t="shared" si="9"/>
        <v>--</v>
      </c>
      <c r="W40" s="174" t="str">
        <f t="shared" si="10"/>
        <v>--</v>
      </c>
      <c r="X40" s="175" t="str">
        <f t="shared" si="11"/>
        <v>--</v>
      </c>
      <c r="Y40" s="176" t="str">
        <f t="shared" si="12"/>
        <v>--</v>
      </c>
      <c r="Z40" s="177" t="str">
        <f t="shared" si="13"/>
        <v>--</v>
      </c>
      <c r="AA40" s="178" t="str">
        <f t="shared" si="14"/>
        <v>--</v>
      </c>
      <c r="AB40" s="179" t="str">
        <f t="shared" si="15"/>
        <v>--</v>
      </c>
      <c r="AC40" s="180" t="str">
        <f t="shared" si="16"/>
        <v>--</v>
      </c>
      <c r="AD40" s="181">
        <f t="shared" si="18"/>
      </c>
      <c r="AE40" s="182">
        <f t="shared" si="17"/>
      </c>
      <c r="AF40" s="183"/>
    </row>
    <row r="41" spans="2:32" s="8" customFormat="1" ht="16.5" customHeight="1">
      <c r="B41" s="53"/>
      <c r="C41" s="140"/>
      <c r="D41" s="140"/>
      <c r="E41" s="140"/>
      <c r="F41" s="189"/>
      <c r="G41" s="190"/>
      <c r="H41" s="191"/>
      <c r="I41" s="190"/>
      <c r="J41" s="162">
        <f t="shared" si="0"/>
        <v>20</v>
      </c>
      <c r="K41" s="163">
        <f t="shared" si="1"/>
        <v>361.726</v>
      </c>
      <c r="L41" s="192"/>
      <c r="M41" s="194"/>
      <c r="N41" s="166">
        <f t="shared" si="2"/>
      </c>
      <c r="O41" s="167">
        <f t="shared" si="3"/>
      </c>
      <c r="P41" s="168"/>
      <c r="Q41" s="169">
        <f t="shared" si="4"/>
      </c>
      <c r="R41" s="170">
        <f t="shared" si="5"/>
      </c>
      <c r="S41" s="170">
        <f t="shared" si="6"/>
      </c>
      <c r="T41" s="171" t="str">
        <f t="shared" si="7"/>
        <v>--</v>
      </c>
      <c r="U41" s="172" t="str">
        <f t="shared" si="8"/>
        <v>--</v>
      </c>
      <c r="V41" s="173" t="str">
        <f t="shared" si="9"/>
        <v>--</v>
      </c>
      <c r="W41" s="174" t="str">
        <f t="shared" si="10"/>
        <v>--</v>
      </c>
      <c r="X41" s="175" t="str">
        <f t="shared" si="11"/>
        <v>--</v>
      </c>
      <c r="Y41" s="176" t="str">
        <f t="shared" si="12"/>
        <v>--</v>
      </c>
      <c r="Z41" s="177" t="str">
        <f t="shared" si="13"/>
        <v>--</v>
      </c>
      <c r="AA41" s="178" t="str">
        <f t="shared" si="14"/>
        <v>--</v>
      </c>
      <c r="AB41" s="179" t="str">
        <f t="shared" si="15"/>
        <v>--</v>
      </c>
      <c r="AC41" s="180" t="str">
        <f t="shared" si="16"/>
        <v>--</v>
      </c>
      <c r="AD41" s="181">
        <f t="shared" si="18"/>
      </c>
      <c r="AE41" s="182">
        <f t="shared" si="17"/>
      </c>
      <c r="AF41" s="183"/>
    </row>
    <row r="42" spans="2:32" s="8" customFormat="1" ht="16.5" customHeight="1" thickBot="1">
      <c r="B42" s="53"/>
      <c r="C42" s="195"/>
      <c r="D42" s="196"/>
      <c r="E42" s="159"/>
      <c r="F42" s="197"/>
      <c r="G42" s="198"/>
      <c r="H42" s="199"/>
      <c r="I42" s="200"/>
      <c r="J42" s="201"/>
      <c r="K42" s="202"/>
      <c r="L42" s="203"/>
      <c r="M42" s="203"/>
      <c r="N42" s="204"/>
      <c r="O42" s="204"/>
      <c r="P42" s="205"/>
      <c r="Q42" s="206"/>
      <c r="R42" s="205"/>
      <c r="S42" s="205"/>
      <c r="T42" s="207"/>
      <c r="U42" s="208"/>
      <c r="V42" s="209"/>
      <c r="W42" s="210"/>
      <c r="X42" s="211"/>
      <c r="Y42" s="212"/>
      <c r="Z42" s="213"/>
      <c r="AA42" s="214"/>
      <c r="AB42" s="215"/>
      <c r="AC42" s="216"/>
      <c r="AD42" s="217"/>
      <c r="AE42" s="218"/>
      <c r="AF42" s="183"/>
    </row>
    <row r="43" spans="2:32" s="8" customFormat="1" ht="16.5" customHeight="1" thickBot="1" thickTop="1">
      <c r="B43" s="53"/>
      <c r="C43" s="219" t="s">
        <v>180</v>
      </c>
      <c r="D43" s="220" t="s">
        <v>381</v>
      </c>
      <c r="E43" s="219"/>
      <c r="F43" s="221"/>
      <c r="G43" s="222"/>
      <c r="H43" s="223"/>
      <c r="I43" s="224"/>
      <c r="J43" s="223"/>
      <c r="K43" s="225"/>
      <c r="L43" s="225"/>
      <c r="M43" s="225"/>
      <c r="N43" s="225"/>
      <c r="O43" s="225"/>
      <c r="P43" s="225"/>
      <c r="Q43" s="226"/>
      <c r="R43" s="225"/>
      <c r="S43" s="225"/>
      <c r="T43" s="227">
        <f aca="true" t="shared" si="19" ref="T43:AC43">SUM(T20:T42)</f>
        <v>2930.7866240000008</v>
      </c>
      <c r="U43" s="228">
        <f t="shared" si="19"/>
        <v>0</v>
      </c>
      <c r="V43" s="229">
        <f t="shared" si="19"/>
        <v>332838.74160000007</v>
      </c>
      <c r="W43" s="229">
        <f t="shared" si="19"/>
        <v>165032.976772</v>
      </c>
      <c r="X43" s="229">
        <f t="shared" si="19"/>
        <v>0</v>
      </c>
      <c r="Y43" s="230">
        <f t="shared" si="19"/>
        <v>0</v>
      </c>
      <c r="Z43" s="230">
        <f t="shared" si="19"/>
        <v>0</v>
      </c>
      <c r="AA43" s="230">
        <f t="shared" si="19"/>
        <v>0</v>
      </c>
      <c r="AB43" s="231">
        <f t="shared" si="19"/>
        <v>13007.666960000002</v>
      </c>
      <c r="AC43" s="232">
        <f t="shared" si="19"/>
        <v>0</v>
      </c>
      <c r="AD43" s="233"/>
      <c r="AE43" s="234">
        <f>ROUND(SUM(AE20:AE42),2)</f>
        <v>511877.73</v>
      </c>
      <c r="AF43" s="183"/>
    </row>
    <row r="44" spans="2:32" s="8" customFormat="1" ht="16.5" customHeight="1" thickBot="1" thickTop="1"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7"/>
    </row>
    <row r="45" spans="2:32" ht="16.5" customHeight="1" thickTop="1">
      <c r="B45" s="238"/>
      <c r="C45" s="238"/>
      <c r="D45" s="238"/>
      <c r="AF45" s="238"/>
    </row>
  </sheetData>
  <sheetProtection password="CC12"/>
  <mergeCells count="2">
    <mergeCell ref="G16:H16"/>
    <mergeCell ref="G17:H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zoomScale="60" zoomScaleNormal="60" zoomScalePageLayoutView="0" workbookViewId="0" topLeftCell="A1">
      <selection activeCell="D12" sqref="D12"/>
    </sheetView>
  </sheetViews>
  <sheetFormatPr defaultColWidth="11.421875" defaultRowHeight="12.75"/>
  <cols>
    <col min="1" max="1" width="29.57421875" style="9" customWidth="1"/>
    <col min="2" max="2" width="19.140625" style="9" customWidth="1"/>
    <col min="3" max="3" width="4.7109375" style="9" customWidth="1"/>
    <col min="4" max="4" width="30.7109375" style="9" customWidth="1"/>
    <col min="5" max="5" width="20.7109375" style="9" customWidth="1"/>
    <col min="6" max="6" width="15.00390625" style="9" customWidth="1"/>
    <col min="7" max="7" width="14.7109375" style="9" customWidth="1"/>
    <col min="8" max="8" width="9.8515625" style="9" hidden="1" customWidth="1"/>
    <col min="9" max="9" width="11.00390625" style="9" hidden="1" customWidth="1"/>
    <col min="10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5.8515625" style="9" customWidth="1"/>
    <col min="18" max="18" width="12.140625" style="9" hidden="1" customWidth="1"/>
    <col min="19" max="20" width="13.00390625" style="9" hidden="1" customWidth="1"/>
    <col min="21" max="21" width="17.28125" style="9" hidden="1" customWidth="1"/>
    <col min="22" max="22" width="11.7109375" style="9" hidden="1" customWidth="1"/>
    <col min="23" max="23" width="8.421875" style="9" hidden="1" customWidth="1"/>
    <col min="24" max="24" width="11.57421875" style="9" hidden="1" customWidth="1"/>
    <col min="25" max="25" width="12.140625" style="9" hidden="1" customWidth="1"/>
    <col min="26" max="27" width="8.421875" style="9" hidden="1" customWidth="1"/>
    <col min="28" max="28" width="9.7109375" style="9" customWidth="1"/>
    <col min="29" max="29" width="17.28125" style="9" customWidth="1"/>
    <col min="30" max="30" width="19.14062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7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7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584" customFormat="1" ht="30.75">
      <c r="A3" s="581"/>
      <c r="B3" s="582" t="str">
        <f>+'TOT-1214'!B2</f>
        <v>ANEXO I al Memorándum D.T.E.E. N° 90 /2016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AB3" s="583"/>
      <c r="AC3" s="583"/>
      <c r="AD3" s="583"/>
    </row>
    <row r="4" spans="1:2" s="14" customFormat="1" ht="11.25">
      <c r="A4" s="802" t="s">
        <v>2</v>
      </c>
      <c r="B4" s="274"/>
    </row>
    <row r="5" spans="1:2" s="14" customFormat="1" ht="12" thickBot="1">
      <c r="A5" s="802" t="s">
        <v>3</v>
      </c>
      <c r="B5" s="802"/>
    </row>
    <row r="6" spans="1:30" ht="16.5" customHeight="1" thickTop="1">
      <c r="A6" s="8"/>
      <c r="B6" s="81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585"/>
      <c r="X6" s="585"/>
      <c r="Y6" s="585"/>
      <c r="Z6" s="585"/>
      <c r="AA6" s="585"/>
      <c r="AB6" s="585"/>
      <c r="AC6" s="585"/>
      <c r="AD6" s="84"/>
    </row>
    <row r="7" spans="1:30" ht="20.25">
      <c r="A7" s="8"/>
      <c r="B7" s="53"/>
      <c r="C7" s="11"/>
      <c r="D7" s="86" t="s">
        <v>82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86"/>
      <c r="Q7" s="586"/>
      <c r="R7" s="11"/>
      <c r="S7" s="11"/>
      <c r="T7" s="11"/>
      <c r="U7" s="11"/>
      <c r="V7" s="11"/>
      <c r="AD7" s="89"/>
    </row>
    <row r="8" spans="1:30" ht="16.5" customHeight="1">
      <c r="A8" s="8"/>
      <c r="B8" s="5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89"/>
    </row>
    <row r="9" spans="2:30" s="34" customFormat="1" ht="20.25">
      <c r="B9" s="43"/>
      <c r="C9" s="42"/>
      <c r="D9" s="86" t="s">
        <v>83</v>
      </c>
      <c r="E9" s="42"/>
      <c r="F9" s="42"/>
      <c r="G9" s="42"/>
      <c r="H9" s="42"/>
      <c r="N9" s="42"/>
      <c r="O9" s="42"/>
      <c r="P9" s="262"/>
      <c r="Q9" s="262"/>
      <c r="R9" s="42"/>
      <c r="S9" s="42"/>
      <c r="T9" s="42"/>
      <c r="U9" s="42"/>
      <c r="V9" s="42"/>
      <c r="W9" s="9"/>
      <c r="X9" s="42"/>
      <c r="Y9" s="42"/>
      <c r="Z9" s="42"/>
      <c r="AA9" s="42"/>
      <c r="AB9" s="42"/>
      <c r="AC9" s="9"/>
      <c r="AD9" s="263"/>
    </row>
    <row r="10" spans="1:30" ht="16.5" customHeight="1">
      <c r="A10" s="8"/>
      <c r="B10" s="5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89"/>
    </row>
    <row r="11" spans="2:30" s="34" customFormat="1" ht="20.25">
      <c r="B11" s="43"/>
      <c r="C11" s="42"/>
      <c r="D11" s="86" t="s">
        <v>383</v>
      </c>
      <c r="E11" s="42"/>
      <c r="F11" s="42"/>
      <c r="G11" s="42"/>
      <c r="H11" s="42"/>
      <c r="N11" s="42"/>
      <c r="O11" s="42"/>
      <c r="P11" s="262"/>
      <c r="Q11" s="262"/>
      <c r="R11" s="42"/>
      <c r="S11" s="42"/>
      <c r="T11" s="42"/>
      <c r="U11" s="42"/>
      <c r="V11" s="42"/>
      <c r="W11" s="9"/>
      <c r="X11" s="42"/>
      <c r="Y11" s="42"/>
      <c r="Z11" s="42"/>
      <c r="AA11" s="42"/>
      <c r="AB11" s="42"/>
      <c r="AC11" s="9"/>
      <c r="AD11" s="263"/>
    </row>
    <row r="12" spans="1:30" ht="16.5" customHeight="1">
      <c r="A12" s="8"/>
      <c r="B12" s="53"/>
      <c r="C12" s="11"/>
      <c r="D12" s="11"/>
      <c r="E12" s="8"/>
      <c r="F12" s="8"/>
      <c r="G12" s="8"/>
      <c r="H12" s="8"/>
      <c r="I12" s="90"/>
      <c r="J12" s="90"/>
      <c r="K12" s="90"/>
      <c r="L12" s="90"/>
      <c r="M12" s="90"/>
      <c r="N12" s="90"/>
      <c r="O12" s="90"/>
      <c r="P12" s="90"/>
      <c r="Q12" s="90"/>
      <c r="R12" s="11"/>
      <c r="S12" s="11"/>
      <c r="T12" s="11"/>
      <c r="U12" s="11"/>
      <c r="V12" s="11"/>
      <c r="AD12" s="89"/>
    </row>
    <row r="13" spans="2:30" s="34" customFormat="1" ht="19.5">
      <c r="B13" s="35" t="str">
        <f>'TOT-1214'!B14</f>
        <v>Desde el 01 al 31 de diciembre de 2014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587"/>
      <c r="V13" s="587"/>
      <c r="W13" s="9"/>
      <c r="X13" s="588"/>
      <c r="Y13" s="588"/>
      <c r="Z13" s="588"/>
      <c r="AA13" s="588"/>
      <c r="AB13" s="587"/>
      <c r="AC13" s="25"/>
      <c r="AD13" s="41"/>
    </row>
    <row r="14" spans="1:30" ht="16.5" customHeight="1">
      <c r="A14" s="8"/>
      <c r="B14" s="53"/>
      <c r="C14" s="11"/>
      <c r="D14" s="11"/>
      <c r="E14" s="75"/>
      <c r="F14" s="75"/>
      <c r="G14" s="11"/>
      <c r="H14" s="11"/>
      <c r="I14" s="11"/>
      <c r="J14" s="589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AD14" s="89"/>
    </row>
    <row r="15" spans="1:30" ht="16.5" customHeight="1">
      <c r="A15" s="8"/>
      <c r="B15" s="53"/>
      <c r="C15" s="11"/>
      <c r="D15" s="11"/>
      <c r="E15" s="75"/>
      <c r="F15" s="75"/>
      <c r="G15" s="11"/>
      <c r="H15" s="11"/>
      <c r="I15" s="590"/>
      <c r="J15" s="11"/>
      <c r="K15" s="238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89"/>
    </row>
    <row r="16" spans="1:30" ht="16.5" customHeight="1">
      <c r="A16" s="8"/>
      <c r="B16" s="53"/>
      <c r="C16" s="11"/>
      <c r="D16" s="11"/>
      <c r="E16" s="75"/>
      <c r="F16" s="75"/>
      <c r="G16" s="11"/>
      <c r="H16" s="11"/>
      <c r="I16" s="590"/>
      <c r="J16" s="11"/>
      <c r="K16" s="238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89"/>
    </row>
    <row r="17" spans="1:30" ht="16.5" customHeight="1">
      <c r="A17" s="8"/>
      <c r="B17" s="53"/>
      <c r="C17" s="63" t="s">
        <v>84</v>
      </c>
      <c r="D17" s="4" t="s">
        <v>85</v>
      </c>
      <c r="E17" s="75"/>
      <c r="F17" s="75"/>
      <c r="G17" s="11"/>
      <c r="H17" s="11"/>
      <c r="I17" s="11"/>
      <c r="J17" s="589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89"/>
    </row>
    <row r="18" spans="2:30" s="27" customFormat="1" ht="16.5" customHeight="1">
      <c r="B18" s="591"/>
      <c r="C18" s="29"/>
      <c r="D18" s="592"/>
      <c r="E18" s="593"/>
      <c r="F18" s="594"/>
      <c r="G18" s="29"/>
      <c r="H18" s="29"/>
      <c r="I18" s="29"/>
      <c r="J18" s="595"/>
      <c r="K18" s="29"/>
      <c r="L18" s="29"/>
      <c r="M18" s="29"/>
      <c r="P18" s="29"/>
      <c r="Q18" s="29"/>
      <c r="R18" s="29"/>
      <c r="S18" s="29"/>
      <c r="T18" s="29"/>
      <c r="U18" s="29"/>
      <c r="V18" s="29"/>
      <c r="W18" s="9"/>
      <c r="AD18" s="596"/>
    </row>
    <row r="19" spans="2:30" s="27" customFormat="1" ht="16.5" customHeight="1">
      <c r="B19" s="591"/>
      <c r="C19" s="29"/>
      <c r="D19" s="597" t="s">
        <v>86</v>
      </c>
      <c r="F19" s="598">
        <v>434.062</v>
      </c>
      <c r="G19" s="597" t="s">
        <v>87</v>
      </c>
      <c r="H19" s="29"/>
      <c r="I19" s="29"/>
      <c r="J19" s="599"/>
      <c r="K19" s="600" t="s">
        <v>88</v>
      </c>
      <c r="L19" s="601">
        <v>0.04</v>
      </c>
      <c r="R19" s="29"/>
      <c r="S19" s="29"/>
      <c r="T19" s="29"/>
      <c r="U19" s="29"/>
      <c r="V19" s="29"/>
      <c r="W19" s="9"/>
      <c r="AD19" s="596"/>
    </row>
    <row r="20" spans="2:30" s="27" customFormat="1" ht="16.5" customHeight="1">
      <c r="B20" s="591"/>
      <c r="C20" s="29"/>
      <c r="D20" s="597" t="s">
        <v>89</v>
      </c>
      <c r="F20" s="598">
        <v>1.193</v>
      </c>
      <c r="G20" s="597" t="s">
        <v>90</v>
      </c>
      <c r="H20" s="29"/>
      <c r="I20" s="29"/>
      <c r="J20" s="29"/>
      <c r="K20" s="592" t="s">
        <v>91</v>
      </c>
      <c r="L20" s="29">
        <f>MID(B13,16,2)*24</f>
        <v>744</v>
      </c>
      <c r="M20" s="29" t="s">
        <v>92</v>
      </c>
      <c r="N20" s="29"/>
      <c r="O20" s="29"/>
      <c r="P20" s="803"/>
      <c r="Q20" s="29"/>
      <c r="R20" s="29"/>
      <c r="S20" s="29"/>
      <c r="T20" s="29"/>
      <c r="U20" s="29"/>
      <c r="V20" s="29"/>
      <c r="W20" s="9"/>
      <c r="AD20" s="596"/>
    </row>
    <row r="21" spans="2:30" s="27" customFormat="1" ht="16.5" customHeight="1">
      <c r="B21" s="591"/>
      <c r="C21" s="29"/>
      <c r="D21" s="597" t="s">
        <v>129</v>
      </c>
      <c r="F21" s="598">
        <v>189.391</v>
      </c>
      <c r="G21" s="597" t="s">
        <v>130</v>
      </c>
      <c r="H21" s="29"/>
      <c r="I21" s="29"/>
      <c r="J21" s="29"/>
      <c r="K21" s="97"/>
      <c r="L21" s="98"/>
      <c r="M21" s="29"/>
      <c r="N21" s="29"/>
      <c r="O21" s="29"/>
      <c r="P21" s="803"/>
      <c r="Q21" s="29"/>
      <c r="R21" s="29"/>
      <c r="S21" s="29"/>
      <c r="T21" s="29"/>
      <c r="U21" s="29"/>
      <c r="V21" s="29"/>
      <c r="W21" s="9"/>
      <c r="AD21" s="596"/>
    </row>
    <row r="22" spans="2:30" s="27" customFormat="1" ht="16.5" customHeight="1">
      <c r="B22" s="591"/>
      <c r="C22" s="29"/>
      <c r="D22" s="597" t="s">
        <v>131</v>
      </c>
      <c r="F22" s="598">
        <v>236.734</v>
      </c>
      <c r="G22" s="597" t="s">
        <v>130</v>
      </c>
      <c r="H22" s="29"/>
      <c r="I22" s="29"/>
      <c r="J22" s="29"/>
      <c r="K22" s="97"/>
      <c r="L22" s="98"/>
      <c r="M22" s="29"/>
      <c r="N22" s="29"/>
      <c r="O22" s="29"/>
      <c r="P22" s="803"/>
      <c r="Q22" s="29"/>
      <c r="R22" s="29"/>
      <c r="S22" s="29"/>
      <c r="T22" s="29"/>
      <c r="U22" s="29"/>
      <c r="V22" s="29"/>
      <c r="W22" s="9"/>
      <c r="AD22" s="596"/>
    </row>
    <row r="23" spans="2:30" s="27" customFormat="1" ht="8.25" customHeight="1">
      <c r="B23" s="591"/>
      <c r="C23" s="29"/>
      <c r="D23" s="29"/>
      <c r="E23" s="603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9"/>
      <c r="AD23" s="596"/>
    </row>
    <row r="24" spans="1:30" ht="16.5" customHeight="1">
      <c r="A24" s="8"/>
      <c r="B24" s="53"/>
      <c r="C24" s="63" t="s">
        <v>93</v>
      </c>
      <c r="D24" s="28" t="s">
        <v>181</v>
      </c>
      <c r="I24" s="11"/>
      <c r="J24" s="27"/>
      <c r="O24" s="11"/>
      <c r="P24" s="11"/>
      <c r="Q24" s="11"/>
      <c r="R24" s="11"/>
      <c r="S24" s="11"/>
      <c r="T24" s="11"/>
      <c r="V24" s="11"/>
      <c r="X24" s="11"/>
      <c r="Y24" s="11"/>
      <c r="Z24" s="11"/>
      <c r="AA24" s="11"/>
      <c r="AB24" s="11"/>
      <c r="AC24" s="11"/>
      <c r="AD24" s="89"/>
    </row>
    <row r="25" spans="1:30" ht="10.5" customHeight="1" thickBot="1">
      <c r="A25" s="8"/>
      <c r="B25" s="53"/>
      <c r="C25" s="75"/>
      <c r="D25" s="28"/>
      <c r="I25" s="11"/>
      <c r="J25" s="27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89"/>
    </row>
    <row r="26" spans="2:30" s="27" customFormat="1" ht="16.5" customHeight="1" thickBot="1" thickTop="1">
      <c r="B26" s="591"/>
      <c r="C26" s="594"/>
      <c r="D26" s="9"/>
      <c r="E26" s="9"/>
      <c r="F26" s="9"/>
      <c r="G26" s="9"/>
      <c r="H26" s="9"/>
      <c r="I26" s="9"/>
      <c r="J26" s="604" t="s">
        <v>94</v>
      </c>
      <c r="K26" s="605">
        <f>L19*AC72</f>
        <v>120514.45505919999</v>
      </c>
      <c r="L26" s="9"/>
      <c r="S26" s="9"/>
      <c r="T26" s="9"/>
      <c r="U26" s="9"/>
      <c r="W26" s="9"/>
      <c r="AD26" s="596"/>
    </row>
    <row r="27" spans="2:30" s="27" customFormat="1" ht="11.25" customHeight="1" thickTop="1">
      <c r="B27" s="591"/>
      <c r="C27" s="594"/>
      <c r="D27" s="29"/>
      <c r="E27" s="603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9"/>
      <c r="W27" s="9"/>
      <c r="AD27" s="596"/>
    </row>
    <row r="28" spans="1:30" ht="16.5" customHeight="1">
      <c r="A28" s="8"/>
      <c r="B28" s="53"/>
      <c r="C28" s="63" t="s">
        <v>95</v>
      </c>
      <c r="D28" s="28" t="s">
        <v>182</v>
      </c>
      <c r="E28" s="22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D28" s="89"/>
    </row>
    <row r="29" spans="1:30" ht="21.75" customHeight="1" thickBot="1">
      <c r="A29" s="8"/>
      <c r="B29" s="53"/>
      <c r="C29" s="11"/>
      <c r="D29" s="11"/>
      <c r="E29" s="22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89"/>
    </row>
    <row r="30" spans="2:31" s="8" customFormat="1" ht="33.75" customHeight="1" thickBot="1" thickTop="1">
      <c r="B30" s="53"/>
      <c r="C30" s="101" t="s">
        <v>28</v>
      </c>
      <c r="D30" s="265" t="s">
        <v>5</v>
      </c>
      <c r="E30" s="266" t="s">
        <v>31</v>
      </c>
      <c r="F30" s="267" t="s">
        <v>32</v>
      </c>
      <c r="G30" s="105" t="s">
        <v>33</v>
      </c>
      <c r="H30" s="268" t="s">
        <v>34</v>
      </c>
      <c r="I30" s="465" t="s">
        <v>35</v>
      </c>
      <c r="J30" s="102" t="s">
        <v>36</v>
      </c>
      <c r="K30" s="108" t="s">
        <v>37</v>
      </c>
      <c r="L30" s="109" t="s">
        <v>38</v>
      </c>
      <c r="M30" s="104" t="s">
        <v>39</v>
      </c>
      <c r="N30" s="109" t="s">
        <v>96</v>
      </c>
      <c r="O30" s="109" t="s">
        <v>40</v>
      </c>
      <c r="P30" s="108" t="s">
        <v>41</v>
      </c>
      <c r="Q30" s="102" t="s">
        <v>42</v>
      </c>
      <c r="R30" s="606" t="s">
        <v>43</v>
      </c>
      <c r="S30" s="607" t="s">
        <v>44</v>
      </c>
      <c r="T30" s="608" t="s">
        <v>52</v>
      </c>
      <c r="U30" s="609"/>
      <c r="V30" s="610"/>
      <c r="W30" s="611" t="s">
        <v>97</v>
      </c>
      <c r="X30" s="612"/>
      <c r="Y30" s="613"/>
      <c r="Z30" s="614" t="s">
        <v>47</v>
      </c>
      <c r="AA30" s="615" t="s">
        <v>98</v>
      </c>
      <c r="AB30" s="616" t="s">
        <v>49</v>
      </c>
      <c r="AC30" s="321" t="s">
        <v>50</v>
      </c>
      <c r="AD30" s="121"/>
      <c r="AE30" s="9"/>
    </row>
    <row r="31" spans="1:30" ht="16.5" customHeight="1" thickTop="1">
      <c r="A31" s="8"/>
      <c r="B31" s="53"/>
      <c r="C31" s="142"/>
      <c r="D31" s="617"/>
      <c r="E31" s="618"/>
      <c r="F31" s="619"/>
      <c r="G31" s="620"/>
      <c r="H31" s="621"/>
      <c r="I31" s="622"/>
      <c r="J31" s="623"/>
      <c r="K31" s="624"/>
      <c r="L31" s="142"/>
      <c r="M31" s="142"/>
      <c r="N31" s="270"/>
      <c r="O31" s="270"/>
      <c r="P31" s="142"/>
      <c r="Q31" s="269"/>
      <c r="R31" s="625"/>
      <c r="S31" s="626"/>
      <c r="T31" s="627"/>
      <c r="U31" s="628"/>
      <c r="V31" s="629"/>
      <c r="W31" s="630"/>
      <c r="X31" s="631"/>
      <c r="Y31" s="632"/>
      <c r="Z31" s="633"/>
      <c r="AA31" s="634"/>
      <c r="AB31" s="635"/>
      <c r="AC31" s="636"/>
      <c r="AD31" s="89"/>
    </row>
    <row r="32" spans="1:30" ht="16.5" customHeight="1">
      <c r="A32" s="8"/>
      <c r="B32" s="53"/>
      <c r="C32" s="637" t="s">
        <v>99</v>
      </c>
      <c r="D32" s="142"/>
      <c r="E32" s="638"/>
      <c r="F32" s="639"/>
      <c r="G32" s="640"/>
      <c r="H32" s="641">
        <f>IF(G32="A",200,IF(G32="B",60,20))</f>
        <v>20</v>
      </c>
      <c r="I32" s="642">
        <f>IF(F32&gt;100,F32,100)*$F$19/100</f>
        <v>434.06200000000007</v>
      </c>
      <c r="J32" s="643"/>
      <c r="K32" s="644"/>
      <c r="L32" s="645">
        <f>IF(D32="","",(K32-J32)*24)</f>
      </c>
      <c r="M32" s="491">
        <f>IF(D32="","",ROUND((K32-J32)*24*60,0))</f>
      </c>
      <c r="N32" s="646"/>
      <c r="O32" s="272">
        <f>IF(D32="","","--")</f>
      </c>
      <c r="P32" s="170">
        <f>IF(D32="","","NO")</f>
      </c>
      <c r="Q32" s="170">
        <f>IF(D32="","",IF(OR(N32="P",N32="RP"),"--","NO"))</f>
      </c>
      <c r="R32" s="647" t="str">
        <f>IF(N32="P",+I32*H32*ROUND(M32/60,2)/100,"--")</f>
        <v>--</v>
      </c>
      <c r="S32" s="648" t="str">
        <f>IF(N32="RP",I32*H32*ROUND(M32/60,2)*0.01*O32/100,"--")</f>
        <v>--</v>
      </c>
      <c r="T32" s="649" t="str">
        <f>IF(AND(N32="F",Q32="NO"),IF(P32="SI",1.2,1)*I32*H32,"--")</f>
        <v>--</v>
      </c>
      <c r="U32" s="650" t="str">
        <f>IF(AND(M32&gt;10,N32="F"),IF(M32&lt;=300,ROUND(M32/60,2),5)*I32*H32*IF(P32="SI",1.2,1),"--")</f>
        <v>--</v>
      </c>
      <c r="V32" s="651" t="str">
        <f>IF(AND(N32="F",M32&gt;300),IF(P32="SI",1.2,1)*(ROUND(M32/60,2)-5)*I32*H32*0.1,"--")</f>
        <v>--</v>
      </c>
      <c r="W32" s="652" t="str">
        <f>IF(AND(N32="R",Q32="NO"),IF(P32="SI",1.2,1)*I32*H32*O32/100,"--")</f>
        <v>--</v>
      </c>
      <c r="X32" s="653" t="str">
        <f>IF(AND(M32&gt;10,N32="R"),IF(M32&lt;=300,ROUND(M32/60,2),5)*I32*H32*O32/100*IF(P32="SI",1.2,1),"--")</f>
        <v>--</v>
      </c>
      <c r="Y32" s="654" t="str">
        <f>IF(AND(N32="R",M32&gt;300),IF(P32="SI",1.2,1)*(ROUND(M32/60,2)-5)*I32*H32*O32/100*0.1,"--")</f>
        <v>--</v>
      </c>
      <c r="Z32" s="655" t="str">
        <f>IF(N32="RF",IF(P32="SI",1.2,1)*ROUND(M32/60,2)*I32*H32*0.1,"--")</f>
        <v>--</v>
      </c>
      <c r="AA32" s="656" t="str">
        <f>IF(N32="RR",IF(P32="SI",1.2,1)*ROUND(M32/60,2)*I32*H32*O32/100*0.1,"--")</f>
        <v>--</v>
      </c>
      <c r="AB32" s="657">
        <f>IF(D32="","","SI")</f>
      </c>
      <c r="AC32" s="182">
        <f>IF(D32="","",SUM(R32:AA32)*IF(AB32="SI",1,2))</f>
      </c>
      <c r="AD32" s="89"/>
    </row>
    <row r="33" spans="1:30" ht="16.5" customHeight="1" thickBot="1">
      <c r="A33" s="27"/>
      <c r="B33" s="53"/>
      <c r="C33" s="718"/>
      <c r="D33" s="658"/>
      <c r="E33" s="659"/>
      <c r="F33" s="660"/>
      <c r="G33" s="661"/>
      <c r="H33" s="662"/>
      <c r="I33" s="663"/>
      <c r="J33" s="664"/>
      <c r="K33" s="664"/>
      <c r="L33" s="204"/>
      <c r="M33" s="204"/>
      <c r="N33" s="204"/>
      <c r="O33" s="665"/>
      <c r="P33" s="204"/>
      <c r="Q33" s="204"/>
      <c r="R33" s="666"/>
      <c r="S33" s="667"/>
      <c r="T33" s="668"/>
      <c r="U33" s="669"/>
      <c r="V33" s="670"/>
      <c r="W33" s="671"/>
      <c r="X33" s="672"/>
      <c r="Y33" s="673"/>
      <c r="Z33" s="674"/>
      <c r="AA33" s="675"/>
      <c r="AB33" s="676"/>
      <c r="AC33" s="677"/>
      <c r="AD33" s="273"/>
    </row>
    <row r="34" spans="1:30" ht="16.5" customHeight="1" thickBot="1" thickTop="1">
      <c r="A34" s="27"/>
      <c r="B34" s="53"/>
      <c r="C34" s="594"/>
      <c r="D34" s="594"/>
      <c r="E34" s="678"/>
      <c r="F34" s="603"/>
      <c r="G34" s="679"/>
      <c r="H34" s="679"/>
      <c r="I34" s="680"/>
      <c r="J34" s="680"/>
      <c r="K34" s="680"/>
      <c r="L34" s="680"/>
      <c r="M34" s="680"/>
      <c r="N34" s="680"/>
      <c r="O34" s="681"/>
      <c r="P34" s="680"/>
      <c r="Q34" s="680"/>
      <c r="R34" s="682">
        <f aca="true" t="shared" si="0" ref="R34:AA34">SUM(R31:R33)</f>
        <v>0</v>
      </c>
      <c r="S34" s="683">
        <f t="shared" si="0"/>
        <v>0</v>
      </c>
      <c r="T34" s="684">
        <f t="shared" si="0"/>
        <v>0</v>
      </c>
      <c r="U34" s="684">
        <f t="shared" si="0"/>
        <v>0</v>
      </c>
      <c r="V34" s="684">
        <f t="shared" si="0"/>
        <v>0</v>
      </c>
      <c r="W34" s="685">
        <f t="shared" si="0"/>
        <v>0</v>
      </c>
      <c r="X34" s="685">
        <f t="shared" si="0"/>
        <v>0</v>
      </c>
      <c r="Y34" s="685">
        <f t="shared" si="0"/>
        <v>0</v>
      </c>
      <c r="Z34" s="686">
        <f t="shared" si="0"/>
        <v>0</v>
      </c>
      <c r="AA34" s="687">
        <f t="shared" si="0"/>
        <v>0</v>
      </c>
      <c r="AB34" s="688"/>
      <c r="AC34" s="689">
        <f>SUM(AC31:AC33)</f>
        <v>0</v>
      </c>
      <c r="AD34" s="273"/>
    </row>
    <row r="35" spans="1:30" ht="13.5" customHeight="1" thickBot="1" thickTop="1">
      <c r="A35" s="27"/>
      <c r="B35" s="53"/>
      <c r="C35" s="594"/>
      <c r="D35" s="594"/>
      <c r="E35" s="678"/>
      <c r="F35" s="603"/>
      <c r="G35" s="679"/>
      <c r="H35" s="679"/>
      <c r="I35" s="680"/>
      <c r="J35" s="680"/>
      <c r="K35" s="680"/>
      <c r="L35" s="680"/>
      <c r="M35" s="680"/>
      <c r="N35" s="680"/>
      <c r="O35" s="681"/>
      <c r="P35" s="680"/>
      <c r="Q35" s="680"/>
      <c r="R35" s="690"/>
      <c r="S35" s="691"/>
      <c r="T35" s="692"/>
      <c r="U35" s="692"/>
      <c r="V35" s="692"/>
      <c r="W35" s="690"/>
      <c r="X35" s="690"/>
      <c r="Y35" s="690"/>
      <c r="Z35" s="690"/>
      <c r="AA35" s="690"/>
      <c r="AB35" s="693"/>
      <c r="AC35" s="694"/>
      <c r="AD35" s="273"/>
    </row>
    <row r="36" spans="1:33" s="8" customFormat="1" ht="33.75" customHeight="1" thickBot="1" thickTop="1">
      <c r="A36" s="79"/>
      <c r="B36" s="288"/>
      <c r="C36" s="317" t="s">
        <v>28</v>
      </c>
      <c r="D36" s="318" t="s">
        <v>58</v>
      </c>
      <c r="E36" s="319" t="s">
        <v>59</v>
      </c>
      <c r="F36" s="320" t="s">
        <v>60</v>
      </c>
      <c r="G36" s="321" t="s">
        <v>31</v>
      </c>
      <c r="H36" s="322" t="s">
        <v>35</v>
      </c>
      <c r="I36" s="695"/>
      <c r="J36" s="319" t="s">
        <v>36</v>
      </c>
      <c r="K36" s="319" t="s">
        <v>37</v>
      </c>
      <c r="L36" s="318" t="s">
        <v>61</v>
      </c>
      <c r="M36" s="318" t="s">
        <v>39</v>
      </c>
      <c r="N36" s="109" t="s">
        <v>113</v>
      </c>
      <c r="O36" s="319" t="s">
        <v>42</v>
      </c>
      <c r="P36" s="804" t="s">
        <v>62</v>
      </c>
      <c r="Q36" s="805"/>
      <c r="R36" s="322" t="s">
        <v>115</v>
      </c>
      <c r="S36" s="696" t="s">
        <v>43</v>
      </c>
      <c r="T36" s="697" t="s">
        <v>116</v>
      </c>
      <c r="U36" s="698"/>
      <c r="V36" s="699" t="s">
        <v>47</v>
      </c>
      <c r="W36" s="806"/>
      <c r="X36" s="700"/>
      <c r="Y36" s="700"/>
      <c r="Z36" s="700"/>
      <c r="AA36" s="701"/>
      <c r="AB36" s="120" t="s">
        <v>49</v>
      </c>
      <c r="AC36" s="321" t="s">
        <v>50</v>
      </c>
      <c r="AD36" s="89"/>
      <c r="AF36" s="9"/>
      <c r="AG36" s="9"/>
    </row>
    <row r="37" spans="1:30" ht="16.5" customHeight="1" thickTop="1">
      <c r="A37" s="8"/>
      <c r="B37" s="53"/>
      <c r="C37" s="142"/>
      <c r="D37" s="249"/>
      <c r="E37" s="249"/>
      <c r="F37" s="249"/>
      <c r="G37" s="807"/>
      <c r="H37" s="808"/>
      <c r="I37" s="702"/>
      <c r="J37" s="249"/>
      <c r="K37" s="249"/>
      <c r="L37" s="249"/>
      <c r="M37" s="249"/>
      <c r="N37" s="249"/>
      <c r="O37" s="703"/>
      <c r="P37" s="2552"/>
      <c r="Q37" s="2553"/>
      <c r="R37" s="809"/>
      <c r="S37" s="810"/>
      <c r="T37" s="811"/>
      <c r="U37" s="812"/>
      <c r="V37" s="813"/>
      <c r="W37" s="814"/>
      <c r="X37" s="704"/>
      <c r="Y37" s="704"/>
      <c r="Z37" s="704"/>
      <c r="AA37" s="705"/>
      <c r="AB37" s="703"/>
      <c r="AC37" s="706"/>
      <c r="AD37" s="89"/>
    </row>
    <row r="38" spans="1:30" ht="16.5" customHeight="1">
      <c r="A38" s="8"/>
      <c r="B38" s="53"/>
      <c r="C38" s="637" t="s">
        <v>99</v>
      </c>
      <c r="D38" s="707" t="s">
        <v>296</v>
      </c>
      <c r="E38" s="708" t="s">
        <v>297</v>
      </c>
      <c r="F38" s="815">
        <v>150</v>
      </c>
      <c r="G38" s="1619" t="s">
        <v>162</v>
      </c>
      <c r="H38" s="709">
        <f>F38*$F$20</f>
        <v>178.95000000000002</v>
      </c>
      <c r="I38" s="710"/>
      <c r="J38" s="1621">
        <v>41979.26180555556</v>
      </c>
      <c r="K38" s="1621">
        <v>41979.47361111111</v>
      </c>
      <c r="L38" s="364">
        <f>IF(D38="","",(K38-J38)*24)</f>
        <v>5.083333333313931</v>
      </c>
      <c r="M38" s="365">
        <f>IF(D38="","",(K38-J38)*24*60)</f>
        <v>304.99999999883585</v>
      </c>
      <c r="N38" s="711" t="s">
        <v>198</v>
      </c>
      <c r="O38" s="367" t="str">
        <f>IF(D38="","",IF(OR(N38="P",N38="RP"),"--","NO"))</f>
        <v>--</v>
      </c>
      <c r="P38" s="2542" t="str">
        <f>IF(D38="","","NO")</f>
        <v>NO</v>
      </c>
      <c r="Q38" s="2543"/>
      <c r="R38" s="580">
        <f>200*IF(P38="SI",1,0.1)*IF(N38="P",0.1,1)</f>
        <v>2</v>
      </c>
      <c r="S38" s="712">
        <f>IF(N38="P",H38*R38*ROUND(M38/60,2),"--")</f>
        <v>1818.1320000000003</v>
      </c>
      <c r="T38" s="713" t="str">
        <f>IF(AND(N38="F",O38="NO"),H38*R38,"--")</f>
        <v>--</v>
      </c>
      <c r="U38" s="714" t="str">
        <f>IF(N38="F",H38*R38*ROUND(M38/60,2),"--")</f>
        <v>--</v>
      </c>
      <c r="V38" s="483" t="str">
        <f>IF(N38="RF",H38*R38*ROUND(M38/60,2),"--")</f>
        <v>--</v>
      </c>
      <c r="W38" s="817"/>
      <c r="X38" s="715"/>
      <c r="Y38" s="715"/>
      <c r="Z38" s="715"/>
      <c r="AA38" s="716"/>
      <c r="AB38" s="377" t="str">
        <f>IF(D38="","","SI")</f>
        <v>SI</v>
      </c>
      <c r="AC38" s="438">
        <f>IF(D38="","",SUM(S38:V38)*IF(AB38="SI",1,2))</f>
        <v>1818.1320000000003</v>
      </c>
      <c r="AD38" s="89"/>
    </row>
    <row r="39" spans="1:30" ht="16.5" customHeight="1">
      <c r="A39" s="8"/>
      <c r="B39" s="53"/>
      <c r="C39" s="637" t="s">
        <v>100</v>
      </c>
      <c r="D39" s="707"/>
      <c r="E39" s="708"/>
      <c r="F39" s="815"/>
      <c r="G39" s="816"/>
      <c r="H39" s="709">
        <f>F39*$F$20</f>
        <v>0</v>
      </c>
      <c r="I39" s="710"/>
      <c r="J39" s="717"/>
      <c r="K39" s="717"/>
      <c r="L39" s="364">
        <f>IF(D39="","",(K39-J39)*24)</f>
      </c>
      <c r="M39" s="365">
        <f>IF(D39="","",(K39-J39)*24*60)</f>
      </c>
      <c r="N39" s="711"/>
      <c r="O39" s="367">
        <f>IF(D39="","",IF(OR(N39="P",N39="RP"),"--","NO"))</f>
      </c>
      <c r="P39" s="2542">
        <f>IF(D39="","","NO")</f>
      </c>
      <c r="Q39" s="2543"/>
      <c r="R39" s="580">
        <f>200*IF(P39="SI",1,0.1)*IF(N39="P",0.1,1)</f>
        <v>20</v>
      </c>
      <c r="S39" s="712" t="str">
        <f>IF(N39="P",H39*R39*ROUND(M39/60,2),"--")</f>
        <v>--</v>
      </c>
      <c r="T39" s="713" t="str">
        <f>IF(AND(N39="F",O39="NO"),H39*R39,"--")</f>
        <v>--</v>
      </c>
      <c r="U39" s="714" t="str">
        <f>IF(N39="F",H39*R39*ROUND(M39/60,2),"--")</f>
        <v>--</v>
      </c>
      <c r="V39" s="483" t="str">
        <f>IF(N39="RF",H39*R39*ROUND(M39/60,2),"--")</f>
        <v>--</v>
      </c>
      <c r="W39" s="817"/>
      <c r="X39" s="715"/>
      <c r="Y39" s="715"/>
      <c r="Z39" s="715"/>
      <c r="AA39" s="716"/>
      <c r="AB39" s="377">
        <f>IF(D39="","","SI")</f>
      </c>
      <c r="AC39" s="438">
        <f>IF(D39="","",SUM(S39:V39)*IF(AB39="SI",1,2))</f>
      </c>
      <c r="AD39" s="89"/>
    </row>
    <row r="40" spans="1:30" ht="16.5" customHeight="1" thickBot="1">
      <c r="A40" s="27"/>
      <c r="B40" s="53"/>
      <c r="C40" s="718"/>
      <c r="D40" s="719"/>
      <c r="E40" s="720"/>
      <c r="F40" s="818"/>
      <c r="G40" s="819"/>
      <c r="H40" s="820"/>
      <c r="I40" s="721"/>
      <c r="J40" s="722"/>
      <c r="K40" s="723"/>
      <c r="L40" s="724"/>
      <c r="M40" s="725"/>
      <c r="N40" s="726"/>
      <c r="O40" s="204"/>
      <c r="P40" s="2536"/>
      <c r="Q40" s="2537"/>
      <c r="R40" s="821"/>
      <c r="S40" s="822"/>
      <c r="T40" s="823"/>
      <c r="U40" s="824"/>
      <c r="V40" s="825"/>
      <c r="W40" s="826"/>
      <c r="X40" s="727"/>
      <c r="Y40" s="727"/>
      <c r="Z40" s="727"/>
      <c r="AA40" s="728"/>
      <c r="AB40" s="729"/>
      <c r="AC40" s="730"/>
      <c r="AD40" s="273"/>
    </row>
    <row r="41" spans="1:30" ht="16.5" customHeight="1" thickBot="1" thickTop="1">
      <c r="A41" s="27"/>
      <c r="B41" s="53"/>
      <c r="C41" s="304"/>
      <c r="D41" s="223"/>
      <c r="E41" s="223"/>
      <c r="F41" s="731"/>
      <c r="G41" s="732"/>
      <c r="H41" s="733"/>
      <c r="I41" s="734"/>
      <c r="J41" s="735"/>
      <c r="K41" s="736"/>
      <c r="L41" s="737"/>
      <c r="M41" s="733"/>
      <c r="N41" s="738"/>
      <c r="O41" s="225"/>
      <c r="P41" s="827"/>
      <c r="Q41" s="740"/>
      <c r="R41" s="741"/>
      <c r="S41" s="741"/>
      <c r="T41" s="741"/>
      <c r="U41" s="742"/>
      <c r="V41" s="742"/>
      <c r="W41" s="742"/>
      <c r="X41" s="742"/>
      <c r="Y41" s="742"/>
      <c r="Z41" s="742"/>
      <c r="AA41" s="742"/>
      <c r="AB41" s="742"/>
      <c r="AC41" s="828">
        <f>SUM(AC37:AC40)</f>
        <v>1818.1320000000003</v>
      </c>
      <c r="AD41" s="273"/>
    </row>
    <row r="42" spans="1:30" ht="13.5" customHeight="1" thickBot="1" thickTop="1">
      <c r="A42" s="27"/>
      <c r="B42" s="53"/>
      <c r="C42" s="594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4"/>
      <c r="T42" s="594"/>
      <c r="U42" s="594"/>
      <c r="V42" s="594"/>
      <c r="W42" s="594"/>
      <c r="X42" s="594"/>
      <c r="Y42" s="594"/>
      <c r="Z42" s="594"/>
      <c r="AA42" s="594"/>
      <c r="AB42" s="594"/>
      <c r="AC42" s="594"/>
      <c r="AD42" s="273"/>
    </row>
    <row r="43" spans="1:33" s="8" customFormat="1" ht="33.75" customHeight="1" thickBot="1" thickTop="1">
      <c r="A43" s="79"/>
      <c r="B43" s="288"/>
      <c r="C43" s="317" t="s">
        <v>28</v>
      </c>
      <c r="D43" s="318" t="s">
        <v>58</v>
      </c>
      <c r="E43" s="319" t="s">
        <v>59</v>
      </c>
      <c r="F43" s="2561" t="s">
        <v>31</v>
      </c>
      <c r="G43" s="2562"/>
      <c r="H43" s="322" t="s">
        <v>35</v>
      </c>
      <c r="I43" s="695"/>
      <c r="J43" s="319" t="s">
        <v>36</v>
      </c>
      <c r="K43" s="319" t="s">
        <v>37</v>
      </c>
      <c r="L43" s="318" t="s">
        <v>61</v>
      </c>
      <c r="M43" s="318" t="s">
        <v>39</v>
      </c>
      <c r="N43" s="109" t="s">
        <v>113</v>
      </c>
      <c r="O43" s="2557" t="s">
        <v>42</v>
      </c>
      <c r="P43" s="2558"/>
      <c r="Q43" s="2559"/>
      <c r="R43" s="465" t="s">
        <v>34</v>
      </c>
      <c r="S43" s="466" t="s">
        <v>71</v>
      </c>
      <c r="T43" s="467" t="s">
        <v>72</v>
      </c>
      <c r="U43" s="468"/>
      <c r="V43" s="469" t="s">
        <v>47</v>
      </c>
      <c r="W43" s="700"/>
      <c r="X43" s="700"/>
      <c r="Y43" s="700"/>
      <c r="Z43" s="700"/>
      <c r="AA43" s="701"/>
      <c r="AB43" s="120" t="s">
        <v>49</v>
      </c>
      <c r="AC43" s="321" t="s">
        <v>50</v>
      </c>
      <c r="AD43" s="89"/>
      <c r="AF43" s="9"/>
      <c r="AG43" s="9"/>
    </row>
    <row r="44" spans="1:30" ht="16.5" customHeight="1" thickTop="1">
      <c r="A44" s="8"/>
      <c r="B44" s="53"/>
      <c r="C44" s="142"/>
      <c r="D44" s="249"/>
      <c r="E44" s="249"/>
      <c r="F44" s="2552"/>
      <c r="G44" s="2553"/>
      <c r="H44" s="808"/>
      <c r="I44" s="702"/>
      <c r="J44" s="249"/>
      <c r="K44" s="249"/>
      <c r="L44" s="249"/>
      <c r="M44" s="249"/>
      <c r="N44" s="249"/>
      <c r="O44" s="2552"/>
      <c r="P44" s="2560"/>
      <c r="Q44" s="2553"/>
      <c r="R44" s="492"/>
      <c r="S44" s="472"/>
      <c r="T44" s="473"/>
      <c r="U44" s="474"/>
      <c r="V44" s="475"/>
      <c r="W44" s="704"/>
      <c r="X44" s="704"/>
      <c r="Y44" s="704"/>
      <c r="Z44" s="704"/>
      <c r="AA44" s="705"/>
      <c r="AB44" s="703"/>
      <c r="AC44" s="706"/>
      <c r="AD44" s="89"/>
    </row>
    <row r="45" spans="1:30" ht="15">
      <c r="A45" s="8"/>
      <c r="B45" s="53"/>
      <c r="C45" s="829" t="s">
        <v>99</v>
      </c>
      <c r="D45" s="707"/>
      <c r="E45" s="708"/>
      <c r="F45" s="2563"/>
      <c r="G45" s="2564"/>
      <c r="H45" s="709">
        <f>IF(F45=132,$F$21,IF(F45=500,$F$22,0))</f>
        <v>0</v>
      </c>
      <c r="I45" s="710"/>
      <c r="J45" s="488"/>
      <c r="K45" s="194"/>
      <c r="L45" s="364">
        <f>IF(D45="","",(K45-J45)*24)</f>
      </c>
      <c r="M45" s="365">
        <f>IF(D45="","",(K45-J45)*24*60)</f>
      </c>
      <c r="N45" s="711"/>
      <c r="O45" s="2554">
        <f>IF(D45="","",IF(N45="P","--","NO"))</f>
      </c>
      <c r="P45" s="2555"/>
      <c r="Q45" s="2556"/>
      <c r="R45" s="492">
        <f>IF(F45=500,200,IF(F45=132,40,0))</f>
        <v>0</v>
      </c>
      <c r="S45" s="493" t="str">
        <f>IF(N45="P",H45*R45*ROUND(M45/60,2)*0.1,"--")</f>
        <v>--</v>
      </c>
      <c r="T45" s="481" t="str">
        <f>IF(AND(N45="F",O45="NO"),H45*R45,"--")</f>
        <v>--</v>
      </c>
      <c r="U45" s="482" t="str">
        <f>IF(N45="F",H45*R45*ROUND(M45/60,2),"--")</f>
        <v>--</v>
      </c>
      <c r="V45" s="483" t="str">
        <f>IF(N45="RF",H45*R45*ROUND(M45/60,2),"--")</f>
        <v>--</v>
      </c>
      <c r="W45" s="715"/>
      <c r="X45" s="715"/>
      <c r="Y45" s="715"/>
      <c r="Z45" s="715"/>
      <c r="AA45" s="716"/>
      <c r="AB45" s="377">
        <f>IF(D45="","","SI")</f>
      </c>
      <c r="AC45" s="494">
        <f>IF(D45="","",SUM(S45:V45)*IF(AB45="SI",1,2))</f>
      </c>
      <c r="AD45" s="273"/>
    </row>
    <row r="46" spans="1:30" ht="16.5" customHeight="1">
      <c r="A46" s="8"/>
      <c r="B46" s="53"/>
      <c r="C46" s="637" t="s">
        <v>100</v>
      </c>
      <c r="D46" s="707"/>
      <c r="E46" s="708"/>
      <c r="F46" s="2563"/>
      <c r="G46" s="2564"/>
      <c r="H46" s="709">
        <f>IF(F46=132,$F$21,IF(F46=500,$F$22,0))</f>
        <v>0</v>
      </c>
      <c r="I46" s="710"/>
      <c r="J46" s="717"/>
      <c r="K46" s="717"/>
      <c r="L46" s="364">
        <f>IF(D46="","",(K46-J46)*24)</f>
      </c>
      <c r="M46" s="365">
        <f>IF(D46="","",(K46-J46)*24*60)</f>
      </c>
      <c r="N46" s="711"/>
      <c r="O46" s="2554">
        <f>IF(D46="","",IF(N46="P","--","NO"))</f>
      </c>
      <c r="P46" s="2555"/>
      <c r="Q46" s="2556"/>
      <c r="R46" s="492">
        <f>IF(F46=500,200,IF(F46=132,40,0))</f>
        <v>0</v>
      </c>
      <c r="S46" s="493" t="str">
        <f>IF(N46="P",H46*R46*ROUND(M46/60,2)*0.1,"--")</f>
        <v>--</v>
      </c>
      <c r="T46" s="481" t="str">
        <f>IF(AND(N46="F",O46="NO"),H46*R46,"--")</f>
        <v>--</v>
      </c>
      <c r="U46" s="482" t="str">
        <f>IF(N46="F",H46*R46*ROUND(M46/60,2),"--")</f>
        <v>--</v>
      </c>
      <c r="V46" s="483" t="str">
        <f>IF(N46="RF",H46*R46*ROUND(M46/60,2),"--")</f>
        <v>--</v>
      </c>
      <c r="W46" s="715"/>
      <c r="X46" s="715"/>
      <c r="Y46" s="715"/>
      <c r="Z46" s="715"/>
      <c r="AA46" s="716"/>
      <c r="AB46" s="377">
        <f>IF(D46="","","SI")</f>
      </c>
      <c r="AC46" s="494">
        <f>IF(D46="","",SUM(S46:V46)*IF(AB46="SI",1,2))</f>
      </c>
      <c r="AD46" s="89"/>
    </row>
    <row r="47" spans="1:30" ht="16.5" customHeight="1" thickBot="1">
      <c r="A47" s="27"/>
      <c r="B47" s="53"/>
      <c r="C47" s="718"/>
      <c r="D47" s="719"/>
      <c r="E47" s="720"/>
      <c r="F47" s="2538"/>
      <c r="G47" s="2539"/>
      <c r="H47" s="820"/>
      <c r="I47" s="721"/>
      <c r="J47" s="722"/>
      <c r="K47" s="723"/>
      <c r="L47" s="724"/>
      <c r="M47" s="725"/>
      <c r="N47" s="726"/>
      <c r="O47" s="2536"/>
      <c r="P47" s="2565"/>
      <c r="Q47" s="2537"/>
      <c r="R47" s="492"/>
      <c r="S47" s="493"/>
      <c r="T47" s="481"/>
      <c r="U47" s="482"/>
      <c r="V47" s="483"/>
      <c r="W47" s="727"/>
      <c r="X47" s="727"/>
      <c r="Y47" s="727"/>
      <c r="Z47" s="727"/>
      <c r="AA47" s="728"/>
      <c r="AB47" s="729"/>
      <c r="AC47" s="494">
        <f>IF(D47="","",SUM(S47:V47)*IF(AB47="SI",1,2))</f>
      </c>
      <c r="AD47" s="273"/>
    </row>
    <row r="48" spans="1:30" ht="16.5" customHeight="1" thickBot="1" thickTop="1">
      <c r="A48" s="27"/>
      <c r="B48" s="53"/>
      <c r="C48" s="304"/>
      <c r="D48" s="223"/>
      <c r="E48" s="223"/>
      <c r="F48" s="731"/>
      <c r="G48" s="732"/>
      <c r="H48" s="733"/>
      <c r="I48" s="734"/>
      <c r="J48" s="735"/>
      <c r="K48" s="736"/>
      <c r="L48" s="737"/>
      <c r="M48" s="733"/>
      <c r="N48" s="738"/>
      <c r="O48" s="225"/>
      <c r="P48" s="739"/>
      <c r="Q48" s="746"/>
      <c r="R48" s="750"/>
      <c r="S48" s="750"/>
      <c r="T48" s="750"/>
      <c r="U48" s="747"/>
      <c r="V48" s="747"/>
      <c r="W48" s="747"/>
      <c r="X48" s="747"/>
      <c r="Y48" s="747"/>
      <c r="Z48" s="747"/>
      <c r="AA48" s="747"/>
      <c r="AB48" s="747"/>
      <c r="AC48" s="828">
        <f>SUM(AC44:AC47)</f>
        <v>0</v>
      </c>
      <c r="AD48" s="273"/>
    </row>
    <row r="49" spans="1:30" ht="16.5" customHeight="1" thickBot="1" thickTop="1">
      <c r="A49" s="27"/>
      <c r="B49" s="53"/>
      <c r="C49" s="304"/>
      <c r="D49" s="223"/>
      <c r="E49" s="223"/>
      <c r="F49" s="731"/>
      <c r="G49" s="732"/>
      <c r="H49" s="733"/>
      <c r="I49" s="734"/>
      <c r="J49" s="735"/>
      <c r="K49" s="736"/>
      <c r="L49" s="737"/>
      <c r="M49" s="733"/>
      <c r="N49" s="738"/>
      <c r="O49" s="225"/>
      <c r="P49" s="739"/>
      <c r="Q49" s="746"/>
      <c r="R49" s="750"/>
      <c r="S49" s="750"/>
      <c r="T49" s="750"/>
      <c r="U49" s="747"/>
      <c r="V49" s="747"/>
      <c r="W49" s="747"/>
      <c r="X49" s="747"/>
      <c r="Y49" s="747"/>
      <c r="Z49" s="747"/>
      <c r="AA49" s="747"/>
      <c r="AB49" s="747"/>
      <c r="AC49" s="830"/>
      <c r="AD49" s="273"/>
    </row>
    <row r="50" spans="1:30" ht="43.5" customHeight="1" thickBot="1" thickTop="1">
      <c r="A50" s="27"/>
      <c r="B50" s="591"/>
      <c r="C50" s="317" t="s">
        <v>28</v>
      </c>
      <c r="D50" s="318" t="s">
        <v>58</v>
      </c>
      <c r="E50" s="102" t="s">
        <v>59</v>
      </c>
      <c r="F50" s="2546" t="s">
        <v>78</v>
      </c>
      <c r="G50" s="2547"/>
      <c r="H50" s="322" t="s">
        <v>35</v>
      </c>
      <c r="I50" s="743"/>
      <c r="J50" s="102" t="s">
        <v>36</v>
      </c>
      <c r="K50" s="102" t="s">
        <v>37</v>
      </c>
      <c r="L50" s="104" t="s">
        <v>38</v>
      </c>
      <c r="M50" s="104" t="s">
        <v>39</v>
      </c>
      <c r="N50" s="109" t="s">
        <v>179</v>
      </c>
      <c r="O50" s="109" t="s">
        <v>40</v>
      </c>
      <c r="P50" s="2548" t="s">
        <v>42</v>
      </c>
      <c r="Q50" s="2549"/>
      <c r="R50" s="744" t="s">
        <v>34</v>
      </c>
      <c r="S50" s="532" t="s">
        <v>71</v>
      </c>
      <c r="T50" s="533" t="s">
        <v>79</v>
      </c>
      <c r="U50" s="534"/>
      <c r="V50" s="327" t="s">
        <v>80</v>
      </c>
      <c r="W50" s="328"/>
      <c r="X50" s="535" t="s">
        <v>47</v>
      </c>
      <c r="Y50" s="326" t="s">
        <v>44</v>
      </c>
      <c r="Z50" s="743"/>
      <c r="AA50" s="743"/>
      <c r="AB50" s="120" t="s">
        <v>49</v>
      </c>
      <c r="AC50" s="536" t="s">
        <v>50</v>
      </c>
      <c r="AD50" s="745"/>
    </row>
    <row r="51" spans="1:30" ht="16.5" customHeight="1" thickTop="1">
      <c r="A51" s="27"/>
      <c r="B51" s="591"/>
      <c r="C51" s="331"/>
      <c r="D51" s="537"/>
      <c r="E51" s="537"/>
      <c r="F51" s="2550"/>
      <c r="G51" s="2551"/>
      <c r="H51" s="419"/>
      <c r="I51" s="743"/>
      <c r="J51" s="538"/>
      <c r="K51" s="538"/>
      <c r="L51" s="539"/>
      <c r="M51" s="539"/>
      <c r="N51" s="537"/>
      <c r="O51" s="141"/>
      <c r="P51" s="2550"/>
      <c r="Q51" s="2551"/>
      <c r="R51" s="540"/>
      <c r="S51" s="541"/>
      <c r="T51" s="542"/>
      <c r="U51" s="543"/>
      <c r="V51" s="340"/>
      <c r="W51" s="341"/>
      <c r="X51" s="544"/>
      <c r="Y51" s="544"/>
      <c r="Z51" s="743"/>
      <c r="AA51" s="743"/>
      <c r="AB51" s="545"/>
      <c r="AC51" s="546"/>
      <c r="AD51" s="745"/>
    </row>
    <row r="52" spans="1:30" ht="16.5" customHeight="1">
      <c r="A52" s="27"/>
      <c r="B52" s="591"/>
      <c r="C52" s="829" t="s">
        <v>99</v>
      </c>
      <c r="D52" s="547"/>
      <c r="E52" s="548"/>
      <c r="F52" s="2540"/>
      <c r="G52" s="2541"/>
      <c r="H52" s="550"/>
      <c r="I52" s="743"/>
      <c r="J52" s="551"/>
      <c r="K52" s="552"/>
      <c r="L52" s="553"/>
      <c r="M52" s="554"/>
      <c r="N52" s="555"/>
      <c r="O52" s="147"/>
      <c r="P52" s="2542"/>
      <c r="Q52" s="2543"/>
      <c r="R52" s="556"/>
      <c r="S52" s="557"/>
      <c r="T52" s="558"/>
      <c r="U52" s="559"/>
      <c r="V52" s="353"/>
      <c r="W52" s="354"/>
      <c r="X52" s="560"/>
      <c r="Y52" s="560"/>
      <c r="Z52" s="743"/>
      <c r="AA52" s="743"/>
      <c r="AB52" s="420"/>
      <c r="AC52" s="561"/>
      <c r="AD52" s="745"/>
    </row>
    <row r="53" spans="2:30" s="27" customFormat="1" ht="16.5" customHeight="1">
      <c r="B53" s="591"/>
      <c r="C53" s="637" t="s">
        <v>100</v>
      </c>
      <c r="D53" s="562"/>
      <c r="E53" s="485"/>
      <c r="F53" s="2544"/>
      <c r="G53" s="2545"/>
      <c r="H53" s="362">
        <f>F53*$F$21</f>
        <v>0</v>
      </c>
      <c r="I53" s="743"/>
      <c r="J53" s="488"/>
      <c r="K53" s="194"/>
      <c r="L53" s="490">
        <f>IF(D53="","",(K53-J53)*24)</f>
      </c>
      <c r="M53" s="491">
        <f>IF(D53="","",ROUND((K53-J53)*24*60,0))</f>
      </c>
      <c r="N53" s="168"/>
      <c r="O53" s="272">
        <f>IF(D53="","","--")</f>
      </c>
      <c r="P53" s="2542">
        <f>IF(D53="","",IF(OR(N53="P",N53="RP"),"--","NO"))</f>
      </c>
      <c r="Q53" s="2543"/>
      <c r="R53" s="564">
        <f>IF(OR(N53="P",N53="RP"),200/10,200)</f>
        <v>200</v>
      </c>
      <c r="S53" s="565" t="str">
        <f>IF(N53="P",H53*R53*ROUND(M53/60,2),"--")</f>
        <v>--</v>
      </c>
      <c r="T53" s="558" t="str">
        <f>IF(AND(N53="F",P53="NO"),H53*R53,"--")</f>
        <v>--</v>
      </c>
      <c r="U53" s="559" t="str">
        <f>IF(N53="F",H53*R53*ROUND(M53/60,2),"--")</f>
        <v>--</v>
      </c>
      <c r="V53" s="373" t="str">
        <f>IF(AND(N53="R",P53="NO"),H53*R53*O53/100,"--")</f>
        <v>--</v>
      </c>
      <c r="W53" s="374" t="str">
        <f>IF(N53="R",H53*R53*O53/100*ROUND(M53/60,2),"--")</f>
        <v>--</v>
      </c>
      <c r="X53" s="560" t="str">
        <f>IF(N53="RF",H53*R53*ROUND(M53/60,2),"--")</f>
        <v>--</v>
      </c>
      <c r="Y53" s="422" t="str">
        <f>IF(N53="RP",H53*R53*O53/100*ROUND(M53/60,2),"--")</f>
        <v>--</v>
      </c>
      <c r="Z53" s="743"/>
      <c r="AA53" s="743"/>
      <c r="AB53" s="170">
        <f>IF(D53="","","SI")</f>
      </c>
      <c r="AC53" s="494">
        <f>IF(D53="","",SUM(S53:Y53)*IF(AB53="SI",1,2)*IF(AND(O53&lt;&gt;"--",N53="RF"),O53/100,1))</f>
      </c>
      <c r="AD53" s="745"/>
    </row>
    <row r="54" spans="1:30" ht="16.5" customHeight="1" thickBot="1">
      <c r="A54" s="27"/>
      <c r="B54" s="591"/>
      <c r="C54" s="831"/>
      <c r="D54" s="832"/>
      <c r="E54" s="517"/>
      <c r="F54" s="2534"/>
      <c r="G54" s="2535"/>
      <c r="H54" s="362">
        <f>F54*$F$21</f>
        <v>0</v>
      </c>
      <c r="I54" s="743"/>
      <c r="J54" s="833"/>
      <c r="K54" s="834"/>
      <c r="L54" s="835">
        <f>IF(D54="","",(K54-J54)*24)</f>
      </c>
      <c r="M54" s="386">
        <f>IF(D54="","",ROUND((K54-J54)*24*60,0))</f>
      </c>
      <c r="N54" s="495"/>
      <c r="O54" s="836">
        <f>IF(D54="","","--")</f>
      </c>
      <c r="P54" s="2536"/>
      <c r="Q54" s="2537"/>
      <c r="R54" s="837"/>
      <c r="S54" s="838"/>
      <c r="T54" s="839"/>
      <c r="U54" s="840"/>
      <c r="V54" s="841"/>
      <c r="W54" s="842"/>
      <c r="X54" s="843"/>
      <c r="Y54" s="844"/>
      <c r="Z54" s="727"/>
      <c r="AA54" s="727"/>
      <c r="AB54" s="204"/>
      <c r="AC54" s="845"/>
      <c r="AD54" s="745"/>
    </row>
    <row r="55" spans="1:30" ht="16.5" customHeight="1" thickBot="1" thickTop="1">
      <c r="A55" s="27"/>
      <c r="B55" s="591"/>
      <c r="C55" s="304"/>
      <c r="D55" s="223"/>
      <c r="E55" s="747"/>
      <c r="F55" s="747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  <c r="S55" s="747"/>
      <c r="T55" s="747"/>
      <c r="U55" s="747"/>
      <c r="V55" s="747"/>
      <c r="W55" s="747"/>
      <c r="X55" s="747"/>
      <c r="Y55" s="747"/>
      <c r="Z55" s="747"/>
      <c r="AA55" s="747"/>
      <c r="AB55" s="747"/>
      <c r="AC55" s="828">
        <f>SUM(AC51:AC54)</f>
        <v>0</v>
      </c>
      <c r="AD55" s="745"/>
    </row>
    <row r="56" spans="1:30" ht="16.5" customHeight="1" thickBot="1" thickTop="1">
      <c r="A56" s="27"/>
      <c r="B56" s="591"/>
      <c r="C56" s="304"/>
      <c r="D56" s="223"/>
      <c r="E56" s="747"/>
      <c r="F56" s="747"/>
      <c r="G56" s="747"/>
      <c r="H56" s="747"/>
      <c r="I56" s="747"/>
      <c r="J56" s="747"/>
      <c r="K56" s="747"/>
      <c r="L56" s="747"/>
      <c r="M56" s="747"/>
      <c r="N56" s="747"/>
      <c r="O56" s="747"/>
      <c r="P56" s="747"/>
      <c r="Q56" s="747"/>
      <c r="R56" s="747"/>
      <c r="S56" s="747"/>
      <c r="T56" s="747"/>
      <c r="U56" s="747"/>
      <c r="V56" s="747"/>
      <c r="W56" s="747"/>
      <c r="X56" s="747"/>
      <c r="Y56" s="747"/>
      <c r="Z56" s="747"/>
      <c r="AA56" s="747"/>
      <c r="AB56" s="747"/>
      <c r="AC56" s="846"/>
      <c r="AD56" s="745"/>
    </row>
    <row r="57" spans="1:30" ht="16.5" customHeight="1" thickBot="1" thickTop="1">
      <c r="A57" s="27"/>
      <c r="B57" s="53"/>
      <c r="C57" s="304"/>
      <c r="D57" s="223"/>
      <c r="E57" s="223"/>
      <c r="F57" s="731"/>
      <c r="G57" s="732"/>
      <c r="H57" s="733"/>
      <c r="I57" s="734"/>
      <c r="J57" s="604" t="s">
        <v>118</v>
      </c>
      <c r="K57" s="605">
        <f>+AC41+AC34+AC48+AC55</f>
        <v>1818.1320000000003</v>
      </c>
      <c r="L57" s="737"/>
      <c r="M57" s="733"/>
      <c r="N57" s="748"/>
      <c r="O57" s="749"/>
      <c r="P57" s="739"/>
      <c r="Q57" s="746"/>
      <c r="R57" s="750"/>
      <c r="S57" s="750"/>
      <c r="T57" s="750"/>
      <c r="U57" s="747"/>
      <c r="V57" s="747"/>
      <c r="W57" s="747"/>
      <c r="X57" s="747"/>
      <c r="Y57" s="747"/>
      <c r="Z57" s="747"/>
      <c r="AA57" s="747"/>
      <c r="AB57" s="747"/>
      <c r="AC57" s="751"/>
      <c r="AD57" s="273"/>
    </row>
    <row r="58" spans="1:30" ht="13.5" customHeight="1" thickTop="1">
      <c r="A58" s="27"/>
      <c r="B58" s="591"/>
      <c r="C58" s="594"/>
      <c r="D58" s="752"/>
      <c r="E58" s="753"/>
      <c r="F58" s="754"/>
      <c r="G58" s="755"/>
      <c r="H58" s="755"/>
      <c r="I58" s="753"/>
      <c r="J58" s="756"/>
      <c r="K58" s="756"/>
      <c r="L58" s="753"/>
      <c r="M58" s="753"/>
      <c r="N58" s="753"/>
      <c r="O58" s="757"/>
      <c r="P58" s="753"/>
      <c r="Q58" s="753"/>
      <c r="R58" s="758"/>
      <c r="S58" s="759"/>
      <c r="T58" s="759"/>
      <c r="U58" s="760"/>
      <c r="AC58" s="760"/>
      <c r="AD58" s="745"/>
    </row>
    <row r="59" spans="1:30" ht="16.5" customHeight="1">
      <c r="A59" s="27"/>
      <c r="B59" s="591"/>
      <c r="C59" s="761" t="s">
        <v>119</v>
      </c>
      <c r="D59" s="762" t="s">
        <v>183</v>
      </c>
      <c r="E59" s="753"/>
      <c r="F59" s="754"/>
      <c r="G59" s="755"/>
      <c r="H59" s="755"/>
      <c r="I59" s="753"/>
      <c r="J59" s="756"/>
      <c r="K59" s="756"/>
      <c r="L59" s="753"/>
      <c r="M59" s="753"/>
      <c r="N59" s="753"/>
      <c r="O59" s="757"/>
      <c r="P59" s="753"/>
      <c r="Q59" s="753"/>
      <c r="R59" s="758"/>
      <c r="S59" s="759"/>
      <c r="T59" s="759"/>
      <c r="U59" s="760"/>
      <c r="AC59" s="760"/>
      <c r="AD59" s="745"/>
    </row>
    <row r="60" spans="1:30" ht="16.5" customHeight="1">
      <c r="A60" s="27"/>
      <c r="B60" s="591"/>
      <c r="C60" s="761"/>
      <c r="D60" s="752"/>
      <c r="E60" s="753"/>
      <c r="F60" s="754"/>
      <c r="G60" s="755"/>
      <c r="H60" s="755"/>
      <c r="I60" s="753"/>
      <c r="J60" s="756"/>
      <c r="K60" s="756"/>
      <c r="L60" s="753"/>
      <c r="M60" s="753"/>
      <c r="N60" s="753"/>
      <c r="O60" s="757"/>
      <c r="P60" s="753"/>
      <c r="Q60" s="753"/>
      <c r="R60" s="753"/>
      <c r="S60" s="758"/>
      <c r="T60" s="759"/>
      <c r="AD60" s="745"/>
    </row>
    <row r="61" spans="2:30" s="27" customFormat="1" ht="16.5" customHeight="1">
      <c r="B61" s="591"/>
      <c r="C61" s="594"/>
      <c r="D61" s="763" t="s">
        <v>5</v>
      </c>
      <c r="E61" s="680" t="s">
        <v>120</v>
      </c>
      <c r="F61" s="680" t="s">
        <v>121</v>
      </c>
      <c r="G61" s="764" t="s">
        <v>184</v>
      </c>
      <c r="H61" s="681"/>
      <c r="I61" s="680"/>
      <c r="J61" s="9"/>
      <c r="K61" s="9"/>
      <c r="L61" s="765" t="s">
        <v>185</v>
      </c>
      <c r="M61" s="9"/>
      <c r="N61" s="9"/>
      <c r="O61" s="9"/>
      <c r="P61" s="9"/>
      <c r="Q61" s="768"/>
      <c r="R61" s="768"/>
      <c r="S61" s="29"/>
      <c r="T61" s="9"/>
      <c r="U61" s="9"/>
      <c r="V61" s="9"/>
      <c r="W61" s="9"/>
      <c r="X61" s="29"/>
      <c r="Y61" s="29"/>
      <c r="Z61" s="29"/>
      <c r="AA61" s="29"/>
      <c r="AB61" s="29"/>
      <c r="AC61" s="769" t="s">
        <v>187</v>
      </c>
      <c r="AD61" s="745"/>
    </row>
    <row r="62" spans="2:30" s="27" customFormat="1" ht="16.5" customHeight="1">
      <c r="B62" s="591"/>
      <c r="C62" s="594"/>
      <c r="D62" s="680" t="s">
        <v>132</v>
      </c>
      <c r="E62" s="770">
        <v>506</v>
      </c>
      <c r="F62" s="770">
        <v>500</v>
      </c>
      <c r="G62" s="771">
        <f>E62*$F$19*$L$20/100</f>
        <v>1634087.16768</v>
      </c>
      <c r="H62" s="771"/>
      <c r="I62" s="771"/>
      <c r="J62" s="25"/>
      <c r="K62" s="9"/>
      <c r="L62" s="772">
        <v>680102</v>
      </c>
      <c r="M62" s="25"/>
      <c r="N62" s="2095" t="s">
        <v>325</v>
      </c>
      <c r="O62" s="9"/>
      <c r="P62" s="9"/>
      <c r="Q62" s="768"/>
      <c r="R62" s="768"/>
      <c r="S62" s="29"/>
      <c r="T62" s="9"/>
      <c r="U62" s="9"/>
      <c r="V62" s="9"/>
      <c r="W62" s="9"/>
      <c r="X62" s="29"/>
      <c r="Y62" s="29"/>
      <c r="Z62" s="29"/>
      <c r="AA62" s="29"/>
      <c r="AB62" s="774"/>
      <c r="AC62" s="602">
        <f>L62+G62</f>
        <v>2314189.16768</v>
      </c>
      <c r="AD62" s="745"/>
    </row>
    <row r="63" spans="2:30" s="27" customFormat="1" ht="16.5" customHeight="1">
      <c r="B63" s="591"/>
      <c r="C63" s="594"/>
      <c r="D63" s="775" t="s">
        <v>133</v>
      </c>
      <c r="E63" s="770">
        <v>85</v>
      </c>
      <c r="F63" s="770">
        <v>500</v>
      </c>
      <c r="G63" s="771">
        <f>E63*$F$19*$L$20/100</f>
        <v>274500.8088</v>
      </c>
      <c r="H63" s="775"/>
      <c r="I63" s="776"/>
      <c r="J63" s="25"/>
      <c r="K63" s="9"/>
      <c r="L63" s="771">
        <v>24755</v>
      </c>
      <c r="M63" s="25"/>
      <c r="N63" s="2095" t="s">
        <v>325</v>
      </c>
      <c r="O63" s="777"/>
      <c r="P63" s="9"/>
      <c r="Q63" s="768"/>
      <c r="R63" s="768"/>
      <c r="S63" s="29"/>
      <c r="T63" s="9"/>
      <c r="U63" s="9"/>
      <c r="V63" s="9"/>
      <c r="W63" s="9"/>
      <c r="X63" s="29"/>
      <c r="Y63" s="29"/>
      <c r="Z63" s="29"/>
      <c r="AA63" s="29"/>
      <c r="AB63" s="29"/>
      <c r="AC63" s="602">
        <f>L63+G63</f>
        <v>299255.8088</v>
      </c>
      <c r="AD63" s="745"/>
    </row>
    <row r="64" spans="2:30" s="27" customFormat="1" ht="16.5" customHeight="1">
      <c r="B64" s="591"/>
      <c r="C64" s="594"/>
      <c r="E64" s="599"/>
      <c r="F64" s="680"/>
      <c r="G64" s="681"/>
      <c r="H64" s="9"/>
      <c r="I64" s="680"/>
      <c r="J64" s="680"/>
      <c r="K64" s="9"/>
      <c r="L64" s="602"/>
      <c r="M64" s="767"/>
      <c r="N64" s="767"/>
      <c r="O64" s="768"/>
      <c r="P64" s="768"/>
      <c r="Q64" s="768"/>
      <c r="R64" s="768"/>
      <c r="S64" s="29"/>
      <c r="T64" s="9"/>
      <c r="U64" s="9"/>
      <c r="V64" s="9"/>
      <c r="W64" s="9"/>
      <c r="X64" s="29"/>
      <c r="Y64" s="29"/>
      <c r="Z64" s="29"/>
      <c r="AA64" s="29"/>
      <c r="AB64" s="29"/>
      <c r="AC64" s="602"/>
      <c r="AD64" s="745"/>
    </row>
    <row r="65" spans="1:30" ht="16.5" customHeight="1">
      <c r="A65" s="27"/>
      <c r="B65" s="591"/>
      <c r="C65" s="594"/>
      <c r="D65" s="763" t="s">
        <v>134</v>
      </c>
      <c r="E65" s="680" t="s">
        <v>135</v>
      </c>
      <c r="F65" s="680" t="s">
        <v>121</v>
      </c>
      <c r="G65" s="764" t="s">
        <v>188</v>
      </c>
      <c r="I65" s="766"/>
      <c r="J65" s="680"/>
      <c r="L65" s="765" t="s">
        <v>186</v>
      </c>
      <c r="M65" s="766"/>
      <c r="N65" s="767"/>
      <c r="O65" s="768"/>
      <c r="P65" s="768"/>
      <c r="Q65" s="768"/>
      <c r="R65" s="768"/>
      <c r="S65" s="768"/>
      <c r="AC65" s="602">
        <f>+L66</f>
        <v>0</v>
      </c>
      <c r="AD65" s="745"/>
    </row>
    <row r="66" spans="1:30" ht="16.5" customHeight="1">
      <c r="A66" s="27"/>
      <c r="B66" s="591"/>
      <c r="C66" s="594"/>
      <c r="D66" s="680" t="s">
        <v>136</v>
      </c>
      <c r="E66" s="770">
        <v>300</v>
      </c>
      <c r="F66" s="770" t="s">
        <v>137</v>
      </c>
      <c r="G66" s="771">
        <f>E66*F20*L20</f>
        <v>266277.60000000003</v>
      </c>
      <c r="H66" s="25"/>
      <c r="I66" s="25"/>
      <c r="J66" s="772"/>
      <c r="L66" s="772">
        <v>0</v>
      </c>
      <c r="M66" s="25"/>
      <c r="N66" s="2095" t="s">
        <v>325</v>
      </c>
      <c r="O66" s="847"/>
      <c r="P66" s="847"/>
      <c r="Q66" s="847"/>
      <c r="R66" s="847"/>
      <c r="S66" s="847"/>
      <c r="AC66" s="848">
        <f>G66</f>
        <v>266277.60000000003</v>
      </c>
      <c r="AD66" s="745"/>
    </row>
    <row r="67" spans="1:30" ht="16.5" customHeight="1">
      <c r="A67" s="27"/>
      <c r="B67" s="591"/>
      <c r="C67" s="594"/>
      <c r="D67" s="680" t="s">
        <v>138</v>
      </c>
      <c r="E67" s="770">
        <v>150</v>
      </c>
      <c r="F67" s="770" t="s">
        <v>139</v>
      </c>
      <c r="G67" s="771">
        <f>E67*F20*L20</f>
        <v>133138.80000000002</v>
      </c>
      <c r="H67" s="25"/>
      <c r="I67" s="25"/>
      <c r="J67" s="772"/>
      <c r="L67" s="772">
        <v>0</v>
      </c>
      <c r="M67" s="25"/>
      <c r="N67" s="2095" t="s">
        <v>325</v>
      </c>
      <c r="O67" s="847"/>
      <c r="P67" s="847"/>
      <c r="Q67" s="847"/>
      <c r="R67" s="847"/>
      <c r="S67" s="847"/>
      <c r="AC67" s="848">
        <f>G67</f>
        <v>133138.80000000002</v>
      </c>
      <c r="AD67" s="745"/>
    </row>
    <row r="68" spans="1:30" ht="16.5" customHeight="1">
      <c r="A68" s="27"/>
      <c r="B68" s="591"/>
      <c r="C68" s="594"/>
      <c r="D68" s="680"/>
      <c r="E68" s="770"/>
      <c r="F68" s="770"/>
      <c r="G68" s="771"/>
      <c r="H68" s="25"/>
      <c r="I68" s="25"/>
      <c r="J68" s="772"/>
      <c r="L68" s="772"/>
      <c r="M68" s="25"/>
      <c r="N68" s="773"/>
      <c r="O68" s="847"/>
      <c r="P68" s="847"/>
      <c r="Q68" s="847"/>
      <c r="R68" s="847"/>
      <c r="S68" s="847"/>
      <c r="AC68" s="848"/>
      <c r="AD68" s="745"/>
    </row>
    <row r="69" spans="1:30" ht="16.5" customHeight="1">
      <c r="A69" s="27"/>
      <c r="B69" s="591"/>
      <c r="C69" s="594"/>
      <c r="D69" s="763" t="s">
        <v>140</v>
      </c>
      <c r="E69" s="776" t="s">
        <v>141</v>
      </c>
      <c r="F69" s="776"/>
      <c r="G69" s="680" t="s">
        <v>121</v>
      </c>
      <c r="I69" s="766"/>
      <c r="J69" s="764" t="s">
        <v>189</v>
      </c>
      <c r="L69" s="765"/>
      <c r="M69" s="766"/>
      <c r="N69" s="767"/>
      <c r="O69" s="768"/>
      <c r="P69" s="768"/>
      <c r="Q69" s="768"/>
      <c r="R69" s="768"/>
      <c r="S69" s="768"/>
      <c r="AC69" s="602"/>
      <c r="AD69" s="745"/>
    </row>
    <row r="70" spans="1:30" ht="16.5" customHeight="1">
      <c r="A70" s="27"/>
      <c r="B70" s="591"/>
      <c r="C70" s="594"/>
      <c r="D70" s="680" t="s">
        <v>142</v>
      </c>
      <c r="E70" s="849" t="s">
        <v>143</v>
      </c>
      <c r="F70" s="850"/>
      <c r="G70" s="770">
        <v>132</v>
      </c>
      <c r="H70" s="25"/>
      <c r="I70" s="25"/>
      <c r="J70" s="771">
        <f>0*F21*L20</f>
        <v>0</v>
      </c>
      <c r="L70" s="772"/>
      <c r="M70" s="25"/>
      <c r="N70" s="773"/>
      <c r="O70" s="847"/>
      <c r="P70" s="847"/>
      <c r="Q70" s="847"/>
      <c r="R70" s="847"/>
      <c r="S70" s="847"/>
      <c r="AC70" s="848">
        <f>J70</f>
        <v>0</v>
      </c>
      <c r="AD70" s="745"/>
    </row>
    <row r="71" spans="1:30" ht="16.5" customHeight="1">
      <c r="A71" s="27"/>
      <c r="B71" s="591"/>
      <c r="C71" s="594"/>
      <c r="D71" s="680" t="s">
        <v>144</v>
      </c>
      <c r="E71" s="849" t="s">
        <v>145</v>
      </c>
      <c r="F71" s="850"/>
      <c r="G71" s="770">
        <v>500</v>
      </c>
      <c r="H71" s="25"/>
      <c r="I71" s="25"/>
      <c r="J71" s="771">
        <f>F22*L20</f>
        <v>176130.09600000002</v>
      </c>
      <c r="L71" s="772"/>
      <c r="M71" s="25"/>
      <c r="N71" s="773"/>
      <c r="O71" s="847"/>
      <c r="P71" s="847"/>
      <c r="Q71" s="847"/>
      <c r="R71" s="847"/>
      <c r="S71" s="847"/>
      <c r="AC71" s="851">
        <f>J71</f>
        <v>176130.09600000002</v>
      </c>
      <c r="AD71" s="745"/>
    </row>
    <row r="72" spans="1:30" ht="16.5" customHeight="1">
      <c r="A72" s="27"/>
      <c r="B72" s="591"/>
      <c r="C72" s="594"/>
      <c r="D72" s="756"/>
      <c r="E72" s="599"/>
      <c r="F72" s="680"/>
      <c r="G72" s="680"/>
      <c r="H72" s="681"/>
      <c r="J72" s="680"/>
      <c r="L72" s="778"/>
      <c r="M72" s="767"/>
      <c r="N72" s="767"/>
      <c r="O72" s="768"/>
      <c r="P72" s="768"/>
      <c r="Q72" s="768"/>
      <c r="R72" s="768"/>
      <c r="S72" s="768"/>
      <c r="AC72" s="593">
        <f>SUM(AC62:AC70)</f>
        <v>3012861.3764799996</v>
      </c>
      <c r="AD72" s="745"/>
    </row>
    <row r="73" spans="2:30" ht="16.5" customHeight="1">
      <c r="B73" s="591"/>
      <c r="C73" s="761" t="s">
        <v>124</v>
      </c>
      <c r="D73" s="779" t="s">
        <v>125</v>
      </c>
      <c r="E73" s="680"/>
      <c r="F73" s="780"/>
      <c r="G73" s="679"/>
      <c r="H73" s="756"/>
      <c r="I73" s="756"/>
      <c r="J73" s="756"/>
      <c r="K73" s="680"/>
      <c r="L73" s="680"/>
      <c r="M73" s="756"/>
      <c r="N73" s="680"/>
      <c r="O73" s="756"/>
      <c r="P73" s="756"/>
      <c r="Q73" s="756"/>
      <c r="R73" s="756"/>
      <c r="S73" s="756"/>
      <c r="T73" s="756"/>
      <c r="U73" s="756"/>
      <c r="AC73" s="756"/>
      <c r="AD73" s="745"/>
    </row>
    <row r="74" spans="2:30" s="27" customFormat="1" ht="16.5" customHeight="1">
      <c r="B74" s="591"/>
      <c r="C74" s="594"/>
      <c r="D74" s="763" t="s">
        <v>126</v>
      </c>
      <c r="E74" s="781">
        <f>10*K57*K26/AC72</f>
        <v>727.2528000000002</v>
      </c>
      <c r="G74" s="679"/>
      <c r="L74" s="680"/>
      <c r="N74" s="680"/>
      <c r="O74" s="681"/>
      <c r="V74" s="9"/>
      <c r="W74" s="9"/>
      <c r="AD74" s="745"/>
    </row>
    <row r="75" spans="2:30" s="27" customFormat="1" ht="16.5" customHeight="1">
      <c r="B75" s="591"/>
      <c r="C75" s="594"/>
      <c r="E75" s="782"/>
      <c r="F75" s="603"/>
      <c r="G75" s="679"/>
      <c r="J75" s="679"/>
      <c r="K75" s="694"/>
      <c r="L75" s="680"/>
      <c r="M75" s="680"/>
      <c r="N75" s="680"/>
      <c r="O75" s="681"/>
      <c r="P75" s="680"/>
      <c r="Q75" s="680"/>
      <c r="R75" s="693"/>
      <c r="S75" s="693"/>
      <c r="T75" s="693"/>
      <c r="U75" s="783"/>
      <c r="V75" s="9"/>
      <c r="W75" s="9"/>
      <c r="AC75" s="783"/>
      <c r="AD75" s="745"/>
    </row>
    <row r="76" spans="2:30" ht="16.5" customHeight="1">
      <c r="B76" s="591"/>
      <c r="C76" s="594"/>
      <c r="D76" s="784" t="s">
        <v>146</v>
      </c>
      <c r="E76" s="785"/>
      <c r="F76" s="603"/>
      <c r="G76" s="679"/>
      <c r="H76" s="756"/>
      <c r="I76" s="756"/>
      <c r="N76" s="680"/>
      <c r="O76" s="681"/>
      <c r="P76" s="680"/>
      <c r="Q76" s="680"/>
      <c r="R76" s="766"/>
      <c r="S76" s="766"/>
      <c r="T76" s="766"/>
      <c r="U76" s="767"/>
      <c r="AC76" s="767"/>
      <c r="AD76" s="745"/>
    </row>
    <row r="77" spans="2:30" ht="16.5" customHeight="1" thickBot="1">
      <c r="B77" s="591"/>
      <c r="C77" s="594"/>
      <c r="D77" s="784"/>
      <c r="E77" s="785"/>
      <c r="F77" s="603"/>
      <c r="G77" s="679"/>
      <c r="H77" s="756"/>
      <c r="I77" s="756"/>
      <c r="N77" s="680"/>
      <c r="O77" s="681"/>
      <c r="P77" s="680"/>
      <c r="Q77" s="680"/>
      <c r="R77" s="766"/>
      <c r="S77" s="766"/>
      <c r="T77" s="766"/>
      <c r="U77" s="767"/>
      <c r="AC77" s="767"/>
      <c r="AD77" s="745"/>
    </row>
    <row r="78" spans="2:30" s="786" customFormat="1" ht="21" thickBot="1" thickTop="1">
      <c r="B78" s="787"/>
      <c r="C78" s="788"/>
      <c r="D78" s="789"/>
      <c r="E78" s="790"/>
      <c r="F78" s="791"/>
      <c r="G78" s="792"/>
      <c r="I78" s="9"/>
      <c r="J78" s="793" t="s">
        <v>128</v>
      </c>
      <c r="K78" s="794">
        <f>IF(E74&gt;3*K26,K26*3,E74)</f>
        <v>727.2528000000002</v>
      </c>
      <c r="M78" s="795"/>
      <c r="N78" s="795"/>
      <c r="O78" s="796"/>
      <c r="P78" s="795"/>
      <c r="Q78" s="795"/>
      <c r="R78" s="797"/>
      <c r="S78" s="797"/>
      <c r="T78" s="797"/>
      <c r="U78" s="798"/>
      <c r="V78" s="9"/>
      <c r="W78" s="9"/>
      <c r="AC78" s="798"/>
      <c r="AD78" s="799"/>
    </row>
    <row r="79" spans="2:30" ht="16.5" customHeight="1" thickBot="1" thickTop="1">
      <c r="B79" s="65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800"/>
      <c r="W79" s="800"/>
      <c r="X79" s="800"/>
      <c r="Y79" s="800"/>
      <c r="Z79" s="800"/>
      <c r="AA79" s="800"/>
      <c r="AB79" s="800"/>
      <c r="AC79" s="67"/>
      <c r="AD79" s="801"/>
    </row>
    <row r="80" spans="2:23" ht="16.5" customHeight="1" thickTop="1">
      <c r="B80" s="238"/>
      <c r="C80" s="261"/>
      <c r="W80" s="238"/>
    </row>
  </sheetData>
  <sheetProtection password="CC12"/>
  <mergeCells count="24">
    <mergeCell ref="F43:G43"/>
    <mergeCell ref="F44:G44"/>
    <mergeCell ref="F46:G46"/>
    <mergeCell ref="F45:G45"/>
    <mergeCell ref="P51:Q51"/>
    <mergeCell ref="P40:Q40"/>
    <mergeCell ref="O47:Q47"/>
    <mergeCell ref="P37:Q37"/>
    <mergeCell ref="P38:Q38"/>
    <mergeCell ref="P39:Q39"/>
    <mergeCell ref="O46:Q46"/>
    <mergeCell ref="O45:Q45"/>
    <mergeCell ref="O43:Q43"/>
    <mergeCell ref="O44:Q44"/>
    <mergeCell ref="F54:G54"/>
    <mergeCell ref="P54:Q54"/>
    <mergeCell ref="F47:G47"/>
    <mergeCell ref="F52:G52"/>
    <mergeCell ref="P52:Q52"/>
    <mergeCell ref="F53:G53"/>
    <mergeCell ref="P53:Q53"/>
    <mergeCell ref="F50:G50"/>
    <mergeCell ref="P50:Q50"/>
    <mergeCell ref="F51:G51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5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82"/>
  <sheetViews>
    <sheetView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23.00390625" style="1324" customWidth="1"/>
    <col min="2" max="2" width="11.8515625" style="1324" customWidth="1"/>
    <col min="3" max="3" width="6.57421875" style="1324" bestFit="1" customWidth="1"/>
    <col min="4" max="4" width="27.140625" style="1324" customWidth="1"/>
    <col min="5" max="5" width="16.8515625" style="1324" customWidth="1"/>
    <col min="6" max="6" width="16.57421875" style="1324" customWidth="1"/>
    <col min="7" max="7" width="14.421875" style="1324" customWidth="1"/>
    <col min="8" max="8" width="9.8515625" style="1324" hidden="1" customWidth="1"/>
    <col min="9" max="9" width="22.00390625" style="1324" customWidth="1"/>
    <col min="10" max="10" width="21.57421875" style="1324" bestFit="1" customWidth="1"/>
    <col min="11" max="11" width="18.7109375" style="1324" customWidth="1"/>
    <col min="12" max="13" width="10.7109375" style="1324" customWidth="1"/>
    <col min="14" max="14" width="9.7109375" style="1324" customWidth="1"/>
    <col min="15" max="15" width="10.28125" style="1324" customWidth="1"/>
    <col min="16" max="16" width="11.57421875" style="1324" hidden="1" customWidth="1"/>
    <col min="17" max="17" width="14.8515625" style="1324" hidden="1" customWidth="1"/>
    <col min="18" max="19" width="4.00390625" style="1324" hidden="1" customWidth="1"/>
    <col min="20" max="20" width="13.7109375" style="1324" hidden="1" customWidth="1"/>
    <col min="21" max="21" width="14.8515625" style="1324" customWidth="1"/>
    <col min="22" max="22" width="20.7109375" style="1324" customWidth="1"/>
    <col min="23" max="23" width="12.140625" style="1324" customWidth="1"/>
    <col min="24" max="24" width="17.7109375" style="1324" customWidth="1"/>
    <col min="25" max="25" width="12.8515625" style="1324" customWidth="1"/>
    <col min="26" max="26" width="14.28125" style="1324" customWidth="1"/>
    <col min="27" max="27" width="24.28125" style="1324" customWidth="1"/>
    <col min="28" max="28" width="9.7109375" style="1324" customWidth="1"/>
    <col min="29" max="29" width="17.28125" style="1324" customWidth="1"/>
    <col min="30" max="30" width="25.7109375" style="1324" customWidth="1"/>
    <col min="31" max="31" width="4.140625" style="1324" customWidth="1"/>
    <col min="32" max="32" width="7.140625" style="1324" customWidth="1"/>
    <col min="33" max="33" width="5.28125" style="1324" customWidth="1"/>
    <col min="34" max="34" width="5.421875" style="1324" customWidth="1"/>
    <col min="35" max="35" width="4.7109375" style="1324" customWidth="1"/>
    <col min="36" max="36" width="5.28125" style="1324" customWidth="1"/>
    <col min="37" max="38" width="13.28125" style="1324" customWidth="1"/>
    <col min="39" max="39" width="6.57421875" style="1324" customWidth="1"/>
    <col min="40" max="40" width="6.421875" style="1324" customWidth="1"/>
    <col min="41" max="44" width="11.421875" style="1324" customWidth="1"/>
    <col min="45" max="45" width="12.7109375" style="1324" customWidth="1"/>
    <col min="46" max="48" width="11.421875" style="1324" customWidth="1"/>
    <col min="49" max="49" width="21.00390625" style="1324" customWidth="1"/>
    <col min="50" max="16384" width="11.421875" style="1324" customWidth="1"/>
  </cols>
  <sheetData>
    <row r="1" spans="1:30" ht="13.5">
      <c r="A1" s="1329"/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30"/>
      <c r="O1" s="1330"/>
      <c r="P1" s="1330"/>
      <c r="Q1" s="1330"/>
      <c r="R1" s="1330"/>
      <c r="S1" s="1330"/>
      <c r="T1" s="1330"/>
      <c r="U1" s="1330"/>
      <c r="V1" s="1330"/>
      <c r="W1" s="1326"/>
      <c r="AD1" s="1326"/>
    </row>
    <row r="2" spans="1:23" ht="27" customHeight="1">
      <c r="A2" s="1329"/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  <c r="U2" s="1330"/>
      <c r="V2" s="1330"/>
      <c r="W2" s="1330"/>
    </row>
    <row r="3" spans="1:30" s="1817" customFormat="1" ht="30.75">
      <c r="A3" s="1814"/>
      <c r="B3" s="1815" t="str">
        <f>'TOT-1214'!B2</f>
        <v>ANEXO I al Memorándum D.T.E.E. N° 90 /2016</v>
      </c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  <c r="P3" s="1816"/>
      <c r="Q3" s="1816"/>
      <c r="R3" s="1816"/>
      <c r="S3" s="1816"/>
      <c r="T3" s="1816"/>
      <c r="U3" s="1816"/>
      <c r="V3" s="1816"/>
      <c r="W3" s="1816"/>
      <c r="AB3" s="1816"/>
      <c r="AC3" s="1816"/>
      <c r="AD3" s="1816"/>
    </row>
    <row r="4" spans="1:2" s="1334" customFormat="1" ht="11.25">
      <c r="A4" s="2132" t="s">
        <v>2</v>
      </c>
      <c r="B4" s="1331"/>
    </row>
    <row r="5" spans="1:2" s="1334" customFormat="1" ht="12" thickBot="1">
      <c r="A5" s="2132" t="s">
        <v>3</v>
      </c>
      <c r="B5" s="2132"/>
    </row>
    <row r="6" spans="1:23" ht="16.5" customHeight="1" thickTop="1">
      <c r="A6" s="1330"/>
      <c r="B6" s="1335"/>
      <c r="C6" s="1336"/>
      <c r="D6" s="1336"/>
      <c r="E6" s="1337"/>
      <c r="F6" s="1336"/>
      <c r="G6" s="1336"/>
      <c r="H6" s="1336"/>
      <c r="I6" s="1336"/>
      <c r="J6" s="1336"/>
      <c r="K6" s="1336"/>
      <c r="L6" s="1336"/>
      <c r="M6" s="1336"/>
      <c r="N6" s="1336"/>
      <c r="O6" s="1336"/>
      <c r="P6" s="1336"/>
      <c r="Q6" s="1336"/>
      <c r="R6" s="1336"/>
      <c r="S6" s="1336"/>
      <c r="T6" s="1336"/>
      <c r="U6" s="1336"/>
      <c r="V6" s="1336"/>
      <c r="W6" s="1338"/>
    </row>
    <row r="7" spans="1:23" ht="20.25">
      <c r="A7" s="1330"/>
      <c r="B7" s="1345"/>
      <c r="C7" s="1346"/>
      <c r="D7" s="1342" t="s">
        <v>82</v>
      </c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819"/>
      <c r="Q7" s="1819"/>
      <c r="R7" s="1346"/>
      <c r="S7" s="1346"/>
      <c r="T7" s="1346"/>
      <c r="U7" s="1346"/>
      <c r="V7" s="1346"/>
      <c r="W7" s="1347"/>
    </row>
    <row r="8" spans="1:23" ht="16.5" customHeight="1">
      <c r="A8" s="1330"/>
      <c r="B8" s="1345"/>
      <c r="C8" s="1346"/>
      <c r="D8" s="1346"/>
      <c r="E8" s="1346"/>
      <c r="F8" s="1346"/>
      <c r="G8" s="1346"/>
      <c r="H8" s="1346"/>
      <c r="I8" s="1346"/>
      <c r="J8" s="1346"/>
      <c r="K8" s="1346"/>
      <c r="L8" s="1346"/>
      <c r="M8" s="1346"/>
      <c r="N8" s="1346"/>
      <c r="O8" s="1346"/>
      <c r="P8" s="1346"/>
      <c r="Q8" s="1346"/>
      <c r="R8" s="1346"/>
      <c r="S8" s="1346"/>
      <c r="T8" s="1346"/>
      <c r="U8" s="1346"/>
      <c r="V8" s="1346"/>
      <c r="W8" s="1347"/>
    </row>
    <row r="9" spans="2:23" s="1359" customFormat="1" ht="20.25">
      <c r="B9" s="1820"/>
      <c r="C9" s="1821"/>
      <c r="D9" s="1342" t="s">
        <v>83</v>
      </c>
      <c r="E9" s="1821"/>
      <c r="F9" s="1821"/>
      <c r="G9" s="1821"/>
      <c r="H9" s="1821"/>
      <c r="N9" s="1821"/>
      <c r="O9" s="1821"/>
      <c r="P9" s="1822"/>
      <c r="Q9" s="1822"/>
      <c r="R9" s="1821"/>
      <c r="S9" s="1821"/>
      <c r="T9" s="1821"/>
      <c r="U9" s="1821"/>
      <c r="V9" s="1821"/>
      <c r="W9" s="1823"/>
    </row>
    <row r="10" spans="1:23" ht="16.5" customHeight="1">
      <c r="A10" s="1330"/>
      <c r="B10" s="1345"/>
      <c r="C10" s="1346"/>
      <c r="D10" s="1346"/>
      <c r="E10" s="1346"/>
      <c r="F10" s="1346"/>
      <c r="G10" s="1346"/>
      <c r="H10" s="1346"/>
      <c r="I10" s="1346"/>
      <c r="J10" s="1346"/>
      <c r="K10" s="1346"/>
      <c r="L10" s="1346"/>
      <c r="M10" s="1346"/>
      <c r="N10" s="1346"/>
      <c r="O10" s="1346"/>
      <c r="P10" s="1346"/>
      <c r="Q10" s="1346"/>
      <c r="R10" s="1346"/>
      <c r="S10" s="1346"/>
      <c r="T10" s="1346"/>
      <c r="U10" s="1346"/>
      <c r="V10" s="1346"/>
      <c r="W10" s="1347"/>
    </row>
    <row r="11" spans="2:23" s="1359" customFormat="1" ht="20.25">
      <c r="B11" s="1820"/>
      <c r="C11" s="1821"/>
      <c r="D11" s="1342" t="s">
        <v>351</v>
      </c>
      <c r="E11" s="1821"/>
      <c r="F11" s="1821"/>
      <c r="G11" s="1821"/>
      <c r="H11" s="1821"/>
      <c r="N11" s="1821"/>
      <c r="O11" s="1821"/>
      <c r="P11" s="1822"/>
      <c r="Q11" s="1822"/>
      <c r="R11" s="1821"/>
      <c r="S11" s="1821"/>
      <c r="T11" s="1821"/>
      <c r="U11" s="1821"/>
      <c r="V11" s="1821"/>
      <c r="W11" s="1823"/>
    </row>
    <row r="12" spans="1:23" ht="16.5" customHeight="1">
      <c r="A12" s="1330"/>
      <c r="B12" s="1345"/>
      <c r="C12" s="1346"/>
      <c r="D12" s="1346"/>
      <c r="E12" s="1330"/>
      <c r="F12" s="1330"/>
      <c r="G12" s="1330"/>
      <c r="H12" s="1330"/>
      <c r="I12" s="1824"/>
      <c r="J12" s="1824"/>
      <c r="K12" s="1824"/>
      <c r="L12" s="1824"/>
      <c r="M12" s="1824"/>
      <c r="N12" s="1824"/>
      <c r="O12" s="1824"/>
      <c r="P12" s="1824"/>
      <c r="Q12" s="1824"/>
      <c r="R12" s="1346"/>
      <c r="S12" s="1346"/>
      <c r="T12" s="1346"/>
      <c r="U12" s="1346"/>
      <c r="V12" s="1346"/>
      <c r="W12" s="1347"/>
    </row>
    <row r="13" spans="2:23" s="1359" customFormat="1" ht="19.5">
      <c r="B13" s="1360" t="str">
        <f>'TOT-1214'!B14</f>
        <v>Desde el 01 al 31 de diciembre de 2014</v>
      </c>
      <c r="C13" s="1825"/>
      <c r="D13" s="1361"/>
      <c r="E13" s="1361"/>
      <c r="F13" s="1361"/>
      <c r="G13" s="1361"/>
      <c r="H13" s="1361"/>
      <c r="I13" s="1826"/>
      <c r="J13" s="1827"/>
      <c r="K13" s="1826"/>
      <c r="L13" s="1826"/>
      <c r="M13" s="1826"/>
      <c r="N13" s="1826"/>
      <c r="O13" s="1826"/>
      <c r="P13" s="1826"/>
      <c r="Q13" s="1826"/>
      <c r="R13" s="1826"/>
      <c r="S13" s="1826"/>
      <c r="T13" s="1826"/>
      <c r="U13" s="1828"/>
      <c r="V13" s="1828"/>
      <c r="W13" s="1830"/>
    </row>
    <row r="14" spans="1:23" ht="16.5" customHeight="1">
      <c r="A14" s="1330"/>
      <c r="B14" s="1345"/>
      <c r="C14" s="1346"/>
      <c r="D14" s="1346"/>
      <c r="E14" s="1364"/>
      <c r="F14" s="1364"/>
      <c r="G14" s="1346"/>
      <c r="H14" s="1346"/>
      <c r="I14" s="1346"/>
      <c r="J14" s="1831"/>
      <c r="K14" s="1346"/>
      <c r="L14" s="1346"/>
      <c r="M14" s="1346"/>
      <c r="N14" s="1330"/>
      <c r="O14" s="1330"/>
      <c r="P14" s="1346"/>
      <c r="Q14" s="1346"/>
      <c r="R14" s="1346"/>
      <c r="S14" s="1346"/>
      <c r="T14" s="1346"/>
      <c r="U14" s="1346"/>
      <c r="V14" s="1346"/>
      <c r="W14" s="1347"/>
    </row>
    <row r="15" spans="1:23" ht="16.5" customHeight="1">
      <c r="A15" s="1330"/>
      <c r="B15" s="1345"/>
      <c r="C15" s="1346"/>
      <c r="D15" s="1346"/>
      <c r="E15" s="1364"/>
      <c r="F15" s="1364"/>
      <c r="G15" s="1346"/>
      <c r="H15" s="1346"/>
      <c r="I15" s="1832"/>
      <c r="J15" s="1346"/>
      <c r="K15" s="1491"/>
      <c r="M15" s="1346"/>
      <c r="N15" s="1330"/>
      <c r="O15" s="1330"/>
      <c r="P15" s="1346"/>
      <c r="Q15" s="1346"/>
      <c r="R15" s="1346"/>
      <c r="S15" s="1346"/>
      <c r="T15" s="1346"/>
      <c r="U15" s="1346"/>
      <c r="V15" s="1346"/>
      <c r="W15" s="1347"/>
    </row>
    <row r="16" spans="1:23" ht="16.5" customHeight="1">
      <c r="A16" s="1330"/>
      <c r="B16" s="1345"/>
      <c r="C16" s="1346"/>
      <c r="D16" s="1346"/>
      <c r="E16" s="1364"/>
      <c r="F16" s="1364"/>
      <c r="G16" s="1346"/>
      <c r="H16" s="1346"/>
      <c r="I16" s="1832"/>
      <c r="J16" s="1346"/>
      <c r="K16" s="1491"/>
      <c r="M16" s="1346"/>
      <c r="N16" s="1330"/>
      <c r="O16" s="1330"/>
      <c r="P16" s="1346"/>
      <c r="Q16" s="1346"/>
      <c r="R16" s="1346"/>
      <c r="S16" s="1346"/>
      <c r="T16" s="1346"/>
      <c r="U16" s="1346"/>
      <c r="V16" s="1346"/>
      <c r="W16" s="1347"/>
    </row>
    <row r="17" spans="1:23" ht="16.5" customHeight="1" thickBot="1">
      <c r="A17" s="1330"/>
      <c r="B17" s="1345"/>
      <c r="C17" s="1833" t="s">
        <v>84</v>
      </c>
      <c r="D17" s="1834" t="s">
        <v>85</v>
      </c>
      <c r="E17" s="1364"/>
      <c r="F17" s="1364"/>
      <c r="G17" s="1346"/>
      <c r="H17" s="1346"/>
      <c r="I17" s="1346"/>
      <c r="J17" s="1831"/>
      <c r="K17" s="1346"/>
      <c r="L17" s="1346"/>
      <c r="M17" s="1346"/>
      <c r="N17" s="1330"/>
      <c r="O17" s="1330"/>
      <c r="P17" s="1346"/>
      <c r="Q17" s="1346"/>
      <c r="R17" s="1346"/>
      <c r="S17" s="1346"/>
      <c r="T17" s="1346"/>
      <c r="U17" s="1346"/>
      <c r="V17" s="1346"/>
      <c r="W17" s="1347"/>
    </row>
    <row r="18" spans="2:23" s="1835" customFormat="1" ht="16.5" customHeight="1" thickBot="1">
      <c r="B18" s="1836"/>
      <c r="C18" s="1837"/>
      <c r="D18" s="1838"/>
      <c r="E18" s="1846"/>
      <c r="F18" s="2093"/>
      <c r="G18" s="2101"/>
      <c r="H18" s="1837"/>
      <c r="I18" s="1837"/>
      <c r="J18" s="1841"/>
      <c r="K18" s="1837"/>
      <c r="L18" s="1837"/>
      <c r="M18" s="1837"/>
      <c r="N18" s="2133" t="s">
        <v>34</v>
      </c>
      <c r="P18" s="1837"/>
      <c r="Q18" s="1837"/>
      <c r="R18" s="1837"/>
      <c r="S18" s="1837"/>
      <c r="T18" s="1837"/>
      <c r="U18" s="1837"/>
      <c r="V18" s="1837"/>
      <c r="W18" s="1842"/>
    </row>
    <row r="19" spans="2:23" s="1835" customFormat="1" ht="16.5" customHeight="1">
      <c r="B19" s="1836"/>
      <c r="C19" s="1837"/>
      <c r="D19" s="2134"/>
      <c r="E19" s="1846" t="s">
        <v>88</v>
      </c>
      <c r="F19" s="1847">
        <v>0.025</v>
      </c>
      <c r="G19" s="1844"/>
      <c r="H19" s="1837"/>
      <c r="I19" s="1370"/>
      <c r="J19" s="1371"/>
      <c r="K19" s="2135" t="s">
        <v>148</v>
      </c>
      <c r="L19" s="2136"/>
      <c r="M19" s="2137">
        <v>236.734</v>
      </c>
      <c r="N19" s="2138">
        <v>200</v>
      </c>
      <c r="R19" s="1837"/>
      <c r="S19" s="1837"/>
      <c r="T19" s="1837"/>
      <c r="U19" s="1837"/>
      <c r="V19" s="1837"/>
      <c r="W19" s="1842"/>
    </row>
    <row r="20" spans="2:23" s="1835" customFormat="1" ht="16.5" customHeight="1">
      <c r="B20" s="1836"/>
      <c r="C20" s="1837"/>
      <c r="D20" s="2134"/>
      <c r="E20" s="1838" t="s">
        <v>91</v>
      </c>
      <c r="F20" s="1837">
        <f>MID(B13,16,2)*24</f>
        <v>744</v>
      </c>
      <c r="G20" s="1837" t="s">
        <v>92</v>
      </c>
      <c r="H20" s="1837"/>
      <c r="I20" s="1837"/>
      <c r="J20" s="1837"/>
      <c r="K20" s="2139" t="s">
        <v>69</v>
      </c>
      <c r="L20" s="2140"/>
      <c r="M20" s="2141" t="s">
        <v>303</v>
      </c>
      <c r="N20" s="2142">
        <v>100</v>
      </c>
      <c r="O20" s="1837"/>
      <c r="P20" s="2143"/>
      <c r="Q20" s="1837"/>
      <c r="R20" s="1837"/>
      <c r="S20" s="1837"/>
      <c r="T20" s="1837"/>
      <c r="U20" s="1837"/>
      <c r="V20" s="1837"/>
      <c r="W20" s="1842"/>
    </row>
    <row r="21" spans="2:23" s="1835" customFormat="1" ht="16.5" customHeight="1" thickBot="1">
      <c r="B21" s="1836"/>
      <c r="C21" s="1837"/>
      <c r="D21" s="2134"/>
      <c r="E21" s="1838" t="s">
        <v>149</v>
      </c>
      <c r="F21" s="1837">
        <v>1.193</v>
      </c>
      <c r="G21" s="1835" t="s">
        <v>90</v>
      </c>
      <c r="H21" s="1837"/>
      <c r="I21" s="1837"/>
      <c r="J21" s="1837"/>
      <c r="K21" s="2144" t="s">
        <v>150</v>
      </c>
      <c r="L21" s="2145"/>
      <c r="M21" s="2146">
        <v>189.391</v>
      </c>
      <c r="N21" s="2147">
        <v>40</v>
      </c>
      <c r="O21" s="1837"/>
      <c r="P21" s="2143"/>
      <c r="Q21" s="1837"/>
      <c r="R21" s="1837"/>
      <c r="S21" s="1837"/>
      <c r="T21" s="1837"/>
      <c r="U21" s="1837"/>
      <c r="V21" s="1837"/>
      <c r="W21" s="1842"/>
    </row>
    <row r="22" spans="2:23" s="1835" customFormat="1" ht="16.5" customHeight="1">
      <c r="B22" s="1836"/>
      <c r="C22" s="1837"/>
      <c r="D22" s="1837"/>
      <c r="E22" s="1852"/>
      <c r="F22" s="1837"/>
      <c r="G22" s="1837"/>
      <c r="H22" s="1837"/>
      <c r="I22" s="1837"/>
      <c r="J22" s="1837"/>
      <c r="K22" s="1837"/>
      <c r="L22" s="1837"/>
      <c r="M22" s="1837"/>
      <c r="N22" s="1837"/>
      <c r="O22" s="1837"/>
      <c r="P22" s="1837"/>
      <c r="Q22" s="1837"/>
      <c r="R22" s="1837"/>
      <c r="S22" s="1837"/>
      <c r="T22" s="1837"/>
      <c r="U22" s="1837"/>
      <c r="V22" s="1837"/>
      <c r="W22" s="1842"/>
    </row>
    <row r="23" spans="1:23" ht="16.5" customHeight="1">
      <c r="A23" s="1330"/>
      <c r="B23" s="1345"/>
      <c r="C23" s="1833" t="s">
        <v>93</v>
      </c>
      <c r="D23" s="1853" t="s">
        <v>323</v>
      </c>
      <c r="I23" s="1346"/>
      <c r="J23" s="1835"/>
      <c r="O23" s="1346"/>
      <c r="P23" s="1346"/>
      <c r="Q23" s="1346"/>
      <c r="R23" s="1346"/>
      <c r="S23" s="1346"/>
      <c r="T23" s="1346"/>
      <c r="V23" s="1346"/>
      <c r="W23" s="1347"/>
    </row>
    <row r="24" spans="1:23" ht="10.5" customHeight="1" thickBot="1">
      <c r="A24" s="1330"/>
      <c r="B24" s="1345"/>
      <c r="C24" s="1364"/>
      <c r="D24" s="1853"/>
      <c r="I24" s="1346"/>
      <c r="J24" s="1835"/>
      <c r="O24" s="1346"/>
      <c r="P24" s="1346"/>
      <c r="Q24" s="1346"/>
      <c r="R24" s="1346"/>
      <c r="S24" s="1346"/>
      <c r="T24" s="1346"/>
      <c r="V24" s="1346"/>
      <c r="W24" s="1347"/>
    </row>
    <row r="25" spans="2:23" s="1835" customFormat="1" ht="21" customHeight="1" thickBot="1" thickTop="1">
      <c r="B25" s="1836"/>
      <c r="C25" s="1840"/>
      <c r="D25" s="1324"/>
      <c r="E25" s="1324"/>
      <c r="F25" s="1324"/>
      <c r="G25" s="1324"/>
      <c r="H25" s="1324"/>
      <c r="I25" s="1854" t="s">
        <v>94</v>
      </c>
      <c r="J25" s="1855">
        <f>+V73*F19</f>
        <v>44127.2867</v>
      </c>
      <c r="L25" s="1324"/>
      <c r="S25" s="1324"/>
      <c r="T25" s="1324"/>
      <c r="U25" s="1324"/>
      <c r="W25" s="1842"/>
    </row>
    <row r="26" spans="2:23" s="1835" customFormat="1" ht="11.25" customHeight="1" thickTop="1">
      <c r="B26" s="1836"/>
      <c r="C26" s="1840"/>
      <c r="D26" s="1837"/>
      <c r="E26" s="1852"/>
      <c r="F26" s="1837"/>
      <c r="G26" s="1837"/>
      <c r="H26" s="1837"/>
      <c r="I26" s="1837"/>
      <c r="J26" s="1837"/>
      <c r="K26" s="1837"/>
      <c r="L26" s="1837"/>
      <c r="M26" s="1837"/>
      <c r="N26" s="1837"/>
      <c r="O26" s="1837"/>
      <c r="P26" s="1837"/>
      <c r="Q26" s="1837"/>
      <c r="R26" s="1837"/>
      <c r="S26" s="1837"/>
      <c r="T26" s="1837"/>
      <c r="U26" s="1324"/>
      <c r="W26" s="1842"/>
    </row>
    <row r="27" spans="1:23" ht="16.5" customHeight="1">
      <c r="A27" s="1330"/>
      <c r="B27" s="1345"/>
      <c r="C27" s="1833" t="s">
        <v>95</v>
      </c>
      <c r="D27" s="1853" t="s">
        <v>182</v>
      </c>
      <c r="E27" s="1476"/>
      <c r="F27" s="1346"/>
      <c r="G27" s="1346"/>
      <c r="H27" s="1346"/>
      <c r="I27" s="1346"/>
      <c r="J27" s="1346"/>
      <c r="K27" s="1346"/>
      <c r="L27" s="1346"/>
      <c r="M27" s="1346"/>
      <c r="N27" s="1346"/>
      <c r="O27" s="1346"/>
      <c r="P27" s="1346"/>
      <c r="Q27" s="1346"/>
      <c r="R27" s="1346"/>
      <c r="S27" s="1346"/>
      <c r="T27" s="1346"/>
      <c r="U27" s="1346"/>
      <c r="V27" s="1346"/>
      <c r="W27" s="1347"/>
    </row>
    <row r="28" spans="1:23" ht="13.5" customHeight="1" thickBot="1">
      <c r="A28" s="1835"/>
      <c r="B28" s="1345"/>
      <c r="C28" s="1840"/>
      <c r="D28" s="1840"/>
      <c r="E28" s="1944"/>
      <c r="F28" s="1852"/>
      <c r="G28" s="1945"/>
      <c r="H28" s="1945"/>
      <c r="I28" s="1946"/>
      <c r="J28" s="1946"/>
      <c r="K28" s="1946"/>
      <c r="L28" s="1946"/>
      <c r="M28" s="1946"/>
      <c r="N28" s="1946"/>
      <c r="O28" s="1947"/>
      <c r="P28" s="1946"/>
      <c r="Q28" s="1946"/>
      <c r="R28" s="2148"/>
      <c r="S28" s="2149"/>
      <c r="T28" s="2150"/>
      <c r="U28" s="2150"/>
      <c r="V28" s="2150"/>
      <c r="W28" s="1943"/>
    </row>
    <row r="29" spans="1:26" s="1330" customFormat="1" ht="33.75" customHeight="1" thickBot="1" thickTop="1">
      <c r="A29" s="1329"/>
      <c r="B29" s="1966"/>
      <c r="C29" s="1967" t="s">
        <v>28</v>
      </c>
      <c r="D29" s="1968" t="s">
        <v>58</v>
      </c>
      <c r="E29" s="1969" t="s">
        <v>59</v>
      </c>
      <c r="F29" s="2151" t="s">
        <v>60</v>
      </c>
      <c r="G29" s="1872" t="s">
        <v>31</v>
      </c>
      <c r="H29" s="1970" t="s">
        <v>35</v>
      </c>
      <c r="I29" s="1969" t="s">
        <v>36</v>
      </c>
      <c r="J29" s="1969" t="s">
        <v>37</v>
      </c>
      <c r="K29" s="1968" t="s">
        <v>61</v>
      </c>
      <c r="L29" s="1968" t="s">
        <v>39</v>
      </c>
      <c r="M29" s="1382" t="s">
        <v>113</v>
      </c>
      <c r="N29" s="1969" t="s">
        <v>42</v>
      </c>
      <c r="O29" s="2152" t="s">
        <v>62</v>
      </c>
      <c r="P29" s="1970" t="s">
        <v>115</v>
      </c>
      <c r="Q29" s="1972" t="s">
        <v>43</v>
      </c>
      <c r="R29" s="1973" t="s">
        <v>116</v>
      </c>
      <c r="S29" s="1974"/>
      <c r="T29" s="1975" t="s">
        <v>47</v>
      </c>
      <c r="U29" s="1393" t="s">
        <v>49</v>
      </c>
      <c r="V29" s="1872" t="s">
        <v>50</v>
      </c>
      <c r="W29" s="1347"/>
      <c r="Y29" s="1324"/>
      <c r="Z29" s="1324"/>
    </row>
    <row r="30" spans="1:23" ht="16.5" customHeight="1" thickTop="1">
      <c r="A30" s="1330"/>
      <c r="B30" s="1345"/>
      <c r="C30" s="1413"/>
      <c r="D30" s="1413"/>
      <c r="E30" s="1413"/>
      <c r="F30" s="1413"/>
      <c r="G30" s="2153"/>
      <c r="H30" s="2154"/>
      <c r="I30" s="1413"/>
      <c r="J30" s="1413"/>
      <c r="K30" s="1413"/>
      <c r="L30" s="1413"/>
      <c r="M30" s="1413"/>
      <c r="N30" s="1980"/>
      <c r="O30" s="2155"/>
      <c r="P30" s="2156"/>
      <c r="Q30" s="2157"/>
      <c r="R30" s="2158"/>
      <c r="S30" s="2159"/>
      <c r="T30" s="2160"/>
      <c r="U30" s="1980"/>
      <c r="V30" s="1983"/>
      <c r="W30" s="1347"/>
    </row>
    <row r="31" spans="1:23" ht="16.5" customHeight="1">
      <c r="A31" s="1330"/>
      <c r="B31" s="1345"/>
      <c r="C31" s="1896" t="s">
        <v>99</v>
      </c>
      <c r="D31" s="358" t="s">
        <v>299</v>
      </c>
      <c r="E31" s="378" t="s">
        <v>300</v>
      </c>
      <c r="F31" s="360">
        <v>300</v>
      </c>
      <c r="G31" s="361" t="s">
        <v>162</v>
      </c>
      <c r="H31" s="1986">
        <f aca="true" t="shared" si="0" ref="H31:H37">F31*$F$21</f>
        <v>357.90000000000003</v>
      </c>
      <c r="I31" s="363">
        <v>41976.370138888895</v>
      </c>
      <c r="J31" s="363">
        <v>41976.47083333333</v>
      </c>
      <c r="K31" s="1989">
        <f aca="true" t="shared" si="1" ref="K31:K37">IF(D31="","",(J31-I31)*24)</f>
        <v>2.4166666665114462</v>
      </c>
      <c r="L31" s="1990">
        <f aca="true" t="shared" si="2" ref="L31:L37">IF(D31="","",(J31-I31)*24*60)</f>
        <v>144.99999999068677</v>
      </c>
      <c r="M31" s="2161" t="s">
        <v>198</v>
      </c>
      <c r="N31" s="1992" t="str">
        <f aca="true" t="shared" si="3" ref="N31:N37">IF(D31="","",IF(OR(M31="P",M31="RP"),"--","NO"))</f>
        <v>--</v>
      </c>
      <c r="O31" s="2162" t="str">
        <f aca="true" t="shared" si="4" ref="O31:O37">IF(D31="","","NO")</f>
        <v>NO</v>
      </c>
      <c r="P31" s="2163">
        <f aca="true" t="shared" si="5" ref="P31:P37">200*IF(O31="SI",1,0.1)*IF(M31="P",0.1,1)</f>
        <v>2</v>
      </c>
      <c r="Q31" s="1994">
        <f aca="true" t="shared" si="6" ref="Q31:Q37">IF(M31="P",H31*P31*ROUND(L31/60,2),"--")</f>
        <v>1732.236</v>
      </c>
      <c r="R31" s="1995" t="str">
        <f aca="true" t="shared" si="7" ref="R31:R37">IF(AND(M31="F",N31="NO"),H31*P31,"--")</f>
        <v>--</v>
      </c>
      <c r="S31" s="1996" t="str">
        <f aca="true" t="shared" si="8" ref="S31:S37">IF(M31="F",H31*P31*ROUND(L31/60,2),"--")</f>
        <v>--</v>
      </c>
      <c r="T31" s="1997" t="str">
        <f aca="true" t="shared" si="9" ref="T31:T37">IF(M31="RF",H31*P31*ROUND(L31/60,2),"--")</f>
        <v>--</v>
      </c>
      <c r="U31" s="2001" t="str">
        <f aca="true" t="shared" si="10" ref="U31:U37">IF(D31="","","SI")</f>
        <v>SI</v>
      </c>
      <c r="V31" s="2002">
        <f aca="true" t="shared" si="11" ref="V31:V37">IF(D31="","",SUM(Q31:T31)*IF(U31="SI",1,2))</f>
        <v>1732.236</v>
      </c>
      <c r="W31" s="1943"/>
    </row>
    <row r="32" spans="1:23" ht="16.5" customHeight="1">
      <c r="A32" s="1330"/>
      <c r="B32" s="1345"/>
      <c r="C32" s="1896" t="s">
        <v>100</v>
      </c>
      <c r="D32" s="358" t="s">
        <v>299</v>
      </c>
      <c r="E32" s="378" t="s">
        <v>300</v>
      </c>
      <c r="F32" s="360">
        <v>300</v>
      </c>
      <c r="G32" s="361" t="s">
        <v>162</v>
      </c>
      <c r="H32" s="1986">
        <f t="shared" si="0"/>
        <v>357.90000000000003</v>
      </c>
      <c r="I32" s="363">
        <v>41978.379166666666</v>
      </c>
      <c r="J32" s="363">
        <v>41978.57986111111</v>
      </c>
      <c r="K32" s="1989">
        <f t="shared" si="1"/>
        <v>4.816666666651145</v>
      </c>
      <c r="L32" s="1990">
        <f t="shared" si="2"/>
        <v>288.9999999990687</v>
      </c>
      <c r="M32" s="2161" t="s">
        <v>198</v>
      </c>
      <c r="N32" s="1992" t="str">
        <f t="shared" si="3"/>
        <v>--</v>
      </c>
      <c r="O32" s="2162" t="str">
        <f t="shared" si="4"/>
        <v>NO</v>
      </c>
      <c r="P32" s="2163">
        <f t="shared" si="5"/>
        <v>2</v>
      </c>
      <c r="Q32" s="1994">
        <f t="shared" si="6"/>
        <v>3450.1560000000004</v>
      </c>
      <c r="R32" s="1995" t="str">
        <f t="shared" si="7"/>
        <v>--</v>
      </c>
      <c r="S32" s="1996" t="str">
        <f t="shared" si="8"/>
        <v>--</v>
      </c>
      <c r="T32" s="1997" t="str">
        <f t="shared" si="9"/>
        <v>--</v>
      </c>
      <c r="U32" s="2001" t="str">
        <f t="shared" si="10"/>
        <v>SI</v>
      </c>
      <c r="V32" s="2002">
        <f t="shared" si="11"/>
        <v>3450.1560000000004</v>
      </c>
      <c r="W32" s="1943"/>
    </row>
    <row r="33" spans="1:23" ht="16.5" customHeight="1">
      <c r="A33" s="1330"/>
      <c r="B33" s="1345"/>
      <c r="C33" s="1896" t="s">
        <v>101</v>
      </c>
      <c r="D33" s="358" t="s">
        <v>246</v>
      </c>
      <c r="E33" s="378" t="s">
        <v>301</v>
      </c>
      <c r="F33" s="360">
        <v>300</v>
      </c>
      <c r="G33" s="361" t="s">
        <v>162</v>
      </c>
      <c r="H33" s="1986">
        <f t="shared" si="0"/>
        <v>357.90000000000003</v>
      </c>
      <c r="I33" s="363">
        <v>41980.367361111115</v>
      </c>
      <c r="J33" s="363">
        <v>41980.38958333333</v>
      </c>
      <c r="K33" s="1989">
        <f t="shared" si="1"/>
        <v>0.5333333331509493</v>
      </c>
      <c r="L33" s="1990">
        <f t="shared" si="2"/>
        <v>31.99999998905696</v>
      </c>
      <c r="M33" s="2161" t="s">
        <v>198</v>
      </c>
      <c r="N33" s="1992" t="str">
        <f t="shared" si="3"/>
        <v>--</v>
      </c>
      <c r="O33" s="2162" t="str">
        <f t="shared" si="4"/>
        <v>NO</v>
      </c>
      <c r="P33" s="2163">
        <f t="shared" si="5"/>
        <v>2</v>
      </c>
      <c r="Q33" s="1994">
        <f t="shared" si="6"/>
        <v>379.3740000000001</v>
      </c>
      <c r="R33" s="1995" t="str">
        <f t="shared" si="7"/>
        <v>--</v>
      </c>
      <c r="S33" s="1996" t="str">
        <f t="shared" si="8"/>
        <v>--</v>
      </c>
      <c r="T33" s="1997" t="str">
        <f t="shared" si="9"/>
        <v>--</v>
      </c>
      <c r="U33" s="2001" t="str">
        <f t="shared" si="10"/>
        <v>SI</v>
      </c>
      <c r="V33" s="2002">
        <f t="shared" si="11"/>
        <v>379.3740000000001</v>
      </c>
      <c r="W33" s="1943"/>
    </row>
    <row r="34" spans="1:23" ht="16.5" customHeight="1">
      <c r="A34" s="1330"/>
      <c r="B34" s="1345"/>
      <c r="C34" s="1896" t="s">
        <v>102</v>
      </c>
      <c r="D34" s="358" t="s">
        <v>246</v>
      </c>
      <c r="E34" s="378" t="s">
        <v>301</v>
      </c>
      <c r="F34" s="360">
        <v>300</v>
      </c>
      <c r="G34" s="361" t="s">
        <v>162</v>
      </c>
      <c r="H34" s="1986">
        <f t="shared" si="0"/>
        <v>357.90000000000003</v>
      </c>
      <c r="I34" s="363">
        <v>41982.279861111114</v>
      </c>
      <c r="J34" s="363">
        <v>41982.28055555555</v>
      </c>
      <c r="K34" s="1989">
        <f t="shared" si="1"/>
        <v>0.016666666546370834</v>
      </c>
      <c r="L34" s="1990">
        <f t="shared" si="2"/>
        <v>0.99999999278225</v>
      </c>
      <c r="M34" s="2161" t="s">
        <v>198</v>
      </c>
      <c r="N34" s="1992" t="str">
        <f t="shared" si="3"/>
        <v>--</v>
      </c>
      <c r="O34" s="2162" t="str">
        <f t="shared" si="4"/>
        <v>NO</v>
      </c>
      <c r="P34" s="2163">
        <f t="shared" si="5"/>
        <v>2</v>
      </c>
      <c r="Q34" s="1994">
        <f t="shared" si="6"/>
        <v>14.316000000000003</v>
      </c>
      <c r="R34" s="1995" t="str">
        <f t="shared" si="7"/>
        <v>--</v>
      </c>
      <c r="S34" s="1996" t="str">
        <f t="shared" si="8"/>
        <v>--</v>
      </c>
      <c r="T34" s="1997" t="str">
        <f t="shared" si="9"/>
        <v>--</v>
      </c>
      <c r="U34" s="2001" t="str">
        <f t="shared" si="10"/>
        <v>SI</v>
      </c>
      <c r="V34" s="2002">
        <f t="shared" si="11"/>
        <v>14.316000000000003</v>
      </c>
      <c r="W34" s="1943"/>
    </row>
    <row r="35" spans="1:23" ht="16.5" customHeight="1">
      <c r="A35" s="1330"/>
      <c r="B35" s="1345"/>
      <c r="C35" s="1896" t="s">
        <v>103</v>
      </c>
      <c r="D35" s="358" t="s">
        <v>302</v>
      </c>
      <c r="E35" s="378" t="s">
        <v>301</v>
      </c>
      <c r="F35" s="360">
        <v>300</v>
      </c>
      <c r="G35" s="361" t="s">
        <v>162</v>
      </c>
      <c r="H35" s="1986">
        <f t="shared" si="0"/>
        <v>357.90000000000003</v>
      </c>
      <c r="I35" s="363">
        <v>41987.35555555556</v>
      </c>
      <c r="J35" s="363">
        <v>41987.588888888895</v>
      </c>
      <c r="K35" s="1989">
        <f t="shared" si="1"/>
        <v>5.600000000093132</v>
      </c>
      <c r="L35" s="1990">
        <f t="shared" si="2"/>
        <v>336.00000000558794</v>
      </c>
      <c r="M35" s="2161" t="s">
        <v>198</v>
      </c>
      <c r="N35" s="1992" t="str">
        <f t="shared" si="3"/>
        <v>--</v>
      </c>
      <c r="O35" s="2162" t="str">
        <f t="shared" si="4"/>
        <v>NO</v>
      </c>
      <c r="P35" s="2163">
        <f t="shared" si="5"/>
        <v>2</v>
      </c>
      <c r="Q35" s="1994">
        <f t="shared" si="6"/>
        <v>4008.48</v>
      </c>
      <c r="R35" s="1995" t="str">
        <f t="shared" si="7"/>
        <v>--</v>
      </c>
      <c r="S35" s="1996" t="str">
        <f t="shared" si="8"/>
        <v>--</v>
      </c>
      <c r="T35" s="1997" t="str">
        <f t="shared" si="9"/>
        <v>--</v>
      </c>
      <c r="U35" s="2001" t="str">
        <f t="shared" si="10"/>
        <v>SI</v>
      </c>
      <c r="V35" s="2002">
        <f t="shared" si="11"/>
        <v>4008.48</v>
      </c>
      <c r="W35" s="1943"/>
    </row>
    <row r="36" spans="1:23" ht="16.5" customHeight="1">
      <c r="A36" s="1330"/>
      <c r="B36" s="1345"/>
      <c r="C36" s="1896" t="s">
        <v>104</v>
      </c>
      <c r="D36" s="2164"/>
      <c r="E36" s="2165"/>
      <c r="F36" s="2166"/>
      <c r="G36" s="2167"/>
      <c r="H36" s="1986">
        <f t="shared" si="0"/>
        <v>0</v>
      </c>
      <c r="I36" s="2168"/>
      <c r="J36" s="2168"/>
      <c r="K36" s="1989">
        <f t="shared" si="1"/>
      </c>
      <c r="L36" s="1990">
        <f t="shared" si="2"/>
      </c>
      <c r="M36" s="2161"/>
      <c r="N36" s="1992">
        <f t="shared" si="3"/>
      </c>
      <c r="O36" s="2162">
        <f t="shared" si="4"/>
      </c>
      <c r="P36" s="2163">
        <f t="shared" si="5"/>
        <v>20</v>
      </c>
      <c r="Q36" s="1994" t="str">
        <f t="shared" si="6"/>
        <v>--</v>
      </c>
      <c r="R36" s="1995" t="str">
        <f t="shared" si="7"/>
        <v>--</v>
      </c>
      <c r="S36" s="1996" t="str">
        <f t="shared" si="8"/>
        <v>--</v>
      </c>
      <c r="T36" s="1997" t="str">
        <f t="shared" si="9"/>
        <v>--</v>
      </c>
      <c r="U36" s="2001">
        <f t="shared" si="10"/>
      </c>
      <c r="V36" s="2002">
        <f t="shared" si="11"/>
      </c>
      <c r="W36" s="1943"/>
    </row>
    <row r="37" spans="1:23" ht="16.5" customHeight="1">
      <c r="A37" s="1330"/>
      <c r="B37" s="1345"/>
      <c r="C37" s="1920" t="s">
        <v>105</v>
      </c>
      <c r="D37" s="2169"/>
      <c r="E37" s="2170"/>
      <c r="F37" s="2171"/>
      <c r="G37" s="2172"/>
      <c r="H37" s="1986">
        <f t="shared" si="0"/>
        <v>0</v>
      </c>
      <c r="I37" s="2003"/>
      <c r="J37" s="2003"/>
      <c r="K37" s="1989">
        <f t="shared" si="1"/>
      </c>
      <c r="L37" s="1990">
        <f t="shared" si="2"/>
      </c>
      <c r="M37" s="2173"/>
      <c r="N37" s="1992">
        <f t="shared" si="3"/>
      </c>
      <c r="O37" s="2162">
        <f t="shared" si="4"/>
      </c>
      <c r="P37" s="2163">
        <f t="shared" si="5"/>
        <v>20</v>
      </c>
      <c r="Q37" s="1994" t="str">
        <f t="shared" si="6"/>
        <v>--</v>
      </c>
      <c r="R37" s="1995" t="str">
        <f t="shared" si="7"/>
        <v>--</v>
      </c>
      <c r="S37" s="1996" t="str">
        <f t="shared" si="8"/>
        <v>--</v>
      </c>
      <c r="T37" s="1997" t="str">
        <f t="shared" si="9"/>
        <v>--</v>
      </c>
      <c r="U37" s="2001">
        <f t="shared" si="10"/>
      </c>
      <c r="V37" s="2002">
        <f t="shared" si="11"/>
      </c>
      <c r="W37" s="1943"/>
    </row>
    <row r="38" spans="1:23" ht="16.5" customHeight="1" thickBot="1">
      <c r="A38" s="1835"/>
      <c r="B38" s="1345"/>
      <c r="C38" s="2004"/>
      <c r="D38" s="2005"/>
      <c r="E38" s="2006"/>
      <c r="F38" s="2174"/>
      <c r="G38" s="2175"/>
      <c r="H38" s="2176"/>
      <c r="I38" s="2008"/>
      <c r="J38" s="2009"/>
      <c r="K38" s="2010"/>
      <c r="L38" s="2011"/>
      <c r="M38" s="2012"/>
      <c r="N38" s="1456"/>
      <c r="O38" s="2177"/>
      <c r="P38" s="2178"/>
      <c r="Q38" s="2179"/>
      <c r="R38" s="2180"/>
      <c r="S38" s="2181"/>
      <c r="T38" s="2182"/>
      <c r="U38" s="2016"/>
      <c r="V38" s="2017"/>
      <c r="W38" s="1943"/>
    </row>
    <row r="39" spans="1:23" ht="16.5" customHeight="1" thickBot="1" thickTop="1">
      <c r="A39" s="1835"/>
      <c r="B39" s="1345"/>
      <c r="C39" s="2018"/>
      <c r="D39" s="1476"/>
      <c r="E39" s="1476"/>
      <c r="F39" s="2019"/>
      <c r="G39" s="2020"/>
      <c r="H39" s="2021"/>
      <c r="I39" s="2022"/>
      <c r="J39" s="2023"/>
      <c r="K39" s="2024"/>
      <c r="L39" s="2025"/>
      <c r="M39" s="2021"/>
      <c r="N39" s="2026"/>
      <c r="O39" s="1478"/>
      <c r="P39" s="2027"/>
      <c r="Q39" s="2067"/>
      <c r="R39" s="2071"/>
      <c r="S39" s="2071"/>
      <c r="T39" s="2071"/>
      <c r="U39" s="2068"/>
      <c r="V39" s="2031">
        <f>SUM(V30:V38)</f>
        <v>9584.562</v>
      </c>
      <c r="W39" s="1943"/>
    </row>
    <row r="40" spans="1:23" ht="16.5" customHeight="1" thickBot="1" thickTop="1">
      <c r="A40" s="1835"/>
      <c r="B40" s="1345"/>
      <c r="C40" s="2018"/>
      <c r="D40" s="1476"/>
      <c r="E40" s="1476"/>
      <c r="F40" s="2019"/>
      <c r="G40" s="2020"/>
      <c r="H40" s="2021"/>
      <c r="I40" s="2022"/>
      <c r="L40" s="2025"/>
      <c r="M40" s="2021"/>
      <c r="N40" s="2069"/>
      <c r="O40" s="2070"/>
      <c r="P40" s="2027"/>
      <c r="Q40" s="2067"/>
      <c r="R40" s="2071"/>
      <c r="S40" s="2071"/>
      <c r="T40" s="2071"/>
      <c r="U40" s="2068"/>
      <c r="V40" s="2068"/>
      <c r="W40" s="1943"/>
    </row>
    <row r="41" spans="2:23" s="1330" customFormat="1" ht="33.75" customHeight="1" thickBot="1" thickTop="1">
      <c r="B41" s="1345"/>
      <c r="C41" s="1374" t="s">
        <v>28</v>
      </c>
      <c r="D41" s="1377" t="s">
        <v>58</v>
      </c>
      <c r="E41" s="2522" t="s">
        <v>59</v>
      </c>
      <c r="F41" s="2573"/>
      <c r="G41" s="1393" t="s">
        <v>31</v>
      </c>
      <c r="H41" s="1970" t="s">
        <v>35</v>
      </c>
      <c r="I41" s="1375" t="s">
        <v>36</v>
      </c>
      <c r="J41" s="2033" t="s">
        <v>37</v>
      </c>
      <c r="K41" s="2183" t="s">
        <v>38</v>
      </c>
      <c r="L41" s="2183" t="s">
        <v>39</v>
      </c>
      <c r="M41" s="1382" t="s">
        <v>179</v>
      </c>
      <c r="N41" s="2522" t="s">
        <v>42</v>
      </c>
      <c r="O41" s="2523"/>
      <c r="P41" s="1860" t="s">
        <v>34</v>
      </c>
      <c r="Q41" s="2184" t="s">
        <v>71</v>
      </c>
      <c r="R41" s="2185" t="s">
        <v>72</v>
      </c>
      <c r="S41" s="2186"/>
      <c r="T41" s="2187" t="s">
        <v>47</v>
      </c>
      <c r="U41" s="1393" t="s">
        <v>49</v>
      </c>
      <c r="V41" s="1872" t="s">
        <v>50</v>
      </c>
      <c r="W41" s="2188"/>
    </row>
    <row r="42" spans="2:23" s="1330" customFormat="1" ht="16.5" customHeight="1" thickTop="1">
      <c r="B42" s="1345"/>
      <c r="C42" s="1873"/>
      <c r="D42" s="2189"/>
      <c r="E42" s="2574"/>
      <c r="F42" s="2575"/>
      <c r="G42" s="2189"/>
      <c r="H42" s="2190"/>
      <c r="I42" s="2189"/>
      <c r="J42" s="2189"/>
      <c r="K42" s="2189"/>
      <c r="L42" s="2189"/>
      <c r="M42" s="2189"/>
      <c r="N42" s="2576"/>
      <c r="O42" s="2577"/>
      <c r="P42" s="2191"/>
      <c r="Q42" s="2192"/>
      <c r="R42" s="2193"/>
      <c r="S42" s="2194"/>
      <c r="T42" s="1997"/>
      <c r="U42" s="2189"/>
      <c r="V42" s="2195"/>
      <c r="W42" s="2188"/>
    </row>
    <row r="43" spans="2:23" s="1330" customFormat="1" ht="16.5" customHeight="1">
      <c r="B43" s="1345"/>
      <c r="C43" s="1896" t="s">
        <v>99</v>
      </c>
      <c r="D43" s="485" t="s">
        <v>242</v>
      </c>
      <c r="E43" s="2540" t="str">
        <f>'SA-TIBA-12 (1)'!G22</f>
        <v>SALIDA LINEA PBUENA 2</v>
      </c>
      <c r="F43" s="2541"/>
      <c r="G43" s="486">
        <v>500</v>
      </c>
      <c r="H43" s="2196">
        <f aca="true" t="shared" si="12" ref="H43:H55">IF(G43=500,$M$19,IF(G43=220,$M$20,$M$21))</f>
        <v>236.734</v>
      </c>
      <c r="I43" s="488">
        <v>41973.43541666667</v>
      </c>
      <c r="J43" s="489">
        <v>41974.73819444444</v>
      </c>
      <c r="K43" s="2050">
        <f aca="true" t="shared" si="13" ref="K43:K55">IF(D43="","",(J43-I43)*24)</f>
        <v>31.26666666660458</v>
      </c>
      <c r="L43" s="1900">
        <f aca="true" t="shared" si="14" ref="L43:L55">IF(D43="","",ROUND((J43-I43)*24*60,0))</f>
        <v>1876</v>
      </c>
      <c r="M43" s="646" t="s">
        <v>198</v>
      </c>
      <c r="N43" s="2516" t="str">
        <f aca="true" t="shared" si="15" ref="N43:N56">IF(D43="","",IF(OR(M43="P",M43="RP"),"--","NO"))</f>
        <v>--</v>
      </c>
      <c r="O43" s="2517"/>
      <c r="P43" s="2197">
        <f aca="true" t="shared" si="16" ref="P43:P55">IF(G43=500,$N$19,IF(G43=220,$N$20,$N$21))</f>
        <v>200</v>
      </c>
      <c r="Q43" s="2198">
        <f aca="true" t="shared" si="17" ref="Q43:Q55">IF(M43="P",H43*P43*ROUND(L43/60,2)*0.1,"--")</f>
        <v>148053.4436</v>
      </c>
      <c r="R43" s="2193" t="str">
        <f aca="true" t="shared" si="18" ref="R43:R55">IF(AND(M43="F",N43="NO"),H43*P43,"--")</f>
        <v>--</v>
      </c>
      <c r="S43" s="2194" t="str">
        <f aca="true" t="shared" si="19" ref="S43:S55">IF(M43="F",H43*P43*ROUND(L43/60,2),"--")</f>
        <v>--</v>
      </c>
      <c r="T43" s="1997" t="str">
        <f aca="true" t="shared" si="20" ref="T43:T55">IF(M43="RF",H43*P43*ROUND(L43/60,2),"--")</f>
        <v>--</v>
      </c>
      <c r="U43" s="2199" t="str">
        <f aca="true" t="shared" si="21" ref="U43:U55">IF(D43="","","SI")</f>
        <v>SI</v>
      </c>
      <c r="V43" s="2060">
        <f aca="true" t="shared" si="22" ref="V43:V55">IF(D43="","",SUM(Q43:T43)*IF(U43="SI",1,2))</f>
        <v>148053.4436</v>
      </c>
      <c r="W43" s="2188"/>
    </row>
    <row r="44" spans="2:23" s="1330" customFormat="1" ht="16.5" customHeight="1">
      <c r="B44" s="1345"/>
      <c r="C44" s="1896" t="s">
        <v>100</v>
      </c>
      <c r="D44" s="485" t="s">
        <v>242</v>
      </c>
      <c r="E44" s="2540" t="str">
        <f>'SA-TIBA-12 (1)'!G23</f>
        <v>SALIDA A PETROQUIMICA</v>
      </c>
      <c r="F44" s="2541"/>
      <c r="G44" s="486">
        <v>132</v>
      </c>
      <c r="H44" s="2196">
        <f t="shared" si="12"/>
        <v>189.391</v>
      </c>
      <c r="I44" s="488">
        <v>41976.43958333333</v>
      </c>
      <c r="J44" s="489">
        <v>41976.64027777778</v>
      </c>
      <c r="K44" s="2050">
        <f t="shared" si="13"/>
        <v>4.816666666651145</v>
      </c>
      <c r="L44" s="1900">
        <f t="shared" si="14"/>
        <v>289</v>
      </c>
      <c r="M44" s="646" t="s">
        <v>198</v>
      </c>
      <c r="N44" s="2516" t="str">
        <f t="shared" si="15"/>
        <v>--</v>
      </c>
      <c r="O44" s="2517"/>
      <c r="P44" s="2197">
        <f t="shared" si="16"/>
        <v>40</v>
      </c>
      <c r="Q44" s="2198">
        <f t="shared" si="17"/>
        <v>3651.45848</v>
      </c>
      <c r="R44" s="2193" t="str">
        <f t="shared" si="18"/>
        <v>--</v>
      </c>
      <c r="S44" s="2194" t="str">
        <f t="shared" si="19"/>
        <v>--</v>
      </c>
      <c r="T44" s="1997" t="str">
        <f t="shared" si="20"/>
        <v>--</v>
      </c>
      <c r="U44" s="2199" t="str">
        <f t="shared" si="21"/>
        <v>SI</v>
      </c>
      <c r="V44" s="2060">
        <f t="shared" si="22"/>
        <v>3651.45848</v>
      </c>
      <c r="W44" s="2188"/>
    </row>
    <row r="45" spans="2:23" s="1330" customFormat="1" ht="16.5" customHeight="1">
      <c r="B45" s="1345"/>
      <c r="C45" s="1896" t="s">
        <v>101</v>
      </c>
      <c r="D45" s="485" t="s">
        <v>242</v>
      </c>
      <c r="E45" s="2540" t="str">
        <f>'SA-TIBA-12 (1)'!G24</f>
        <v>SALIDA A COOP. P. ALTA</v>
      </c>
      <c r="F45" s="2541"/>
      <c r="G45" s="486">
        <v>132</v>
      </c>
      <c r="H45" s="2196">
        <f t="shared" si="12"/>
        <v>189.391</v>
      </c>
      <c r="I45" s="488">
        <v>41982.42152777778</v>
      </c>
      <c r="J45" s="489">
        <v>41982.60555555556</v>
      </c>
      <c r="K45" s="2050">
        <f t="shared" si="13"/>
        <v>4.416666666744277</v>
      </c>
      <c r="L45" s="1900">
        <f t="shared" si="14"/>
        <v>265</v>
      </c>
      <c r="M45" s="646" t="s">
        <v>198</v>
      </c>
      <c r="N45" s="2516" t="str">
        <f t="shared" si="15"/>
        <v>--</v>
      </c>
      <c r="O45" s="2517"/>
      <c r="P45" s="2197">
        <f t="shared" si="16"/>
        <v>40</v>
      </c>
      <c r="Q45" s="2198">
        <f t="shared" si="17"/>
        <v>3348.43288</v>
      </c>
      <c r="R45" s="2193" t="str">
        <f t="shared" si="18"/>
        <v>--</v>
      </c>
      <c r="S45" s="2194" t="str">
        <f t="shared" si="19"/>
        <v>--</v>
      </c>
      <c r="T45" s="1997" t="str">
        <f t="shared" si="20"/>
        <v>--</v>
      </c>
      <c r="U45" s="2199" t="str">
        <f t="shared" si="21"/>
        <v>SI</v>
      </c>
      <c r="V45" s="2060">
        <f t="shared" si="22"/>
        <v>3348.43288</v>
      </c>
      <c r="W45" s="2188"/>
    </row>
    <row r="46" spans="2:23" s="1330" customFormat="1" ht="16.5" customHeight="1">
      <c r="B46" s="1345"/>
      <c r="C46" s="1896" t="s">
        <v>102</v>
      </c>
      <c r="D46" s="485" t="s">
        <v>246</v>
      </c>
      <c r="E46" s="2540" t="str">
        <f>'SA-TIBA-12 (1)'!G25</f>
        <v>SALIDA A HENDERSON</v>
      </c>
      <c r="F46" s="2541"/>
      <c r="G46" s="486">
        <v>132</v>
      </c>
      <c r="H46" s="2196">
        <f t="shared" si="12"/>
        <v>189.391</v>
      </c>
      <c r="I46" s="488">
        <v>41988.37291666667</v>
      </c>
      <c r="J46" s="489">
        <v>41988.72361111111</v>
      </c>
      <c r="K46" s="2050">
        <f t="shared" si="13"/>
        <v>8.41666666668607</v>
      </c>
      <c r="L46" s="1900">
        <f t="shared" si="14"/>
        <v>505</v>
      </c>
      <c r="M46" s="646" t="s">
        <v>198</v>
      </c>
      <c r="N46" s="2516" t="str">
        <f t="shared" si="15"/>
        <v>--</v>
      </c>
      <c r="O46" s="2517"/>
      <c r="P46" s="2197">
        <f t="shared" si="16"/>
        <v>40</v>
      </c>
      <c r="Q46" s="2198">
        <f t="shared" si="17"/>
        <v>6378.68888</v>
      </c>
      <c r="R46" s="2193" t="str">
        <f t="shared" si="18"/>
        <v>--</v>
      </c>
      <c r="S46" s="2194" t="str">
        <f t="shared" si="19"/>
        <v>--</v>
      </c>
      <c r="T46" s="1997" t="str">
        <f t="shared" si="20"/>
        <v>--</v>
      </c>
      <c r="U46" s="2199" t="str">
        <f t="shared" si="21"/>
        <v>SI</v>
      </c>
      <c r="V46" s="2060">
        <f t="shared" si="22"/>
        <v>6378.68888</v>
      </c>
      <c r="W46" s="2188"/>
    </row>
    <row r="47" spans="2:23" s="1330" customFormat="1" ht="16.5" customHeight="1">
      <c r="B47" s="1345"/>
      <c r="C47" s="1896" t="s">
        <v>103</v>
      </c>
      <c r="D47" s="485" t="s">
        <v>242</v>
      </c>
      <c r="E47" s="2540" t="str">
        <f>'SA-TIBA-12 (1)'!G26</f>
        <v>SALIDA PETROQUIMICA 3</v>
      </c>
      <c r="F47" s="2541"/>
      <c r="G47" s="486">
        <v>132</v>
      </c>
      <c r="H47" s="2196">
        <f t="shared" si="12"/>
        <v>189.391</v>
      </c>
      <c r="I47" s="488">
        <v>41988.395833333336</v>
      </c>
      <c r="J47" s="489">
        <v>41988.59375</v>
      </c>
      <c r="K47" s="2050">
        <f t="shared" si="13"/>
        <v>4.749999999941792</v>
      </c>
      <c r="L47" s="1900">
        <f t="shared" si="14"/>
        <v>285</v>
      </c>
      <c r="M47" s="646" t="s">
        <v>198</v>
      </c>
      <c r="N47" s="2516" t="str">
        <f t="shared" si="15"/>
        <v>--</v>
      </c>
      <c r="O47" s="2517"/>
      <c r="P47" s="2197">
        <f t="shared" si="16"/>
        <v>40</v>
      </c>
      <c r="Q47" s="2198">
        <f t="shared" si="17"/>
        <v>3598.4289999999996</v>
      </c>
      <c r="R47" s="2193" t="str">
        <f t="shared" si="18"/>
        <v>--</v>
      </c>
      <c r="S47" s="2194" t="str">
        <f t="shared" si="19"/>
        <v>--</v>
      </c>
      <c r="T47" s="1997" t="str">
        <f t="shared" si="20"/>
        <v>--</v>
      </c>
      <c r="U47" s="2199" t="str">
        <f t="shared" si="21"/>
        <v>SI</v>
      </c>
      <c r="V47" s="2060">
        <f t="shared" si="22"/>
        <v>3598.4289999999996</v>
      </c>
      <c r="W47" s="2188"/>
    </row>
    <row r="48" spans="2:23" s="1330" customFormat="1" ht="16.5" customHeight="1">
      <c r="B48" s="1345"/>
      <c r="C48" s="1896" t="s">
        <v>104</v>
      </c>
      <c r="D48" s="485" t="s">
        <v>246</v>
      </c>
      <c r="E48" s="2540" t="str">
        <f>'SA-TIBA-12 (1)'!G27</f>
        <v>SALIDA A HENDERSON</v>
      </c>
      <c r="F48" s="2541"/>
      <c r="G48" s="486">
        <v>132</v>
      </c>
      <c r="H48" s="2196">
        <f t="shared" si="12"/>
        <v>189.391</v>
      </c>
      <c r="I48" s="488">
        <v>41989.35902777778</v>
      </c>
      <c r="J48" s="489">
        <v>41989.73541666667</v>
      </c>
      <c r="K48" s="2050">
        <f t="shared" si="13"/>
        <v>9.033333333441988</v>
      </c>
      <c r="L48" s="1900">
        <f t="shared" si="14"/>
        <v>542</v>
      </c>
      <c r="M48" s="646" t="s">
        <v>198</v>
      </c>
      <c r="N48" s="2516" t="str">
        <f t="shared" si="15"/>
        <v>--</v>
      </c>
      <c r="O48" s="2517"/>
      <c r="P48" s="2197">
        <f t="shared" si="16"/>
        <v>40</v>
      </c>
      <c r="Q48" s="2198">
        <f t="shared" si="17"/>
        <v>6840.802919999999</v>
      </c>
      <c r="R48" s="2193" t="str">
        <f t="shared" si="18"/>
        <v>--</v>
      </c>
      <c r="S48" s="2194" t="str">
        <f t="shared" si="19"/>
        <v>--</v>
      </c>
      <c r="T48" s="1997" t="str">
        <f t="shared" si="20"/>
        <v>--</v>
      </c>
      <c r="U48" s="2199" t="str">
        <f t="shared" si="21"/>
        <v>SI</v>
      </c>
      <c r="V48" s="2060">
        <f t="shared" si="22"/>
        <v>6840.802919999999</v>
      </c>
      <c r="W48" s="2188"/>
    </row>
    <row r="49" spans="2:23" s="1330" customFormat="1" ht="16.5" customHeight="1">
      <c r="B49" s="1345"/>
      <c r="C49" s="1896" t="s">
        <v>105</v>
      </c>
      <c r="D49" s="485" t="s">
        <v>246</v>
      </c>
      <c r="E49" s="2540" t="str">
        <f>'SA-TIBA-12 (1)'!G28</f>
        <v>SALIDA A L. NEGRA</v>
      </c>
      <c r="F49" s="2541"/>
      <c r="G49" s="486">
        <v>132</v>
      </c>
      <c r="H49" s="2196">
        <f t="shared" si="12"/>
        <v>189.391</v>
      </c>
      <c r="I49" s="488">
        <v>41990.38055555556</v>
      </c>
      <c r="J49" s="489">
        <v>41990.75069444445</v>
      </c>
      <c r="K49" s="2050">
        <f t="shared" si="13"/>
        <v>8.88333333330229</v>
      </c>
      <c r="L49" s="1900">
        <f t="shared" si="14"/>
        <v>533</v>
      </c>
      <c r="M49" s="646" t="s">
        <v>198</v>
      </c>
      <c r="N49" s="2516" t="str">
        <f t="shared" si="15"/>
        <v>--</v>
      </c>
      <c r="O49" s="2517"/>
      <c r="P49" s="2197">
        <f t="shared" si="16"/>
        <v>40</v>
      </c>
      <c r="Q49" s="2198">
        <f t="shared" si="17"/>
        <v>6727.168320000001</v>
      </c>
      <c r="R49" s="2193" t="str">
        <f t="shared" si="18"/>
        <v>--</v>
      </c>
      <c r="S49" s="2194" t="str">
        <f t="shared" si="19"/>
        <v>--</v>
      </c>
      <c r="T49" s="1997" t="str">
        <f t="shared" si="20"/>
        <v>--</v>
      </c>
      <c r="U49" s="2199" t="str">
        <f t="shared" si="21"/>
        <v>SI</v>
      </c>
      <c r="V49" s="2060">
        <f t="shared" si="22"/>
        <v>6727.168320000001</v>
      </c>
      <c r="W49" s="2188"/>
    </row>
    <row r="50" spans="2:23" s="1330" customFormat="1" ht="16.5" customHeight="1">
      <c r="B50" s="1345"/>
      <c r="C50" s="1896" t="s">
        <v>106</v>
      </c>
      <c r="D50" s="485" t="s">
        <v>246</v>
      </c>
      <c r="E50" s="2540" t="str">
        <f>'SA-TIBA-12 (1)'!G29</f>
        <v>SALIDA A G. CHAVES</v>
      </c>
      <c r="F50" s="2541"/>
      <c r="G50" s="486">
        <v>132</v>
      </c>
      <c r="H50" s="2196">
        <f t="shared" si="12"/>
        <v>189.391</v>
      </c>
      <c r="I50" s="488">
        <v>41990.399305555555</v>
      </c>
      <c r="J50" s="489">
        <v>41990.74166666667</v>
      </c>
      <c r="K50" s="2050">
        <f t="shared" si="13"/>
        <v>8.216666666732635</v>
      </c>
      <c r="L50" s="1900">
        <f t="shared" si="14"/>
        <v>493</v>
      </c>
      <c r="M50" s="646" t="s">
        <v>198</v>
      </c>
      <c r="N50" s="2516" t="str">
        <f t="shared" si="15"/>
        <v>--</v>
      </c>
      <c r="O50" s="2517"/>
      <c r="P50" s="2197">
        <f t="shared" si="16"/>
        <v>40</v>
      </c>
      <c r="Q50" s="2198">
        <f t="shared" si="17"/>
        <v>6227.176080000001</v>
      </c>
      <c r="R50" s="2193" t="str">
        <f t="shared" si="18"/>
        <v>--</v>
      </c>
      <c r="S50" s="2194" t="str">
        <f t="shared" si="19"/>
        <v>--</v>
      </c>
      <c r="T50" s="1997" t="str">
        <f t="shared" si="20"/>
        <v>--</v>
      </c>
      <c r="U50" s="2199" t="str">
        <f t="shared" si="21"/>
        <v>SI</v>
      </c>
      <c r="V50" s="2060">
        <f t="shared" si="22"/>
        <v>6227.176080000001</v>
      </c>
      <c r="W50" s="2188"/>
    </row>
    <row r="51" spans="2:23" s="1330" customFormat="1" ht="16.5" customHeight="1">
      <c r="B51" s="1345"/>
      <c r="C51" s="1896" t="s">
        <v>107</v>
      </c>
      <c r="D51" s="485" t="s">
        <v>251</v>
      </c>
      <c r="E51" s="2540" t="str">
        <f>'SA-TIBA-12 (1)'!G30</f>
        <v>SALIDA BARKER</v>
      </c>
      <c r="F51" s="2541"/>
      <c r="G51" s="486">
        <v>132</v>
      </c>
      <c r="H51" s="2196">
        <f t="shared" si="12"/>
        <v>189.391</v>
      </c>
      <c r="I51" s="488">
        <v>41994.35625</v>
      </c>
      <c r="J51" s="489">
        <v>41994.80138888889</v>
      </c>
      <c r="K51" s="2050">
        <f t="shared" si="13"/>
        <v>10.683333333407063</v>
      </c>
      <c r="L51" s="1900">
        <f t="shared" si="14"/>
        <v>641</v>
      </c>
      <c r="M51" s="646" t="s">
        <v>198</v>
      </c>
      <c r="N51" s="2516" t="str">
        <f t="shared" si="15"/>
        <v>--</v>
      </c>
      <c r="O51" s="2517"/>
      <c r="P51" s="2197">
        <f t="shared" si="16"/>
        <v>40</v>
      </c>
      <c r="Q51" s="2198">
        <f t="shared" si="17"/>
        <v>8090.783519999999</v>
      </c>
      <c r="R51" s="2193" t="str">
        <f t="shared" si="18"/>
        <v>--</v>
      </c>
      <c r="S51" s="2194" t="str">
        <f t="shared" si="19"/>
        <v>--</v>
      </c>
      <c r="T51" s="1997" t="str">
        <f t="shared" si="20"/>
        <v>--</v>
      </c>
      <c r="U51" s="2199" t="str">
        <f t="shared" si="21"/>
        <v>SI</v>
      </c>
      <c r="V51" s="2060">
        <f t="shared" si="22"/>
        <v>8090.783519999999</v>
      </c>
      <c r="W51" s="2188"/>
    </row>
    <row r="52" spans="2:23" s="1330" customFormat="1" ht="16.5" customHeight="1">
      <c r="B52" s="1345"/>
      <c r="C52" s="1896" t="s">
        <v>108</v>
      </c>
      <c r="D52" s="485" t="s">
        <v>253</v>
      </c>
      <c r="E52" s="2540" t="str">
        <f>'SA-TIBA-12 (1)'!G31</f>
        <v>SALIDA A PRINGLES</v>
      </c>
      <c r="F52" s="2541"/>
      <c r="G52" s="486">
        <v>132</v>
      </c>
      <c r="H52" s="2196">
        <f t="shared" si="12"/>
        <v>189.391</v>
      </c>
      <c r="I52" s="488">
        <v>41995.41736111111</v>
      </c>
      <c r="J52" s="489">
        <v>41995.68680555555</v>
      </c>
      <c r="K52" s="2050">
        <f t="shared" si="13"/>
        <v>6.46666666661622</v>
      </c>
      <c r="L52" s="1900">
        <f t="shared" si="14"/>
        <v>388</v>
      </c>
      <c r="M52" s="646" t="s">
        <v>198</v>
      </c>
      <c r="N52" s="2516" t="str">
        <f t="shared" si="15"/>
        <v>--</v>
      </c>
      <c r="O52" s="2517"/>
      <c r="P52" s="2197">
        <f t="shared" si="16"/>
        <v>40</v>
      </c>
      <c r="Q52" s="2198">
        <f t="shared" si="17"/>
        <v>4901.439079999999</v>
      </c>
      <c r="R52" s="2193" t="str">
        <f t="shared" si="18"/>
        <v>--</v>
      </c>
      <c r="S52" s="2194" t="str">
        <f t="shared" si="19"/>
        <v>--</v>
      </c>
      <c r="T52" s="1997" t="str">
        <f t="shared" si="20"/>
        <v>--</v>
      </c>
      <c r="U52" s="2199" t="str">
        <f t="shared" si="21"/>
        <v>SI</v>
      </c>
      <c r="V52" s="2060">
        <f t="shared" si="22"/>
        <v>4901.439079999999</v>
      </c>
      <c r="W52" s="2188"/>
    </row>
    <row r="53" spans="2:23" s="1330" customFormat="1" ht="16.5" customHeight="1">
      <c r="B53" s="1345"/>
      <c r="C53" s="1896" t="s">
        <v>109</v>
      </c>
      <c r="D53" s="485" t="s">
        <v>255</v>
      </c>
      <c r="E53" s="2540" t="str">
        <f>'SA-TIBA-12 (1)'!G32</f>
        <v>SALIDA PRAXAIR</v>
      </c>
      <c r="F53" s="2541"/>
      <c r="G53" s="486">
        <v>132</v>
      </c>
      <c r="H53" s="2196">
        <f t="shared" si="12"/>
        <v>189.391</v>
      </c>
      <c r="I53" s="488">
        <v>41997.17916666667</v>
      </c>
      <c r="J53" s="489">
        <v>41997.35208333333</v>
      </c>
      <c r="K53" s="2050">
        <f t="shared" si="13"/>
        <v>4.149999999906868</v>
      </c>
      <c r="L53" s="1900">
        <f t="shared" si="14"/>
        <v>249</v>
      </c>
      <c r="M53" s="646" t="s">
        <v>198</v>
      </c>
      <c r="N53" s="2516" t="str">
        <f t="shared" si="15"/>
        <v>--</v>
      </c>
      <c r="O53" s="2517"/>
      <c r="P53" s="2197">
        <f t="shared" si="16"/>
        <v>40</v>
      </c>
      <c r="Q53" s="2198">
        <f t="shared" si="17"/>
        <v>3143.8906</v>
      </c>
      <c r="R53" s="2193" t="str">
        <f t="shared" si="18"/>
        <v>--</v>
      </c>
      <c r="S53" s="2194" t="str">
        <f t="shared" si="19"/>
        <v>--</v>
      </c>
      <c r="T53" s="1997" t="str">
        <f t="shared" si="20"/>
        <v>--</v>
      </c>
      <c r="U53" s="2199" t="str">
        <f t="shared" si="21"/>
        <v>SI</v>
      </c>
      <c r="V53" s="2060">
        <f t="shared" si="22"/>
        <v>3143.8906</v>
      </c>
      <c r="W53" s="2188"/>
    </row>
    <row r="54" spans="2:23" s="1330" customFormat="1" ht="16.5" customHeight="1">
      <c r="B54" s="1345"/>
      <c r="C54" s="1920" t="s">
        <v>110</v>
      </c>
      <c r="D54" s="485" t="s">
        <v>242</v>
      </c>
      <c r="E54" s="2540" t="str">
        <f>'SA-TIBA-12 (1)'!G33</f>
        <v>SALIDA A COOP. P. ALTA</v>
      </c>
      <c r="F54" s="2541"/>
      <c r="G54" s="486">
        <v>132</v>
      </c>
      <c r="H54" s="2196">
        <f t="shared" si="12"/>
        <v>189.391</v>
      </c>
      <c r="I54" s="488">
        <v>42002.44305555556</v>
      </c>
      <c r="J54" s="489">
        <v>42002.540972222225</v>
      </c>
      <c r="K54" s="2200">
        <f t="shared" si="13"/>
        <v>2.349999999976717</v>
      </c>
      <c r="L54" s="1900">
        <f t="shared" si="14"/>
        <v>141</v>
      </c>
      <c r="M54" s="646" t="s">
        <v>198</v>
      </c>
      <c r="N54" s="2516" t="str">
        <f t="shared" si="15"/>
        <v>--</v>
      </c>
      <c r="O54" s="2517"/>
      <c r="P54" s="2197">
        <f t="shared" si="16"/>
        <v>40</v>
      </c>
      <c r="Q54" s="2198">
        <f t="shared" si="17"/>
        <v>1780.2754000000002</v>
      </c>
      <c r="R54" s="2193" t="str">
        <f t="shared" si="18"/>
        <v>--</v>
      </c>
      <c r="S54" s="2194" t="str">
        <f t="shared" si="19"/>
        <v>--</v>
      </c>
      <c r="T54" s="1997" t="str">
        <f t="shared" si="20"/>
        <v>--</v>
      </c>
      <c r="U54" s="2199" t="str">
        <f t="shared" si="21"/>
        <v>SI</v>
      </c>
      <c r="V54" s="2060">
        <f t="shared" si="22"/>
        <v>1780.2754000000002</v>
      </c>
      <c r="W54" s="2188"/>
    </row>
    <row r="55" spans="2:23" s="1330" customFormat="1" ht="16.5" customHeight="1">
      <c r="B55" s="1345"/>
      <c r="C55" s="1920" t="s">
        <v>111</v>
      </c>
      <c r="D55" s="477"/>
      <c r="E55" s="2540"/>
      <c r="F55" s="2541"/>
      <c r="G55" s="852"/>
      <c r="H55" s="2196">
        <f t="shared" si="12"/>
        <v>189.391</v>
      </c>
      <c r="I55" s="853"/>
      <c r="J55" s="854"/>
      <c r="K55" s="2200">
        <f t="shared" si="13"/>
      </c>
      <c r="L55" s="1900">
        <f t="shared" si="14"/>
      </c>
      <c r="M55" s="646"/>
      <c r="N55" s="2516">
        <f t="shared" si="15"/>
      </c>
      <c r="O55" s="2517"/>
      <c r="P55" s="2197">
        <f t="shared" si="16"/>
        <v>40</v>
      </c>
      <c r="Q55" s="2198" t="str">
        <f t="shared" si="17"/>
        <v>--</v>
      </c>
      <c r="R55" s="2193" t="str">
        <f t="shared" si="18"/>
        <v>--</v>
      </c>
      <c r="S55" s="2194" t="str">
        <f t="shared" si="19"/>
        <v>--</v>
      </c>
      <c r="T55" s="1997" t="str">
        <f t="shared" si="20"/>
        <v>--</v>
      </c>
      <c r="U55" s="2199">
        <f t="shared" si="21"/>
      </c>
      <c r="V55" s="2060">
        <f t="shared" si="22"/>
      </c>
      <c r="W55" s="2188"/>
    </row>
    <row r="56" spans="2:23" s="1330" customFormat="1" ht="16.5" customHeight="1">
      <c r="B56" s="1345"/>
      <c r="C56" s="1920" t="s">
        <v>112</v>
      </c>
      <c r="D56" s="2169"/>
      <c r="E56" s="2571"/>
      <c r="F56" s="2572"/>
      <c r="G56" s="2201"/>
      <c r="H56" s="2202"/>
      <c r="I56" s="2203"/>
      <c r="J56" s="2204"/>
      <c r="K56" s="2200"/>
      <c r="L56" s="2205"/>
      <c r="M56" s="2051"/>
      <c r="N56" s="2516">
        <f t="shared" si="15"/>
      </c>
      <c r="O56" s="2517"/>
      <c r="P56" s="2206"/>
      <c r="Q56" s="2207"/>
      <c r="R56" s="2208"/>
      <c r="S56" s="2209"/>
      <c r="T56" s="2210"/>
      <c r="U56" s="2211"/>
      <c r="V56" s="2212"/>
      <c r="W56" s="2188"/>
    </row>
    <row r="57" spans="2:28" s="1330" customFormat="1" ht="16.5" customHeight="1" thickBot="1">
      <c r="B57" s="1345"/>
      <c r="C57" s="2004"/>
      <c r="D57" s="2213"/>
      <c r="E57" s="2566"/>
      <c r="F57" s="2567"/>
      <c r="G57" s="2214"/>
      <c r="H57" s="2215"/>
      <c r="I57" s="2216"/>
      <c r="J57" s="2217"/>
      <c r="K57" s="2218"/>
      <c r="L57" s="2219"/>
      <c r="M57" s="2013"/>
      <c r="N57" s="2518"/>
      <c r="O57" s="2519"/>
      <c r="P57" s="2220"/>
      <c r="Q57" s="2221"/>
      <c r="R57" s="2222"/>
      <c r="S57" s="2223"/>
      <c r="T57" s="2224"/>
      <c r="U57" s="2225"/>
      <c r="V57" s="2226"/>
      <c r="W57" s="2188"/>
      <c r="X57" s="1324"/>
      <c r="Y57" s="1324"/>
      <c r="Z57" s="1324"/>
      <c r="AA57" s="1324"/>
      <c r="AB57" s="1324"/>
    </row>
    <row r="58" spans="1:23" ht="17.25" thickBot="1" thickTop="1">
      <c r="A58" s="1835"/>
      <c r="B58" s="1836"/>
      <c r="C58" s="1840"/>
      <c r="D58" s="2073"/>
      <c r="E58" s="2074"/>
      <c r="F58" s="2075"/>
      <c r="G58" s="2076"/>
      <c r="H58" s="2076"/>
      <c r="I58" s="2074"/>
      <c r="J58" s="2077"/>
      <c r="K58" s="2077"/>
      <c r="L58" s="2074"/>
      <c r="M58" s="2074"/>
      <c r="N58" s="2074"/>
      <c r="O58" s="2078"/>
      <c r="P58" s="2074"/>
      <c r="Q58" s="2074"/>
      <c r="R58" s="2079"/>
      <c r="S58" s="2080"/>
      <c r="T58" s="2080"/>
      <c r="U58" s="2081"/>
      <c r="V58" s="2031">
        <f>SUM(V43:V57)</f>
        <v>202741.98876000004</v>
      </c>
      <c r="W58" s="2061"/>
    </row>
    <row r="59" spans="1:23" ht="21" customHeight="1" thickBot="1" thickTop="1">
      <c r="A59" s="1835"/>
      <c r="B59" s="1836"/>
      <c r="C59" s="1840"/>
      <c r="D59" s="2073"/>
      <c r="E59" s="2074"/>
      <c r="F59" s="2075"/>
      <c r="G59" s="2076"/>
      <c r="H59" s="2076"/>
      <c r="I59" s="1854" t="s">
        <v>118</v>
      </c>
      <c r="J59" s="1855">
        <f>+V58+V39</f>
        <v>212326.55076000004</v>
      </c>
      <c r="L59" s="2074"/>
      <c r="M59" s="2074"/>
      <c r="N59" s="2074"/>
      <c r="O59" s="2078"/>
      <c r="P59" s="2074"/>
      <c r="Q59" s="2074"/>
      <c r="R59" s="2079"/>
      <c r="S59" s="2080"/>
      <c r="T59" s="2080"/>
      <c r="U59" s="2081"/>
      <c r="W59" s="2061"/>
    </row>
    <row r="60" spans="1:23" ht="13.5" customHeight="1" thickTop="1">
      <c r="A60" s="1835"/>
      <c r="B60" s="1836"/>
      <c r="C60" s="1840"/>
      <c r="D60" s="2073"/>
      <c r="E60" s="2074"/>
      <c r="F60" s="2075"/>
      <c r="G60" s="2076"/>
      <c r="H60" s="2076"/>
      <c r="I60" s="2074"/>
      <c r="J60" s="2077"/>
      <c r="K60" s="2077"/>
      <c r="L60" s="2074"/>
      <c r="M60" s="2074"/>
      <c r="N60" s="2074"/>
      <c r="O60" s="2078"/>
      <c r="P60" s="2074"/>
      <c r="Q60" s="2074"/>
      <c r="R60" s="2079"/>
      <c r="S60" s="2080"/>
      <c r="T60" s="2080"/>
      <c r="U60" s="2081"/>
      <c r="W60" s="2061"/>
    </row>
    <row r="61" spans="1:23" ht="16.5" customHeight="1">
      <c r="A61" s="1835"/>
      <c r="B61" s="1836"/>
      <c r="C61" s="2082" t="s">
        <v>119</v>
      </c>
      <c r="D61" s="2083" t="s">
        <v>183</v>
      </c>
      <c r="E61" s="2074"/>
      <c r="F61" s="2075"/>
      <c r="G61" s="2076"/>
      <c r="H61" s="2076"/>
      <c r="I61" s="2074"/>
      <c r="J61" s="2077"/>
      <c r="K61" s="2077"/>
      <c r="L61" s="2074"/>
      <c r="M61" s="2074"/>
      <c r="N61" s="2074"/>
      <c r="O61" s="2078"/>
      <c r="P61" s="2074"/>
      <c r="Q61" s="2074"/>
      <c r="R61" s="2079"/>
      <c r="S61" s="2080"/>
      <c r="T61" s="2080"/>
      <c r="U61" s="2081"/>
      <c r="W61" s="2061"/>
    </row>
    <row r="62" spans="1:23" ht="16.5" customHeight="1">
      <c r="A62" s="1835"/>
      <c r="B62" s="1836"/>
      <c r="C62" s="2082"/>
      <c r="D62" s="2073"/>
      <c r="E62" s="2074"/>
      <c r="F62" s="2075"/>
      <c r="G62" s="2076"/>
      <c r="H62" s="2076"/>
      <c r="I62" s="2074"/>
      <c r="J62" s="2077"/>
      <c r="K62" s="2077"/>
      <c r="L62" s="2074"/>
      <c r="M62" s="2074"/>
      <c r="N62" s="2074"/>
      <c r="O62" s="2078"/>
      <c r="P62" s="2074"/>
      <c r="Q62" s="2074"/>
      <c r="R62" s="2074"/>
      <c r="S62" s="2079"/>
      <c r="T62" s="2080"/>
      <c r="W62" s="2061"/>
    </row>
    <row r="63" spans="2:23" s="1835" customFormat="1" ht="16.5" customHeight="1">
      <c r="B63" s="1836"/>
      <c r="C63" s="1840"/>
      <c r="D63" s="2084" t="s">
        <v>134</v>
      </c>
      <c r="E63" s="1946" t="s">
        <v>135</v>
      </c>
      <c r="F63" s="1946" t="s">
        <v>121</v>
      </c>
      <c r="G63" s="2085" t="s">
        <v>188</v>
      </c>
      <c r="H63" s="1324"/>
      <c r="I63" s="2227"/>
      <c r="J63" s="2097" t="s">
        <v>140</v>
      </c>
      <c r="K63" s="2097"/>
      <c r="L63" s="1946" t="s">
        <v>121</v>
      </c>
      <c r="M63" s="1324" t="s">
        <v>151</v>
      </c>
      <c r="O63" s="2085" t="s">
        <v>190</v>
      </c>
      <c r="P63" s="1324"/>
      <c r="Q63" s="2089"/>
      <c r="R63" s="2089"/>
      <c r="S63" s="1837"/>
      <c r="T63" s="1324"/>
      <c r="U63" s="1324"/>
      <c r="V63" s="1324"/>
      <c r="W63" s="2061"/>
    </row>
    <row r="64" spans="2:23" s="1835" customFormat="1" ht="16.5" customHeight="1">
      <c r="B64" s="1836"/>
      <c r="C64" s="1840"/>
      <c r="D64" s="2228" t="s">
        <v>152</v>
      </c>
      <c r="E64" s="2228">
        <v>300</v>
      </c>
      <c r="F64" s="2229">
        <v>500</v>
      </c>
      <c r="G64" s="2568">
        <f>+E64*$F$20*$F$21</f>
        <v>266277.60000000003</v>
      </c>
      <c r="H64" s="2568"/>
      <c r="I64" s="2568"/>
      <c r="J64" s="2231" t="s">
        <v>153</v>
      </c>
      <c r="K64" s="2231"/>
      <c r="L64" s="2228">
        <v>500</v>
      </c>
      <c r="M64" s="2228">
        <v>2</v>
      </c>
      <c r="O64" s="2568">
        <f>+M64*$F$20*$M$19</f>
        <v>352260.19200000004</v>
      </c>
      <c r="P64" s="2568"/>
      <c r="Q64" s="2568"/>
      <c r="R64" s="2568"/>
      <c r="S64" s="2568"/>
      <c r="T64" s="2568"/>
      <c r="U64" s="2568"/>
      <c r="V64" s="1324"/>
      <c r="W64" s="2061"/>
    </row>
    <row r="65" spans="2:23" s="1835" customFormat="1" ht="16.5" customHeight="1">
      <c r="B65" s="1836"/>
      <c r="C65" s="1840"/>
      <c r="D65" s="2228" t="s">
        <v>154</v>
      </c>
      <c r="E65" s="1957">
        <v>300</v>
      </c>
      <c r="F65" s="2229">
        <v>500</v>
      </c>
      <c r="G65" s="2568">
        <f>+E65*$F$20*$F$21</f>
        <v>266277.60000000003</v>
      </c>
      <c r="H65" s="2568"/>
      <c r="I65" s="2568"/>
      <c r="J65" s="2231" t="s">
        <v>153</v>
      </c>
      <c r="K65" s="2231"/>
      <c r="L65" s="2228">
        <v>132</v>
      </c>
      <c r="M65" s="2228">
        <v>9</v>
      </c>
      <c r="O65" s="2568">
        <f>+M65*$F$20*$M$21</f>
        <v>1268162.136</v>
      </c>
      <c r="P65" s="2568"/>
      <c r="Q65" s="2568"/>
      <c r="R65" s="2568"/>
      <c r="S65" s="2568"/>
      <c r="T65" s="2568"/>
      <c r="U65" s="2568"/>
      <c r="V65" s="1324"/>
      <c r="W65" s="2061"/>
    </row>
    <row r="66" spans="2:23" s="1835" customFormat="1" ht="16.5" customHeight="1">
      <c r="B66" s="1836"/>
      <c r="C66" s="1840"/>
      <c r="D66" s="2232" t="s">
        <v>155</v>
      </c>
      <c r="E66" s="1957">
        <v>300</v>
      </c>
      <c r="F66" s="2229">
        <v>500</v>
      </c>
      <c r="G66" s="2568">
        <f>+E66*$F$20*$F$21</f>
        <v>266277.60000000003</v>
      </c>
      <c r="H66" s="2568"/>
      <c r="I66" s="2568"/>
      <c r="J66" s="2231" t="s">
        <v>156</v>
      </c>
      <c r="K66" s="2231"/>
      <c r="L66" s="2228">
        <v>132</v>
      </c>
      <c r="M66" s="2228">
        <v>8</v>
      </c>
      <c r="O66" s="2568">
        <f>+M66*$F$20*$M$21</f>
        <v>1127255.2319999998</v>
      </c>
      <c r="P66" s="2568"/>
      <c r="Q66" s="2568"/>
      <c r="R66" s="2568"/>
      <c r="S66" s="2568"/>
      <c r="T66" s="2568"/>
      <c r="U66" s="2568"/>
      <c r="V66" s="1324"/>
      <c r="W66" s="2061"/>
    </row>
    <row r="67" spans="1:23" ht="16.5" customHeight="1">
      <c r="A67" s="1835"/>
      <c r="B67" s="1836"/>
      <c r="C67" s="1840"/>
      <c r="D67" s="2232" t="s">
        <v>157</v>
      </c>
      <c r="E67" s="1957">
        <v>300</v>
      </c>
      <c r="F67" s="2229">
        <v>500</v>
      </c>
      <c r="G67" s="2568">
        <f>+E67*$F$20*$F$21</f>
        <v>266277.60000000003</v>
      </c>
      <c r="H67" s="2568"/>
      <c r="I67" s="2568"/>
      <c r="J67" s="2231" t="s">
        <v>158</v>
      </c>
      <c r="K67" s="2231"/>
      <c r="L67" s="2228">
        <v>132</v>
      </c>
      <c r="M67" s="2228">
        <v>5</v>
      </c>
      <c r="O67" s="2569">
        <f>+M67*$F$20*$M$21</f>
        <v>704534.52</v>
      </c>
      <c r="P67" s="2569"/>
      <c r="Q67" s="2569"/>
      <c r="R67" s="2569"/>
      <c r="S67" s="2569"/>
      <c r="T67" s="2569"/>
      <c r="U67" s="2569"/>
      <c r="W67" s="2061"/>
    </row>
    <row r="68" spans="1:23" ht="16.5" customHeight="1">
      <c r="A68" s="1835"/>
      <c r="B68" s="1836"/>
      <c r="C68" s="1840"/>
      <c r="D68" s="2232" t="s">
        <v>159</v>
      </c>
      <c r="E68" s="1957">
        <v>600</v>
      </c>
      <c r="F68" s="2229">
        <v>500</v>
      </c>
      <c r="G68" s="2569">
        <f>+E68*$F$20*$F$21</f>
        <v>532555.2000000001</v>
      </c>
      <c r="H68" s="2569"/>
      <c r="I68" s="2569"/>
      <c r="M68" s="2228"/>
      <c r="O68" s="2568">
        <f>SUM(O64:P67)</f>
        <v>3452212.0799999996</v>
      </c>
      <c r="P68" s="2568"/>
      <c r="Q68" s="2568"/>
      <c r="R68" s="2568"/>
      <c r="S68" s="2568"/>
      <c r="T68" s="2568"/>
      <c r="U68" s="2568"/>
      <c r="W68" s="2061"/>
    </row>
    <row r="69" spans="1:23" ht="16.5" customHeight="1">
      <c r="A69" s="1835"/>
      <c r="B69" s="1836"/>
      <c r="C69" s="1840"/>
      <c r="D69" s="2232"/>
      <c r="E69" s="1957"/>
      <c r="F69" s="2229"/>
      <c r="G69" s="2568">
        <f>SUM(G64:G68)</f>
        <v>1597665.6</v>
      </c>
      <c r="H69" s="2568"/>
      <c r="I69" s="2568"/>
      <c r="M69" s="2228"/>
      <c r="N69" s="2227"/>
      <c r="O69" s="2227"/>
      <c r="P69" s="2233"/>
      <c r="Q69" s="2233"/>
      <c r="R69" s="2233"/>
      <c r="S69" s="2233"/>
      <c r="W69" s="2061"/>
    </row>
    <row r="70" spans="1:23" ht="16.5" customHeight="1">
      <c r="A70" s="1835"/>
      <c r="B70" s="1836"/>
      <c r="C70" s="1840"/>
      <c r="D70" s="2232"/>
      <c r="E70" s="1957"/>
      <c r="F70" s="2229"/>
      <c r="G70" s="2230"/>
      <c r="H70" s="2230"/>
      <c r="I70" s="2230"/>
      <c r="M70" s="2228"/>
      <c r="N70" s="2227"/>
      <c r="O70" s="2227"/>
      <c r="P70" s="2233"/>
      <c r="Q70" s="2233"/>
      <c r="R70" s="2233"/>
      <c r="S70" s="2233"/>
      <c r="W70" s="2061"/>
    </row>
    <row r="71" spans="1:23" ht="16.5" customHeight="1">
      <c r="A71" s="1835"/>
      <c r="B71" s="1836"/>
      <c r="C71" s="2570" t="s">
        <v>326</v>
      </c>
      <c r="D71" s="2570"/>
      <c r="E71" s="1957" t="s">
        <v>327</v>
      </c>
      <c r="F71" s="2234">
        <v>19613.9</v>
      </c>
      <c r="G71" s="2230"/>
      <c r="H71" s="2230"/>
      <c r="I71" s="2230"/>
      <c r="M71" s="2228"/>
      <c r="N71" s="2227"/>
      <c r="O71" s="2227"/>
      <c r="P71" s="2233"/>
      <c r="Q71" s="2233"/>
      <c r="R71" s="2233"/>
      <c r="S71" s="2233"/>
      <c r="W71" s="2061"/>
    </row>
    <row r="72" spans="1:23" ht="16.5" customHeight="1" thickBot="1">
      <c r="A72" s="1835"/>
      <c r="B72" s="1836"/>
      <c r="C72" s="1840"/>
      <c r="D72" s="2084"/>
      <c r="E72" s="2098"/>
      <c r="F72" s="2098"/>
      <c r="G72" s="1946"/>
      <c r="I72" s="2087"/>
      <c r="J72" s="2085"/>
      <c r="L72" s="2086"/>
      <c r="M72" s="2087"/>
      <c r="N72" s="2088"/>
      <c r="O72" s="2089"/>
      <c r="P72" s="2089"/>
      <c r="Q72" s="2089"/>
      <c r="R72" s="2089"/>
      <c r="S72" s="2089"/>
      <c r="W72" s="2061"/>
    </row>
    <row r="73" spans="1:23" ht="21" customHeight="1" thickBot="1" thickTop="1">
      <c r="A73" s="1835"/>
      <c r="B73" s="1836"/>
      <c r="C73" s="1840"/>
      <c r="D73" s="1946"/>
      <c r="E73" s="2235"/>
      <c r="F73" s="2235"/>
      <c r="G73" s="2092"/>
      <c r="H73" s="1827"/>
      <c r="I73" s="1854" t="s">
        <v>160</v>
      </c>
      <c r="J73" s="1855">
        <f>+G69+O68+F71</f>
        <v>5069491.58</v>
      </c>
      <c r="L73" s="2094"/>
      <c r="M73" s="1827"/>
      <c r="N73" s="2101"/>
      <c r="O73" s="2233"/>
      <c r="P73" s="2233"/>
      <c r="Q73" s="2233"/>
      <c r="R73" s="2233"/>
      <c r="S73" s="2233"/>
      <c r="U73" s="1854" t="s">
        <v>328</v>
      </c>
      <c r="V73" s="1855">
        <v>1765091.4679999999</v>
      </c>
      <c r="W73" s="2061"/>
    </row>
    <row r="74" spans="1:23" ht="16.5" customHeight="1" thickTop="1">
      <c r="A74" s="1835"/>
      <c r="B74" s="1836"/>
      <c r="C74" s="1840"/>
      <c r="D74" s="2077"/>
      <c r="E74" s="1845"/>
      <c r="F74" s="1946"/>
      <c r="G74" s="1946"/>
      <c r="H74" s="1947"/>
      <c r="J74" s="1946"/>
      <c r="L74" s="2102"/>
      <c r="M74" s="2088"/>
      <c r="N74" s="2088"/>
      <c r="O74" s="2089"/>
      <c r="P74" s="2089"/>
      <c r="Q74" s="2089"/>
      <c r="R74" s="2089"/>
      <c r="S74" s="2089"/>
      <c r="W74" s="2061"/>
    </row>
    <row r="75" spans="2:23" ht="16.5" customHeight="1">
      <c r="B75" s="1836"/>
      <c r="C75" s="2082" t="s">
        <v>124</v>
      </c>
      <c r="D75" s="2105" t="s">
        <v>125</v>
      </c>
      <c r="E75" s="1946"/>
      <c r="F75" s="2106"/>
      <c r="G75" s="1945"/>
      <c r="H75" s="2077"/>
      <c r="I75" s="2077"/>
      <c r="J75" s="2077"/>
      <c r="K75" s="1946"/>
      <c r="L75" s="1946"/>
      <c r="M75" s="2077"/>
      <c r="N75" s="1946"/>
      <c r="O75" s="2077"/>
      <c r="P75" s="2077"/>
      <c r="Q75" s="2077"/>
      <c r="R75" s="2077"/>
      <c r="S75" s="2077"/>
      <c r="T75" s="2077"/>
      <c r="U75" s="2077"/>
      <c r="W75" s="2061"/>
    </row>
    <row r="76" spans="2:23" s="1835" customFormat="1" ht="16.5" customHeight="1">
      <c r="B76" s="1836"/>
      <c r="C76" s="1840"/>
      <c r="D76" s="2084" t="s">
        <v>126</v>
      </c>
      <c r="E76" s="2107">
        <f>10*J59*J25/J73</f>
        <v>18481.921572515213</v>
      </c>
      <c r="G76" s="1945"/>
      <c r="L76" s="1946"/>
      <c r="N76" s="1946"/>
      <c r="O76" s="1947"/>
      <c r="V76" s="1324"/>
      <c r="W76" s="2061"/>
    </row>
    <row r="77" spans="2:23" s="1835" customFormat="1" ht="12.75" customHeight="1">
      <c r="B77" s="1836"/>
      <c r="C77" s="1840"/>
      <c r="E77" s="2108"/>
      <c r="F77" s="1852"/>
      <c r="G77" s="1945"/>
      <c r="J77" s="1945"/>
      <c r="K77" s="1965"/>
      <c r="L77" s="1946"/>
      <c r="M77" s="1946"/>
      <c r="N77" s="1946"/>
      <c r="O77" s="1947"/>
      <c r="P77" s="1946"/>
      <c r="Q77" s="1946"/>
      <c r="R77" s="1964"/>
      <c r="S77" s="1964"/>
      <c r="T77" s="1964"/>
      <c r="U77" s="2109"/>
      <c r="V77" s="1324"/>
      <c r="W77" s="2061"/>
    </row>
    <row r="78" spans="2:23" ht="16.5" customHeight="1">
      <c r="B78" s="1836"/>
      <c r="C78" s="1840"/>
      <c r="D78" s="2110" t="s">
        <v>161</v>
      </c>
      <c r="E78" s="2111"/>
      <c r="F78" s="1852"/>
      <c r="G78" s="1945"/>
      <c r="H78" s="2077"/>
      <c r="I78" s="2077"/>
      <c r="N78" s="1946"/>
      <c r="O78" s="1947"/>
      <c r="P78" s="1946"/>
      <c r="Q78" s="1946"/>
      <c r="R78" s="2087"/>
      <c r="S78" s="2087"/>
      <c r="T78" s="2087"/>
      <c r="U78" s="2088"/>
      <c r="W78" s="2061"/>
    </row>
    <row r="79" spans="2:23" ht="13.5" customHeight="1" thickBot="1">
      <c r="B79" s="1836"/>
      <c r="C79" s="1840"/>
      <c r="D79" s="2110"/>
      <c r="E79" s="2111"/>
      <c r="F79" s="1852"/>
      <c r="G79" s="1945"/>
      <c r="H79" s="2077"/>
      <c r="I79" s="2077"/>
      <c r="N79" s="1946"/>
      <c r="O79" s="1947"/>
      <c r="P79" s="1946"/>
      <c r="Q79" s="1946"/>
      <c r="R79" s="2087"/>
      <c r="S79" s="2087"/>
      <c r="T79" s="2087"/>
      <c r="U79" s="2088"/>
      <c r="W79" s="2061"/>
    </row>
    <row r="80" spans="2:23" s="2112" customFormat="1" ht="21" thickBot="1" thickTop="1">
      <c r="B80" s="2113"/>
      <c r="C80" s="2114"/>
      <c r="D80" s="2115"/>
      <c r="E80" s="2116"/>
      <c r="F80" s="2117"/>
      <c r="G80" s="2118"/>
      <c r="I80" s="2119" t="s">
        <v>128</v>
      </c>
      <c r="J80" s="2120">
        <f>IF(E76&gt;3*J25,J25*3,E76)</f>
        <v>18481.921572515213</v>
      </c>
      <c r="M80" s="2122" t="s">
        <v>329</v>
      </c>
      <c r="N80" s="2122"/>
      <c r="O80" s="2123"/>
      <c r="P80" s="2121"/>
      <c r="Q80" s="2121"/>
      <c r="R80" s="2124"/>
      <c r="S80" s="2124"/>
      <c r="T80" s="2124"/>
      <c r="U80" s="2125"/>
      <c r="V80" s="1324"/>
      <c r="W80" s="2126"/>
    </row>
    <row r="81" spans="2:23" ht="16.5" customHeight="1" thickBot="1" thickTop="1">
      <c r="B81" s="2127"/>
      <c r="C81" s="2128"/>
      <c r="D81" s="2128"/>
      <c r="E81" s="2128"/>
      <c r="F81" s="2128"/>
      <c r="G81" s="2128"/>
      <c r="H81" s="2128"/>
      <c r="I81" s="2128"/>
      <c r="J81" s="2128"/>
      <c r="K81" s="2128"/>
      <c r="L81" s="2128"/>
      <c r="M81" s="2128"/>
      <c r="N81" s="2128"/>
      <c r="O81" s="2128"/>
      <c r="P81" s="2128"/>
      <c r="Q81" s="2128"/>
      <c r="R81" s="2128"/>
      <c r="S81" s="2128"/>
      <c r="T81" s="2128"/>
      <c r="U81" s="2128"/>
      <c r="V81" s="2129"/>
      <c r="W81" s="2130"/>
    </row>
    <row r="82" spans="2:23" ht="16.5" customHeight="1" thickTop="1">
      <c r="B82" s="1491"/>
      <c r="C82" s="2131"/>
      <c r="W82" s="1491"/>
    </row>
  </sheetData>
  <sheetProtection/>
  <mergeCells count="46">
    <mergeCell ref="E48:F48"/>
    <mergeCell ref="N48:O48"/>
    <mergeCell ref="E44:F44"/>
    <mergeCell ref="N44:O44"/>
    <mergeCell ref="E41:F41"/>
    <mergeCell ref="N41:O41"/>
    <mergeCell ref="E42:F42"/>
    <mergeCell ref="N42:O42"/>
    <mergeCell ref="E43:F43"/>
    <mergeCell ref="N43:O43"/>
    <mergeCell ref="E45:F45"/>
    <mergeCell ref="N45:O45"/>
    <mergeCell ref="E46:F46"/>
    <mergeCell ref="N46:O46"/>
    <mergeCell ref="E47:F47"/>
    <mergeCell ref="N47:O47"/>
    <mergeCell ref="E56:F56"/>
    <mergeCell ref="N56:O56"/>
    <mergeCell ref="E49:F49"/>
    <mergeCell ref="N49:O49"/>
    <mergeCell ref="E50:F50"/>
    <mergeCell ref="N50:O50"/>
    <mergeCell ref="E51:F51"/>
    <mergeCell ref="N51:O51"/>
    <mergeCell ref="E52:F52"/>
    <mergeCell ref="N52:O52"/>
    <mergeCell ref="G66:I66"/>
    <mergeCell ref="O66:U66"/>
    <mergeCell ref="G69:I69"/>
    <mergeCell ref="C71:D71"/>
    <mergeCell ref="E53:F53"/>
    <mergeCell ref="N53:O53"/>
    <mergeCell ref="E54:F54"/>
    <mergeCell ref="N54:O54"/>
    <mergeCell ref="E55:F55"/>
    <mergeCell ref="N55:O55"/>
    <mergeCell ref="E57:F57"/>
    <mergeCell ref="N57:O57"/>
    <mergeCell ref="G64:I64"/>
    <mergeCell ref="O64:U64"/>
    <mergeCell ref="G68:I68"/>
    <mergeCell ref="O68:U68"/>
    <mergeCell ref="G67:I67"/>
    <mergeCell ref="O67:U67"/>
    <mergeCell ref="G65:I65"/>
    <mergeCell ref="O65:U65"/>
  </mergeCells>
  <printOptions horizontalCentered="1"/>
  <pageMargins left="1.8" right="0.2362204724409449" top="0.35433070866141736" bottom="0.31496062992125984" header="0.2755905511811024" footer="0.1968503937007874"/>
  <pageSetup horizontalDpi="600" verticalDpi="600" orientation="landscape" paperSize="9" scale="36" r:id="rId2"/>
  <headerFooter alignWithMargins="0">
    <oddFooter>&amp;L&amp;"Times New Roman,Normal"&amp;8&amp;Z&amp;F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50" zoomScaleNormal="50" zoomScalePageLayoutView="0" workbookViewId="0" topLeftCell="A1">
      <selection activeCell="B3" sqref="B3"/>
    </sheetView>
  </sheetViews>
  <sheetFormatPr defaultColWidth="11.421875" defaultRowHeight="12.75"/>
  <cols>
    <col min="1" max="1" width="25.421875" style="1324" customWidth="1"/>
    <col min="2" max="2" width="19.140625" style="1324" customWidth="1"/>
    <col min="3" max="3" width="4.7109375" style="1324" customWidth="1"/>
    <col min="4" max="4" width="36.421875" style="1324" customWidth="1"/>
    <col min="5" max="5" width="22.7109375" style="1324" customWidth="1"/>
    <col min="6" max="6" width="15.00390625" style="1324" customWidth="1"/>
    <col min="7" max="7" width="14.7109375" style="1324" customWidth="1"/>
    <col min="8" max="8" width="11.28125" style="1324" hidden="1" customWidth="1"/>
    <col min="9" max="9" width="19.00390625" style="1324" hidden="1" customWidth="1"/>
    <col min="10" max="11" width="18.7109375" style="1324" customWidth="1"/>
    <col min="12" max="13" width="10.7109375" style="1324" customWidth="1"/>
    <col min="14" max="14" width="9.7109375" style="1324" customWidth="1"/>
    <col min="15" max="15" width="10.57421875" style="1324" customWidth="1"/>
    <col min="16" max="16" width="8.421875" style="1324" customWidth="1"/>
    <col min="17" max="17" width="5.8515625" style="1324" customWidth="1"/>
    <col min="18" max="18" width="12.140625" style="1324" hidden="1" customWidth="1"/>
    <col min="19" max="19" width="13.00390625" style="1324" hidden="1" customWidth="1"/>
    <col min="20" max="21" width="8.421875" style="1324" hidden="1" customWidth="1"/>
    <col min="22" max="22" width="11.7109375" style="1324" hidden="1" customWidth="1"/>
    <col min="23" max="27" width="8.421875" style="1324" hidden="1" customWidth="1"/>
    <col min="28" max="28" width="9.7109375" style="1324" customWidth="1"/>
    <col min="29" max="29" width="26.7109375" style="1324" customWidth="1"/>
    <col min="30" max="30" width="13.7109375" style="1324" customWidth="1"/>
    <col min="31" max="31" width="4.140625" style="1324" customWidth="1"/>
    <col min="32" max="32" width="7.140625" style="1324" customWidth="1"/>
    <col min="33" max="33" width="5.28125" style="1324" customWidth="1"/>
    <col min="34" max="34" width="5.421875" style="1324" customWidth="1"/>
    <col min="35" max="35" width="4.7109375" style="1324" customWidth="1"/>
    <col min="36" max="36" width="5.28125" style="1324" customWidth="1"/>
    <col min="37" max="38" width="13.28125" style="1324" customWidth="1"/>
    <col min="39" max="39" width="6.57421875" style="1324" customWidth="1"/>
    <col min="40" max="40" width="6.421875" style="1324" customWidth="1"/>
    <col min="41" max="44" width="11.421875" style="1324" customWidth="1"/>
    <col min="45" max="45" width="12.7109375" style="1324" customWidth="1"/>
    <col min="46" max="48" width="11.421875" style="1324" customWidth="1"/>
    <col min="49" max="49" width="21.00390625" style="1324" customWidth="1"/>
    <col min="50" max="16384" width="11.421875" style="1324" customWidth="1"/>
  </cols>
  <sheetData>
    <row r="1" spans="1:30" ht="13.5">
      <c r="A1" s="1329"/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30"/>
      <c r="O1" s="1330"/>
      <c r="P1" s="1330"/>
      <c r="Q1" s="1330"/>
      <c r="R1" s="1330"/>
      <c r="S1" s="1330"/>
      <c r="T1" s="1330"/>
      <c r="U1" s="1330"/>
      <c r="V1" s="1330"/>
      <c r="AD1" s="1326"/>
    </row>
    <row r="2" spans="1:23" ht="27" customHeight="1">
      <c r="A2" s="1329"/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  <c r="U2" s="1330"/>
      <c r="V2" s="1330"/>
      <c r="W2" s="1330"/>
    </row>
    <row r="3" spans="1:30" s="1817" customFormat="1" ht="30.75">
      <c r="A3" s="1814"/>
      <c r="B3" s="1815" t="str">
        <f>+'TOT-1214'!B2</f>
        <v>ANEXO I al Memorándum D.T.E.E. N° 90 /2016</v>
      </c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  <c r="P3" s="1816"/>
      <c r="Q3" s="1816"/>
      <c r="R3" s="1816"/>
      <c r="S3" s="1816"/>
      <c r="T3" s="1816"/>
      <c r="U3" s="1816"/>
      <c r="V3" s="1816"/>
      <c r="W3" s="1816"/>
      <c r="AB3" s="1816"/>
      <c r="AC3" s="1816"/>
      <c r="AD3" s="1816"/>
    </row>
    <row r="4" spans="1:2" s="1334" customFormat="1" ht="11.25">
      <c r="A4" s="2132" t="s">
        <v>2</v>
      </c>
      <c r="B4" s="1331"/>
    </row>
    <row r="5" spans="1:2" s="1334" customFormat="1" ht="12" thickBot="1">
      <c r="A5" s="2132" t="s">
        <v>3</v>
      </c>
      <c r="B5" s="2132"/>
    </row>
    <row r="6" spans="1:30" ht="16.5" customHeight="1" thickTop="1">
      <c r="A6" s="1330"/>
      <c r="B6" s="1335"/>
      <c r="C6" s="1336"/>
      <c r="D6" s="1336"/>
      <c r="E6" s="1337"/>
      <c r="F6" s="1336"/>
      <c r="G6" s="1336"/>
      <c r="H6" s="1336"/>
      <c r="I6" s="1336"/>
      <c r="J6" s="1336"/>
      <c r="K6" s="1336"/>
      <c r="L6" s="1336"/>
      <c r="M6" s="1336"/>
      <c r="N6" s="1336"/>
      <c r="O6" s="1336"/>
      <c r="P6" s="1336"/>
      <c r="Q6" s="1336"/>
      <c r="R6" s="1336"/>
      <c r="S6" s="1336"/>
      <c r="T6" s="1336"/>
      <c r="U6" s="1336"/>
      <c r="V6" s="1336"/>
      <c r="W6" s="1818"/>
      <c r="X6" s="1818"/>
      <c r="Y6" s="1818"/>
      <c r="Z6" s="1818"/>
      <c r="AA6" s="1818"/>
      <c r="AB6" s="1818"/>
      <c r="AC6" s="1818"/>
      <c r="AD6" s="1338"/>
    </row>
    <row r="7" spans="1:30" ht="20.25">
      <c r="A7" s="1330"/>
      <c r="B7" s="1345"/>
      <c r="C7" s="1346"/>
      <c r="D7" s="1342" t="s">
        <v>82</v>
      </c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819"/>
      <c r="Q7" s="1819"/>
      <c r="R7" s="1346"/>
      <c r="S7" s="1346"/>
      <c r="T7" s="1346"/>
      <c r="U7" s="1346"/>
      <c r="V7" s="1346"/>
      <c r="AD7" s="1347"/>
    </row>
    <row r="8" spans="1:30" ht="16.5" customHeight="1">
      <c r="A8" s="1330"/>
      <c r="B8" s="1345"/>
      <c r="C8" s="1346"/>
      <c r="D8" s="1346"/>
      <c r="E8" s="1346"/>
      <c r="F8" s="1346"/>
      <c r="G8" s="1346"/>
      <c r="H8" s="1346"/>
      <c r="I8" s="1346"/>
      <c r="J8" s="1346"/>
      <c r="K8" s="1346"/>
      <c r="L8" s="1346"/>
      <c r="M8" s="1346"/>
      <c r="N8" s="1346"/>
      <c r="O8" s="1346"/>
      <c r="P8" s="1346"/>
      <c r="Q8" s="1346"/>
      <c r="R8" s="1346"/>
      <c r="S8" s="1346"/>
      <c r="T8" s="1346"/>
      <c r="U8" s="1346"/>
      <c r="V8" s="1346"/>
      <c r="AD8" s="1347"/>
    </row>
    <row r="9" spans="2:30" s="1359" customFormat="1" ht="20.25">
      <c r="B9" s="1820"/>
      <c r="C9" s="1821"/>
      <c r="D9" s="1342" t="s">
        <v>83</v>
      </c>
      <c r="E9" s="1821"/>
      <c r="F9" s="1821"/>
      <c r="G9" s="1821"/>
      <c r="H9" s="1821"/>
      <c r="N9" s="1821"/>
      <c r="O9" s="1821"/>
      <c r="P9" s="1822"/>
      <c r="Q9" s="1822"/>
      <c r="R9" s="1821"/>
      <c r="S9" s="1821"/>
      <c r="T9" s="1821"/>
      <c r="U9" s="1821"/>
      <c r="V9" s="1821"/>
      <c r="W9" s="1324"/>
      <c r="X9" s="1821"/>
      <c r="Y9" s="1821"/>
      <c r="Z9" s="1821"/>
      <c r="AA9" s="1821"/>
      <c r="AB9" s="1821"/>
      <c r="AC9" s="1324"/>
      <c r="AD9" s="1823"/>
    </row>
    <row r="10" spans="1:30" ht="16.5" customHeight="1">
      <c r="A10" s="1330"/>
      <c r="B10" s="1345"/>
      <c r="C10" s="1346"/>
      <c r="D10" s="1346"/>
      <c r="E10" s="1346"/>
      <c r="F10" s="1346"/>
      <c r="G10" s="1346"/>
      <c r="H10" s="1346"/>
      <c r="I10" s="1346"/>
      <c r="J10" s="1346"/>
      <c r="K10" s="1346"/>
      <c r="L10" s="1346"/>
      <c r="M10" s="1346"/>
      <c r="N10" s="1346"/>
      <c r="O10" s="1346"/>
      <c r="P10" s="1346"/>
      <c r="Q10" s="1346"/>
      <c r="R10" s="1346"/>
      <c r="S10" s="1346"/>
      <c r="T10" s="1346"/>
      <c r="U10" s="1346"/>
      <c r="V10" s="1346"/>
      <c r="AD10" s="1347"/>
    </row>
    <row r="11" spans="2:30" s="1359" customFormat="1" ht="20.25">
      <c r="B11" s="1820"/>
      <c r="C11" s="1821"/>
      <c r="D11" s="1342" t="s">
        <v>380</v>
      </c>
      <c r="E11" s="1821"/>
      <c r="F11" s="1821"/>
      <c r="G11" s="1821"/>
      <c r="H11" s="1821"/>
      <c r="N11" s="1821"/>
      <c r="O11" s="1821"/>
      <c r="P11" s="1822"/>
      <c r="Q11" s="1822"/>
      <c r="R11" s="1821"/>
      <c r="S11" s="1821"/>
      <c r="T11" s="1821"/>
      <c r="U11" s="1821"/>
      <c r="V11" s="1821"/>
      <c r="W11" s="1324"/>
      <c r="X11" s="1821"/>
      <c r="Y11" s="1821"/>
      <c r="Z11" s="1821"/>
      <c r="AA11" s="1821"/>
      <c r="AB11" s="1821"/>
      <c r="AC11" s="1324"/>
      <c r="AD11" s="1823"/>
    </row>
    <row r="12" spans="1:30" ht="16.5" customHeight="1">
      <c r="A12" s="1330"/>
      <c r="B12" s="1345"/>
      <c r="C12" s="1346"/>
      <c r="D12" s="1346"/>
      <c r="E12" s="1330"/>
      <c r="F12" s="1330"/>
      <c r="G12" s="1330"/>
      <c r="H12" s="1330"/>
      <c r="I12" s="1824"/>
      <c r="J12" s="1824"/>
      <c r="K12" s="1824"/>
      <c r="L12" s="1824"/>
      <c r="M12" s="1824"/>
      <c r="N12" s="1824"/>
      <c r="O12" s="1824"/>
      <c r="P12" s="1824"/>
      <c r="Q12" s="1824"/>
      <c r="R12" s="1346"/>
      <c r="S12" s="1346"/>
      <c r="T12" s="1346"/>
      <c r="U12" s="1346"/>
      <c r="V12" s="1346"/>
      <c r="AD12" s="1347"/>
    </row>
    <row r="13" spans="2:30" s="1359" customFormat="1" ht="19.5">
      <c r="B13" s="1360" t="str">
        <f>+'TOT-1214'!B14</f>
        <v>Desde el 01 al 31 de diciembre de 2014</v>
      </c>
      <c r="C13" s="1825"/>
      <c r="D13" s="1361"/>
      <c r="E13" s="1361"/>
      <c r="F13" s="1361"/>
      <c r="G13" s="1361"/>
      <c r="H13" s="1361"/>
      <c r="I13" s="1826"/>
      <c r="J13" s="1827"/>
      <c r="K13" s="1826"/>
      <c r="L13" s="1826"/>
      <c r="M13" s="1826"/>
      <c r="N13" s="1826"/>
      <c r="O13" s="1826"/>
      <c r="P13" s="1826"/>
      <c r="Q13" s="1826"/>
      <c r="R13" s="1826"/>
      <c r="S13" s="1826"/>
      <c r="T13" s="1826"/>
      <c r="U13" s="1828"/>
      <c r="V13" s="1828"/>
      <c r="W13" s="1324"/>
      <c r="X13" s="1829"/>
      <c r="Y13" s="1829"/>
      <c r="Z13" s="1829"/>
      <c r="AA13" s="1829"/>
      <c r="AB13" s="1828"/>
      <c r="AC13" s="1827"/>
      <c r="AD13" s="1830"/>
    </row>
    <row r="14" spans="1:30" ht="16.5" customHeight="1">
      <c r="A14" s="1330"/>
      <c r="B14" s="1345"/>
      <c r="C14" s="1346"/>
      <c r="D14" s="1346"/>
      <c r="E14" s="1364"/>
      <c r="F14" s="1364"/>
      <c r="G14" s="1346"/>
      <c r="H14" s="1346"/>
      <c r="I14" s="1346"/>
      <c r="J14" s="1831"/>
      <c r="K14" s="1346"/>
      <c r="L14" s="1346"/>
      <c r="M14" s="1346"/>
      <c r="N14" s="1330"/>
      <c r="O14" s="1330"/>
      <c r="P14" s="1346"/>
      <c r="Q14" s="1346"/>
      <c r="R14" s="1346"/>
      <c r="S14" s="1346"/>
      <c r="T14" s="1346"/>
      <c r="U14" s="1346"/>
      <c r="V14" s="1346"/>
      <c r="AD14" s="1347"/>
    </row>
    <row r="15" spans="1:30" ht="16.5" customHeight="1">
      <c r="A15" s="1330"/>
      <c r="B15" s="1345"/>
      <c r="C15" s="1346"/>
      <c r="D15" s="1346"/>
      <c r="E15" s="1364"/>
      <c r="F15" s="1364"/>
      <c r="G15" s="1346"/>
      <c r="H15" s="1346"/>
      <c r="I15" s="1832"/>
      <c r="J15" s="1346"/>
      <c r="K15" s="1491"/>
      <c r="M15" s="1346"/>
      <c r="N15" s="1330"/>
      <c r="O15" s="1330"/>
      <c r="P15" s="1346"/>
      <c r="Q15" s="1346"/>
      <c r="R15" s="1346"/>
      <c r="S15" s="1346"/>
      <c r="T15" s="1346"/>
      <c r="U15" s="1346"/>
      <c r="V15" s="1346"/>
      <c r="AD15" s="1347"/>
    </row>
    <row r="16" spans="1:30" ht="16.5" customHeight="1">
      <c r="A16" s="1330"/>
      <c r="B16" s="1345"/>
      <c r="C16" s="1346"/>
      <c r="D16" s="1346"/>
      <c r="E16" s="1364"/>
      <c r="F16" s="1364"/>
      <c r="G16" s="1346"/>
      <c r="H16" s="1346"/>
      <c r="I16" s="1832"/>
      <c r="J16" s="1346"/>
      <c r="K16" s="1491"/>
      <c r="M16" s="1346"/>
      <c r="N16" s="1330"/>
      <c r="O16" s="1330"/>
      <c r="P16" s="1346"/>
      <c r="Q16" s="1346"/>
      <c r="R16" s="1346"/>
      <c r="S16" s="1346"/>
      <c r="T16" s="1346"/>
      <c r="U16" s="1346"/>
      <c r="V16" s="1346"/>
      <c r="AD16" s="1347"/>
    </row>
    <row r="17" spans="1:30" ht="16.5" customHeight="1">
      <c r="A17" s="1330"/>
      <c r="B17" s="1345"/>
      <c r="C17" s="1833" t="s">
        <v>84</v>
      </c>
      <c r="D17" s="1834" t="s">
        <v>85</v>
      </c>
      <c r="E17" s="1364"/>
      <c r="F17" s="1364"/>
      <c r="G17" s="1346"/>
      <c r="H17" s="1346"/>
      <c r="I17" s="1346"/>
      <c r="J17" s="1831"/>
      <c r="K17" s="1346"/>
      <c r="L17" s="1346"/>
      <c r="M17" s="1346"/>
      <c r="N17" s="1330"/>
      <c r="O17" s="1330"/>
      <c r="P17" s="1346"/>
      <c r="Q17" s="1346"/>
      <c r="R17" s="1346"/>
      <c r="S17" s="1346"/>
      <c r="T17" s="1346"/>
      <c r="U17" s="1346"/>
      <c r="V17" s="1346"/>
      <c r="AD17" s="1347"/>
    </row>
    <row r="18" spans="2:30" s="1835" customFormat="1" ht="16.5" customHeight="1">
      <c r="B18" s="1836"/>
      <c r="C18" s="1837"/>
      <c r="D18" s="1838"/>
      <c r="E18" s="1839"/>
      <c r="F18" s="1840"/>
      <c r="G18" s="1837"/>
      <c r="H18" s="1837"/>
      <c r="I18" s="1837"/>
      <c r="J18" s="1841"/>
      <c r="K18" s="1837"/>
      <c r="L18" s="1837"/>
      <c r="M18" s="1837"/>
      <c r="P18" s="1837"/>
      <c r="Q18" s="1837"/>
      <c r="R18" s="1837"/>
      <c r="S18" s="1837"/>
      <c r="T18" s="1837"/>
      <c r="U18" s="1837"/>
      <c r="V18" s="1837"/>
      <c r="W18" s="1324"/>
      <c r="AD18" s="1842"/>
    </row>
    <row r="19" spans="2:30" s="1835" customFormat="1" ht="16.5" customHeight="1">
      <c r="B19" s="2472"/>
      <c r="C19" s="1837"/>
      <c r="D19" s="1843" t="s">
        <v>86</v>
      </c>
      <c r="F19" s="1844">
        <v>434.062</v>
      </c>
      <c r="G19" s="1843" t="s">
        <v>87</v>
      </c>
      <c r="H19" s="1837"/>
      <c r="I19" s="1837"/>
      <c r="J19" s="1845"/>
      <c r="K19" s="1846" t="s">
        <v>88</v>
      </c>
      <c r="L19" s="1847">
        <v>0.04</v>
      </c>
      <c r="R19" s="1837"/>
      <c r="S19" s="1837"/>
      <c r="T19" s="1837"/>
      <c r="U19" s="1837"/>
      <c r="V19" s="1837"/>
      <c r="W19" s="1324"/>
      <c r="AD19" s="1842"/>
    </row>
    <row r="20" spans="2:30" s="1835" customFormat="1" ht="16.5" customHeight="1">
      <c r="B20" s="2472"/>
      <c r="C20" s="1837"/>
      <c r="D20" s="1843" t="s">
        <v>89</v>
      </c>
      <c r="F20" s="1844">
        <v>1.193</v>
      </c>
      <c r="G20" s="1843" t="s">
        <v>90</v>
      </c>
      <c r="H20" s="1837"/>
      <c r="I20" s="1837"/>
      <c r="J20" s="1837"/>
      <c r="K20" s="1838" t="s">
        <v>91</v>
      </c>
      <c r="L20" s="1837">
        <f>MID(B13,16,2)*24</f>
        <v>744</v>
      </c>
      <c r="M20" s="1837" t="s">
        <v>92</v>
      </c>
      <c r="N20" s="1837"/>
      <c r="O20" s="1837"/>
      <c r="P20" s="2143"/>
      <c r="Q20" s="1837"/>
      <c r="R20" s="1837"/>
      <c r="S20" s="1837"/>
      <c r="T20" s="1837"/>
      <c r="U20" s="1837"/>
      <c r="V20" s="1837"/>
      <c r="W20" s="1324"/>
      <c r="AD20" s="1842"/>
    </row>
    <row r="21" spans="2:30" s="1835" customFormat="1" ht="16.5" customHeight="1">
      <c r="B21" s="2472"/>
      <c r="C21" s="1837"/>
      <c r="D21" s="1843" t="s">
        <v>129</v>
      </c>
      <c r="F21" s="1844">
        <v>189.391</v>
      </c>
      <c r="G21" s="1843" t="s">
        <v>130</v>
      </c>
      <c r="H21" s="1837"/>
      <c r="I21" s="1837"/>
      <c r="J21" s="1837"/>
      <c r="K21" s="1838"/>
      <c r="L21" s="1837"/>
      <c r="M21" s="1837"/>
      <c r="N21" s="1837"/>
      <c r="O21" s="1837"/>
      <c r="P21" s="2143"/>
      <c r="Q21" s="1837"/>
      <c r="R21" s="1837"/>
      <c r="S21" s="1837"/>
      <c r="T21" s="1837"/>
      <c r="U21" s="1837"/>
      <c r="V21" s="1837"/>
      <c r="W21" s="1324"/>
      <c r="AD21" s="1842"/>
    </row>
    <row r="22" spans="2:30" s="1835" customFormat="1" ht="16.5" customHeight="1">
      <c r="B22" s="1836"/>
      <c r="C22" s="1837"/>
      <c r="H22" s="1837"/>
      <c r="I22" s="1837"/>
      <c r="J22" s="1837"/>
      <c r="K22" s="1370"/>
      <c r="L22" s="1371"/>
      <c r="M22" s="1837"/>
      <c r="N22" s="1837"/>
      <c r="O22" s="1837"/>
      <c r="P22" s="2143"/>
      <c r="Q22" s="1837"/>
      <c r="R22" s="1837"/>
      <c r="S22" s="1837"/>
      <c r="T22" s="1837"/>
      <c r="U22" s="1837"/>
      <c r="V22" s="1837"/>
      <c r="W22" s="1324"/>
      <c r="AD22" s="1842"/>
    </row>
    <row r="23" spans="2:30" s="1835" customFormat="1" ht="8.25" customHeight="1">
      <c r="B23" s="1836"/>
      <c r="C23" s="1837"/>
      <c r="D23" s="1837"/>
      <c r="E23" s="1852"/>
      <c r="F23" s="1837"/>
      <c r="G23" s="1837"/>
      <c r="H23" s="1837"/>
      <c r="I23" s="1837"/>
      <c r="J23" s="1837"/>
      <c r="K23" s="1837"/>
      <c r="L23" s="1837"/>
      <c r="M23" s="1837"/>
      <c r="N23" s="1837"/>
      <c r="O23" s="1837"/>
      <c r="P23" s="1837"/>
      <c r="Q23" s="1837"/>
      <c r="R23" s="1837"/>
      <c r="S23" s="1837"/>
      <c r="T23" s="1837"/>
      <c r="U23" s="1837"/>
      <c r="V23" s="1837"/>
      <c r="W23" s="1324"/>
      <c r="AD23" s="1842"/>
    </row>
    <row r="24" spans="1:30" ht="16.5" customHeight="1">
      <c r="A24" s="1330"/>
      <c r="B24" s="1345"/>
      <c r="C24" s="1833" t="s">
        <v>93</v>
      </c>
      <c r="D24" s="1853" t="s">
        <v>323</v>
      </c>
      <c r="I24" s="1346"/>
      <c r="J24" s="1835"/>
      <c r="O24" s="1346"/>
      <c r="P24" s="1346"/>
      <c r="Q24" s="1346"/>
      <c r="R24" s="1346"/>
      <c r="S24" s="1346"/>
      <c r="T24" s="1346"/>
      <c r="V24" s="1346"/>
      <c r="X24" s="1346"/>
      <c r="Y24" s="1346"/>
      <c r="Z24" s="1346"/>
      <c r="AA24" s="1346"/>
      <c r="AB24" s="1346"/>
      <c r="AC24" s="1346"/>
      <c r="AD24" s="1347"/>
    </row>
    <row r="25" spans="1:30" ht="10.5" customHeight="1" thickBot="1">
      <c r="A25" s="1330"/>
      <c r="B25" s="1345"/>
      <c r="C25" s="1364"/>
      <c r="D25" s="1853"/>
      <c r="I25" s="1346"/>
      <c r="J25" s="1835"/>
      <c r="O25" s="1346"/>
      <c r="P25" s="1346"/>
      <c r="Q25" s="1346"/>
      <c r="R25" s="1346"/>
      <c r="S25" s="1346"/>
      <c r="T25" s="1346"/>
      <c r="V25" s="1346"/>
      <c r="X25" s="1346"/>
      <c r="Y25" s="1346"/>
      <c r="Z25" s="1346"/>
      <c r="AA25" s="1346"/>
      <c r="AB25" s="1346"/>
      <c r="AC25" s="1346"/>
      <c r="AD25" s="1347"/>
    </row>
    <row r="26" spans="2:30" s="1835" customFormat="1" ht="16.5" customHeight="1" thickBot="1" thickTop="1">
      <c r="B26" s="1836"/>
      <c r="C26" s="1840"/>
      <c r="D26" s="1324"/>
      <c r="E26" s="1324"/>
      <c r="F26" s="1324"/>
      <c r="G26" s="1324"/>
      <c r="H26" s="1324"/>
      <c r="I26" s="1324"/>
      <c r="J26" s="2473" t="s">
        <v>94</v>
      </c>
      <c r="K26" s="2474">
        <f>L19*AC96</f>
        <v>99650.94348096004</v>
      </c>
      <c r="L26" s="1324"/>
      <c r="S26" s="1324"/>
      <c r="T26" s="1324"/>
      <c r="U26" s="1324"/>
      <c r="W26" s="1324"/>
      <c r="AD26" s="1842"/>
    </row>
    <row r="27" spans="2:30" s="1835" customFormat="1" ht="11.25" customHeight="1" thickTop="1">
      <c r="B27" s="1836"/>
      <c r="C27" s="1840"/>
      <c r="D27" s="1837"/>
      <c r="E27" s="1852"/>
      <c r="F27" s="1837"/>
      <c r="G27" s="1837"/>
      <c r="H27" s="1837"/>
      <c r="I27" s="1837"/>
      <c r="J27" s="1837"/>
      <c r="K27" s="1837"/>
      <c r="L27" s="1837"/>
      <c r="M27" s="1837"/>
      <c r="N27" s="1837"/>
      <c r="O27" s="1837"/>
      <c r="P27" s="1837"/>
      <c r="Q27" s="1837"/>
      <c r="R27" s="1837"/>
      <c r="S27" s="1837"/>
      <c r="T27" s="1837"/>
      <c r="U27" s="1324"/>
      <c r="W27" s="1324"/>
      <c r="AD27" s="1842"/>
    </row>
    <row r="28" spans="1:30" ht="16.5" customHeight="1">
      <c r="A28" s="1330"/>
      <c r="B28" s="1345"/>
      <c r="C28" s="1833" t="s">
        <v>95</v>
      </c>
      <c r="D28" s="1853" t="s">
        <v>182</v>
      </c>
      <c r="E28" s="1476"/>
      <c r="F28" s="1346"/>
      <c r="G28" s="1346"/>
      <c r="H28" s="1346"/>
      <c r="I28" s="1346"/>
      <c r="J28" s="1346"/>
      <c r="K28" s="1346"/>
      <c r="L28" s="1346"/>
      <c r="M28" s="1346"/>
      <c r="N28" s="1346"/>
      <c r="O28" s="1346"/>
      <c r="P28" s="1346"/>
      <c r="Q28" s="1346"/>
      <c r="R28" s="1346"/>
      <c r="S28" s="1346"/>
      <c r="T28" s="1346"/>
      <c r="U28" s="1346"/>
      <c r="V28" s="1346"/>
      <c r="AD28" s="1347"/>
    </row>
    <row r="29" spans="1:30" ht="21.75" customHeight="1" thickBot="1">
      <c r="A29" s="1330"/>
      <c r="B29" s="1345"/>
      <c r="C29" s="1346"/>
      <c r="D29" s="1346"/>
      <c r="E29" s="1476"/>
      <c r="F29" s="1346"/>
      <c r="G29" s="1346"/>
      <c r="H29" s="1346"/>
      <c r="I29" s="1346"/>
      <c r="J29" s="1346"/>
      <c r="K29" s="1346"/>
      <c r="L29" s="1346"/>
      <c r="M29" s="1346"/>
      <c r="N29" s="1346"/>
      <c r="O29" s="1346"/>
      <c r="P29" s="1346"/>
      <c r="Q29" s="1346"/>
      <c r="R29" s="1346"/>
      <c r="S29" s="1346"/>
      <c r="T29" s="1346"/>
      <c r="U29" s="1346"/>
      <c r="V29" s="1346"/>
      <c r="AD29" s="1347"/>
    </row>
    <row r="30" spans="2:31" s="1330" customFormat="1" ht="33.75" customHeight="1" thickBot="1" thickTop="1">
      <c r="B30" s="1345"/>
      <c r="C30" s="1374" t="s">
        <v>28</v>
      </c>
      <c r="D30" s="2475" t="s">
        <v>5</v>
      </c>
      <c r="E30" s="1857" t="s">
        <v>31</v>
      </c>
      <c r="F30" s="1858" t="s">
        <v>32</v>
      </c>
      <c r="G30" s="1378" t="s">
        <v>33</v>
      </c>
      <c r="H30" s="1859" t="s">
        <v>34</v>
      </c>
      <c r="I30" s="1860" t="s">
        <v>35</v>
      </c>
      <c r="J30" s="1375" t="s">
        <v>36</v>
      </c>
      <c r="K30" s="1381" t="s">
        <v>37</v>
      </c>
      <c r="L30" s="1382" t="s">
        <v>38</v>
      </c>
      <c r="M30" s="1377" t="s">
        <v>39</v>
      </c>
      <c r="N30" s="1382" t="s">
        <v>96</v>
      </c>
      <c r="O30" s="1382" t="s">
        <v>40</v>
      </c>
      <c r="P30" s="1381" t="s">
        <v>41</v>
      </c>
      <c r="Q30" s="1375" t="s">
        <v>42</v>
      </c>
      <c r="R30" s="1861" t="s">
        <v>43</v>
      </c>
      <c r="S30" s="1862" t="s">
        <v>44</v>
      </c>
      <c r="T30" s="1863" t="s">
        <v>52</v>
      </c>
      <c r="U30" s="1864"/>
      <c r="V30" s="1865"/>
      <c r="W30" s="1866" t="s">
        <v>97</v>
      </c>
      <c r="X30" s="1867"/>
      <c r="Y30" s="1868"/>
      <c r="Z30" s="1869" t="s">
        <v>47</v>
      </c>
      <c r="AA30" s="1870" t="s">
        <v>98</v>
      </c>
      <c r="AB30" s="1871" t="s">
        <v>49</v>
      </c>
      <c r="AC30" s="1872" t="s">
        <v>50</v>
      </c>
      <c r="AD30" s="1394"/>
      <c r="AE30" s="1324"/>
    </row>
    <row r="31" spans="1:30" ht="16.5" customHeight="1" thickTop="1">
      <c r="A31" s="1330"/>
      <c r="B31" s="1345"/>
      <c r="C31" s="1873"/>
      <c r="D31" s="1874"/>
      <c r="E31" s="1875"/>
      <c r="F31" s="1876"/>
      <c r="G31" s="1877"/>
      <c r="H31" s="1878"/>
      <c r="I31" s="2476"/>
      <c r="J31" s="1880"/>
      <c r="K31" s="1881"/>
      <c r="L31" s="1873"/>
      <c r="M31" s="1873"/>
      <c r="N31" s="1882"/>
      <c r="O31" s="1882"/>
      <c r="P31" s="1873"/>
      <c r="Q31" s="1883"/>
      <c r="R31" s="1884"/>
      <c r="S31" s="1885"/>
      <c r="T31" s="1886"/>
      <c r="U31" s="1887"/>
      <c r="V31" s="1888"/>
      <c r="W31" s="1889"/>
      <c r="X31" s="1890"/>
      <c r="Y31" s="1891"/>
      <c r="Z31" s="1892"/>
      <c r="AA31" s="1893"/>
      <c r="AB31" s="1894"/>
      <c r="AC31" s="1895"/>
      <c r="AD31" s="1347"/>
    </row>
    <row r="32" spans="1:30" ht="16.5" customHeight="1">
      <c r="A32" s="1330"/>
      <c r="B32" s="1345"/>
      <c r="C32" s="1896" t="s">
        <v>99</v>
      </c>
      <c r="D32" s="1414" t="s">
        <v>289</v>
      </c>
      <c r="E32" s="1415">
        <v>500</v>
      </c>
      <c r="F32" s="1416">
        <v>264</v>
      </c>
      <c r="G32" s="1415" t="s">
        <v>193</v>
      </c>
      <c r="H32" s="1897">
        <f>IF(G32="A",200,IF(G32="B",60,20))</f>
        <v>20</v>
      </c>
      <c r="I32" s="2477">
        <f>IF(F32&gt;100,F32,100)*$F$19/100</f>
        <v>1145.92368</v>
      </c>
      <c r="J32" s="1446">
        <v>41982.02569444444</v>
      </c>
      <c r="K32" s="1447">
        <v>41982.059027777774</v>
      </c>
      <c r="L32" s="1899">
        <f>IF(D32="","",(K32-J32)*24)</f>
        <v>0.7999999999883585</v>
      </c>
      <c r="M32" s="1900">
        <f>IF(D32="","",ROUND((K32-J32)*24*60,0))</f>
        <v>48</v>
      </c>
      <c r="N32" s="1921" t="s">
        <v>354</v>
      </c>
      <c r="O32" s="1902" t="str">
        <f>IF(D32="","","--")</f>
        <v>--</v>
      </c>
      <c r="P32" s="1425" t="str">
        <f>IF(D32="","","NO")</f>
        <v>NO</v>
      </c>
      <c r="Q32" s="1425" t="str">
        <f>IF(D32="","",IF(OR(N32="P",N32="RP"),"--","NO"))</f>
        <v>--</v>
      </c>
      <c r="R32" s="1903">
        <f>IF(N32="P",+I32*H32*ROUND(M32/60,2)/100,"--")</f>
        <v>183.34778880000002</v>
      </c>
      <c r="S32" s="1904" t="str">
        <f>IF(N32="RP",I32*H32*ROUND(M32/60,2)*0.01*O32/100,"--")</f>
        <v>--</v>
      </c>
      <c r="T32" s="1905" t="str">
        <f>IF(AND(N32="F",Q32="NO"),IF(P32="SI",1.2,1)*I32*H32,"--")</f>
        <v>--</v>
      </c>
      <c r="U32" s="1906" t="str">
        <f>IF(AND(M32&gt;10,N32="F"),IF(M32&lt;=300,ROUND(M32/60,2),5)*I32*H32*IF(P32="SI",1.2,1),"--")</f>
        <v>--</v>
      </c>
      <c r="V32" s="1907" t="str">
        <f>IF(AND(N32="F",M32&gt;300),IF(P32="SI",1.2,1)*(ROUND(M32/60,2)-5)*I32*H32*0.1,"--")</f>
        <v>--</v>
      </c>
      <c r="W32" s="1908" t="str">
        <f>IF(AND(N32="R",Q32="NO"),IF(P32="SI",1.2,1)*I32*H32*O32/100,"--")</f>
        <v>--</v>
      </c>
      <c r="X32" s="1909" t="str">
        <f>IF(AND(M32&gt;10,N32="R"),IF(M32&lt;=300,ROUND(M32/60,2),5)*I32*H32*O32/100*IF(P32="SI",1.2,1),"--")</f>
        <v>--</v>
      </c>
      <c r="Y32" s="1910" t="str">
        <f>IF(AND(N32="R",M32&gt;300),IF(P32="SI",1.2,1)*(ROUND(M32/60,2)-5)*I32*H32*O32/100*0.1,"--")</f>
        <v>--</v>
      </c>
      <c r="Z32" s="1911" t="str">
        <f>IF(N32="RF",IF(P32="SI",1.2,1)*ROUND(M32/60,2)*I32*H32*0.1,"--")</f>
        <v>--</v>
      </c>
      <c r="AA32" s="1912" t="str">
        <f>IF(N32="RR",IF(P32="SI",1.2,1)*ROUND(M32/60,2)*I32*H32*O32/100*0.1,"--")</f>
        <v>--</v>
      </c>
      <c r="AB32" s="1913" t="str">
        <f>IF(D32="","","SI")</f>
        <v>SI</v>
      </c>
      <c r="AC32" s="1437">
        <f>IF(D32="","",SUM(R32:AA32)*IF(AB32="SI",1,2))</f>
        <v>183.34778880000002</v>
      </c>
      <c r="AD32" s="1347"/>
    </row>
    <row r="33" spans="1:30" ht="16.5" customHeight="1">
      <c r="A33" s="1330"/>
      <c r="B33" s="1345"/>
      <c r="C33" s="1896" t="s">
        <v>100</v>
      </c>
      <c r="D33" s="1414" t="s">
        <v>289</v>
      </c>
      <c r="E33" s="1415">
        <v>500</v>
      </c>
      <c r="F33" s="1416">
        <v>264</v>
      </c>
      <c r="G33" s="1415" t="s">
        <v>193</v>
      </c>
      <c r="H33" s="1897">
        <f>IF(G33="A",200,IF(G33="B",60,20))</f>
        <v>20</v>
      </c>
      <c r="I33" s="2477">
        <f>IF(F33&gt;100,F33,100)*$F$19/100</f>
        <v>1145.92368</v>
      </c>
      <c r="J33" s="1446">
        <v>41984.02222222222</v>
      </c>
      <c r="K33" s="1447">
        <v>41984.03680555556</v>
      </c>
      <c r="L33" s="1899">
        <f>IF(D33="","",(K33-J33)*24)</f>
        <v>0.35000000009313226</v>
      </c>
      <c r="M33" s="1900">
        <f>IF(D33="","",ROUND((K33-J33)*24*60,0))</f>
        <v>21</v>
      </c>
      <c r="N33" s="1921" t="s">
        <v>354</v>
      </c>
      <c r="O33" s="1902" t="str">
        <f>IF(D33="","","--")</f>
        <v>--</v>
      </c>
      <c r="P33" s="1425" t="str">
        <f>IF(D33="","","NO")</f>
        <v>NO</v>
      </c>
      <c r="Q33" s="1425" t="str">
        <f>IF(D33="","",IF(OR(N33="P",N33="RP"),"--","NO"))</f>
        <v>--</v>
      </c>
      <c r="R33" s="1903">
        <f>IF(N33="P",+I33*H33*ROUND(M33/60,2)/100,"--")</f>
        <v>80.2146576</v>
      </c>
      <c r="S33" s="1904" t="str">
        <f>IF(N33="RP",I33*H33*ROUND(M33/60,2)*0.01*O33/100,"--")</f>
        <v>--</v>
      </c>
      <c r="T33" s="1905" t="str">
        <f>IF(AND(N33="F",Q33="NO"),IF(P33="SI",1.2,1)*I33*H33,"--")</f>
        <v>--</v>
      </c>
      <c r="U33" s="1906" t="str">
        <f>IF(AND(M33&gt;10,N33="F"),IF(M33&lt;=300,ROUND(M33/60,2),5)*I33*H33*IF(P33="SI",1.2,1),"--")</f>
        <v>--</v>
      </c>
      <c r="V33" s="1907" t="str">
        <f>IF(AND(N33="F",M33&gt;300),IF(P33="SI",1.2,1)*(ROUND(M33/60,2)-5)*I33*H33*0.1,"--")</f>
        <v>--</v>
      </c>
      <c r="W33" s="1908" t="str">
        <f>IF(AND(N33="R",Q33="NO"),IF(P33="SI",1.2,1)*I33*H33*O33/100,"--")</f>
        <v>--</v>
      </c>
      <c r="X33" s="1909" t="str">
        <f>IF(AND(M33&gt;10,N33="R"),IF(M33&lt;=300,ROUND(M33/60,2),5)*I33*H33*O33/100*IF(P33="SI",1.2,1),"--")</f>
        <v>--</v>
      </c>
      <c r="Y33" s="1910" t="str">
        <f>IF(AND(N33="R",M33&gt;300),IF(P33="SI",1.2,1)*(ROUND(M33/60,2)-5)*I33*H33*O33/100*0.1,"--")</f>
        <v>--</v>
      </c>
      <c r="Z33" s="1911" t="str">
        <f>IF(N33="RF",IF(P33="SI",1.2,1)*ROUND(M33/60,2)*I33*H33*0.1,"--")</f>
        <v>--</v>
      </c>
      <c r="AA33" s="1912" t="str">
        <f>IF(N33="RR",IF(P33="SI",1.2,1)*ROUND(M33/60,2)*I33*H33*O33/100*0.1,"--")</f>
        <v>--</v>
      </c>
      <c r="AB33" s="1913" t="str">
        <f>IF(D33="","","SI")</f>
        <v>SI</v>
      </c>
      <c r="AC33" s="1437">
        <f>IF(D33="","",SUM(R33:AA33)*IF(AB33="SI",1,2))</f>
        <v>80.2146576</v>
      </c>
      <c r="AD33" s="1347"/>
    </row>
    <row r="34" spans="1:30" ht="16.5" customHeight="1">
      <c r="A34" s="1330"/>
      <c r="B34" s="1345"/>
      <c r="C34" s="1896" t="s">
        <v>101</v>
      </c>
      <c r="D34" s="1414" t="s">
        <v>289</v>
      </c>
      <c r="E34" s="1415">
        <v>500</v>
      </c>
      <c r="F34" s="1416">
        <v>264</v>
      </c>
      <c r="G34" s="1415" t="s">
        <v>193</v>
      </c>
      <c r="H34" s="1897">
        <f>IF(G34="A",200,IF(G34="B",60,20))</f>
        <v>20</v>
      </c>
      <c r="I34" s="2477">
        <f>IF(F34&gt;100,F34,100)*$F$19/100</f>
        <v>1145.92368</v>
      </c>
      <c r="J34" s="1446">
        <v>41985.01875</v>
      </c>
      <c r="K34" s="1447">
        <v>41985.03055555555</v>
      </c>
      <c r="L34" s="1899">
        <f>IF(D34="","",(K34-J34)*24)</f>
        <v>0.283333333209157</v>
      </c>
      <c r="M34" s="1900">
        <f>IF(D34="","",ROUND((K34-J34)*24*60,0))</f>
        <v>17</v>
      </c>
      <c r="N34" s="1921" t="s">
        <v>354</v>
      </c>
      <c r="O34" s="1902" t="str">
        <f>IF(D34="","","--")</f>
        <v>--</v>
      </c>
      <c r="P34" s="1425" t="str">
        <f>IF(D34="","","NO")</f>
        <v>NO</v>
      </c>
      <c r="Q34" s="1425" t="str">
        <f>IF(D34="","",IF(OR(N34="P",N34="RP"),"--","NO"))</f>
        <v>--</v>
      </c>
      <c r="R34" s="1903">
        <f>IF(N34="P",+I34*H34*ROUND(M34/60,2)/100,"--")</f>
        <v>64.17172608000001</v>
      </c>
      <c r="S34" s="1904" t="str">
        <f>IF(N34="RP",I34*H34*ROUND(M34/60,2)*0.01*O34/100,"--")</f>
        <v>--</v>
      </c>
      <c r="T34" s="1905" t="str">
        <f>IF(AND(N34="F",Q34="NO"),IF(P34="SI",1.2,1)*I34*H34,"--")</f>
        <v>--</v>
      </c>
      <c r="U34" s="1906" t="str">
        <f>IF(AND(M34&gt;10,N34="F"),IF(M34&lt;=300,ROUND(M34/60,2),5)*I34*H34*IF(P34="SI",1.2,1),"--")</f>
        <v>--</v>
      </c>
      <c r="V34" s="1907" t="str">
        <f>IF(AND(N34="F",M34&gt;300),IF(P34="SI",1.2,1)*(ROUND(M34/60,2)-5)*I34*H34*0.1,"--")</f>
        <v>--</v>
      </c>
      <c r="W34" s="1908" t="str">
        <f>IF(AND(N34="R",Q34="NO"),IF(P34="SI",1.2,1)*I34*H34*O34/100,"--")</f>
        <v>--</v>
      </c>
      <c r="X34" s="1909" t="str">
        <f>IF(AND(M34&gt;10,N34="R"),IF(M34&lt;=300,ROUND(M34/60,2),5)*I34*H34*O34/100*IF(P34="SI",1.2,1),"--")</f>
        <v>--</v>
      </c>
      <c r="Y34" s="1910" t="str">
        <f>IF(AND(N34="R",M34&gt;300),IF(P34="SI",1.2,1)*(ROUND(M34/60,2)-5)*I34*H34*O34/100*0.1,"--")</f>
        <v>--</v>
      </c>
      <c r="Z34" s="1911" t="str">
        <f>IF(N34="RF",IF(P34="SI",1.2,1)*ROUND(M34/60,2)*I34*H34*0.1,"--")</f>
        <v>--</v>
      </c>
      <c r="AA34" s="1912" t="str">
        <f>IF(N34="RR",IF(P34="SI",1.2,1)*ROUND(M34/60,2)*I34*H34*O34/100*0.1,"--")</f>
        <v>--</v>
      </c>
      <c r="AB34" s="1913" t="str">
        <f>IF(D34="","","SI")</f>
        <v>SI</v>
      </c>
      <c r="AC34" s="1437">
        <f>IF(D34="","",SUM(R34:AA34)*IF(AB34="SI",1,2))</f>
        <v>64.17172608000001</v>
      </c>
      <c r="AD34" s="1347"/>
    </row>
    <row r="35" spans="1:30" ht="16.5" customHeight="1" thickBot="1">
      <c r="A35" s="1835"/>
      <c r="B35" s="1345"/>
      <c r="C35" s="2004"/>
      <c r="D35" s="1923"/>
      <c r="E35" s="1924"/>
      <c r="F35" s="1925"/>
      <c r="G35" s="1926"/>
      <c r="H35" s="1927"/>
      <c r="I35" s="2478"/>
      <c r="J35" s="1929"/>
      <c r="K35" s="1929"/>
      <c r="L35" s="1456"/>
      <c r="M35" s="1456"/>
      <c r="N35" s="1456"/>
      <c r="O35" s="1930"/>
      <c r="P35" s="1456"/>
      <c r="Q35" s="1456"/>
      <c r="R35" s="1931"/>
      <c r="S35" s="1932"/>
      <c r="T35" s="1933"/>
      <c r="U35" s="1934"/>
      <c r="V35" s="1935"/>
      <c r="W35" s="1936"/>
      <c r="X35" s="1937"/>
      <c r="Y35" s="1938"/>
      <c r="Z35" s="1939"/>
      <c r="AA35" s="1940"/>
      <c r="AB35" s="1941"/>
      <c r="AC35" s="1942"/>
      <c r="AD35" s="1943"/>
    </row>
    <row r="36" spans="1:30" ht="16.5" customHeight="1" thickBot="1" thickTop="1">
      <c r="A36" s="1835"/>
      <c r="B36" s="1345"/>
      <c r="C36" s="1840"/>
      <c r="D36" s="1840"/>
      <c r="E36" s="1944"/>
      <c r="F36" s="1852"/>
      <c r="G36" s="1945"/>
      <c r="H36" s="1945"/>
      <c r="I36" s="1946"/>
      <c r="J36" s="1946"/>
      <c r="K36" s="1946"/>
      <c r="L36" s="1946"/>
      <c r="M36" s="1946"/>
      <c r="N36" s="1946"/>
      <c r="O36" s="1947"/>
      <c r="P36" s="1946"/>
      <c r="Q36" s="1946"/>
      <c r="R36" s="1948">
        <f aca="true" t="shared" si="0" ref="R36:AA36">SUM(R31:R35)</f>
        <v>327.73417248</v>
      </c>
      <c r="S36" s="1949">
        <f t="shared" si="0"/>
        <v>0</v>
      </c>
      <c r="T36" s="1950">
        <f t="shared" si="0"/>
        <v>0</v>
      </c>
      <c r="U36" s="1950">
        <f t="shared" si="0"/>
        <v>0</v>
      </c>
      <c r="V36" s="1950">
        <f t="shared" si="0"/>
        <v>0</v>
      </c>
      <c r="W36" s="1951">
        <f t="shared" si="0"/>
        <v>0</v>
      </c>
      <c r="X36" s="1951">
        <f t="shared" si="0"/>
        <v>0</v>
      </c>
      <c r="Y36" s="1951">
        <f t="shared" si="0"/>
        <v>0</v>
      </c>
      <c r="Z36" s="1952">
        <f t="shared" si="0"/>
        <v>0</v>
      </c>
      <c r="AA36" s="1953">
        <f t="shared" si="0"/>
        <v>0</v>
      </c>
      <c r="AB36" s="1954"/>
      <c r="AC36" s="1955">
        <f>SUM(AC31:AC35)</f>
        <v>327.73417248</v>
      </c>
      <c r="AD36" s="1943"/>
    </row>
    <row r="37" spans="1:30" ht="13.5" customHeight="1" thickBot="1" thickTop="1">
      <c r="A37" s="1835"/>
      <c r="B37" s="1345"/>
      <c r="C37" s="1840"/>
      <c r="D37" s="1840"/>
      <c r="E37" s="1944"/>
      <c r="F37" s="1852"/>
      <c r="G37" s="1945"/>
      <c r="H37" s="1945"/>
      <c r="I37" s="1946"/>
      <c r="J37" s="1946"/>
      <c r="K37" s="1946"/>
      <c r="L37" s="1946"/>
      <c r="M37" s="1946"/>
      <c r="N37" s="1946"/>
      <c r="O37" s="1947"/>
      <c r="P37" s="1946"/>
      <c r="Q37" s="1946"/>
      <c r="R37" s="1961"/>
      <c r="S37" s="1962"/>
      <c r="T37" s="1963"/>
      <c r="U37" s="1963"/>
      <c r="V37" s="1963"/>
      <c r="W37" s="1961"/>
      <c r="X37" s="1961"/>
      <c r="Y37" s="1961"/>
      <c r="Z37" s="1961"/>
      <c r="AA37" s="1961"/>
      <c r="AB37" s="1964"/>
      <c r="AC37" s="1965"/>
      <c r="AD37" s="1943"/>
    </row>
    <row r="38" spans="1:33" s="1330" customFormat="1" ht="33.75" customHeight="1" thickBot="1" thickTop="1">
      <c r="A38" s="1329"/>
      <c r="B38" s="1966"/>
      <c r="C38" s="1967" t="s">
        <v>28</v>
      </c>
      <c r="D38" s="1968" t="s">
        <v>58</v>
      </c>
      <c r="E38" s="1969" t="s">
        <v>59</v>
      </c>
      <c r="F38" t="s">
        <v>60</v>
      </c>
      <c r="G38" s="1872" t="s">
        <v>31</v>
      </c>
      <c r="H38" t="s">
        <v>35</v>
      </c>
      <c r="I38"/>
      <c r="J38" s="1969" t="s">
        <v>36</v>
      </c>
      <c r="K38" s="1969" t="s">
        <v>37</v>
      </c>
      <c r="L38" s="1968" t="s">
        <v>61</v>
      </c>
      <c r="M38" s="1968" t="s">
        <v>39</v>
      </c>
      <c r="N38" s="1382" t="s">
        <v>113</v>
      </c>
      <c r="O38" s="1969" t="s">
        <v>42</v>
      </c>
      <c r="P38" t="s">
        <v>62</v>
      </c>
      <c r="Q38" s="2479"/>
      <c r="R38" t="s">
        <v>115</v>
      </c>
      <c r="S38" s="1972" t="s">
        <v>43</v>
      </c>
      <c r="T38" s="1973" t="s">
        <v>116</v>
      </c>
      <c r="U38" s="1974"/>
      <c r="V38" s="1975" t="s">
        <v>47</v>
      </c>
      <c r="W38" s="2480"/>
      <c r="X38" s="1977"/>
      <c r="Y38" s="1977"/>
      <c r="Z38" s="1977"/>
      <c r="AA38" s="1978"/>
      <c r="AB38" s="1393" t="s">
        <v>49</v>
      </c>
      <c r="AC38" s="1872" t="s">
        <v>50</v>
      </c>
      <c r="AD38" s="1347"/>
      <c r="AF38" s="1324"/>
      <c r="AG38" s="1324"/>
    </row>
    <row r="39" spans="1:30" ht="16.5" customHeight="1" thickTop="1">
      <c r="A39" s="1330"/>
      <c r="B39" s="1345"/>
      <c r="C39" s="1873"/>
      <c r="D39" s="1413"/>
      <c r="E39" s="1413"/>
      <c r="F39" s="1413"/>
      <c r="G39" s="2153"/>
      <c r="H39" s="2154"/>
      <c r="I39" s="1979"/>
      <c r="J39" s="1413"/>
      <c r="K39" s="1413"/>
      <c r="L39" s="1413"/>
      <c r="M39" s="1413"/>
      <c r="N39" s="1413"/>
      <c r="O39" s="1980"/>
      <c r="P39" s="2524"/>
      <c r="Q39" s="2525"/>
      <c r="R39" s="2156"/>
      <c r="S39" s="2157"/>
      <c r="T39" s="2158"/>
      <c r="U39" s="2159"/>
      <c r="V39" s="2160"/>
      <c r="W39" s="2481"/>
      <c r="X39" s="1981"/>
      <c r="Y39" s="1981"/>
      <c r="Z39" s="1981"/>
      <c r="AA39" s="1982"/>
      <c r="AB39" s="1980"/>
      <c r="AC39" s="1983"/>
      <c r="AD39" s="1347"/>
    </row>
    <row r="40" spans="1:30" ht="16.5" customHeight="1">
      <c r="A40" s="1330"/>
      <c r="B40" s="1345"/>
      <c r="C40" s="1896" t="s">
        <v>99</v>
      </c>
      <c r="D40" s="1984"/>
      <c r="E40" s="1985"/>
      <c r="F40" s="2482"/>
      <c r="G40" s="2483"/>
      <c r="H40" s="1986">
        <f>F40*$F$20</f>
        <v>0</v>
      </c>
      <c r="I40" s="1987"/>
      <c r="J40" s="2003"/>
      <c r="K40" s="2003"/>
      <c r="L40" s="1989">
        <f>IF(D40="","",(K40-J40)*24)</f>
      </c>
      <c r="M40" s="1990">
        <f>IF(D40="","",(K40-J40)*24*60)</f>
      </c>
      <c r="N40" s="1991"/>
      <c r="O40" s="1992">
        <f>IF(D40="","",IF(OR(N40="P",N40="RP"),"--","NO"))</f>
      </c>
      <c r="P40" s="2516">
        <f>IF(D40="","","NO")</f>
      </c>
      <c r="Q40" s="2517"/>
      <c r="R40" s="2163">
        <f>200*IF(P40="SI",1,0.1)*IF(N40="P",0.1,1)</f>
        <v>20</v>
      </c>
      <c r="S40" s="1994" t="str">
        <f>IF(N40="P",H40*R40*ROUND(M40/60,2),"--")</f>
        <v>--</v>
      </c>
      <c r="T40" s="1995" t="str">
        <f>IF(AND(N40="F",O40="NO"),H40*R40,"--")</f>
        <v>--</v>
      </c>
      <c r="U40" s="1996" t="str">
        <f>IF(N40="F",H40*R40*ROUND(M40/60,2),"--")</f>
        <v>--</v>
      </c>
      <c r="V40" s="1997" t="str">
        <f>IF(N40="RF",H40*R40*ROUND(M40/60,2),"--")</f>
        <v>--</v>
      </c>
      <c r="W40" s="2484"/>
      <c r="X40" s="1999"/>
      <c r="Y40" s="1999"/>
      <c r="Z40" s="1999"/>
      <c r="AA40" s="2000"/>
      <c r="AB40" s="2001">
        <f>IF(D40="","","SI")</f>
      </c>
      <c r="AC40" s="2002">
        <f>IF(D40="","",SUM(S40:V40)*IF(AB40="SI",1,2))</f>
      </c>
      <c r="AD40" s="1347"/>
    </row>
    <row r="41" spans="1:30" ht="16.5" customHeight="1">
      <c r="A41" s="1330"/>
      <c r="B41" s="1345"/>
      <c r="C41" s="1896" t="s">
        <v>100</v>
      </c>
      <c r="D41" s="1984"/>
      <c r="E41" s="1985"/>
      <c r="F41" s="2482"/>
      <c r="G41" s="2483"/>
      <c r="H41" s="1986">
        <f>F41*$F$20</f>
        <v>0</v>
      </c>
      <c r="I41" s="1987"/>
      <c r="J41" s="2003"/>
      <c r="K41" s="2003"/>
      <c r="L41" s="1989">
        <f>IF(D41="","",(K41-J41)*24)</f>
      </c>
      <c r="M41" s="1990">
        <f>IF(D41="","",(K41-J41)*24*60)</f>
      </c>
      <c r="N41" s="1991"/>
      <c r="O41" s="1992">
        <f>IF(D41="","",IF(OR(N41="P",N41="RP"),"--","NO"))</f>
      </c>
      <c r="P41" s="2516">
        <f>IF(D41="","","NO")</f>
      </c>
      <c r="Q41" s="2517"/>
      <c r="R41" s="2163">
        <f>200*IF(P41="SI",1,0.1)*IF(N41="P",0.1,1)</f>
        <v>20</v>
      </c>
      <c r="S41" s="1994" t="str">
        <f>IF(N41="P",H41*R41*ROUND(M41/60,2),"--")</f>
        <v>--</v>
      </c>
      <c r="T41" s="1995" t="str">
        <f>IF(AND(N41="F",O41="NO"),H41*R41,"--")</f>
        <v>--</v>
      </c>
      <c r="U41" s="1996" t="str">
        <f>IF(N41="F",H41*R41*ROUND(M41/60,2),"--")</f>
        <v>--</v>
      </c>
      <c r="V41" s="1997" t="str">
        <f>IF(N41="RF",H41*R41*ROUND(M41/60,2),"--")</f>
        <v>--</v>
      </c>
      <c r="W41" s="2484"/>
      <c r="X41" s="1999"/>
      <c r="Y41" s="1999"/>
      <c r="Z41" s="1999"/>
      <c r="AA41" s="2000"/>
      <c r="AB41" s="2001">
        <f>IF(D41="","","SI")</f>
      </c>
      <c r="AC41" s="2002">
        <f>IF(D41="","",SUM(S41:V41)*IF(AB41="SI",1,2))</f>
      </c>
      <c r="AD41" s="1347"/>
    </row>
    <row r="42" spans="1:30" ht="16.5" customHeight="1" thickBot="1">
      <c r="A42" s="1835"/>
      <c r="B42" s="1345"/>
      <c r="C42" s="2004"/>
      <c r="D42" s="2005"/>
      <c r="E42" s="2006"/>
      <c r="F42" s="2174"/>
      <c r="G42" s="2175"/>
      <c r="H42" s="2176"/>
      <c r="I42" s="2007"/>
      <c r="J42" s="2008"/>
      <c r="K42" s="2009"/>
      <c r="L42" s="2010"/>
      <c r="M42" s="2011"/>
      <c r="N42" s="2012"/>
      <c r="O42" s="1456"/>
      <c r="P42" s="2518"/>
      <c r="Q42" s="2519"/>
      <c r="R42" s="2178"/>
      <c r="S42" s="2179"/>
      <c r="T42" s="2180"/>
      <c r="U42" s="2181"/>
      <c r="V42" s="2182"/>
      <c r="W42" s="2485"/>
      <c r="X42" s="2014"/>
      <c r="Y42" s="2014"/>
      <c r="Z42" s="2014"/>
      <c r="AA42" s="2015"/>
      <c r="AB42" s="2016"/>
      <c r="AC42" s="2017"/>
      <c r="AD42" s="1943"/>
    </row>
    <row r="43" spans="1:30" ht="16.5" customHeight="1" thickBot="1" thickTop="1">
      <c r="A43" s="1835"/>
      <c r="B43" s="1345"/>
      <c r="C43" s="2018"/>
      <c r="D43" s="1476"/>
      <c r="E43" s="1476"/>
      <c r="F43" s="2019"/>
      <c r="G43" s="2020"/>
      <c r="H43" s="2021"/>
      <c r="I43" s="2022"/>
      <c r="J43" s="2023"/>
      <c r="K43" s="2024"/>
      <c r="L43" s="2025"/>
      <c r="M43" s="2021"/>
      <c r="N43" s="2026"/>
      <c r="O43" s="1478"/>
      <c r="P43" s="2486"/>
      <c r="Q43" s="2028"/>
      <c r="R43" s="2029"/>
      <c r="S43" s="2029"/>
      <c r="T43" s="2029"/>
      <c r="U43" s="2030"/>
      <c r="V43" s="2030"/>
      <c r="W43" s="2030"/>
      <c r="X43" s="2030"/>
      <c r="Y43" s="2030"/>
      <c r="Z43" s="2030"/>
      <c r="AA43" s="2030"/>
      <c r="AB43" s="2030"/>
      <c r="AC43" s="2487">
        <f>SUM(AC39:AC42)</f>
        <v>0</v>
      </c>
      <c r="AD43" s="1943"/>
    </row>
    <row r="44" spans="1:30" ht="13.5" customHeight="1" thickBot="1" thickTop="1">
      <c r="A44" s="1835"/>
      <c r="B44" s="1345"/>
      <c r="C44" s="1840"/>
      <c r="D44" s="1840"/>
      <c r="E44" s="1840"/>
      <c r="F44" s="1840"/>
      <c r="G44" s="1840"/>
      <c r="H44" s="1840"/>
      <c r="I44" s="1840"/>
      <c r="J44" s="1840"/>
      <c r="K44" s="1840"/>
      <c r="L44" s="1840"/>
      <c r="M44" s="1840"/>
      <c r="N44" s="1840"/>
      <c r="O44" s="1840"/>
      <c r="P44" s="1840"/>
      <c r="Q44" s="1840"/>
      <c r="R44" s="1840"/>
      <c r="S44" s="1840"/>
      <c r="T44" s="1840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943"/>
    </row>
    <row r="45" spans="1:33" s="1330" customFormat="1" ht="33.75" customHeight="1" thickBot="1" thickTop="1">
      <c r="A45" s="1329"/>
      <c r="B45" s="1966"/>
      <c r="C45" s="1967" t="s">
        <v>28</v>
      </c>
      <c r="D45" s="1968" t="s">
        <v>58</v>
      </c>
      <c r="E45" s="1969" t="s">
        <v>59</v>
      </c>
      <c r="F45" s="2526" t="s">
        <v>31</v>
      </c>
      <c r="G45" s="2527"/>
      <c r="H45" t="s">
        <v>35</v>
      </c>
      <c r="I45"/>
      <c r="J45" s="1969" t="s">
        <v>36</v>
      </c>
      <c r="K45" s="1969" t="s">
        <v>37</v>
      </c>
      <c r="L45" s="1968" t="s">
        <v>61</v>
      </c>
      <c r="M45" s="1968" t="s">
        <v>39</v>
      </c>
      <c r="N45" s="1382" t="s">
        <v>113</v>
      </c>
      <c r="O45" s="2528" t="s">
        <v>42</v>
      </c>
      <c r="P45" s="2578"/>
      <c r="Q45" s="2529"/>
      <c r="R45" s="1860" t="s">
        <v>34</v>
      </c>
      <c r="S45" s="2184" t="s">
        <v>71</v>
      </c>
      <c r="T45" s="2185" t="s">
        <v>72</v>
      </c>
      <c r="U45" s="2186"/>
      <c r="V45" s="2187" t="s">
        <v>47</v>
      </c>
      <c r="W45" s="1977"/>
      <c r="X45" s="1977"/>
      <c r="Y45" s="1977"/>
      <c r="Z45" s="1977"/>
      <c r="AA45" s="1978"/>
      <c r="AB45" s="1393" t="s">
        <v>49</v>
      </c>
      <c r="AC45" s="1872" t="s">
        <v>50</v>
      </c>
      <c r="AD45" s="1347"/>
      <c r="AF45" s="1324"/>
      <c r="AG45" s="1324"/>
    </row>
    <row r="46" spans="1:30" ht="16.5" customHeight="1" thickTop="1">
      <c r="A46" s="1330"/>
      <c r="B46" s="1345"/>
      <c r="C46" s="1873"/>
      <c r="D46" s="1413"/>
      <c r="E46" s="1413"/>
      <c r="F46" s="2524"/>
      <c r="G46" s="2525"/>
      <c r="H46" s="2154"/>
      <c r="I46" s="1979"/>
      <c r="J46" s="1413"/>
      <c r="K46" s="1413"/>
      <c r="L46" s="1413"/>
      <c r="M46" s="1413"/>
      <c r="N46" s="1413"/>
      <c r="O46" s="2524"/>
      <c r="P46" s="2579"/>
      <c r="Q46" s="2525"/>
      <c r="R46" s="2197"/>
      <c r="S46" s="2488"/>
      <c r="T46" s="2489"/>
      <c r="U46" s="2490"/>
      <c r="V46" s="2491"/>
      <c r="W46" s="1981"/>
      <c r="X46" s="1981"/>
      <c r="Y46" s="1981"/>
      <c r="Z46" s="1981"/>
      <c r="AA46" s="1982"/>
      <c r="AB46" s="1980"/>
      <c r="AC46" s="1983"/>
      <c r="AD46" s="1347"/>
    </row>
    <row r="47" spans="1:30" ht="15">
      <c r="A47" s="1330"/>
      <c r="B47" s="1345"/>
      <c r="C47" s="1920" t="s">
        <v>99</v>
      </c>
      <c r="D47" s="2492"/>
      <c r="E47" s="2492"/>
      <c r="F47" s="2530"/>
      <c r="G47" s="2531"/>
      <c r="H47" s="2493">
        <f>IF(F47=132,$F$21,IF(F47=500,#REF!,0))</f>
        <v>0</v>
      </c>
      <c r="I47" s="2494"/>
      <c r="J47" s="488"/>
      <c r="K47" s="488"/>
      <c r="L47" s="1989">
        <f>IF(D47="","",(K47-J47)*24)</f>
      </c>
      <c r="M47" s="1990">
        <f>IF(D47="","",(K47-J47)*24*60)</f>
      </c>
      <c r="N47" s="1991"/>
      <c r="O47" s="2580">
        <f>IF(D47="","",IF(N47="P","--","NO"))</f>
      </c>
      <c r="P47" s="2581"/>
      <c r="Q47" s="2582"/>
      <c r="R47" s="2197">
        <f>IF(F47=500,200,IF(F47=132,40,0))</f>
        <v>0</v>
      </c>
      <c r="S47" s="2495" t="str">
        <f>IF(N47="P",H47*R47*ROUND(M47/60,2)*0.1,"--")</f>
        <v>--</v>
      </c>
      <c r="T47" s="2193" t="str">
        <f>IF(AND(N47="F",O47="NO"),H47*R47,"--")</f>
        <v>--</v>
      </c>
      <c r="U47" s="2194" t="str">
        <f>IF(N47="F",H47*R47*ROUND(M47/60,2),"--")</f>
        <v>--</v>
      </c>
      <c r="V47" s="1997" t="str">
        <f>IF(N47="RF",H47*R47*ROUND(M47/60,2),"--")</f>
        <v>--</v>
      </c>
      <c r="W47" s="1999"/>
      <c r="X47" s="1999"/>
      <c r="Y47" s="1999"/>
      <c r="Z47" s="1999"/>
      <c r="AA47" s="2000"/>
      <c r="AB47" s="2001"/>
      <c r="AC47" s="2060">
        <f>IF(D47="","",SUM(S47:V47)*IF(AB47="SI",1,2))</f>
      </c>
      <c r="AD47" s="1943"/>
    </row>
    <row r="48" spans="1:30" ht="16.5" customHeight="1">
      <c r="A48" s="1330"/>
      <c r="B48" s="1345"/>
      <c r="C48" s="1896" t="s">
        <v>100</v>
      </c>
      <c r="D48" s="2492"/>
      <c r="E48" s="2492"/>
      <c r="F48" s="2530"/>
      <c r="G48" s="2531"/>
      <c r="H48" s="2493">
        <f>IF(F48=132,$F$21,IF(F48=500,#REF!,0))</f>
        <v>0</v>
      </c>
      <c r="I48" s="2494"/>
      <c r="J48" s="488"/>
      <c r="K48" s="488"/>
      <c r="L48" s="1989">
        <f>IF(D48="","",(K48-J48)*24)</f>
      </c>
      <c r="M48" s="1990">
        <f>IF(D48="","",(K48-J48)*24*60)</f>
      </c>
      <c r="N48" s="1991"/>
      <c r="O48" s="2580">
        <f>IF(D48="","",IF(N48="P","--","NO"))</f>
      </c>
      <c r="P48" s="2581"/>
      <c r="Q48" s="2582"/>
      <c r="R48" s="2197">
        <f>IF(F48=500,200,IF(F48=132,40,0))</f>
        <v>0</v>
      </c>
      <c r="S48" s="2495" t="str">
        <f>IF(N48="P",H48*R48*ROUND(M48/60,2)*0.1,"--")</f>
        <v>--</v>
      </c>
      <c r="T48" s="2193" t="str">
        <f>IF(AND(N48="F",O48="NO"),H48*R48,"--")</f>
        <v>--</v>
      </c>
      <c r="U48" s="2194" t="str">
        <f>IF(N48="F",H48*R48*ROUND(M48/60,2),"--")</f>
        <v>--</v>
      </c>
      <c r="V48" s="1997" t="str">
        <f>IF(N48="RF",H48*R48*ROUND(M48/60,2),"--")</f>
        <v>--</v>
      </c>
      <c r="W48" s="1999"/>
      <c r="X48" s="1999"/>
      <c r="Y48" s="1999"/>
      <c r="Z48" s="1999"/>
      <c r="AA48" s="2000"/>
      <c r="AB48" s="2001"/>
      <c r="AC48" s="2060">
        <f>IF(D48="","",SUM(S48:V48)*IF(AB48="SI",1,2))</f>
      </c>
      <c r="AD48" s="1347"/>
    </row>
    <row r="49" spans="1:30" ht="16.5" customHeight="1">
      <c r="A49" s="1330"/>
      <c r="B49" s="1345"/>
      <c r="C49" s="1896" t="s">
        <v>101</v>
      </c>
      <c r="D49" s="2492"/>
      <c r="E49" s="2492"/>
      <c r="F49" s="2530"/>
      <c r="G49" s="2531"/>
      <c r="H49" s="2493">
        <f>IF(F49=132,$F$21,IF(F49=500,#REF!,0))</f>
        <v>0</v>
      </c>
      <c r="I49" s="2494"/>
      <c r="J49" s="488"/>
      <c r="K49" s="488"/>
      <c r="L49" s="1989">
        <f>IF(D49="","",(K49-J49)*24)</f>
      </c>
      <c r="M49" s="1990">
        <f>IF(D49="","",(K49-J49)*24*60)</f>
      </c>
      <c r="N49" s="1991"/>
      <c r="O49" s="2580">
        <f>IF(D49="","",IF(N49="P","--","NO"))</f>
      </c>
      <c r="P49" s="2581"/>
      <c r="Q49" s="2582"/>
      <c r="R49" s="2197">
        <f>IF(F49=500,200,IF(F49=132,40,0))</f>
        <v>0</v>
      </c>
      <c r="S49" s="2495" t="str">
        <f>IF(N49="P",H49*R49*ROUND(M49/60,2)*0.1,"--")</f>
        <v>--</v>
      </c>
      <c r="T49" s="2193" t="str">
        <f>IF(AND(N49="F",O49="NO"),H49*R49,"--")</f>
        <v>--</v>
      </c>
      <c r="U49" s="2194" t="str">
        <f>IF(N49="F",H49*R49*ROUND(M49/60,2),"--")</f>
        <v>--</v>
      </c>
      <c r="V49" s="1997" t="str">
        <f>IF(N49="RF",H49*R49*ROUND(M49/60,2),"--")</f>
        <v>--</v>
      </c>
      <c r="W49" s="1999"/>
      <c r="X49" s="1999"/>
      <c r="Y49" s="1999"/>
      <c r="Z49" s="1999"/>
      <c r="AA49" s="2000"/>
      <c r="AB49" s="2001"/>
      <c r="AC49" s="2060">
        <f>IF(D49="","",SUM(S49:V49)*IF(AB49="SI",1,2))</f>
      </c>
      <c r="AD49" s="1347"/>
    </row>
    <row r="50" spans="1:30" ht="16.5" customHeight="1">
      <c r="A50" s="1330"/>
      <c r="B50" s="1345"/>
      <c r="C50" s="1896" t="s">
        <v>102</v>
      </c>
      <c r="D50" s="2492"/>
      <c r="E50" s="2492"/>
      <c r="F50" s="2530"/>
      <c r="G50" s="2531"/>
      <c r="H50" s="2493">
        <f>IF(F50=132,$F$21,IF(F50=500,#REF!,0))</f>
        <v>0</v>
      </c>
      <c r="I50" s="2496"/>
      <c r="J50" s="2049"/>
      <c r="K50" s="2497"/>
      <c r="L50" s="1989">
        <f>IF(D50="","",(K50-J50)*24)</f>
      </c>
      <c r="M50" s="1990">
        <f>IF(D50="","",(K50-J50)*24*60)</f>
      </c>
      <c r="N50" s="1991"/>
      <c r="O50" s="2580">
        <f>IF(D50="","",IF(N50="P","--","NO"))</f>
      </c>
      <c r="P50" s="2581"/>
      <c r="Q50" s="2582"/>
      <c r="R50" s="2197">
        <f>IF(F50=500,200,IF(F50=132,40,0))</f>
        <v>0</v>
      </c>
      <c r="S50" s="2495" t="str">
        <f>IF(N50="P",H50*R50*ROUND(M50/60,2)*0.1,"--")</f>
        <v>--</v>
      </c>
      <c r="T50" s="2193" t="str">
        <f>IF(AND(N50="F",O50="NO"),H50*R50,"--")</f>
        <v>--</v>
      </c>
      <c r="U50" s="2194" t="str">
        <f>IF(N50="F",H50*R50*ROUND(M50/60,2),"--")</f>
        <v>--</v>
      </c>
      <c r="V50" s="1997" t="str">
        <f>IF(N50="RF",H50*R50*ROUND(M50/60,2),"--")</f>
        <v>--</v>
      </c>
      <c r="W50" s="1999"/>
      <c r="X50" s="1999"/>
      <c r="Y50" s="1999"/>
      <c r="Z50" s="1999"/>
      <c r="AA50" s="2000"/>
      <c r="AB50" s="2001"/>
      <c r="AC50" s="2060">
        <f>IF(D50="","",SUM(S50:V50)*IF(AB50="SI",1,2))</f>
      </c>
      <c r="AD50" s="1347"/>
    </row>
    <row r="51" spans="1:30" ht="16.5" customHeight="1" thickBot="1">
      <c r="A51" s="1835"/>
      <c r="B51" s="1345"/>
      <c r="C51" s="2004"/>
      <c r="D51" s="2005"/>
      <c r="E51" s="2006"/>
      <c r="F51" s="2512"/>
      <c r="G51" s="2513"/>
      <c r="H51" s="2176"/>
      <c r="I51" s="2007"/>
      <c r="J51" s="2008"/>
      <c r="K51" s="2009"/>
      <c r="L51" s="2010"/>
      <c r="M51" s="2011"/>
      <c r="N51" s="2012"/>
      <c r="O51" s="2518"/>
      <c r="P51" s="2585"/>
      <c r="Q51" s="2519"/>
      <c r="R51" s="2197"/>
      <c r="S51" s="2495"/>
      <c r="T51" s="2193"/>
      <c r="U51" s="2194"/>
      <c r="V51" s="1997"/>
      <c r="W51" s="2014"/>
      <c r="X51" s="2014"/>
      <c r="Y51" s="2014"/>
      <c r="Z51" s="2014"/>
      <c r="AA51" s="2015"/>
      <c r="AB51" s="2016"/>
      <c r="AC51" s="2060">
        <f>IF(D51="","",SUM(S51:V51)*IF(AB51="SI",1,2))</f>
      </c>
      <c r="AD51" s="1943"/>
    </row>
    <row r="52" spans="1:30" ht="16.5" customHeight="1" thickBot="1" thickTop="1">
      <c r="A52" s="1835"/>
      <c r="B52" s="1345"/>
      <c r="C52" s="2018"/>
      <c r="D52" s="1476"/>
      <c r="E52" s="1476"/>
      <c r="F52" s="2019"/>
      <c r="G52" s="2020"/>
      <c r="H52" s="2021"/>
      <c r="I52" s="2022"/>
      <c r="J52" s="2023"/>
      <c r="K52" s="2024"/>
      <c r="L52" s="2025"/>
      <c r="M52" s="2021"/>
      <c r="N52" s="2026"/>
      <c r="O52" s="1478"/>
      <c r="P52" s="2027"/>
      <c r="Q52" s="2067"/>
      <c r="R52" s="2071"/>
      <c r="S52" s="2071"/>
      <c r="T52" s="2071"/>
      <c r="U52" s="2068"/>
      <c r="V52" s="2068"/>
      <c r="W52" s="2068"/>
      <c r="X52" s="2068"/>
      <c r="Y52" s="2068"/>
      <c r="Z52" s="2068"/>
      <c r="AA52" s="2068"/>
      <c r="AB52" s="2068"/>
      <c r="AC52" s="2487">
        <f>SUM(AC46:AC51)</f>
        <v>0</v>
      </c>
      <c r="AD52" s="1943"/>
    </row>
    <row r="53" spans="1:30" ht="16.5" customHeight="1" thickBot="1" thickTop="1">
      <c r="A53" s="1835"/>
      <c r="B53" s="1345"/>
      <c r="C53" s="2018"/>
      <c r="D53" s="1476"/>
      <c r="E53" s="1476"/>
      <c r="F53" s="2019"/>
      <c r="G53" s="2020"/>
      <c r="H53" s="2021"/>
      <c r="I53" s="2022"/>
      <c r="J53" s="2023"/>
      <c r="K53" s="2024"/>
      <c r="L53" s="2025"/>
      <c r="M53" s="2021"/>
      <c r="N53" s="2026"/>
      <c r="O53" s="1478"/>
      <c r="P53" s="2027"/>
      <c r="Q53" s="2067"/>
      <c r="R53" s="2071"/>
      <c r="S53" s="2071"/>
      <c r="T53" s="2071"/>
      <c r="U53" s="2068"/>
      <c r="V53" s="2068"/>
      <c r="W53" s="2068"/>
      <c r="X53" s="2068"/>
      <c r="Y53" s="2068"/>
      <c r="Z53" s="2068"/>
      <c r="AA53" s="2068"/>
      <c r="AB53" s="2068"/>
      <c r="AC53" s="2498"/>
      <c r="AD53" s="1943"/>
    </row>
    <row r="54" spans="1:30" ht="33.75" customHeight="1" thickBot="1" thickTop="1">
      <c r="A54" s="1835"/>
      <c r="B54" s="1345"/>
      <c r="C54" s="1967" t="s">
        <v>28</v>
      </c>
      <c r="D54" s="1968" t="s">
        <v>58</v>
      </c>
      <c r="E54" s="1969" t="s">
        <v>59</v>
      </c>
      <c r="F54" s="2526" t="s">
        <v>60</v>
      </c>
      <c r="G54" s="2587"/>
      <c r="H54" t="s">
        <v>35</v>
      </c>
      <c r="I54"/>
      <c r="J54" s="1969" t="s">
        <v>36</v>
      </c>
      <c r="K54" s="1969" t="s">
        <v>37</v>
      </c>
      <c r="L54" s="1968" t="s">
        <v>61</v>
      </c>
      <c r="M54" s="1968" t="s">
        <v>39</v>
      </c>
      <c r="N54" s="1382" t="s">
        <v>113</v>
      </c>
      <c r="O54" s="1969" t="s">
        <v>42</v>
      </c>
      <c r="P54" t="s">
        <v>62</v>
      </c>
      <c r="Q54" s="2479"/>
      <c r="R54" t="s">
        <v>115</v>
      </c>
      <c r="S54" s="1972" t="s">
        <v>43</v>
      </c>
      <c r="T54" s="1973" t="s">
        <v>116</v>
      </c>
      <c r="U54" s="1974"/>
      <c r="V54" s="1975" t="s">
        <v>47</v>
      </c>
      <c r="W54" s="2480"/>
      <c r="X54" s="1977"/>
      <c r="Y54" s="1977"/>
      <c r="Z54" s="1977"/>
      <c r="AA54" s="1978"/>
      <c r="AB54" s="1393" t="s">
        <v>49</v>
      </c>
      <c r="AC54" s="1872" t="s">
        <v>50</v>
      </c>
      <c r="AD54" s="1943"/>
    </row>
    <row r="55" spans="1:30" ht="16.5" customHeight="1" thickTop="1">
      <c r="A55" s="1835"/>
      <c r="B55" s="1345"/>
      <c r="C55" s="1873"/>
      <c r="D55" s="1413"/>
      <c r="E55" s="1413"/>
      <c r="F55" s="2588"/>
      <c r="G55" s="2589"/>
      <c r="H55" s="2154"/>
      <c r="I55" s="1979"/>
      <c r="J55" s="1413"/>
      <c r="K55" s="1413"/>
      <c r="L55" s="1413"/>
      <c r="M55" s="1413"/>
      <c r="N55" s="1413"/>
      <c r="O55" s="1980"/>
      <c r="P55" s="2524"/>
      <c r="Q55" s="2525"/>
      <c r="R55" s="2156"/>
      <c r="S55" s="2157"/>
      <c r="T55" s="2158"/>
      <c r="U55" s="2159"/>
      <c r="V55" s="2160"/>
      <c r="W55" s="2481"/>
      <c r="X55" s="1981"/>
      <c r="Y55" s="1981"/>
      <c r="Z55" s="1981"/>
      <c r="AA55" s="1982"/>
      <c r="AB55" s="1980"/>
      <c r="AC55" s="1983"/>
      <c r="AD55" s="1943"/>
    </row>
    <row r="56" spans="1:30" ht="16.5" customHeight="1">
      <c r="A56" s="1835"/>
      <c r="B56" s="1345"/>
      <c r="C56" s="1896" t="s">
        <v>99</v>
      </c>
      <c r="D56" s="562" t="s">
        <v>355</v>
      </c>
      <c r="E56" s="1493" t="s">
        <v>331</v>
      </c>
      <c r="F56" s="2583">
        <v>120</v>
      </c>
      <c r="G56" s="2584"/>
      <c r="H56" s="1986">
        <f>F56*$F$20</f>
        <v>143.16</v>
      </c>
      <c r="I56" s="1987"/>
      <c r="J56" s="488">
        <v>41982.31875</v>
      </c>
      <c r="K56" s="194">
        <v>41983.59444444445</v>
      </c>
      <c r="L56" s="1989">
        <f>IF(D56="","",(K56-J56)*24)</f>
        <v>30.61666666675592</v>
      </c>
      <c r="M56" s="1990">
        <f>IF(D56="","",(K56-J56)*24*60)</f>
        <v>1837.000000005355</v>
      </c>
      <c r="N56" s="2499" t="s">
        <v>198</v>
      </c>
      <c r="O56" s="1992" t="str">
        <f>IF(D56="","",IF(OR(N56="P",N56="RP"),"--","NO"))</f>
        <v>--</v>
      </c>
      <c r="P56" s="2516" t="str">
        <f>IF(D56="","","NO")</f>
        <v>NO</v>
      </c>
      <c r="Q56" s="2517"/>
      <c r="R56" s="2163">
        <f>200*IF(P56="SI",1,0.1)*IF(N56="P",0.1,1)</f>
        <v>2</v>
      </c>
      <c r="S56" s="1994">
        <f>IF(N56="P",H56*R56*ROUND(M56/60,2),"--")</f>
        <v>8767.1184</v>
      </c>
      <c r="T56" s="1995" t="str">
        <f>IF(AND(N56="F",O56="NO"),H56*R56,"--")</f>
        <v>--</v>
      </c>
      <c r="U56" s="1996" t="str">
        <f>IF(N56="F",H56*R56*ROUND(M56/60,2),"--")</f>
        <v>--</v>
      </c>
      <c r="V56" s="1997" t="str">
        <f>IF(N56="RF",H56*R56*ROUND(M56/60,2),"--")</f>
        <v>--</v>
      </c>
      <c r="W56" s="2484"/>
      <c r="X56" s="1999"/>
      <c r="Y56" s="1999"/>
      <c r="Z56" s="1999"/>
      <c r="AA56" s="2000"/>
      <c r="AB56" s="2001" t="str">
        <f>IF(D56="","","SI")</f>
        <v>SI</v>
      </c>
      <c r="AC56" s="2002">
        <f>IF(D56="","",SUM(S56:V56)*IF(AB56="SI",1,2))</f>
        <v>8767.1184</v>
      </c>
      <c r="AD56" s="1943"/>
    </row>
    <row r="57" spans="1:30" ht="16.5" customHeight="1">
      <c r="A57" s="1835"/>
      <c r="B57" s="1345"/>
      <c r="C57" s="1896" t="s">
        <v>100</v>
      </c>
      <c r="D57" s="562" t="s">
        <v>355</v>
      </c>
      <c r="E57" s="1493" t="s">
        <v>330</v>
      </c>
      <c r="F57" s="2583">
        <v>120</v>
      </c>
      <c r="G57" s="2584"/>
      <c r="H57" s="1986">
        <f>F57*$F$20</f>
        <v>143.16</v>
      </c>
      <c r="I57" s="1987"/>
      <c r="J57" s="488">
        <v>41984.31597222222</v>
      </c>
      <c r="K57" s="194">
        <v>41984.64513888889</v>
      </c>
      <c r="L57" s="1989">
        <f>IF(D57="","",(K57-J57)*24)</f>
        <v>7.900000000081491</v>
      </c>
      <c r="M57" s="1990">
        <f>IF(D57="","",(K57-J57)*24*60)</f>
        <v>474.00000000488944</v>
      </c>
      <c r="N57" s="1423" t="s">
        <v>198</v>
      </c>
      <c r="O57" s="1992" t="str">
        <f>IF(D57="","",IF(OR(N57="P",N57="RP"),"--","NO"))</f>
        <v>--</v>
      </c>
      <c r="P57" s="2516" t="str">
        <f>IF(D57="","","NO")</f>
        <v>NO</v>
      </c>
      <c r="Q57" s="2517"/>
      <c r="R57" s="2163">
        <f>200*IF(P57="SI",1,0.1)*IF(N57="P",0.1,1)</f>
        <v>2</v>
      </c>
      <c r="S57" s="1994">
        <f>IF(N57="P",H57*R57*ROUND(M57/60,2),"--")</f>
        <v>2261.928</v>
      </c>
      <c r="T57" s="1995" t="str">
        <f>IF(AND(N57="F",O57="NO"),H57*R57,"--")</f>
        <v>--</v>
      </c>
      <c r="U57" s="1996" t="str">
        <f>IF(N57="F",H57*R57*ROUND(M57/60,2),"--")</f>
        <v>--</v>
      </c>
      <c r="V57" s="1997" t="str">
        <f>IF(N57="RF",H57*R57*ROUND(M57/60,2),"--")</f>
        <v>--</v>
      </c>
      <c r="W57" s="2484"/>
      <c r="X57" s="1999"/>
      <c r="Y57" s="1999"/>
      <c r="Z57" s="1999"/>
      <c r="AA57" s="2000"/>
      <c r="AB57" s="2001" t="str">
        <f>IF(D57="","","SI")</f>
        <v>SI</v>
      </c>
      <c r="AC57" s="2002">
        <f>IF(D57="","",SUM(S57:V57)*IF(AB57="SI",1,2))</f>
        <v>2261.928</v>
      </c>
      <c r="AD57" s="1943"/>
    </row>
    <row r="58" spans="1:30" ht="16.5" customHeight="1">
      <c r="A58" s="1835"/>
      <c r="B58" s="1345"/>
      <c r="C58" s="1896" t="s">
        <v>101</v>
      </c>
      <c r="D58" s="2062"/>
      <c r="E58" s="2063"/>
      <c r="F58" s="2514"/>
      <c r="G58" s="2515"/>
      <c r="H58" s="1986">
        <f>F58*$F$20</f>
        <v>0</v>
      </c>
      <c r="I58" s="1987"/>
      <c r="J58" s="1988"/>
      <c r="K58" s="1450"/>
      <c r="L58" s="1989">
        <f>IF(D58="","",(K58-J58)*24)</f>
      </c>
      <c r="M58" s="1990">
        <f>IF(D58="","",(K58-J58)*24*60)</f>
      </c>
      <c r="N58" s="1423"/>
      <c r="O58" s="1992">
        <f>IF(D58="","",IF(OR(N58="P",N58="RP"),"--","NO"))</f>
      </c>
      <c r="P58" s="2516">
        <f>IF(D58="","","NO")</f>
      </c>
      <c r="Q58" s="2517"/>
      <c r="R58" s="2163">
        <f>200*IF(P58="SI",1,0.1)*IF(N58="P",0.1,1)</f>
        <v>20</v>
      </c>
      <c r="S58" s="1994" t="str">
        <f>IF(N58="P",H58*R58*ROUND(M58/60,2),"--")</f>
        <v>--</v>
      </c>
      <c r="T58" s="1995" t="str">
        <f>IF(AND(N58="F",O58="NO"),H58*R58,"--")</f>
        <v>--</v>
      </c>
      <c r="U58" s="1996" t="str">
        <f>IF(N58="F",H58*R58*ROUND(M58/60,2),"--")</f>
        <v>--</v>
      </c>
      <c r="V58" s="1997" t="str">
        <f>IF(N58="RF",H58*R58*ROUND(M58/60,2),"--")</f>
        <v>--</v>
      </c>
      <c r="W58" s="2484"/>
      <c r="X58" s="1999"/>
      <c r="Y58" s="1999"/>
      <c r="Z58" s="1999"/>
      <c r="AA58" s="2000"/>
      <c r="AB58" s="2001">
        <f>IF(D58="","","SI")</f>
      </c>
      <c r="AC58" s="2002">
        <f>IF(D58="","",SUM(S58:V58)*IF(AB58="SI",1,2))</f>
      </c>
      <c r="AD58" s="1943"/>
    </row>
    <row r="59" spans="1:30" ht="16.5" customHeight="1" thickBot="1">
      <c r="A59" s="1835"/>
      <c r="B59" s="1345"/>
      <c r="C59" s="2004"/>
      <c r="D59" s="2005"/>
      <c r="E59" s="2006"/>
      <c r="F59" s="2512"/>
      <c r="G59" s="2586"/>
      <c r="H59" s="2176"/>
      <c r="I59" s="2007"/>
      <c r="J59" s="2008"/>
      <c r="K59" s="2009"/>
      <c r="L59" s="2010"/>
      <c r="M59" s="2011"/>
      <c r="N59" s="2012"/>
      <c r="O59" s="1456"/>
      <c r="P59" s="2518"/>
      <c r="Q59" s="2519"/>
      <c r="R59" s="2178"/>
      <c r="S59" s="2179"/>
      <c r="T59" s="2180"/>
      <c r="U59" s="2181"/>
      <c r="V59" s="2182"/>
      <c r="W59" s="2485"/>
      <c r="X59" s="2014"/>
      <c r="Y59" s="2014"/>
      <c r="Z59" s="2014"/>
      <c r="AA59" s="2015"/>
      <c r="AB59" s="2016"/>
      <c r="AC59" s="2017"/>
      <c r="AD59" s="1943"/>
    </row>
    <row r="60" spans="1:30" ht="16.5" customHeight="1" thickBot="1" thickTop="1">
      <c r="A60" s="1835"/>
      <c r="B60" s="1345"/>
      <c r="C60" s="2018"/>
      <c r="D60" s="1476"/>
      <c r="E60" s="1476"/>
      <c r="F60" s="2019"/>
      <c r="G60" s="2020"/>
      <c r="H60" s="2021"/>
      <c r="I60" s="2022"/>
      <c r="J60" s="2023"/>
      <c r="K60" s="2024"/>
      <c r="L60" s="2025"/>
      <c r="M60" s="2021"/>
      <c r="N60" s="2026"/>
      <c r="O60" s="1478"/>
      <c r="P60" s="2486"/>
      <c r="Q60" s="2028"/>
      <c r="R60" s="2029"/>
      <c r="S60" s="2029"/>
      <c r="T60" s="2029"/>
      <c r="U60" s="2030"/>
      <c r="V60" s="2030"/>
      <c r="W60" s="2030"/>
      <c r="X60" s="2030"/>
      <c r="Y60" s="2030"/>
      <c r="Z60" s="2030"/>
      <c r="AA60" s="2030"/>
      <c r="AB60" s="2030"/>
      <c r="AC60" s="2487">
        <f>SUM(AC55:AC59)</f>
        <v>11029.0464</v>
      </c>
      <c r="AD60" s="1943"/>
    </row>
    <row r="61" spans="1:30" ht="16.5" customHeight="1" thickBot="1" thickTop="1">
      <c r="A61" s="1835"/>
      <c r="B61" s="1836"/>
      <c r="C61" s="2018"/>
      <c r="D61" s="1476"/>
      <c r="E61" s="2068"/>
      <c r="F61" s="2068"/>
      <c r="G61" s="2068"/>
      <c r="H61" s="2068"/>
      <c r="I61" s="2068"/>
      <c r="J61" s="2068"/>
      <c r="K61" s="2068"/>
      <c r="L61" s="2068"/>
      <c r="M61" s="2068"/>
      <c r="N61" s="2068"/>
      <c r="O61" s="2068"/>
      <c r="P61" s="2068"/>
      <c r="Q61" s="2068"/>
      <c r="R61" s="2068"/>
      <c r="S61" s="2068"/>
      <c r="T61" s="2068"/>
      <c r="U61" s="2068"/>
      <c r="V61" s="2068"/>
      <c r="W61" s="2068"/>
      <c r="X61" s="2068"/>
      <c r="Y61" s="2068"/>
      <c r="Z61" s="2068"/>
      <c r="AA61" s="2068"/>
      <c r="AB61" s="2068"/>
      <c r="AC61" s="2500"/>
      <c r="AD61" s="2061"/>
    </row>
    <row r="62" spans="1:30" ht="16.5" customHeight="1" thickBot="1" thickTop="1">
      <c r="A62" s="1835"/>
      <c r="B62" s="1345"/>
      <c r="C62" s="2018"/>
      <c r="D62" s="1476"/>
      <c r="E62" s="1476"/>
      <c r="F62" s="2019"/>
      <c r="G62" s="2020"/>
      <c r="H62" s="2021"/>
      <c r="I62" s="2022"/>
      <c r="J62" s="2473" t="s">
        <v>118</v>
      </c>
      <c r="K62" s="2474">
        <f>+AC43+AC36+AC52+AC60</f>
        <v>11356.78057248</v>
      </c>
      <c r="L62" s="2025"/>
      <c r="M62" s="2021"/>
      <c r="N62" s="2069"/>
      <c r="O62" s="2070"/>
      <c r="P62" s="2027"/>
      <c r="Q62" s="2067"/>
      <c r="R62" s="2071"/>
      <c r="S62" s="2071"/>
      <c r="T62" s="2071"/>
      <c r="U62" s="2068"/>
      <c r="V62" s="2068"/>
      <c r="W62" s="2068"/>
      <c r="X62" s="2068"/>
      <c r="Y62" s="2068"/>
      <c r="Z62" s="2068"/>
      <c r="AA62" s="2068"/>
      <c r="AB62" s="2068"/>
      <c r="AC62" s="2072"/>
      <c r="AD62" s="1943"/>
    </row>
    <row r="63" spans="1:30" ht="13.5" customHeight="1" thickTop="1">
      <c r="A63" s="1835"/>
      <c r="B63" s="1836"/>
      <c r="C63" s="1840"/>
      <c r="D63" s="2073"/>
      <c r="E63" s="2074"/>
      <c r="F63" s="2075"/>
      <c r="G63" s="2076"/>
      <c r="H63" s="2076"/>
      <c r="I63" s="2074"/>
      <c r="J63" s="2077"/>
      <c r="K63" s="2077"/>
      <c r="L63" s="2074"/>
      <c r="M63" s="2074"/>
      <c r="N63" s="2074"/>
      <c r="O63" s="2078"/>
      <c r="P63" s="2074"/>
      <c r="Q63" s="2074"/>
      <c r="R63" s="2079"/>
      <c r="S63" s="2080"/>
      <c r="T63" s="2080"/>
      <c r="U63" s="2081"/>
      <c r="AC63" s="2081"/>
      <c r="AD63" s="2061"/>
    </row>
    <row r="64" spans="1:30" ht="16.5" customHeight="1">
      <c r="A64" s="1835"/>
      <c r="B64" s="1836"/>
      <c r="C64" s="2082" t="s">
        <v>119</v>
      </c>
      <c r="D64" s="2083" t="s">
        <v>183</v>
      </c>
      <c r="E64" s="2074"/>
      <c r="F64" s="2075"/>
      <c r="G64" s="2076"/>
      <c r="H64" s="2076"/>
      <c r="I64" s="2074"/>
      <c r="J64" s="2077"/>
      <c r="K64" s="2077"/>
      <c r="L64" s="2074"/>
      <c r="M64" s="2074"/>
      <c r="N64" s="2074"/>
      <c r="O64" s="2078"/>
      <c r="P64" s="2074"/>
      <c r="Q64" s="2074"/>
      <c r="R64" s="2079"/>
      <c r="S64" s="2080"/>
      <c r="T64" s="2080"/>
      <c r="U64" s="2081"/>
      <c r="AC64" s="2081"/>
      <c r="AD64" s="2061"/>
    </row>
    <row r="65" spans="1:30" ht="16.5" customHeight="1">
      <c r="A65" s="1835"/>
      <c r="B65" s="1836"/>
      <c r="C65" s="2082"/>
      <c r="D65" s="2073"/>
      <c r="E65" s="2074"/>
      <c r="F65" s="2075"/>
      <c r="G65" s="2076"/>
      <c r="H65" s="2076"/>
      <c r="I65" s="2074"/>
      <c r="J65" s="2077"/>
      <c r="K65" s="2077"/>
      <c r="L65" s="2074"/>
      <c r="M65" s="2074"/>
      <c r="N65" s="2074"/>
      <c r="O65" s="2078"/>
      <c r="P65" s="2074"/>
      <c r="Q65" s="2074"/>
      <c r="R65" s="2074"/>
      <c r="S65" s="2079"/>
      <c r="T65" s="2080"/>
      <c r="AD65" s="2061"/>
    </row>
    <row r="66" spans="2:30" s="1835" customFormat="1" ht="16.5" customHeight="1">
      <c r="B66" s="1836"/>
      <c r="C66" s="1840"/>
      <c r="D66" s="2084" t="s">
        <v>5</v>
      </c>
      <c r="E66" s="1946" t="s">
        <v>120</v>
      </c>
      <c r="F66" s="1946" t="s">
        <v>121</v>
      </c>
      <c r="G66" s="2085" t="s">
        <v>184</v>
      </c>
      <c r="H66" s="1947"/>
      <c r="I66" s="1946"/>
      <c r="J66" s="1324"/>
      <c r="K66" s="1324"/>
      <c r="L66" s="2086" t="s">
        <v>185</v>
      </c>
      <c r="M66" s="1324"/>
      <c r="N66" s="1324"/>
      <c r="O66" s="1324"/>
      <c r="P66" s="1324"/>
      <c r="Q66" s="2089"/>
      <c r="R66" s="2089"/>
      <c r="S66" s="1837"/>
      <c r="T66" s="1324"/>
      <c r="U66" s="1324"/>
      <c r="V66" s="1324"/>
      <c r="W66" s="1324"/>
      <c r="X66" s="1837"/>
      <c r="Y66" s="1837"/>
      <c r="Z66" s="1837"/>
      <c r="AA66" s="1837"/>
      <c r="AB66" s="1837"/>
      <c r="AC66" s="2090" t="s">
        <v>187</v>
      </c>
      <c r="AD66" s="2061"/>
    </row>
    <row r="67" spans="2:30" s="1835" customFormat="1" ht="16.5" customHeight="1">
      <c r="B67" s="1836"/>
      <c r="C67" s="1840"/>
      <c r="D67" s="1946" t="s">
        <v>356</v>
      </c>
      <c r="E67" s="2092">
        <v>160</v>
      </c>
      <c r="F67" s="2092">
        <v>500</v>
      </c>
      <c r="G67" s="2093">
        <f>E67*$F$19*$L$20/100</f>
        <v>516707.40479999996</v>
      </c>
      <c r="H67" s="2093"/>
      <c r="I67" s="2093"/>
      <c r="J67" s="1827"/>
      <c r="K67" s="1324"/>
      <c r="L67" s="2094">
        <v>17651</v>
      </c>
      <c r="M67" s="1827"/>
      <c r="N67" s="773" t="s">
        <v>325</v>
      </c>
      <c r="O67" s="1324"/>
      <c r="P67" s="1324"/>
      <c r="Q67" s="2089"/>
      <c r="R67" s="2089"/>
      <c r="S67" s="1837"/>
      <c r="T67" s="1324"/>
      <c r="U67" s="1324"/>
      <c r="V67" s="1324"/>
      <c r="W67" s="1324"/>
      <c r="X67" s="1837"/>
      <c r="Y67" s="1837"/>
      <c r="Z67" s="1837"/>
      <c r="AA67" s="1837"/>
      <c r="AB67" s="2096"/>
      <c r="AC67" s="1850">
        <f>L67+G67</f>
        <v>534358.4047999999</v>
      </c>
      <c r="AD67" s="2061"/>
    </row>
    <row r="68" spans="2:30" s="1835" customFormat="1" ht="16.5" customHeight="1">
      <c r="B68" s="1836"/>
      <c r="C68" s="1840"/>
      <c r="D68" s="1946" t="s">
        <v>357</v>
      </c>
      <c r="E68" s="2092">
        <v>147</v>
      </c>
      <c r="F68" s="2092">
        <v>500</v>
      </c>
      <c r="G68" s="2093">
        <f>E68*$F$19*$L$20/100</f>
        <v>474724.92816</v>
      </c>
      <c r="H68" s="2093"/>
      <c r="I68" s="2093"/>
      <c r="J68" s="1827"/>
      <c r="K68" s="1324"/>
      <c r="L68" s="2094">
        <v>23849</v>
      </c>
      <c r="M68" s="1827"/>
      <c r="N68" s="773" t="s">
        <v>325</v>
      </c>
      <c r="O68" s="1324"/>
      <c r="P68" s="1324"/>
      <c r="Q68" s="2089"/>
      <c r="R68" s="2089"/>
      <c r="S68" s="1837"/>
      <c r="T68" s="1324"/>
      <c r="U68" s="1324"/>
      <c r="V68" s="1324"/>
      <c r="W68" s="1324"/>
      <c r="X68" s="1837"/>
      <c r="Y68" s="1837"/>
      <c r="Z68" s="1837"/>
      <c r="AA68" s="1837"/>
      <c r="AB68" s="2096"/>
      <c r="AC68" s="1850">
        <f>L68+G68</f>
        <v>498573.92816</v>
      </c>
      <c r="AD68" s="2061"/>
    </row>
    <row r="69" spans="2:30" s="1835" customFormat="1" ht="16.5" customHeight="1">
      <c r="B69" s="1836"/>
      <c r="C69" s="1840"/>
      <c r="D69" s="1946" t="s">
        <v>358</v>
      </c>
      <c r="E69" s="2092">
        <v>262.8</v>
      </c>
      <c r="F69" s="2092">
        <v>500</v>
      </c>
      <c r="G69" s="2093">
        <f>E69*$F$19*$L$20/100</f>
        <v>848691.912384</v>
      </c>
      <c r="H69" s="2093"/>
      <c r="I69" s="2093"/>
      <c r="J69" s="1827"/>
      <c r="K69" s="1324"/>
      <c r="L69" s="2094">
        <v>27158</v>
      </c>
      <c r="M69" s="1827"/>
      <c r="N69" s="773" t="s">
        <v>325</v>
      </c>
      <c r="O69" s="1324"/>
      <c r="P69" s="1324"/>
      <c r="Q69" s="2089"/>
      <c r="R69" s="2089"/>
      <c r="S69" s="1837"/>
      <c r="T69" s="1324"/>
      <c r="U69" s="1324"/>
      <c r="V69" s="1324"/>
      <c r="W69" s="1324"/>
      <c r="X69" s="1837"/>
      <c r="Y69" s="1837"/>
      <c r="Z69" s="1837"/>
      <c r="AA69" s="1837"/>
      <c r="AB69" s="2096"/>
      <c r="AC69" s="1850">
        <f>L69+G69</f>
        <v>875849.912384</v>
      </c>
      <c r="AD69" s="2061"/>
    </row>
    <row r="70" spans="2:30" s="1835" customFormat="1" ht="16.5" customHeight="1">
      <c r="B70" s="1836"/>
      <c r="C70" s="1840"/>
      <c r="E70" s="1845"/>
      <c r="F70" s="1946"/>
      <c r="G70" s="1947"/>
      <c r="H70" s="1324"/>
      <c r="I70" s="1946"/>
      <c r="J70" s="1946"/>
      <c r="K70" s="1324"/>
      <c r="L70" s="1850"/>
      <c r="M70" s="2088"/>
      <c r="N70" s="2088"/>
      <c r="O70" s="2089"/>
      <c r="P70" s="2089"/>
      <c r="Q70" s="2089"/>
      <c r="R70" s="2089"/>
      <c r="S70" s="1837"/>
      <c r="T70" s="1324"/>
      <c r="U70" s="1324"/>
      <c r="V70" s="1324"/>
      <c r="W70" s="1324"/>
      <c r="X70" s="1837"/>
      <c r="Y70" s="1837"/>
      <c r="Z70" s="1837"/>
      <c r="AA70" s="1837"/>
      <c r="AB70" s="1837"/>
      <c r="AC70" s="1850"/>
      <c r="AD70" s="2061"/>
    </row>
    <row r="71" spans="1:30" ht="16.5" customHeight="1">
      <c r="A71" s="1835"/>
      <c r="B71" s="1836"/>
      <c r="C71" s="1840"/>
      <c r="D71" s="2084" t="s">
        <v>134</v>
      </c>
      <c r="E71" s="1946" t="s">
        <v>135</v>
      </c>
      <c r="F71" s="1946" t="s">
        <v>121</v>
      </c>
      <c r="G71" s="2085" t="s">
        <v>188</v>
      </c>
      <c r="I71" s="2087"/>
      <c r="J71" s="1946"/>
      <c r="L71" s="2086" t="s">
        <v>186</v>
      </c>
      <c r="M71" s="2087"/>
      <c r="N71" s="2088"/>
      <c r="O71" s="2089"/>
      <c r="P71" s="2089"/>
      <c r="Q71" s="2089"/>
      <c r="R71" s="2089"/>
      <c r="S71" s="2089"/>
      <c r="AC71" s="1850"/>
      <c r="AD71" s="2061"/>
    </row>
    <row r="72" spans="1:30" ht="16.5" customHeight="1">
      <c r="A72" s="1835"/>
      <c r="B72" s="1836"/>
      <c r="C72" s="1840"/>
      <c r="D72" s="1946" t="s">
        <v>359</v>
      </c>
      <c r="E72" s="2092">
        <v>300</v>
      </c>
      <c r="F72" s="2092" t="s">
        <v>147</v>
      </c>
      <c r="G72" s="2093">
        <f>E72*$F$20*$L$20</f>
        <v>266277.60000000003</v>
      </c>
      <c r="H72" s="1827"/>
      <c r="I72" s="1827"/>
      <c r="J72" s="2094"/>
      <c r="L72" s="2094"/>
      <c r="M72" s="1827"/>
      <c r="N72" s="773" t="s">
        <v>325</v>
      </c>
      <c r="O72" s="2233"/>
      <c r="P72" s="2233"/>
      <c r="Q72" s="2233"/>
      <c r="R72" s="2233"/>
      <c r="S72" s="2233"/>
      <c r="AC72" s="2501">
        <f>G72+L72</f>
        <v>266277.60000000003</v>
      </c>
      <c r="AD72" s="2061"/>
    </row>
    <row r="73" spans="1:30" ht="16.5" customHeight="1">
      <c r="A73" s="1835"/>
      <c r="B73" s="1836"/>
      <c r="C73" s="1840"/>
      <c r="D73" s="1946" t="s">
        <v>360</v>
      </c>
      <c r="E73" s="2092">
        <v>300</v>
      </c>
      <c r="F73" s="2092" t="s">
        <v>147</v>
      </c>
      <c r="G73" s="2093">
        <f>E73*$F$20*$L$20</f>
        <v>266277.60000000003</v>
      </c>
      <c r="H73" s="1827"/>
      <c r="I73" s="1827"/>
      <c r="J73" s="2094"/>
      <c r="L73" s="2094"/>
      <c r="M73" s="1827"/>
      <c r="N73" s="773" t="s">
        <v>325</v>
      </c>
      <c r="O73" s="2233"/>
      <c r="P73" s="2233"/>
      <c r="Q73" s="2233"/>
      <c r="R73" s="2233"/>
      <c r="S73" s="2233"/>
      <c r="AC73" s="2501">
        <f>G73+L73</f>
        <v>266277.60000000003</v>
      </c>
      <c r="AD73" s="2061"/>
    </row>
    <row r="74" spans="1:30" ht="16.5" customHeight="1">
      <c r="A74" s="1835"/>
      <c r="B74" s="1836"/>
      <c r="C74" s="1840"/>
      <c r="D74" s="1946" t="s">
        <v>361</v>
      </c>
      <c r="E74" s="2092">
        <v>150</v>
      </c>
      <c r="F74" s="2092" t="s">
        <v>147</v>
      </c>
      <c r="G74" s="2093">
        <f>E74*$F$20*$L$20</f>
        <v>133138.80000000002</v>
      </c>
      <c r="H74" s="1827"/>
      <c r="I74" s="1827"/>
      <c r="J74" s="2094"/>
      <c r="L74" s="2094"/>
      <c r="M74" s="1827"/>
      <c r="N74" s="773" t="s">
        <v>325</v>
      </c>
      <c r="O74" s="2233"/>
      <c r="P74" s="2233"/>
      <c r="Q74" s="2233"/>
      <c r="R74" s="2233"/>
      <c r="S74" s="2233"/>
      <c r="AC74" s="2501">
        <f>G74+L74</f>
        <v>133138.80000000002</v>
      </c>
      <c r="AD74" s="2061"/>
    </row>
    <row r="75" spans="1:30" ht="16.5" customHeight="1">
      <c r="A75" s="1835"/>
      <c r="B75" s="1836"/>
      <c r="C75" s="1840"/>
      <c r="D75" s="1946"/>
      <c r="E75" s="2092"/>
      <c r="F75" s="2092"/>
      <c r="G75" s="2093"/>
      <c r="H75" s="1827"/>
      <c r="I75" s="1827"/>
      <c r="J75" s="2094"/>
      <c r="L75" s="2094"/>
      <c r="M75" s="1827"/>
      <c r="N75" s="2101"/>
      <c r="O75" s="2233"/>
      <c r="P75" s="2233"/>
      <c r="Q75" s="2233"/>
      <c r="R75" s="2233"/>
      <c r="S75" s="2233"/>
      <c r="AC75" s="2501"/>
      <c r="AD75" s="2061"/>
    </row>
    <row r="76" spans="1:30" ht="16.5" customHeight="1">
      <c r="A76" s="1835"/>
      <c r="B76" s="1836"/>
      <c r="C76" s="1840"/>
      <c r="D76" s="2084" t="s">
        <v>140</v>
      </c>
      <c r="E76" s="1946" t="s">
        <v>141</v>
      </c>
      <c r="F76" s="2098"/>
      <c r="G76" s="1946" t="s">
        <v>121</v>
      </c>
      <c r="I76" s="2087"/>
      <c r="J76" s="2085" t="s">
        <v>189</v>
      </c>
      <c r="L76" s="2086"/>
      <c r="M76" s="2087"/>
      <c r="N76" s="2088"/>
      <c r="O76" s="2089"/>
      <c r="P76" s="2089"/>
      <c r="Q76" s="2089"/>
      <c r="R76" s="2089"/>
      <c r="S76" s="2089"/>
      <c r="AC76" s="1850"/>
      <c r="AD76" s="2061"/>
    </row>
    <row r="77" spans="1:30" ht="16.5" customHeight="1">
      <c r="A77" s="1835"/>
      <c r="B77" s="1836"/>
      <c r="C77" s="1840"/>
      <c r="D77" s="1946" t="s">
        <v>362</v>
      </c>
      <c r="E77" s="2092" t="s">
        <v>363</v>
      </c>
      <c r="F77" s="2235"/>
      <c r="G77" s="2092">
        <v>132</v>
      </c>
      <c r="H77" s="1827"/>
      <c r="I77" s="1827"/>
      <c r="J77" s="2093">
        <f>$F$21*$L$20</f>
        <v>140906.90399999998</v>
      </c>
      <c r="L77" s="2094"/>
      <c r="M77" s="1827"/>
      <c r="N77" s="2101"/>
      <c r="O77" s="2233"/>
      <c r="P77" s="2233"/>
      <c r="Q77" s="2233"/>
      <c r="R77" s="2233"/>
      <c r="S77" s="2233"/>
      <c r="AC77" s="2501">
        <f aca="true" t="shared" si="1" ref="AC77:AC84">J77</f>
        <v>140906.90399999998</v>
      </c>
      <c r="AD77" s="2061"/>
    </row>
    <row r="78" spans="1:30" ht="16.5" customHeight="1">
      <c r="A78" s="1835"/>
      <c r="B78" s="1836"/>
      <c r="C78" s="1840"/>
      <c r="D78" s="1946" t="s">
        <v>362</v>
      </c>
      <c r="E78" s="2092" t="s">
        <v>364</v>
      </c>
      <c r="F78" s="2235"/>
      <c r="G78" s="2092">
        <v>132</v>
      </c>
      <c r="H78" s="1827"/>
      <c r="I78" s="1827"/>
      <c r="J78" s="2093">
        <f aca="true" t="shared" si="2" ref="J78:J84">$F$21*$L$20</f>
        <v>140906.90399999998</v>
      </c>
      <c r="L78" s="2094"/>
      <c r="M78" s="1827"/>
      <c r="N78" s="2101"/>
      <c r="O78" s="2233"/>
      <c r="P78" s="2233"/>
      <c r="Q78" s="2233"/>
      <c r="R78" s="2233"/>
      <c r="S78" s="2233"/>
      <c r="AC78" s="2501">
        <f t="shared" si="1"/>
        <v>140906.90399999998</v>
      </c>
      <c r="AD78" s="2061"/>
    </row>
    <row r="79" spans="1:30" ht="16.5" customHeight="1">
      <c r="A79" s="1835"/>
      <c r="B79" s="1836"/>
      <c r="C79" s="1840"/>
      <c r="D79" s="1946" t="s">
        <v>362</v>
      </c>
      <c r="E79" s="2092" t="s">
        <v>365</v>
      </c>
      <c r="F79" s="2235"/>
      <c r="G79" s="2092">
        <v>132</v>
      </c>
      <c r="H79" s="1827"/>
      <c r="I79" s="1827"/>
      <c r="J79" s="2093">
        <f t="shared" si="2"/>
        <v>140906.90399999998</v>
      </c>
      <c r="L79" s="2094"/>
      <c r="M79" s="1827"/>
      <c r="N79" s="2101"/>
      <c r="O79" s="2233"/>
      <c r="P79" s="2233"/>
      <c r="Q79" s="2233"/>
      <c r="R79" s="2233"/>
      <c r="S79" s="2233"/>
      <c r="AC79" s="2501">
        <f t="shared" si="1"/>
        <v>140906.90399999998</v>
      </c>
      <c r="AD79" s="2061"/>
    </row>
    <row r="80" spans="1:30" ht="16.5" customHeight="1">
      <c r="A80" s="1835"/>
      <c r="B80" s="1836"/>
      <c r="C80" s="1840"/>
      <c r="D80" s="1946" t="s">
        <v>362</v>
      </c>
      <c r="E80" s="2092" t="s">
        <v>366</v>
      </c>
      <c r="F80" s="2235"/>
      <c r="G80" s="2092">
        <v>132</v>
      </c>
      <c r="H80" s="1827"/>
      <c r="I80" s="1827"/>
      <c r="J80" s="2093">
        <f t="shared" si="2"/>
        <v>140906.90399999998</v>
      </c>
      <c r="L80" s="2094"/>
      <c r="M80" s="1827"/>
      <c r="N80" s="2101"/>
      <c r="O80" s="2233"/>
      <c r="P80" s="2233"/>
      <c r="Q80" s="2233"/>
      <c r="R80" s="2233"/>
      <c r="S80" s="2233"/>
      <c r="AC80" s="2501">
        <f t="shared" si="1"/>
        <v>140906.90399999998</v>
      </c>
      <c r="AD80" s="2061"/>
    </row>
    <row r="81" spans="1:30" ht="16.5" customHeight="1">
      <c r="A81" s="1835"/>
      <c r="B81" s="1836"/>
      <c r="C81" s="1840"/>
      <c r="D81" s="1946" t="s">
        <v>362</v>
      </c>
      <c r="E81" s="2092" t="s">
        <v>367</v>
      </c>
      <c r="F81" s="2235"/>
      <c r="G81" s="2092">
        <v>132</v>
      </c>
      <c r="H81" s="1827"/>
      <c r="I81" s="1827"/>
      <c r="J81" s="2093">
        <f t="shared" si="2"/>
        <v>140906.90399999998</v>
      </c>
      <c r="L81" s="2094"/>
      <c r="M81" s="1827"/>
      <c r="N81" s="2101"/>
      <c r="O81" s="2233"/>
      <c r="P81" s="2233"/>
      <c r="Q81" s="2233"/>
      <c r="R81" s="2233"/>
      <c r="S81" s="2233"/>
      <c r="AB81" s="1491"/>
      <c r="AC81" s="2501">
        <f t="shared" si="1"/>
        <v>140906.90399999998</v>
      </c>
      <c r="AD81" s="2061"/>
    </row>
    <row r="82" spans="1:30" ht="16.5" customHeight="1">
      <c r="A82" s="1835"/>
      <c r="B82" s="1836"/>
      <c r="C82" s="1840"/>
      <c r="D82" s="1946" t="s">
        <v>368</v>
      </c>
      <c r="E82" s="2092" t="s">
        <v>369</v>
      </c>
      <c r="F82" s="2235"/>
      <c r="G82" s="2092">
        <v>132</v>
      </c>
      <c r="H82" s="1827"/>
      <c r="I82" s="1827"/>
      <c r="J82" s="2093">
        <f t="shared" si="2"/>
        <v>140906.90399999998</v>
      </c>
      <c r="L82" s="2094"/>
      <c r="M82" s="1827"/>
      <c r="N82" s="2101"/>
      <c r="O82" s="2233"/>
      <c r="P82" s="2233"/>
      <c r="Q82" s="2233"/>
      <c r="R82" s="2233"/>
      <c r="S82" s="2233"/>
      <c r="AB82" s="1491"/>
      <c r="AC82" s="2501">
        <f t="shared" si="1"/>
        <v>140906.90399999998</v>
      </c>
      <c r="AD82" s="2061"/>
    </row>
    <row r="83" spans="1:30" ht="16.5" customHeight="1">
      <c r="A83" s="1835"/>
      <c r="B83" s="1836"/>
      <c r="C83" s="1840"/>
      <c r="D83" s="1946" t="s">
        <v>368</v>
      </c>
      <c r="E83" s="2092" t="s">
        <v>370</v>
      </c>
      <c r="F83" s="2235"/>
      <c r="G83" s="2092">
        <v>132</v>
      </c>
      <c r="H83" s="1827"/>
      <c r="I83" s="1827"/>
      <c r="J83" s="2093">
        <f t="shared" si="2"/>
        <v>140906.90399999998</v>
      </c>
      <c r="L83" s="2094"/>
      <c r="M83" s="1827"/>
      <c r="N83" s="2101"/>
      <c r="O83" s="2233"/>
      <c r="P83" s="2233"/>
      <c r="Q83" s="2233"/>
      <c r="R83" s="2233"/>
      <c r="S83" s="2233"/>
      <c r="AB83" s="1491"/>
      <c r="AC83" s="2501">
        <f t="shared" si="1"/>
        <v>140906.90399999998</v>
      </c>
      <c r="AD83" s="2061"/>
    </row>
    <row r="84" spans="1:30" ht="16.5" customHeight="1">
      <c r="A84" s="1835"/>
      <c r="B84" s="1836"/>
      <c r="C84" s="1840"/>
      <c r="D84" s="1946" t="s">
        <v>361</v>
      </c>
      <c r="E84" s="2092" t="s">
        <v>371</v>
      </c>
      <c r="F84" s="2235"/>
      <c r="G84" s="2092">
        <v>132</v>
      </c>
      <c r="H84" s="1827"/>
      <c r="I84" s="1827"/>
      <c r="J84" s="2093">
        <f t="shared" si="2"/>
        <v>140906.90399999998</v>
      </c>
      <c r="L84" s="2094"/>
      <c r="M84" s="1827"/>
      <c r="N84" s="2101"/>
      <c r="O84" s="2233"/>
      <c r="P84" s="2233"/>
      <c r="Q84" s="2233"/>
      <c r="R84" s="2233"/>
      <c r="S84" s="2233"/>
      <c r="AB84" s="1491"/>
      <c r="AC84" s="2501">
        <f t="shared" si="1"/>
        <v>140906.90399999998</v>
      </c>
      <c r="AD84" s="2061"/>
    </row>
    <row r="85" spans="1:30" ht="16.5" customHeight="1">
      <c r="A85" s="1835"/>
      <c r="B85" s="1836"/>
      <c r="C85" s="1840"/>
      <c r="D85" s="1946"/>
      <c r="E85" s="2092"/>
      <c r="F85" s="2235"/>
      <c r="G85" s="2092"/>
      <c r="H85" s="1827"/>
      <c r="I85" s="1827"/>
      <c r="J85" s="2093"/>
      <c r="L85" s="2094"/>
      <c r="M85" s="1827"/>
      <c r="N85" s="2101"/>
      <c r="O85" s="2233"/>
      <c r="P85" s="2233"/>
      <c r="Q85" s="2233"/>
      <c r="R85" s="2233"/>
      <c r="S85" s="2233"/>
      <c r="AB85" s="1491"/>
      <c r="AC85" s="2501"/>
      <c r="AD85" s="2061"/>
    </row>
    <row r="86" spans="1:30" ht="16.5" customHeight="1">
      <c r="A86" s="1835"/>
      <c r="B86" s="1836"/>
      <c r="C86" s="1840"/>
      <c r="D86" s="1946" t="s">
        <v>372</v>
      </c>
      <c r="E86" s="2092" t="s">
        <v>373</v>
      </c>
      <c r="F86" s="1946" t="s">
        <v>135</v>
      </c>
      <c r="G86" s="2092"/>
      <c r="H86" s="1827"/>
      <c r="I86" s="1827"/>
      <c r="J86" s="2085" t="s">
        <v>374</v>
      </c>
      <c r="L86" s="2094"/>
      <c r="M86" s="1827"/>
      <c r="N86" s="2101"/>
      <c r="O86" s="2233"/>
      <c r="P86" s="2233"/>
      <c r="Q86" s="2233"/>
      <c r="R86" s="2233"/>
      <c r="S86" s="2233"/>
      <c r="AB86" s="1491"/>
      <c r="AC86" s="2501"/>
      <c r="AD86" s="2061"/>
    </row>
    <row r="87" spans="1:30" ht="16.5" customHeight="1">
      <c r="A87" s="1835"/>
      <c r="B87" s="1836"/>
      <c r="C87" s="1840"/>
      <c r="D87" s="1946" t="s">
        <v>361</v>
      </c>
      <c r="E87" s="2092" t="s">
        <v>330</v>
      </c>
      <c r="F87" s="2235">
        <v>120</v>
      </c>
      <c r="G87" s="2092"/>
      <c r="H87" s="1827"/>
      <c r="I87" s="1827"/>
      <c r="J87" s="2093">
        <f>+F87*$F$20*$L$20</f>
        <v>106511.04</v>
      </c>
      <c r="L87" s="2094"/>
      <c r="M87" s="1827"/>
      <c r="N87" s="2101"/>
      <c r="O87" s="2233"/>
      <c r="P87" s="2233"/>
      <c r="Q87" s="2233"/>
      <c r="R87" s="2233"/>
      <c r="S87" s="2233"/>
      <c r="AB87" s="1491"/>
      <c r="AC87" s="2501">
        <f>J87</f>
        <v>106511.04</v>
      </c>
      <c r="AD87" s="2061"/>
    </row>
    <row r="88" spans="1:30" ht="16.5" customHeight="1">
      <c r="A88" s="1835"/>
      <c r="B88" s="1836"/>
      <c r="C88" s="1840"/>
      <c r="D88" s="1946" t="s">
        <v>362</v>
      </c>
      <c r="E88" s="2092" t="s">
        <v>375</v>
      </c>
      <c r="F88" s="2235">
        <v>80</v>
      </c>
      <c r="G88" s="2092"/>
      <c r="H88" s="1827"/>
      <c r="I88" s="1827"/>
      <c r="J88" s="2093">
        <f>+F88*$F$20*$L$20</f>
        <v>71007.36</v>
      </c>
      <c r="L88" s="2094"/>
      <c r="M88" s="1827"/>
      <c r="N88" s="2101"/>
      <c r="O88" s="2233"/>
      <c r="P88" s="2233"/>
      <c r="Q88" s="2233"/>
      <c r="R88" s="2233"/>
      <c r="S88" s="2233"/>
      <c r="AB88" s="1491"/>
      <c r="AC88" s="2501">
        <f>J88</f>
        <v>71007.36</v>
      </c>
      <c r="AD88" s="2061"/>
    </row>
    <row r="89" spans="1:30" ht="16.5" customHeight="1">
      <c r="A89" s="1835"/>
      <c r="B89" s="1836"/>
      <c r="C89" s="1840"/>
      <c r="D89" s="1946" t="s">
        <v>368</v>
      </c>
      <c r="E89" s="2092" t="s">
        <v>376</v>
      </c>
      <c r="F89" s="2235">
        <v>120</v>
      </c>
      <c r="G89" s="2092"/>
      <c r="H89" s="1827"/>
      <c r="I89" s="1827"/>
      <c r="J89" s="2093">
        <f>+F89*$F$20*$L$20</f>
        <v>106511.04</v>
      </c>
      <c r="L89" s="2094"/>
      <c r="M89" s="1827"/>
      <c r="N89" s="2101"/>
      <c r="O89" s="2233"/>
      <c r="P89" s="2233"/>
      <c r="Q89" s="2233"/>
      <c r="R89" s="2233"/>
      <c r="S89" s="2233"/>
      <c r="AB89" s="1491"/>
      <c r="AC89" s="2501">
        <f>J89</f>
        <v>106511.04</v>
      </c>
      <c r="AD89" s="2061"/>
    </row>
    <row r="90" spans="1:30" ht="16.5" customHeight="1">
      <c r="A90" s="1835"/>
      <c r="B90" s="1836"/>
      <c r="C90" s="1840"/>
      <c r="D90" s="1946" t="s">
        <v>368</v>
      </c>
      <c r="E90" s="2092" t="s">
        <v>331</v>
      </c>
      <c r="F90" s="2235">
        <v>120</v>
      </c>
      <c r="G90" s="2092"/>
      <c r="H90" s="1827"/>
      <c r="I90" s="1827"/>
      <c r="J90" s="2093">
        <f>+F90*$F$20*$L$20</f>
        <v>106511.04</v>
      </c>
      <c r="L90" s="2094"/>
      <c r="M90" s="1827"/>
      <c r="N90" s="2101"/>
      <c r="O90" s="2233"/>
      <c r="P90" s="2233"/>
      <c r="Q90" s="2233"/>
      <c r="R90" s="2233"/>
      <c r="S90" s="2233"/>
      <c r="AB90" s="1491"/>
      <c r="AC90" s="2501">
        <f>J90</f>
        <v>106511.04</v>
      </c>
      <c r="AD90" s="2061"/>
    </row>
    <row r="91" spans="1:30" ht="16.5" customHeight="1">
      <c r="A91" s="1835"/>
      <c r="B91" s="1836"/>
      <c r="C91" s="1840"/>
      <c r="D91" s="1946" t="s">
        <v>361</v>
      </c>
      <c r="E91" s="2092" t="s">
        <v>377</v>
      </c>
      <c r="F91" s="2235">
        <v>120</v>
      </c>
      <c r="G91" s="2092"/>
      <c r="H91" s="1827"/>
      <c r="I91" s="1827"/>
      <c r="J91" s="2093">
        <f>+F91*$F$20*$L$20</f>
        <v>106511.04</v>
      </c>
      <c r="L91" s="2094"/>
      <c r="M91" s="1827"/>
      <c r="N91" s="2101"/>
      <c r="O91" s="2233"/>
      <c r="P91" s="2233"/>
      <c r="Q91" s="2233"/>
      <c r="R91" s="2233"/>
      <c r="S91" s="2233"/>
      <c r="AB91" s="1491"/>
      <c r="AC91" s="2501">
        <f>J91</f>
        <v>106511.04</v>
      </c>
      <c r="AD91" s="2061"/>
    </row>
    <row r="92" spans="1:30" ht="8.25" customHeight="1">
      <c r="A92" s="1835"/>
      <c r="B92" s="1836"/>
      <c r="C92" s="1840"/>
      <c r="D92" s="1946"/>
      <c r="E92" s="2502"/>
      <c r="F92" s="2235"/>
      <c r="G92" s="2092"/>
      <c r="H92" s="1827"/>
      <c r="I92" s="1827"/>
      <c r="J92" s="2093"/>
      <c r="L92" s="2094"/>
      <c r="M92" s="1827"/>
      <c r="N92" s="2101"/>
      <c r="O92" s="2233"/>
      <c r="P92" s="2233"/>
      <c r="Q92" s="2233"/>
      <c r="R92" s="2233"/>
      <c r="S92" s="2233"/>
      <c r="AB92" s="2503"/>
      <c r="AC92" s="2504"/>
      <c r="AD92" s="2061"/>
    </row>
    <row r="93" spans="1:30" ht="16.5" customHeight="1" thickBot="1">
      <c r="A93" s="1835"/>
      <c r="B93" s="1836"/>
      <c r="C93" s="1840"/>
      <c r="D93" s="1946"/>
      <c r="E93" s="2092"/>
      <c r="F93" s="2092"/>
      <c r="G93" s="2093"/>
      <c r="H93" s="1827"/>
      <c r="I93" s="1827"/>
      <c r="J93" s="2093"/>
      <c r="L93" s="2094"/>
      <c r="M93" s="1827"/>
      <c r="N93" s="2101"/>
      <c r="O93" s="2233"/>
      <c r="P93" s="2233"/>
      <c r="Q93" s="2233"/>
      <c r="R93" s="2233"/>
      <c r="S93" s="2233"/>
      <c r="AC93" s="2501"/>
      <c r="AD93" s="2061"/>
    </row>
    <row r="94" spans="1:30" ht="16.5" customHeight="1" thickBot="1" thickTop="1">
      <c r="A94" s="1835"/>
      <c r="B94" s="1836"/>
      <c r="C94" s="1840"/>
      <c r="D94" s="2077"/>
      <c r="E94" s="1845"/>
      <c r="F94" s="1946"/>
      <c r="G94" s="1946"/>
      <c r="H94" s="1947"/>
      <c r="J94" s="1946"/>
      <c r="L94" s="2102"/>
      <c r="M94" s="2088"/>
      <c r="N94" s="2088"/>
      <c r="O94" s="2089"/>
      <c r="P94" s="2089"/>
      <c r="Q94" s="2089"/>
      <c r="R94" s="2089"/>
      <c r="S94" s="2089"/>
      <c r="AB94" s="2505" t="s">
        <v>378</v>
      </c>
      <c r="AC94" s="2506">
        <f>SUM(AC67:AC92)</f>
        <v>4198782.997344</v>
      </c>
      <c r="AD94" s="2061"/>
    </row>
    <row r="95" spans="2:30" ht="16.5" customHeight="1" thickBot="1" thickTop="1">
      <c r="B95" s="1836"/>
      <c r="C95" s="2082" t="s">
        <v>124</v>
      </c>
      <c r="D95" s="2105" t="s">
        <v>125</v>
      </c>
      <c r="E95" s="1946"/>
      <c r="F95" s="2106"/>
      <c r="G95" s="1945"/>
      <c r="H95" s="2077"/>
      <c r="I95" s="2077"/>
      <c r="J95" s="2077"/>
      <c r="K95" s="1946"/>
      <c r="L95" s="1946"/>
      <c r="M95" s="2077"/>
      <c r="N95" s="1946"/>
      <c r="O95" s="2077"/>
      <c r="P95" s="2077"/>
      <c r="Q95" s="2077"/>
      <c r="R95" s="2077"/>
      <c r="S95" s="2077"/>
      <c r="T95" s="2077"/>
      <c r="U95" s="2077"/>
      <c r="AC95" s="2077"/>
      <c r="AD95" s="2061"/>
    </row>
    <row r="96" spans="2:30" s="1835" customFormat="1" ht="16.5" customHeight="1" thickBot="1" thickTop="1">
      <c r="B96" s="1836"/>
      <c r="C96" s="1840"/>
      <c r="D96" s="2084" t="s">
        <v>126</v>
      </c>
      <c r="E96" s="2107">
        <f>10*K62*K26/AC94</f>
        <v>2695.3379102224408</v>
      </c>
      <c r="G96" s="1945"/>
      <c r="L96" s="1946"/>
      <c r="N96" s="1946"/>
      <c r="O96" s="1947"/>
      <c r="V96" s="1324"/>
      <c r="W96" s="1324"/>
      <c r="AB96" s="2505" t="s">
        <v>322</v>
      </c>
      <c r="AC96" s="2506">
        <v>2491273.587024001</v>
      </c>
      <c r="AD96" s="2061"/>
    </row>
    <row r="97" spans="2:30" s="1835" customFormat="1" ht="16.5" customHeight="1" thickTop="1">
      <c r="B97" s="1836"/>
      <c r="C97" s="1840"/>
      <c r="E97" s="2108"/>
      <c r="F97" s="1852"/>
      <c r="G97" s="1945"/>
      <c r="J97" s="1945"/>
      <c r="K97" s="1965"/>
      <c r="L97" s="1946"/>
      <c r="M97" s="1946"/>
      <c r="N97" s="1946"/>
      <c r="O97" s="1947"/>
      <c r="P97" s="1946"/>
      <c r="Q97" s="1946"/>
      <c r="R97" s="1964"/>
      <c r="S97" s="1964"/>
      <c r="T97" s="1964"/>
      <c r="U97" s="2109"/>
      <c r="V97" s="1324"/>
      <c r="W97" s="1324"/>
      <c r="AC97" s="2109"/>
      <c r="AD97" s="2061"/>
    </row>
    <row r="98" spans="2:30" ht="16.5" customHeight="1">
      <c r="B98" s="1836"/>
      <c r="C98" s="1840"/>
      <c r="D98" s="2110"/>
      <c r="E98" s="2111"/>
      <c r="F98" s="1852"/>
      <c r="G98" s="1945"/>
      <c r="H98" s="2077"/>
      <c r="I98" s="2077"/>
      <c r="N98" s="1946"/>
      <c r="O98" s="1947"/>
      <c r="P98" s="1946"/>
      <c r="Q98" s="1946"/>
      <c r="R98" s="2087"/>
      <c r="S98" s="2087"/>
      <c r="T98" s="2087"/>
      <c r="U98" s="2088"/>
      <c r="AC98" s="2088"/>
      <c r="AD98" s="2061"/>
    </row>
    <row r="99" spans="2:30" ht="16.5" customHeight="1" thickBot="1">
      <c r="B99" s="1836"/>
      <c r="C99" s="1840"/>
      <c r="D99" s="2110"/>
      <c r="E99" s="2111"/>
      <c r="F99" s="1852"/>
      <c r="G99" s="1945"/>
      <c r="H99" s="2077"/>
      <c r="I99" s="2077"/>
      <c r="N99" s="1946"/>
      <c r="O99" s="1947"/>
      <c r="P99" s="1946"/>
      <c r="Q99" s="1946"/>
      <c r="R99" s="2087"/>
      <c r="S99" s="2087"/>
      <c r="T99" s="2087"/>
      <c r="U99" s="2088"/>
      <c r="AC99" s="2088"/>
      <c r="AD99" s="2061"/>
    </row>
    <row r="100" spans="2:30" s="2112" customFormat="1" ht="21" thickBot="1" thickTop="1">
      <c r="B100" s="2113"/>
      <c r="C100" s="2114"/>
      <c r="D100" s="2115"/>
      <c r="E100" s="2116"/>
      <c r="F100" s="2117"/>
      <c r="G100" s="2118"/>
      <c r="I100" s="1324"/>
      <c r="J100" s="2119" t="s">
        <v>128</v>
      </c>
      <c r="K100" s="2120">
        <f>IF(E96&gt;3*K26,K26*3,E96)</f>
        <v>2695.3379102224408</v>
      </c>
      <c r="M100" s="2121"/>
      <c r="N100" s="2122" t="s">
        <v>379</v>
      </c>
      <c r="O100" s="2123"/>
      <c r="P100" s="2121"/>
      <c r="Q100" s="2121"/>
      <c r="R100" s="2124"/>
      <c r="S100" s="2124"/>
      <c r="T100" s="2124"/>
      <c r="U100" s="2125"/>
      <c r="V100" s="1324"/>
      <c r="W100" s="1324"/>
      <c r="AC100" s="2125"/>
      <c r="AD100" s="2126"/>
    </row>
    <row r="101" spans="2:30" ht="16.5" customHeight="1" thickBot="1" thickTop="1">
      <c r="B101" s="2127"/>
      <c r="C101" s="2128"/>
      <c r="D101" s="2128"/>
      <c r="E101" s="2128"/>
      <c r="F101" s="2128"/>
      <c r="G101" s="2128"/>
      <c r="H101" s="2128"/>
      <c r="I101" s="2128"/>
      <c r="J101" s="2128"/>
      <c r="K101" s="2128"/>
      <c r="L101" s="2128"/>
      <c r="M101" s="2128"/>
      <c r="N101" s="2128"/>
      <c r="O101" s="2128"/>
      <c r="P101" s="2128"/>
      <c r="Q101" s="2128"/>
      <c r="R101" s="2128"/>
      <c r="S101" s="2128"/>
      <c r="T101" s="2128"/>
      <c r="U101" s="2128"/>
      <c r="V101" s="2129"/>
      <c r="W101" s="2129"/>
      <c r="X101" s="2129"/>
      <c r="Y101" s="2129"/>
      <c r="Z101" s="2129"/>
      <c r="AA101" s="2129"/>
      <c r="AB101" s="2129"/>
      <c r="AC101" s="2128"/>
      <c r="AD101" s="2130"/>
    </row>
    <row r="102" spans="2:23" ht="16.5" customHeight="1" thickTop="1">
      <c r="B102" s="1491"/>
      <c r="C102" s="2131"/>
      <c r="W102" s="1491"/>
    </row>
  </sheetData>
  <sheetProtection password="CC12"/>
  <mergeCells count="29">
    <mergeCell ref="F51:G51"/>
    <mergeCell ref="O51:Q51"/>
    <mergeCell ref="F59:G59"/>
    <mergeCell ref="P59:Q59"/>
    <mergeCell ref="F57:G57"/>
    <mergeCell ref="P57:Q57"/>
    <mergeCell ref="F58:G58"/>
    <mergeCell ref="P58:Q58"/>
    <mergeCell ref="F54:G54"/>
    <mergeCell ref="F55:G55"/>
    <mergeCell ref="P55:Q55"/>
    <mergeCell ref="F56:G56"/>
    <mergeCell ref="P56:Q56"/>
    <mergeCell ref="F47:G47"/>
    <mergeCell ref="O47:Q47"/>
    <mergeCell ref="F48:G48"/>
    <mergeCell ref="O48:Q48"/>
    <mergeCell ref="F49:G49"/>
    <mergeCell ref="O49:Q49"/>
    <mergeCell ref="F50:G50"/>
    <mergeCell ref="F45:G45"/>
    <mergeCell ref="O45:Q45"/>
    <mergeCell ref="F46:G46"/>
    <mergeCell ref="O46:Q46"/>
    <mergeCell ref="O50:Q50"/>
    <mergeCell ref="P39:Q39"/>
    <mergeCell ref="P40:Q40"/>
    <mergeCell ref="P41:Q41"/>
    <mergeCell ref="P42:Q42"/>
  </mergeCells>
  <printOptions/>
  <pageMargins left="2.08" right="0.1968503937007874" top="0.63" bottom="0.62" header="0.5118110236220472" footer="0.5118110236220472"/>
  <pageSetup fitToHeight="1" fitToWidth="1" horizontalDpi="600" verticalDpi="600" orientation="landscape" paperSize="9" scale="29" r:id="rId4"/>
  <headerFooter alignWithMargins="0">
    <oddFooter>&amp;L&amp;"Times New Roman,Normal"&amp;8&amp;F-&amp;A</oddFooter>
  </headerFooter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zoomScale="50" zoomScaleNormal="50" zoomScalePageLayoutView="0" workbookViewId="0" topLeftCell="A1">
      <selection activeCell="B3" sqref="B3"/>
    </sheetView>
  </sheetViews>
  <sheetFormatPr defaultColWidth="11.421875" defaultRowHeight="12.75" outlineLevelCol="1"/>
  <cols>
    <col min="1" max="2" width="8.00390625" style="856" customWidth="1"/>
    <col min="3" max="3" width="5.57421875" style="856" customWidth="1"/>
    <col min="4" max="5" width="13.57421875" style="856" customWidth="1"/>
    <col min="6" max="6" width="31.8515625" style="856" customWidth="1"/>
    <col min="7" max="7" width="32.140625" style="856" customWidth="1"/>
    <col min="8" max="10" width="17.140625" style="856" customWidth="1"/>
    <col min="11" max="12" width="9.7109375" style="856" customWidth="1"/>
    <col min="13" max="13" width="13.7109375" style="856" hidden="1" customWidth="1" outlineLevel="1"/>
    <col min="14" max="14" width="15.8515625" style="856" hidden="1" customWidth="1" outlineLevel="1"/>
    <col min="15" max="15" width="16.8515625" style="856" hidden="1" customWidth="1" outlineLevel="1"/>
    <col min="16" max="16" width="15.7109375" style="856" hidden="1" customWidth="1" outlineLevel="1"/>
    <col min="17" max="17" width="16.140625" style="856" hidden="1" customWidth="1" outlineLevel="1"/>
    <col min="18" max="18" width="15.7109375" style="856" customWidth="1" collapsed="1"/>
    <col min="19" max="19" width="8.00390625" style="856" customWidth="1"/>
    <col min="20" max="20" width="15.7109375" style="856" customWidth="1"/>
    <col min="21" max="21" width="30.421875" style="856" customWidth="1"/>
    <col min="22" max="22" width="3.140625" style="856" customWidth="1"/>
    <col min="23" max="23" width="3.57421875" style="856" customWidth="1"/>
    <col min="24" max="24" width="24.28125" style="856" customWidth="1"/>
    <col min="25" max="25" width="4.7109375" style="856" customWidth="1"/>
    <col min="26" max="26" width="7.57421875" style="856" customWidth="1"/>
    <col min="27" max="28" width="4.140625" style="856" customWidth="1"/>
    <col min="29" max="29" width="7.140625" style="856" customWidth="1"/>
    <col min="30" max="30" width="5.28125" style="856" customWidth="1"/>
    <col min="31" max="31" width="5.421875" style="856" customWidth="1"/>
    <col min="32" max="32" width="4.7109375" style="856" customWidth="1"/>
    <col min="33" max="33" width="5.28125" style="856" customWidth="1"/>
    <col min="34" max="35" width="13.28125" style="856" customWidth="1"/>
    <col min="36" max="36" width="6.57421875" style="856" customWidth="1"/>
    <col min="37" max="37" width="6.421875" style="856" customWidth="1"/>
    <col min="38" max="41" width="11.421875" style="856" customWidth="1"/>
    <col min="42" max="42" width="12.7109375" style="856" customWidth="1"/>
    <col min="43" max="45" width="11.421875" style="856" customWidth="1"/>
    <col min="46" max="46" width="21.00390625" style="856" customWidth="1"/>
    <col min="47" max="16384" width="11.421875" style="856" customWidth="1"/>
  </cols>
  <sheetData>
    <row r="1" spans="1:20" ht="27.75" customHeight="1">
      <c r="A1" s="855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8"/>
    </row>
    <row r="2" spans="1:20" ht="27.75" customHeight="1">
      <c r="A2" s="859"/>
      <c r="B2" s="860" t="str">
        <f>'TOT-1214'!B2</f>
        <v>ANEXO I al Memorándum D.T.E.E. N° 90 /2016</v>
      </c>
      <c r="C2" s="861"/>
      <c r="D2" s="861"/>
      <c r="E2" s="861"/>
      <c r="F2" s="861"/>
      <c r="G2" s="861"/>
      <c r="H2" s="861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</row>
    <row r="3" spans="1:20" ht="12.75">
      <c r="A3" s="859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</row>
    <row r="4" spans="1:2" s="865" customFormat="1" ht="11.25">
      <c r="A4" s="863" t="s">
        <v>347</v>
      </c>
      <c r="B4" s="864"/>
    </row>
    <row r="5" spans="1:2" s="865" customFormat="1" ht="11.25">
      <c r="A5" s="866"/>
      <c r="B5" s="866" t="s">
        <v>3</v>
      </c>
    </row>
    <row r="6" spans="9:20" ht="13.5" thickBot="1"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</row>
    <row r="7" spans="2:19" ht="13.5" thickTop="1">
      <c r="B7" s="867"/>
      <c r="C7" s="868"/>
      <c r="D7" s="868"/>
      <c r="E7" s="868"/>
      <c r="F7" s="868"/>
      <c r="G7" s="868"/>
      <c r="H7" s="868"/>
      <c r="I7" s="869"/>
      <c r="J7" s="869"/>
      <c r="K7" s="869"/>
      <c r="L7" s="869"/>
      <c r="M7" s="869"/>
      <c r="N7" s="869"/>
      <c r="O7" s="869"/>
      <c r="P7" s="869"/>
      <c r="Q7" s="869"/>
      <c r="R7" s="869"/>
      <c r="S7" s="870"/>
    </row>
    <row r="8" spans="2:19" ht="20.25">
      <c r="B8" s="871"/>
      <c r="F8" s="872" t="s">
        <v>23</v>
      </c>
      <c r="G8" s="872"/>
      <c r="I8" s="873"/>
      <c r="J8" s="861"/>
      <c r="K8" s="861"/>
      <c r="L8" s="861"/>
      <c r="M8" s="874"/>
      <c r="N8" s="874"/>
      <c r="O8" s="874"/>
      <c r="P8" s="874"/>
      <c r="Q8" s="874"/>
      <c r="R8" s="874"/>
      <c r="S8" s="875"/>
    </row>
    <row r="9" spans="2:19" ht="20.25">
      <c r="B9" s="871"/>
      <c r="C9" s="876"/>
      <c r="D9" s="876"/>
      <c r="E9" s="876"/>
      <c r="F9" s="877"/>
      <c r="G9" s="877"/>
      <c r="H9" s="876"/>
      <c r="I9" s="878"/>
      <c r="M9" s="879"/>
      <c r="N9" s="879"/>
      <c r="O9" s="879"/>
      <c r="P9" s="879"/>
      <c r="Q9" s="879"/>
      <c r="R9" s="879"/>
      <c r="S9" s="880"/>
    </row>
    <row r="10" spans="2:25" s="878" customFormat="1" ht="20.25">
      <c r="B10" s="881"/>
      <c r="F10" s="882" t="s">
        <v>163</v>
      </c>
      <c r="H10" s="883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5"/>
      <c r="T10" s="876"/>
      <c r="U10" s="876"/>
      <c r="V10" s="876"/>
      <c r="W10" s="876"/>
      <c r="X10" s="876"/>
      <c r="Y10" s="856"/>
    </row>
    <row r="11" spans="2:25" s="886" customFormat="1" ht="16.5" customHeight="1">
      <c r="B11" s="887"/>
      <c r="C11" s="888"/>
      <c r="D11" s="888"/>
      <c r="E11" s="888"/>
      <c r="F11" s="889"/>
      <c r="H11" s="890"/>
      <c r="I11" s="891"/>
      <c r="J11" s="891"/>
      <c r="K11" s="891"/>
      <c r="L11" s="891"/>
      <c r="M11" s="891"/>
      <c r="N11" s="891"/>
      <c r="O11" s="891"/>
      <c r="P11" s="891"/>
      <c r="Q11" s="891"/>
      <c r="R11" s="891"/>
      <c r="S11" s="892"/>
      <c r="T11" s="888"/>
      <c r="U11" s="888"/>
      <c r="V11" s="888"/>
      <c r="W11" s="888"/>
      <c r="X11" s="888"/>
      <c r="Y11" s="856"/>
    </row>
    <row r="12" spans="2:19" ht="20.25">
      <c r="B12" s="871"/>
      <c r="F12" s="882" t="s">
        <v>164</v>
      </c>
      <c r="G12" s="882"/>
      <c r="H12" s="876"/>
      <c r="I12" s="876"/>
      <c r="J12" s="879"/>
      <c r="K12" s="879"/>
      <c r="L12" s="879"/>
      <c r="M12" s="879"/>
      <c r="N12" s="879"/>
      <c r="O12" s="879"/>
      <c r="P12" s="879"/>
      <c r="Q12" s="879"/>
      <c r="R12" s="879"/>
      <c r="S12" s="880"/>
    </row>
    <row r="13" spans="2:19" ht="20.25">
      <c r="B13" s="871"/>
      <c r="C13" s="876"/>
      <c r="D13" s="876"/>
      <c r="E13" s="876"/>
      <c r="F13" s="876"/>
      <c r="G13" s="876"/>
      <c r="H13" s="876"/>
      <c r="I13" s="884"/>
      <c r="J13" s="893"/>
      <c r="K13" s="893"/>
      <c r="L13" s="893"/>
      <c r="M13" s="893"/>
      <c r="N13" s="879"/>
      <c r="O13" s="879"/>
      <c r="P13" s="879"/>
      <c r="Q13" s="879"/>
      <c r="R13" s="879"/>
      <c r="S13" s="880"/>
    </row>
    <row r="14" spans="2:19" ht="16.5" customHeight="1">
      <c r="B14" s="35" t="str">
        <f>'TOT-1214'!B14</f>
        <v>Desde el 01 al 31 de diciembre de 2014</v>
      </c>
      <c r="C14" s="894"/>
      <c r="D14" s="894"/>
      <c r="E14" s="894"/>
      <c r="F14" s="894"/>
      <c r="G14" s="894"/>
      <c r="H14" s="894"/>
      <c r="I14" s="861"/>
      <c r="J14" s="874"/>
      <c r="K14" s="874"/>
      <c r="L14" s="874"/>
      <c r="M14" s="861"/>
      <c r="N14" s="874"/>
      <c r="O14" s="874"/>
      <c r="P14" s="874"/>
      <c r="Q14" s="874"/>
      <c r="R14" s="874"/>
      <c r="S14" s="875"/>
    </row>
    <row r="15" spans="2:19" ht="17.25" customHeight="1" thickBot="1">
      <c r="B15" s="871"/>
      <c r="C15" s="895"/>
      <c r="D15" s="895"/>
      <c r="E15" s="895"/>
      <c r="F15" s="895"/>
      <c r="G15" s="895"/>
      <c r="H15" s="895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80"/>
    </row>
    <row r="16" spans="2:19" ht="16.5" customHeight="1" thickBot="1" thickTop="1">
      <c r="B16" s="871"/>
      <c r="F16" s="896" t="s">
        <v>165</v>
      </c>
      <c r="G16" s="897">
        <v>54741</v>
      </c>
      <c r="N16" s="879"/>
      <c r="O16" s="879"/>
      <c r="P16" s="879"/>
      <c r="Q16" s="879"/>
      <c r="R16" s="857"/>
      <c r="S16" s="880"/>
    </row>
    <row r="17" spans="2:19" ht="14.25" thickBot="1" thickTop="1">
      <c r="B17" s="871"/>
      <c r="C17" s="895"/>
      <c r="D17" s="895"/>
      <c r="E17" s="895"/>
      <c r="F17" s="895"/>
      <c r="G17" s="895"/>
      <c r="H17" s="895"/>
      <c r="I17" s="879"/>
      <c r="J17" s="879"/>
      <c r="K17" s="879"/>
      <c r="L17" s="879"/>
      <c r="M17" s="898"/>
      <c r="N17" s="879"/>
      <c r="O17" s="879"/>
      <c r="P17" s="879"/>
      <c r="Q17" s="879"/>
      <c r="R17" s="879"/>
      <c r="S17" s="880"/>
    </row>
    <row r="18" spans="2:19" ht="33.75" customHeight="1" thickBot="1" thickTop="1">
      <c r="B18" s="871"/>
      <c r="C18" s="899" t="s">
        <v>28</v>
      </c>
      <c r="D18" s="101" t="s">
        <v>29</v>
      </c>
      <c r="E18" s="101" t="s">
        <v>30</v>
      </c>
      <c r="F18" s="900" t="s">
        <v>59</v>
      </c>
      <c r="G18" s="901" t="s">
        <v>166</v>
      </c>
      <c r="H18" s="900" t="s">
        <v>36</v>
      </c>
      <c r="I18" s="902" t="s">
        <v>37</v>
      </c>
      <c r="J18" s="901" t="s">
        <v>38</v>
      </c>
      <c r="K18" s="901" t="s">
        <v>39</v>
      </c>
      <c r="L18" s="901" t="s">
        <v>179</v>
      </c>
      <c r="M18" s="903" t="s">
        <v>167</v>
      </c>
      <c r="N18" s="904" t="s">
        <v>168</v>
      </c>
      <c r="O18" s="905"/>
      <c r="P18" s="906" t="s">
        <v>169</v>
      </c>
      <c r="Q18" s="907" t="s">
        <v>170</v>
      </c>
      <c r="R18" s="908" t="s">
        <v>50</v>
      </c>
      <c r="S18" s="909"/>
    </row>
    <row r="19" spans="2:19" ht="16.5" customHeight="1" thickTop="1">
      <c r="B19" s="871"/>
      <c r="C19" s="910"/>
      <c r="D19" s="911"/>
      <c r="E19" s="911"/>
      <c r="F19" s="912"/>
      <c r="G19" s="912"/>
      <c r="H19" s="911"/>
      <c r="I19" s="913"/>
      <c r="J19" s="910"/>
      <c r="K19" s="910"/>
      <c r="L19" s="910"/>
      <c r="M19" s="914"/>
      <c r="N19" s="915"/>
      <c r="O19" s="915"/>
      <c r="P19" s="916"/>
      <c r="Q19" s="917"/>
      <c r="R19" s="918"/>
      <c r="S19" s="919"/>
    </row>
    <row r="20" spans="2:19" ht="16.5" customHeight="1">
      <c r="B20" s="871"/>
      <c r="C20" s="920"/>
      <c r="D20" s="921"/>
      <c r="E20" s="921"/>
      <c r="F20" s="922"/>
      <c r="G20" s="922"/>
      <c r="H20" s="921"/>
      <c r="I20" s="923"/>
      <c r="J20" s="924"/>
      <c r="K20" s="924"/>
      <c r="L20" s="924"/>
      <c r="M20" s="925"/>
      <c r="N20" s="926"/>
      <c r="O20" s="926"/>
      <c r="P20" s="927"/>
      <c r="Q20" s="928"/>
      <c r="R20" s="929"/>
      <c r="S20" s="919"/>
    </row>
    <row r="21" spans="2:19" ht="16.5" customHeight="1">
      <c r="B21" s="871"/>
      <c r="C21" s="930">
        <v>84</v>
      </c>
      <c r="D21" s="931">
        <v>283188</v>
      </c>
      <c r="E21" s="931">
        <v>4422</v>
      </c>
      <c r="F21" s="931" t="s">
        <v>312</v>
      </c>
      <c r="G21" s="931" t="s">
        <v>178</v>
      </c>
      <c r="H21" s="933">
        <v>42002.524305555555</v>
      </c>
      <c r="I21" s="933">
        <v>42002.525</v>
      </c>
      <c r="J21" s="935">
        <f aca="true" t="shared" si="0" ref="J21:J30">IF(F21="","",ROUND((I21-H21)*24,2))</f>
        <v>0.02</v>
      </c>
      <c r="K21" s="936">
        <f aca="true" t="shared" si="1" ref="K21:K30">IF(F21="","",ROUND((I21-H21)*24*60,0))</f>
        <v>1</v>
      </c>
      <c r="L21" s="937" t="s">
        <v>194</v>
      </c>
      <c r="M21" s="938">
        <f aca="true" t="shared" si="2" ref="M21:M31">IF(F21="","--",IF(J21&gt;24,2,1))</f>
        <v>1</v>
      </c>
      <c r="N21" s="939" t="str">
        <f aca="true" t="shared" si="3" ref="N21:N31">IF(L21="FC",ROUND(0.1*$G$16,2),"--")</f>
        <v>--</v>
      </c>
      <c r="O21" s="939">
        <f aca="true" t="shared" si="4" ref="O21:O31">IF(L21="F",ROUND(0.1*$G$16,2),"--")</f>
        <v>5474.1</v>
      </c>
      <c r="P21" s="940" t="str">
        <f aca="true" t="shared" si="5" ref="P21:P31">IF(L21="FI",ROUND(0.05*$G$16,2),"--")</f>
        <v>--</v>
      </c>
      <c r="Q21" s="941" t="str">
        <f aca="true" t="shared" si="6" ref="Q21:Q31">IF(L21="P",ROUND(0.01*$G$16,2),"--")</f>
        <v>--</v>
      </c>
      <c r="R21" s="942">
        <f aca="true" t="shared" si="7" ref="R21:R30">IF(F21="","",IF(L21="","??????",SUM(N21:Q21)*M21))</f>
        <v>5474.1</v>
      </c>
      <c r="S21" s="943"/>
    </row>
    <row r="22" spans="2:19" ht="16.5" customHeight="1">
      <c r="B22" s="871"/>
      <c r="C22" s="920"/>
      <c r="D22" s="921"/>
      <c r="E22" s="921"/>
      <c r="F22" s="931"/>
      <c r="G22" s="931"/>
      <c r="H22" s="933"/>
      <c r="I22" s="934"/>
      <c r="J22" s="935">
        <f t="shared" si="0"/>
      </c>
      <c r="K22" s="936">
        <f t="shared" si="1"/>
      </c>
      <c r="L22" s="937"/>
      <c r="M22" s="938" t="str">
        <f t="shared" si="2"/>
        <v>--</v>
      </c>
      <c r="N22" s="939" t="str">
        <f t="shared" si="3"/>
        <v>--</v>
      </c>
      <c r="O22" s="939" t="str">
        <f t="shared" si="4"/>
        <v>--</v>
      </c>
      <c r="P22" s="940" t="str">
        <f t="shared" si="5"/>
        <v>--</v>
      </c>
      <c r="Q22" s="941" t="str">
        <f t="shared" si="6"/>
        <v>--</v>
      </c>
      <c r="R22" s="942">
        <f t="shared" si="7"/>
      </c>
      <c r="S22" s="943"/>
    </row>
    <row r="23" spans="2:19" ht="16.5" customHeight="1">
      <c r="B23" s="871"/>
      <c r="C23" s="920"/>
      <c r="D23" s="921"/>
      <c r="E23" s="921"/>
      <c r="F23" s="931"/>
      <c r="G23" s="932"/>
      <c r="H23" s="933"/>
      <c r="I23" s="934"/>
      <c r="J23" s="935">
        <f t="shared" si="0"/>
      </c>
      <c r="K23" s="936">
        <f t="shared" si="1"/>
      </c>
      <c r="L23" s="937"/>
      <c r="M23" s="938" t="str">
        <f t="shared" si="2"/>
        <v>--</v>
      </c>
      <c r="N23" s="939" t="str">
        <f t="shared" si="3"/>
        <v>--</v>
      </c>
      <c r="O23" s="939" t="str">
        <f t="shared" si="4"/>
        <v>--</v>
      </c>
      <c r="P23" s="940" t="str">
        <f t="shared" si="5"/>
        <v>--</v>
      </c>
      <c r="Q23" s="941" t="str">
        <f t="shared" si="6"/>
        <v>--</v>
      </c>
      <c r="R23" s="942">
        <f t="shared" si="7"/>
      </c>
      <c r="S23" s="943"/>
    </row>
    <row r="24" spans="2:19" ht="16.5" customHeight="1">
      <c r="B24" s="871"/>
      <c r="C24" s="930"/>
      <c r="D24" s="931"/>
      <c r="E24" s="931"/>
      <c r="F24" s="931"/>
      <c r="G24" s="932"/>
      <c r="H24" s="933"/>
      <c r="I24" s="934"/>
      <c r="J24" s="935">
        <f t="shared" si="0"/>
      </c>
      <c r="K24" s="936">
        <f t="shared" si="1"/>
      </c>
      <c r="L24" s="937"/>
      <c r="M24" s="938" t="str">
        <f t="shared" si="2"/>
        <v>--</v>
      </c>
      <c r="N24" s="939" t="str">
        <f t="shared" si="3"/>
        <v>--</v>
      </c>
      <c r="O24" s="939" t="str">
        <f t="shared" si="4"/>
        <v>--</v>
      </c>
      <c r="P24" s="940" t="str">
        <f t="shared" si="5"/>
        <v>--</v>
      </c>
      <c r="Q24" s="941" t="str">
        <f t="shared" si="6"/>
        <v>--</v>
      </c>
      <c r="R24" s="942">
        <f t="shared" si="7"/>
      </c>
      <c r="S24" s="943"/>
    </row>
    <row r="25" spans="2:19" ht="16.5" customHeight="1">
      <c r="B25" s="871"/>
      <c r="C25" s="920"/>
      <c r="D25" s="921"/>
      <c r="E25" s="921"/>
      <c r="F25" s="931"/>
      <c r="G25" s="932"/>
      <c r="H25" s="933"/>
      <c r="I25" s="934"/>
      <c r="J25" s="935">
        <f t="shared" si="0"/>
      </c>
      <c r="K25" s="936">
        <f t="shared" si="1"/>
      </c>
      <c r="L25" s="937"/>
      <c r="M25" s="938" t="str">
        <f t="shared" si="2"/>
        <v>--</v>
      </c>
      <c r="N25" s="939" t="str">
        <f t="shared" si="3"/>
        <v>--</v>
      </c>
      <c r="O25" s="939" t="str">
        <f t="shared" si="4"/>
        <v>--</v>
      </c>
      <c r="P25" s="940" t="str">
        <f t="shared" si="5"/>
        <v>--</v>
      </c>
      <c r="Q25" s="941" t="str">
        <f t="shared" si="6"/>
        <v>--</v>
      </c>
      <c r="R25" s="942">
        <f t="shared" si="7"/>
      </c>
      <c r="S25" s="943"/>
    </row>
    <row r="26" spans="2:19" ht="16.5" customHeight="1">
      <c r="B26" s="871"/>
      <c r="C26" s="920"/>
      <c r="D26" s="921"/>
      <c r="E26" s="921"/>
      <c r="F26" s="931"/>
      <c r="G26" s="932"/>
      <c r="H26" s="933"/>
      <c r="I26" s="934"/>
      <c r="J26" s="935">
        <f t="shared" si="0"/>
      </c>
      <c r="K26" s="936">
        <f t="shared" si="1"/>
      </c>
      <c r="L26" s="937"/>
      <c r="M26" s="938" t="str">
        <f t="shared" si="2"/>
        <v>--</v>
      </c>
      <c r="N26" s="939" t="str">
        <f t="shared" si="3"/>
        <v>--</v>
      </c>
      <c r="O26" s="939" t="str">
        <f t="shared" si="4"/>
        <v>--</v>
      </c>
      <c r="P26" s="940" t="str">
        <f t="shared" si="5"/>
        <v>--</v>
      </c>
      <c r="Q26" s="941" t="str">
        <f t="shared" si="6"/>
        <v>--</v>
      </c>
      <c r="R26" s="942">
        <f t="shared" si="7"/>
      </c>
      <c r="S26" s="943"/>
    </row>
    <row r="27" spans="2:19" ht="16.5" customHeight="1">
      <c r="B27" s="871"/>
      <c r="C27" s="930"/>
      <c r="D27" s="931"/>
      <c r="E27" s="931"/>
      <c r="F27" s="931"/>
      <c r="G27" s="932"/>
      <c r="H27" s="933"/>
      <c r="I27" s="934"/>
      <c r="J27" s="935">
        <f t="shared" si="0"/>
      </c>
      <c r="K27" s="936">
        <f t="shared" si="1"/>
      </c>
      <c r="L27" s="937"/>
      <c r="M27" s="938" t="str">
        <f t="shared" si="2"/>
        <v>--</v>
      </c>
      <c r="N27" s="939" t="str">
        <f t="shared" si="3"/>
        <v>--</v>
      </c>
      <c r="O27" s="939" t="str">
        <f t="shared" si="4"/>
        <v>--</v>
      </c>
      <c r="P27" s="940" t="str">
        <f t="shared" si="5"/>
        <v>--</v>
      </c>
      <c r="Q27" s="941" t="str">
        <f t="shared" si="6"/>
        <v>--</v>
      </c>
      <c r="R27" s="942">
        <f t="shared" si="7"/>
      </c>
      <c r="S27" s="943"/>
    </row>
    <row r="28" spans="2:19" ht="16.5" customHeight="1">
      <c r="B28" s="871"/>
      <c r="C28" s="920"/>
      <c r="D28" s="921"/>
      <c r="E28" s="921"/>
      <c r="F28" s="931"/>
      <c r="G28" s="932"/>
      <c r="H28" s="933"/>
      <c r="I28" s="934"/>
      <c r="J28" s="935">
        <f t="shared" si="0"/>
      </c>
      <c r="K28" s="936">
        <f t="shared" si="1"/>
      </c>
      <c r="L28" s="937"/>
      <c r="M28" s="938" t="str">
        <f t="shared" si="2"/>
        <v>--</v>
      </c>
      <c r="N28" s="939" t="str">
        <f t="shared" si="3"/>
        <v>--</v>
      </c>
      <c r="O28" s="939" t="str">
        <f t="shared" si="4"/>
        <v>--</v>
      </c>
      <c r="P28" s="940" t="str">
        <f t="shared" si="5"/>
        <v>--</v>
      </c>
      <c r="Q28" s="941" t="str">
        <f t="shared" si="6"/>
        <v>--</v>
      </c>
      <c r="R28" s="942">
        <f t="shared" si="7"/>
      </c>
      <c r="S28" s="943"/>
    </row>
    <row r="29" spans="2:19" ht="16.5" customHeight="1">
      <c r="B29" s="871"/>
      <c r="C29" s="920"/>
      <c r="D29" s="921"/>
      <c r="E29" s="921"/>
      <c r="F29" s="931"/>
      <c r="G29" s="932"/>
      <c r="H29" s="933"/>
      <c r="I29" s="934"/>
      <c r="J29" s="935">
        <f t="shared" si="0"/>
      </c>
      <c r="K29" s="936">
        <f t="shared" si="1"/>
      </c>
      <c r="L29" s="937"/>
      <c r="M29" s="938" t="str">
        <f t="shared" si="2"/>
        <v>--</v>
      </c>
      <c r="N29" s="939" t="str">
        <f t="shared" si="3"/>
        <v>--</v>
      </c>
      <c r="O29" s="939" t="str">
        <f t="shared" si="4"/>
        <v>--</v>
      </c>
      <c r="P29" s="940" t="str">
        <f t="shared" si="5"/>
        <v>--</v>
      </c>
      <c r="Q29" s="941" t="str">
        <f t="shared" si="6"/>
        <v>--</v>
      </c>
      <c r="R29" s="942">
        <f t="shared" si="7"/>
      </c>
      <c r="S29" s="943"/>
    </row>
    <row r="30" spans="2:19" ht="16.5" customHeight="1" thickBot="1">
      <c r="B30" s="871"/>
      <c r="C30" s="944"/>
      <c r="D30" s="945"/>
      <c r="E30" s="945"/>
      <c r="F30" s="945"/>
      <c r="G30" s="946"/>
      <c r="H30" s="947"/>
      <c r="I30" s="948"/>
      <c r="J30" s="949">
        <f t="shared" si="0"/>
      </c>
      <c r="K30" s="950">
        <f t="shared" si="1"/>
      </c>
      <c r="L30" s="951"/>
      <c r="M30" s="952" t="str">
        <f t="shared" si="2"/>
        <v>--</v>
      </c>
      <c r="N30" s="953" t="str">
        <f t="shared" si="3"/>
        <v>--</v>
      </c>
      <c r="O30" s="953" t="str">
        <f t="shared" si="4"/>
        <v>--</v>
      </c>
      <c r="P30" s="954" t="str">
        <f t="shared" si="5"/>
        <v>--</v>
      </c>
      <c r="Q30" s="955" t="str">
        <f t="shared" si="6"/>
        <v>--</v>
      </c>
      <c r="R30" s="956">
        <f t="shared" si="7"/>
      </c>
      <c r="S30" s="943"/>
    </row>
    <row r="31" spans="2:19" ht="16.5" customHeight="1" thickBot="1" thickTop="1">
      <c r="B31" s="871"/>
      <c r="C31" s="957"/>
      <c r="D31" s="957"/>
      <c r="E31" s="957"/>
      <c r="F31" s="958"/>
      <c r="G31" s="958"/>
      <c r="H31" s="959"/>
      <c r="I31" s="959"/>
      <c r="J31" s="959"/>
      <c r="K31" s="959"/>
      <c r="L31" s="960"/>
      <c r="M31" s="961" t="str">
        <f t="shared" si="2"/>
        <v>--</v>
      </c>
      <c r="N31" s="962" t="str">
        <f t="shared" si="3"/>
        <v>--</v>
      </c>
      <c r="O31" s="962" t="str">
        <f t="shared" si="4"/>
        <v>--</v>
      </c>
      <c r="P31" s="963" t="str">
        <f t="shared" si="5"/>
        <v>--</v>
      </c>
      <c r="Q31" s="964" t="str">
        <f t="shared" si="6"/>
        <v>--</v>
      </c>
      <c r="R31" s="965">
        <f>SUM(R20:R30)</f>
        <v>5474.1</v>
      </c>
      <c r="S31" s="943"/>
    </row>
    <row r="32" spans="2:19" ht="16.5" customHeight="1" thickTop="1">
      <c r="B32" s="871"/>
      <c r="C32" s="957"/>
      <c r="D32" s="957"/>
      <c r="E32" s="957"/>
      <c r="F32" s="958"/>
      <c r="G32" s="958"/>
      <c r="H32" s="959"/>
      <c r="I32" s="959"/>
      <c r="J32" s="959"/>
      <c r="K32" s="959"/>
      <c r="L32" s="960"/>
      <c r="M32" s="961"/>
      <c r="N32" s="962"/>
      <c r="O32" s="962"/>
      <c r="P32" s="963"/>
      <c r="Q32" s="964"/>
      <c r="R32" s="966"/>
      <c r="S32" s="943"/>
    </row>
    <row r="33" spans="2:19" ht="16.5" customHeight="1">
      <c r="B33" s="871"/>
      <c r="C33" s="957"/>
      <c r="D33" s="957"/>
      <c r="E33" s="957"/>
      <c r="F33" s="958"/>
      <c r="G33" s="958"/>
      <c r="H33" s="959"/>
      <c r="I33" s="959"/>
      <c r="J33" s="959"/>
      <c r="K33" s="959"/>
      <c r="L33" s="960"/>
      <c r="M33" s="961" t="str">
        <f>IF(F33="","--",IF(J33&gt;24,2,1))</f>
        <v>--</v>
      </c>
      <c r="N33" s="962" t="str">
        <f>IF(L33="FC",ROUND(0.1*$G$16,2),"--")</f>
        <v>--</v>
      </c>
      <c r="O33" s="962" t="str">
        <f>IF(L33="F",ROUND(0.1*$G$16,2),"--")</f>
        <v>--</v>
      </c>
      <c r="P33" s="963" t="str">
        <f>IF(L33="FI",ROUND(0.05*$G$16,2),"--")</f>
        <v>--</v>
      </c>
      <c r="Q33" s="964" t="str">
        <f>IF(L33="P",ROUND(0.01*$G$16,2),"--")</f>
        <v>--</v>
      </c>
      <c r="R33" s="967">
        <f>IF(F33="","",IF(L33="","??????",SUM(N33:Q33)*M33))</f>
      </c>
      <c r="S33" s="943"/>
    </row>
    <row r="34" spans="2:19" ht="16.5" customHeight="1">
      <c r="B34" s="871"/>
      <c r="C34" s="957"/>
      <c r="D34" s="957"/>
      <c r="E34" s="957"/>
      <c r="F34" s="882" t="s">
        <v>171</v>
      </c>
      <c r="G34" s="958"/>
      <c r="H34" s="959"/>
      <c r="I34" s="959"/>
      <c r="J34" s="959"/>
      <c r="K34" s="959"/>
      <c r="L34" s="960"/>
      <c r="M34" s="961"/>
      <c r="N34" s="962"/>
      <c r="O34" s="962"/>
      <c r="P34" s="963"/>
      <c r="Q34" s="964"/>
      <c r="R34" s="967"/>
      <c r="S34" s="943"/>
    </row>
    <row r="35" spans="2:19" ht="16.5" customHeight="1">
      <c r="B35" s="871"/>
      <c r="C35" s="957"/>
      <c r="D35" s="957"/>
      <c r="E35" s="957"/>
      <c r="F35" s="882"/>
      <c r="G35" s="958"/>
      <c r="H35" s="959"/>
      <c r="I35" s="959"/>
      <c r="J35" s="959"/>
      <c r="K35" s="959"/>
      <c r="L35" s="960"/>
      <c r="M35" s="961"/>
      <c r="N35" s="962"/>
      <c r="O35" s="962"/>
      <c r="P35" s="963"/>
      <c r="Q35" s="964"/>
      <c r="R35" s="967"/>
      <c r="S35" s="943"/>
    </row>
    <row r="36" spans="2:19" ht="16.5" customHeight="1" thickBot="1">
      <c r="B36" s="871"/>
      <c r="C36" s="957"/>
      <c r="D36" s="957"/>
      <c r="E36" s="957"/>
      <c r="F36" s="958"/>
      <c r="G36" s="958"/>
      <c r="H36" s="959"/>
      <c r="I36" s="959"/>
      <c r="J36" s="959"/>
      <c r="K36" s="959"/>
      <c r="L36" s="960"/>
      <c r="M36" s="961"/>
      <c r="N36" s="962"/>
      <c r="O36" s="962"/>
      <c r="P36" s="963"/>
      <c r="Q36" s="964"/>
      <c r="R36" s="967"/>
      <c r="S36" s="943"/>
    </row>
    <row r="37" spans="2:19" ht="16.5" customHeight="1" thickBot="1" thickTop="1">
      <c r="B37" s="871"/>
      <c r="F37" s="968" t="s">
        <v>172</v>
      </c>
      <c r="G37" s="897">
        <f>G16*12</f>
        <v>656892</v>
      </c>
      <c r="N37" s="879"/>
      <c r="O37" s="879"/>
      <c r="P37" s="879"/>
      <c r="Q37" s="879"/>
      <c r="R37" s="857"/>
      <c r="S37" s="880"/>
    </row>
    <row r="38" spans="2:19" ht="14.25" thickBot="1" thickTop="1">
      <c r="B38" s="871"/>
      <c r="C38" s="895"/>
      <c r="D38" s="895"/>
      <c r="E38" s="895"/>
      <c r="F38" s="895"/>
      <c r="G38" s="895"/>
      <c r="H38" s="895"/>
      <c r="I38" s="879"/>
      <c r="J38" s="879"/>
      <c r="K38" s="879"/>
      <c r="L38" s="879"/>
      <c r="M38" s="898"/>
      <c r="N38" s="879"/>
      <c r="O38" s="879"/>
      <c r="P38" s="879"/>
      <c r="Q38" s="879"/>
      <c r="R38" s="879"/>
      <c r="S38" s="880"/>
    </row>
    <row r="39" spans="2:19" ht="33.75" customHeight="1" thickBot="1" thickTop="1">
      <c r="B39" s="871"/>
      <c r="C39" s="969" t="s">
        <v>173</v>
      </c>
      <c r="D39" s="970"/>
      <c r="E39" s="970"/>
      <c r="F39" s="971"/>
      <c r="G39" s="972"/>
      <c r="H39" s="973"/>
      <c r="I39" s="973"/>
      <c r="J39" s="972"/>
      <c r="K39" s="972"/>
      <c r="L39" s="972"/>
      <c r="M39" s="974"/>
      <c r="N39" s="975"/>
      <c r="O39" s="975"/>
      <c r="P39" s="976"/>
      <c r="Q39" s="977"/>
      <c r="R39" s="908">
        <v>0</v>
      </c>
      <c r="S39" s="909"/>
    </row>
    <row r="40" spans="2:19" ht="16.5" customHeight="1" thickTop="1">
      <c r="B40" s="871"/>
      <c r="C40" s="978"/>
      <c r="D40" s="979"/>
      <c r="E40" s="979"/>
      <c r="F40" s="979"/>
      <c r="G40" s="979"/>
      <c r="H40" s="980"/>
      <c r="I40" s="980"/>
      <c r="J40" s="980"/>
      <c r="K40" s="980"/>
      <c r="L40" s="980"/>
      <c r="M40" s="981"/>
      <c r="N40" s="982"/>
      <c r="O40" s="982"/>
      <c r="P40" s="983"/>
      <c r="Q40" s="984"/>
      <c r="R40" s="918"/>
      <c r="S40" s="919"/>
    </row>
    <row r="41" spans="2:19" ht="16.5" customHeight="1">
      <c r="B41" s="871"/>
      <c r="C41" s="985"/>
      <c r="D41" s="986" t="s">
        <v>174</v>
      </c>
      <c r="E41" s="986"/>
      <c r="F41" s="986"/>
      <c r="G41" s="986"/>
      <c r="H41" s="987"/>
      <c r="I41" s="987"/>
      <c r="J41" s="987"/>
      <c r="K41" s="987"/>
      <c r="L41" s="987"/>
      <c r="M41" s="988"/>
      <c r="N41" s="989"/>
      <c r="O41" s="989"/>
      <c r="P41" s="990"/>
      <c r="Q41" s="991"/>
      <c r="R41" s="942">
        <f>IF(R39&gt;=4,G37*0.1,0)</f>
        <v>0</v>
      </c>
      <c r="S41" s="919"/>
    </row>
    <row r="42" spans="2:19" ht="16.5" customHeight="1" thickBot="1">
      <c r="B42" s="871"/>
      <c r="C42" s="992"/>
      <c r="D42" s="993"/>
      <c r="E42" s="993"/>
      <c r="F42" s="994"/>
      <c r="G42" s="994"/>
      <c r="H42" s="995"/>
      <c r="I42" s="995"/>
      <c r="J42" s="995"/>
      <c r="K42" s="995"/>
      <c r="L42" s="996"/>
      <c r="M42" s="997"/>
      <c r="N42" s="998"/>
      <c r="O42" s="998"/>
      <c r="P42" s="999"/>
      <c r="Q42" s="1000"/>
      <c r="R42" s="956"/>
      <c r="S42" s="943"/>
    </row>
    <row r="43" spans="2:19" ht="16.5" customHeight="1" thickBot="1" thickTop="1">
      <c r="B43" s="871"/>
      <c r="C43" s="957"/>
      <c r="D43" s="957"/>
      <c r="E43" s="957"/>
      <c r="F43" s="958"/>
      <c r="G43" s="958"/>
      <c r="H43" s="959"/>
      <c r="I43" s="959"/>
      <c r="J43" s="959"/>
      <c r="K43" s="959"/>
      <c r="L43" s="960"/>
      <c r="M43" s="961"/>
      <c r="N43" s="962"/>
      <c r="O43" s="962"/>
      <c r="P43" s="963"/>
      <c r="Q43" s="964"/>
      <c r="R43" s="965">
        <f>R41</f>
        <v>0</v>
      </c>
      <c r="S43" s="943"/>
    </row>
    <row r="44" spans="2:19" ht="16.5" customHeight="1" thickTop="1">
      <c r="B44" s="871"/>
      <c r="C44" s="957"/>
      <c r="D44" s="957"/>
      <c r="E44" s="957"/>
      <c r="F44" s="958"/>
      <c r="G44" s="958"/>
      <c r="H44" s="960"/>
      <c r="I44" s="960"/>
      <c r="J44" s="959"/>
      <c r="K44" s="959"/>
      <c r="L44" s="960"/>
      <c r="M44" s="1001"/>
      <c r="N44" s="1002"/>
      <c r="O44" s="1002"/>
      <c r="P44" s="1003"/>
      <c r="Q44" s="1004"/>
      <c r="R44" s="1005"/>
      <c r="S44" s="943"/>
    </row>
    <row r="45" spans="2:19" ht="13.5" thickBot="1">
      <c r="B45" s="871"/>
      <c r="C45" s="1006" t="s">
        <v>180</v>
      </c>
      <c r="D45" s="1007" t="s">
        <v>175</v>
      </c>
      <c r="E45" s="1006"/>
      <c r="G45" s="1007"/>
      <c r="H45" s="1008"/>
      <c r="I45" s="1009"/>
      <c r="J45" s="959"/>
      <c r="K45" s="959"/>
      <c r="L45" s="1009"/>
      <c r="M45" s="1009"/>
      <c r="N45" s="1010"/>
      <c r="O45" s="1010"/>
      <c r="P45" s="1011"/>
      <c r="Q45" s="1012"/>
      <c r="R45" s="1005"/>
      <c r="S45" s="943"/>
    </row>
    <row r="46" spans="2:19" s="1015" customFormat="1" ht="10.5" customHeight="1" thickTop="1">
      <c r="B46" s="1013"/>
      <c r="C46" s="1006"/>
      <c r="D46" s="1014" t="s">
        <v>176</v>
      </c>
      <c r="E46" s="1006"/>
      <c r="G46" s="1014"/>
      <c r="H46" s="1016"/>
      <c r="I46" s="1017"/>
      <c r="J46" s="1017"/>
      <c r="K46" s="1017"/>
      <c r="L46" s="1017"/>
      <c r="M46" s="1017"/>
      <c r="N46" s="1018"/>
      <c r="O46" s="1019"/>
      <c r="P46" s="1019"/>
      <c r="Q46" s="1019"/>
      <c r="R46" s="1020"/>
      <c r="S46" s="1021"/>
    </row>
    <row r="47" spans="2:19" s="1015" customFormat="1" ht="12" customHeight="1">
      <c r="B47" s="1013"/>
      <c r="C47" s="1006"/>
      <c r="D47" s="1014" t="s">
        <v>177</v>
      </c>
      <c r="E47" s="1006"/>
      <c r="G47" s="1014"/>
      <c r="H47" s="1016"/>
      <c r="I47" s="1017"/>
      <c r="J47" s="1017"/>
      <c r="K47" s="1017"/>
      <c r="L47" s="1017"/>
      <c r="M47" s="1017"/>
      <c r="N47" s="1018"/>
      <c r="O47" s="1019"/>
      <c r="P47" s="1019"/>
      <c r="Q47" s="1019"/>
      <c r="R47" s="1020"/>
      <c r="S47" s="1021"/>
    </row>
    <row r="48" spans="2:19" ht="16.5" customHeight="1" thickBot="1">
      <c r="B48" s="1022"/>
      <c r="C48" s="1023"/>
      <c r="D48" s="1023"/>
      <c r="E48" s="1023"/>
      <c r="F48" s="1023"/>
      <c r="G48" s="1023"/>
      <c r="H48" s="1023"/>
      <c r="I48" s="1023"/>
      <c r="J48" s="1023"/>
      <c r="K48" s="1023"/>
      <c r="L48" s="1023"/>
      <c r="M48" s="1023"/>
      <c r="N48" s="1023"/>
      <c r="O48" s="1023"/>
      <c r="P48" s="1023"/>
      <c r="Q48" s="1023"/>
      <c r="R48" s="1024"/>
      <c r="S48" s="1025"/>
    </row>
    <row r="49" spans="2:20" ht="16.5" customHeight="1" thickTop="1">
      <c r="B49" s="895"/>
      <c r="R49" s="859"/>
      <c r="T49" s="895"/>
    </row>
    <row r="50" ht="16.5" customHeight="1">
      <c r="R50" s="859"/>
    </row>
    <row r="51" ht="16.5" customHeight="1">
      <c r="R51" s="859"/>
    </row>
    <row r="52" ht="12.75">
      <c r="R52" s="859"/>
    </row>
    <row r="53" ht="12.75">
      <c r="R53" s="859"/>
    </row>
    <row r="54" ht="12.75">
      <c r="R54" s="859"/>
    </row>
    <row r="55" ht="12.75">
      <c r="R55" s="859"/>
    </row>
    <row r="56" spans="15:19" ht="12.75">
      <c r="O56" s="859"/>
      <c r="P56" s="859"/>
      <c r="Q56" s="859"/>
      <c r="R56" s="859"/>
      <c r="S56" s="859"/>
    </row>
    <row r="57" spans="15:19" ht="12.75">
      <c r="O57" s="859"/>
      <c r="P57" s="859"/>
      <c r="Q57" s="859"/>
      <c r="R57" s="859"/>
      <c r="S57" s="859"/>
    </row>
    <row r="58" spans="15:19" ht="12.75">
      <c r="O58" s="859"/>
      <c r="P58" s="859"/>
      <c r="Q58" s="859"/>
      <c r="R58" s="859"/>
      <c r="S58" s="859"/>
    </row>
    <row r="59" spans="15:19" ht="12.75">
      <c r="O59" s="859"/>
      <c r="P59" s="859"/>
      <c r="Q59" s="859"/>
      <c r="R59" s="859"/>
      <c r="S59" s="859"/>
    </row>
    <row r="60" spans="15:19" ht="12.75">
      <c r="O60" s="859"/>
      <c r="P60" s="859"/>
      <c r="Q60" s="859"/>
      <c r="R60" s="859"/>
      <c r="S60" s="859"/>
    </row>
    <row r="61" spans="15:19" ht="12.75">
      <c r="O61" s="859"/>
      <c r="P61" s="859"/>
      <c r="Q61" s="859"/>
      <c r="R61" s="859"/>
      <c r="S61" s="859"/>
    </row>
    <row r="62" spans="15:19" ht="12.75">
      <c r="O62" s="859"/>
      <c r="P62" s="859"/>
      <c r="Q62" s="859"/>
      <c r="R62" s="859"/>
      <c r="S62" s="859"/>
    </row>
    <row r="63" spans="15:19" ht="12.75">
      <c r="O63" s="859"/>
      <c r="P63" s="859"/>
      <c r="Q63" s="859"/>
      <c r="R63" s="859"/>
      <c r="S63" s="859"/>
    </row>
    <row r="64" spans="15:19" ht="12.75">
      <c r="O64" s="859"/>
      <c r="P64" s="859"/>
      <c r="Q64" s="859"/>
      <c r="R64" s="859"/>
      <c r="S64" s="859"/>
    </row>
    <row r="65" spans="15:19" ht="12.75">
      <c r="O65" s="859"/>
      <c r="P65" s="859"/>
      <c r="Q65" s="859"/>
      <c r="R65" s="859"/>
      <c r="S65" s="859"/>
    </row>
    <row r="66" spans="15:19" ht="12.75">
      <c r="O66" s="859"/>
      <c r="P66" s="859"/>
      <c r="Q66" s="859"/>
      <c r="R66" s="859"/>
      <c r="S66" s="859"/>
    </row>
    <row r="67" spans="15:19" ht="12.75">
      <c r="O67" s="859"/>
      <c r="P67" s="859"/>
      <c r="Q67" s="859"/>
      <c r="R67" s="859"/>
      <c r="S67" s="859"/>
    </row>
    <row r="68" spans="15:19" ht="12.75">
      <c r="O68" s="859"/>
      <c r="P68" s="859"/>
      <c r="Q68" s="859"/>
      <c r="R68" s="859"/>
      <c r="S68" s="859"/>
    </row>
    <row r="69" spans="15:19" ht="12.75">
      <c r="O69" s="859"/>
      <c r="P69" s="859"/>
      <c r="Q69" s="859"/>
      <c r="R69" s="859"/>
      <c r="S69" s="859"/>
    </row>
    <row r="70" spans="15:19" ht="12.75">
      <c r="O70" s="859"/>
      <c r="P70" s="859"/>
      <c r="Q70" s="859"/>
      <c r="R70" s="859"/>
      <c r="S70" s="859"/>
    </row>
    <row r="71" spans="15:19" ht="12.75">
      <c r="O71" s="859"/>
      <c r="P71" s="859"/>
      <c r="Q71" s="859"/>
      <c r="R71" s="859"/>
      <c r="S71" s="859"/>
    </row>
    <row r="72" spans="15:19" ht="12.75">
      <c r="O72" s="859"/>
      <c r="P72" s="859"/>
      <c r="Q72" s="859"/>
      <c r="R72" s="859"/>
      <c r="S72" s="859"/>
    </row>
    <row r="73" spans="15:19" ht="12.75">
      <c r="O73" s="859"/>
      <c r="P73" s="859"/>
      <c r="Q73" s="859"/>
      <c r="R73" s="859"/>
      <c r="S73" s="859"/>
    </row>
    <row r="74" spans="15:19" ht="12.75">
      <c r="O74" s="859"/>
      <c r="P74" s="859"/>
      <c r="Q74" s="859"/>
      <c r="R74" s="859"/>
      <c r="S74" s="859"/>
    </row>
    <row r="75" spans="15:19" ht="12.75">
      <c r="O75" s="859"/>
      <c r="P75" s="859"/>
      <c r="Q75" s="859"/>
      <c r="R75" s="859"/>
      <c r="S75" s="859"/>
    </row>
    <row r="76" spans="15:19" ht="12.75">
      <c r="O76" s="859"/>
      <c r="P76" s="859"/>
      <c r="Q76" s="859"/>
      <c r="R76" s="859"/>
      <c r="S76" s="859"/>
    </row>
    <row r="77" spans="15:19" ht="12.75">
      <c r="O77" s="859"/>
      <c r="P77" s="859"/>
      <c r="Q77" s="859"/>
      <c r="R77" s="859"/>
      <c r="S77" s="859"/>
    </row>
    <row r="78" spans="15:19" ht="12.75">
      <c r="O78" s="859"/>
      <c r="P78" s="859"/>
      <c r="Q78" s="859"/>
      <c r="R78" s="859"/>
      <c r="S78" s="859"/>
    </row>
    <row r="79" spans="15:19" ht="12.75">
      <c r="O79" s="859"/>
      <c r="P79" s="859"/>
      <c r="Q79" s="859"/>
      <c r="R79" s="859"/>
      <c r="S79" s="859"/>
    </row>
    <row r="80" spans="15:19" ht="12.75">
      <c r="O80" s="859"/>
      <c r="P80" s="859"/>
      <c r="Q80" s="859"/>
      <c r="R80" s="859"/>
      <c r="S80" s="859"/>
    </row>
    <row r="81" spans="15:19" ht="12.75">
      <c r="O81" s="859"/>
      <c r="P81" s="859"/>
      <c r="Q81" s="859"/>
      <c r="R81" s="859"/>
      <c r="S81" s="859"/>
    </row>
    <row r="82" spans="15:19" ht="12.75">
      <c r="O82" s="859"/>
      <c r="P82" s="859"/>
      <c r="Q82" s="859"/>
      <c r="R82" s="859"/>
      <c r="S82" s="859"/>
    </row>
    <row r="83" spans="15:19" ht="12.75">
      <c r="O83" s="859"/>
      <c r="P83" s="859"/>
      <c r="Q83" s="859"/>
      <c r="R83" s="859"/>
      <c r="S83" s="859"/>
    </row>
    <row r="84" spans="15:19" ht="12.75">
      <c r="O84" s="859"/>
      <c r="P84" s="859"/>
      <c r="Q84" s="859"/>
      <c r="R84" s="859"/>
      <c r="S84" s="859"/>
    </row>
    <row r="85" spans="15:19" ht="12.75">
      <c r="O85" s="859"/>
      <c r="P85" s="859"/>
      <c r="Q85" s="859"/>
      <c r="R85" s="859"/>
      <c r="S85" s="859"/>
    </row>
    <row r="86" spans="15:19" ht="12.75">
      <c r="O86" s="859"/>
      <c r="P86" s="859"/>
      <c r="Q86" s="859"/>
      <c r="R86" s="859"/>
      <c r="S86" s="859"/>
    </row>
    <row r="87" spans="15:19" ht="12.75">
      <c r="O87" s="859"/>
      <c r="P87" s="859"/>
      <c r="Q87" s="859"/>
      <c r="R87" s="859"/>
      <c r="S87" s="859"/>
    </row>
    <row r="88" spans="15:19" ht="12.75">
      <c r="O88" s="859"/>
      <c r="P88" s="859"/>
      <c r="Q88" s="859"/>
      <c r="R88" s="859"/>
      <c r="S88" s="859"/>
    </row>
    <row r="89" spans="15:19" ht="12.75">
      <c r="O89" s="859"/>
      <c r="P89" s="859"/>
      <c r="Q89" s="859"/>
      <c r="R89" s="859"/>
      <c r="S89" s="859"/>
    </row>
    <row r="90" spans="15:19" ht="12.75">
      <c r="O90" s="859"/>
      <c r="P90" s="859"/>
      <c r="Q90" s="859"/>
      <c r="R90" s="859"/>
      <c r="S90" s="859"/>
    </row>
    <row r="91" spans="15:19" ht="12.75">
      <c r="O91" s="859"/>
      <c r="P91" s="859"/>
      <c r="Q91" s="859"/>
      <c r="R91" s="859"/>
      <c r="S91" s="859"/>
    </row>
    <row r="92" spans="15:19" ht="12.75">
      <c r="O92" s="859"/>
      <c r="P92" s="859"/>
      <c r="Q92" s="859"/>
      <c r="R92" s="859"/>
      <c r="S92" s="859"/>
    </row>
    <row r="93" spans="15:19" ht="12.75">
      <c r="O93" s="859"/>
      <c r="P93" s="859"/>
      <c r="Q93" s="859"/>
      <c r="R93" s="859"/>
      <c r="S93" s="859"/>
    </row>
    <row r="94" spans="15:19" ht="12.75">
      <c r="O94" s="859"/>
      <c r="P94" s="859"/>
      <c r="Q94" s="859"/>
      <c r="R94" s="859"/>
      <c r="S94" s="859"/>
    </row>
    <row r="95" spans="15:19" ht="12.75">
      <c r="O95" s="859"/>
      <c r="P95" s="859"/>
      <c r="Q95" s="859"/>
      <c r="R95" s="859"/>
      <c r="S95" s="859"/>
    </row>
    <row r="96" spans="15:19" ht="12.75">
      <c r="O96" s="859"/>
      <c r="P96" s="859"/>
      <c r="Q96" s="859"/>
      <c r="R96" s="859"/>
      <c r="S96" s="859"/>
    </row>
    <row r="97" spans="15:19" ht="12.75">
      <c r="O97" s="859"/>
      <c r="P97" s="859"/>
      <c r="Q97" s="859"/>
      <c r="R97" s="859"/>
      <c r="S97" s="859"/>
    </row>
    <row r="98" spans="15:19" ht="12.75">
      <c r="O98" s="859"/>
      <c r="P98" s="859"/>
      <c r="Q98" s="859"/>
      <c r="R98" s="859"/>
      <c r="S98" s="859"/>
    </row>
    <row r="99" spans="15:19" ht="12.75">
      <c r="O99" s="859"/>
      <c r="P99" s="859"/>
      <c r="Q99" s="859"/>
      <c r="R99" s="859"/>
      <c r="S99" s="859"/>
    </row>
    <row r="100" spans="15:19" ht="12.75">
      <c r="O100" s="859"/>
      <c r="P100" s="859"/>
      <c r="Q100" s="859"/>
      <c r="R100" s="859"/>
      <c r="S100" s="859"/>
    </row>
    <row r="101" spans="15:19" ht="12.75">
      <c r="O101" s="859"/>
      <c r="P101" s="859"/>
      <c r="Q101" s="859"/>
      <c r="R101" s="859"/>
      <c r="S101" s="859"/>
    </row>
    <row r="102" spans="15:19" ht="12.75">
      <c r="O102" s="859"/>
      <c r="P102" s="859"/>
      <c r="Q102" s="859"/>
      <c r="R102" s="859"/>
      <c r="S102" s="859"/>
    </row>
    <row r="103" spans="15:19" ht="12.75">
      <c r="O103" s="859"/>
      <c r="P103" s="859"/>
      <c r="Q103" s="859"/>
      <c r="R103" s="859"/>
      <c r="S103" s="859"/>
    </row>
    <row r="104" spans="15:19" ht="12.75">
      <c r="O104" s="859"/>
      <c r="P104" s="859"/>
      <c r="Q104" s="859"/>
      <c r="R104" s="859"/>
      <c r="S104" s="859"/>
    </row>
    <row r="105" spans="15:19" ht="12.75">
      <c r="O105" s="859"/>
      <c r="P105" s="859"/>
      <c r="Q105" s="859"/>
      <c r="R105" s="859"/>
      <c r="S105" s="859"/>
    </row>
    <row r="106" spans="15:19" ht="12.75">
      <c r="O106" s="859"/>
      <c r="P106" s="859"/>
      <c r="Q106" s="859"/>
      <c r="R106" s="859"/>
      <c r="S106" s="859"/>
    </row>
    <row r="107" spans="15:19" ht="12.75">
      <c r="O107" s="859"/>
      <c r="P107" s="859"/>
      <c r="Q107" s="859"/>
      <c r="R107" s="859"/>
      <c r="S107" s="859"/>
    </row>
    <row r="108" spans="15:19" ht="12.75">
      <c r="O108" s="859"/>
      <c r="P108" s="859"/>
      <c r="Q108" s="859"/>
      <c r="R108" s="859"/>
      <c r="S108" s="859"/>
    </row>
    <row r="109" spans="15:19" ht="12.75">
      <c r="O109" s="859"/>
      <c r="P109" s="859"/>
      <c r="Q109" s="859"/>
      <c r="R109" s="859"/>
      <c r="S109" s="859"/>
    </row>
    <row r="110" spans="15:19" ht="12.75">
      <c r="O110" s="859"/>
      <c r="P110" s="859"/>
      <c r="Q110" s="859"/>
      <c r="R110" s="859"/>
      <c r="S110" s="859"/>
    </row>
    <row r="111" spans="15:19" ht="12.75">
      <c r="O111" s="859"/>
      <c r="P111" s="859"/>
      <c r="Q111" s="859"/>
      <c r="R111" s="859"/>
      <c r="S111" s="859"/>
    </row>
    <row r="112" spans="15:19" ht="12.75">
      <c r="O112" s="859"/>
      <c r="P112" s="859"/>
      <c r="Q112" s="859"/>
      <c r="R112" s="859"/>
      <c r="S112" s="859"/>
    </row>
    <row r="113" spans="15:19" ht="12.75">
      <c r="O113" s="859"/>
      <c r="P113" s="859"/>
      <c r="Q113" s="859"/>
      <c r="R113" s="859"/>
      <c r="S113" s="859"/>
    </row>
    <row r="114" spans="15:19" ht="12.75">
      <c r="O114" s="859"/>
      <c r="P114" s="859"/>
      <c r="Q114" s="859"/>
      <c r="R114" s="859"/>
      <c r="S114" s="859"/>
    </row>
    <row r="115" spans="15:19" ht="12.75">
      <c r="O115" s="859"/>
      <c r="P115" s="859"/>
      <c r="Q115" s="859"/>
      <c r="R115" s="859"/>
      <c r="S115" s="859"/>
    </row>
    <row r="116" spans="15:19" ht="12.75">
      <c r="O116" s="859"/>
      <c r="P116" s="859"/>
      <c r="Q116" s="859"/>
      <c r="R116" s="859"/>
      <c r="S116" s="859"/>
    </row>
    <row r="117" spans="15:19" ht="12.75">
      <c r="O117" s="859"/>
      <c r="P117" s="859"/>
      <c r="Q117" s="859"/>
      <c r="R117" s="859"/>
      <c r="S117" s="859"/>
    </row>
    <row r="118" spans="15:19" ht="12.75">
      <c r="O118" s="859"/>
      <c r="P118" s="859"/>
      <c r="Q118" s="859"/>
      <c r="R118" s="859"/>
      <c r="S118" s="859"/>
    </row>
    <row r="119" spans="15:19" ht="12.75">
      <c r="O119" s="859"/>
      <c r="P119" s="859"/>
      <c r="Q119" s="859"/>
      <c r="R119" s="859"/>
      <c r="S119" s="859"/>
    </row>
    <row r="120" spans="15:19" ht="12.75">
      <c r="O120" s="859"/>
      <c r="P120" s="859"/>
      <c r="Q120" s="859"/>
      <c r="R120" s="859"/>
      <c r="S120" s="859"/>
    </row>
    <row r="121" spans="15:19" ht="12.75">
      <c r="O121" s="859"/>
      <c r="P121" s="859"/>
      <c r="Q121" s="859"/>
      <c r="R121" s="859"/>
      <c r="S121" s="859"/>
    </row>
    <row r="122" spans="15:19" ht="12.75">
      <c r="O122" s="859"/>
      <c r="P122" s="859"/>
      <c r="Q122" s="859"/>
      <c r="R122" s="859"/>
      <c r="S122" s="859"/>
    </row>
    <row r="123" spans="15:19" ht="12.75">
      <c r="O123" s="859"/>
      <c r="P123" s="859"/>
      <c r="Q123" s="859"/>
      <c r="R123" s="859"/>
      <c r="S123" s="859"/>
    </row>
    <row r="124" spans="15:19" ht="12.75">
      <c r="O124" s="859"/>
      <c r="P124" s="859"/>
      <c r="Q124" s="859"/>
      <c r="R124" s="859"/>
      <c r="S124" s="859"/>
    </row>
    <row r="125" spans="15:19" ht="12.75">
      <c r="O125" s="859"/>
      <c r="P125" s="859"/>
      <c r="Q125" s="859"/>
      <c r="R125" s="859"/>
      <c r="S125" s="859"/>
    </row>
    <row r="126" spans="15:19" ht="12.75">
      <c r="O126" s="859"/>
      <c r="P126" s="859"/>
      <c r="Q126" s="859"/>
      <c r="R126" s="859"/>
      <c r="S126" s="859"/>
    </row>
    <row r="127" spans="15:19" ht="12.75">
      <c r="O127" s="859"/>
      <c r="P127" s="859"/>
      <c r="Q127" s="859"/>
      <c r="R127" s="859"/>
      <c r="S127" s="859"/>
    </row>
    <row r="128" spans="15:19" ht="12.75">
      <c r="O128" s="859"/>
      <c r="P128" s="859"/>
      <c r="Q128" s="859"/>
      <c r="R128" s="859"/>
      <c r="S128" s="859"/>
    </row>
    <row r="129" spans="15:19" ht="12.75">
      <c r="O129" s="859"/>
      <c r="P129" s="859"/>
      <c r="Q129" s="859"/>
      <c r="R129" s="859"/>
      <c r="S129" s="859"/>
    </row>
    <row r="130" spans="15:19" ht="12.75">
      <c r="O130" s="859"/>
      <c r="P130" s="859"/>
      <c r="Q130" s="859"/>
      <c r="R130" s="859"/>
      <c r="S130" s="859"/>
    </row>
    <row r="131" spans="15:19" ht="12.75">
      <c r="O131" s="859"/>
      <c r="P131" s="859"/>
      <c r="Q131" s="859"/>
      <c r="R131" s="859"/>
      <c r="S131" s="859"/>
    </row>
    <row r="132" spans="15:19" ht="12.75">
      <c r="O132" s="859"/>
      <c r="P132" s="859"/>
      <c r="Q132" s="859"/>
      <c r="R132" s="859"/>
      <c r="S132" s="859"/>
    </row>
    <row r="133" spans="15:19" ht="12.75">
      <c r="O133" s="859"/>
      <c r="P133" s="859"/>
      <c r="Q133" s="859"/>
      <c r="R133" s="859"/>
      <c r="S133" s="859"/>
    </row>
    <row r="134" spans="15:19" ht="12.75">
      <c r="O134" s="859"/>
      <c r="P134" s="859"/>
      <c r="Q134" s="859"/>
      <c r="R134" s="859"/>
      <c r="S134" s="859"/>
    </row>
    <row r="135" spans="15:19" ht="12.75">
      <c r="O135" s="859"/>
      <c r="P135" s="859"/>
      <c r="Q135" s="859"/>
      <c r="R135" s="859"/>
      <c r="S135" s="859"/>
    </row>
    <row r="136" spans="15:19" ht="12.75">
      <c r="O136" s="859"/>
      <c r="P136" s="859"/>
      <c r="Q136" s="859"/>
      <c r="R136" s="859"/>
      <c r="S136" s="859"/>
    </row>
    <row r="137" spans="15:19" ht="12.75">
      <c r="O137" s="859"/>
      <c r="P137" s="859"/>
      <c r="Q137" s="859"/>
      <c r="R137" s="859"/>
      <c r="S137" s="859"/>
    </row>
    <row r="138" spans="15:19" ht="12.75">
      <c r="O138" s="859"/>
      <c r="P138" s="859"/>
      <c r="Q138" s="859"/>
      <c r="R138" s="859"/>
      <c r="S138" s="859"/>
    </row>
    <row r="139" spans="15:19" ht="12.75">
      <c r="O139" s="859"/>
      <c r="P139" s="859"/>
      <c r="Q139" s="859"/>
      <c r="R139" s="859"/>
      <c r="S139" s="859"/>
    </row>
    <row r="140" spans="15:19" ht="12.75">
      <c r="O140" s="859"/>
      <c r="P140" s="859"/>
      <c r="Q140" s="859"/>
      <c r="R140" s="859"/>
      <c r="S140" s="859"/>
    </row>
    <row r="141" spans="15:19" ht="12.75">
      <c r="O141" s="859"/>
      <c r="P141" s="859"/>
      <c r="Q141" s="859"/>
      <c r="R141" s="859"/>
      <c r="S141" s="859"/>
    </row>
    <row r="142" spans="15:19" ht="12.75">
      <c r="O142" s="859"/>
      <c r="P142" s="859"/>
      <c r="Q142" s="859"/>
      <c r="R142" s="859"/>
      <c r="S142" s="859"/>
    </row>
    <row r="143" spans="15:19" ht="12.75">
      <c r="O143" s="859"/>
      <c r="P143" s="859"/>
      <c r="Q143" s="859"/>
      <c r="R143" s="859"/>
      <c r="S143" s="859"/>
    </row>
    <row r="144" spans="15:19" ht="12.75">
      <c r="O144" s="859"/>
      <c r="P144" s="859"/>
      <c r="Q144" s="859"/>
      <c r="R144" s="859"/>
      <c r="S144" s="859"/>
    </row>
    <row r="145" spans="15:19" ht="12.75">
      <c r="O145" s="859"/>
      <c r="P145" s="859"/>
      <c r="Q145" s="859"/>
      <c r="R145" s="859"/>
      <c r="S145" s="859"/>
    </row>
    <row r="146" spans="15:19" ht="12.75">
      <c r="O146" s="859"/>
      <c r="P146" s="859"/>
      <c r="Q146" s="859"/>
      <c r="R146" s="859"/>
      <c r="S146" s="859"/>
    </row>
    <row r="147" spans="15:19" ht="12.75">
      <c r="O147" s="859"/>
      <c r="P147" s="859"/>
      <c r="Q147" s="859"/>
      <c r="R147" s="859"/>
      <c r="S147" s="859"/>
    </row>
    <row r="148" spans="15:19" ht="12.75">
      <c r="O148" s="859"/>
      <c r="P148" s="859"/>
      <c r="Q148" s="859"/>
      <c r="R148" s="859"/>
      <c r="S148" s="859"/>
    </row>
    <row r="149" spans="15:19" ht="12.75">
      <c r="O149" s="859"/>
      <c r="P149" s="859"/>
      <c r="Q149" s="859"/>
      <c r="R149" s="859"/>
      <c r="S149" s="859"/>
    </row>
    <row r="150" spans="15:19" ht="12.75">
      <c r="O150" s="859"/>
      <c r="P150" s="859"/>
      <c r="Q150" s="859"/>
      <c r="R150" s="859"/>
      <c r="S150" s="859"/>
    </row>
    <row r="151" spans="15:19" ht="12.75">
      <c r="O151" s="859"/>
      <c r="P151" s="859"/>
      <c r="Q151" s="859"/>
      <c r="R151" s="859"/>
      <c r="S151" s="859"/>
    </row>
    <row r="152" spans="15:19" ht="12.75">
      <c r="O152" s="859"/>
      <c r="P152" s="859"/>
      <c r="Q152" s="859"/>
      <c r="R152" s="859"/>
      <c r="S152" s="859"/>
    </row>
    <row r="153" spans="15:19" ht="12.75">
      <c r="O153" s="859"/>
      <c r="P153" s="859"/>
      <c r="Q153" s="859"/>
      <c r="R153" s="859"/>
      <c r="S153" s="859"/>
    </row>
    <row r="154" spans="15:19" ht="12.75">
      <c r="O154" s="859"/>
      <c r="P154" s="859"/>
      <c r="Q154" s="859"/>
      <c r="R154" s="859"/>
      <c r="S154" s="859"/>
    </row>
    <row r="155" spans="15:19" ht="12.75">
      <c r="O155" s="859"/>
      <c r="P155" s="859"/>
      <c r="Q155" s="859"/>
      <c r="R155" s="859"/>
      <c r="S155" s="859"/>
    </row>
    <row r="156" spans="15:19" ht="12.75">
      <c r="O156" s="859"/>
      <c r="P156" s="859"/>
      <c r="Q156" s="859"/>
      <c r="R156" s="859"/>
      <c r="S156" s="859"/>
    </row>
    <row r="157" spans="15:19" ht="12.75">
      <c r="O157" s="859"/>
      <c r="P157" s="859"/>
      <c r="Q157" s="859"/>
      <c r="R157" s="859"/>
      <c r="S157" s="859"/>
    </row>
    <row r="158" spans="15:19" ht="12.75">
      <c r="O158" s="859"/>
      <c r="P158" s="859"/>
      <c r="Q158" s="859"/>
      <c r="R158" s="859"/>
      <c r="S158" s="859"/>
    </row>
    <row r="159" spans="15:19" ht="12.75">
      <c r="O159" s="859"/>
      <c r="P159" s="859"/>
      <c r="Q159" s="859"/>
      <c r="R159" s="859"/>
      <c r="S159" s="859"/>
    </row>
    <row r="160" spans="15:19" ht="12.75">
      <c r="O160" s="859"/>
      <c r="P160" s="859"/>
      <c r="Q160" s="859"/>
      <c r="R160" s="859"/>
      <c r="S160" s="859"/>
    </row>
    <row r="161" spans="15:19" ht="12.75">
      <c r="O161" s="859"/>
      <c r="P161" s="859"/>
      <c r="Q161" s="859"/>
      <c r="R161" s="859"/>
      <c r="S161" s="859"/>
    </row>
    <row r="162" spans="15:19" ht="12.75">
      <c r="O162" s="859"/>
      <c r="P162" s="859"/>
      <c r="Q162" s="859"/>
      <c r="R162" s="859"/>
      <c r="S162" s="859"/>
    </row>
    <row r="163" spans="15:19" ht="12.75">
      <c r="O163" s="859"/>
      <c r="P163" s="859"/>
      <c r="Q163" s="859"/>
      <c r="R163" s="859"/>
      <c r="S163" s="859"/>
    </row>
    <row r="164" spans="15:19" ht="12.75">
      <c r="O164" s="859"/>
      <c r="P164" s="859"/>
      <c r="Q164" s="859"/>
      <c r="R164" s="859"/>
      <c r="S164" s="859"/>
    </row>
    <row r="165" spans="15:19" ht="12.75">
      <c r="O165" s="859"/>
      <c r="P165" s="859"/>
      <c r="Q165" s="859"/>
      <c r="R165" s="859"/>
      <c r="S165" s="859"/>
    </row>
    <row r="166" spans="15:19" ht="12.75">
      <c r="O166" s="859"/>
      <c r="P166" s="859"/>
      <c r="Q166" s="859"/>
      <c r="R166" s="859"/>
      <c r="S166" s="859"/>
    </row>
    <row r="167" spans="15:19" ht="12.75">
      <c r="O167" s="859"/>
      <c r="P167" s="859"/>
      <c r="Q167" s="859"/>
      <c r="R167" s="859"/>
      <c r="S167" s="859"/>
    </row>
    <row r="168" spans="15:19" ht="12.75">
      <c r="O168" s="859"/>
      <c r="P168" s="859"/>
      <c r="Q168" s="859"/>
      <c r="R168" s="859"/>
      <c r="S168" s="859"/>
    </row>
    <row r="169" spans="15:19" ht="12.75">
      <c r="O169" s="859"/>
      <c r="P169" s="859"/>
      <c r="Q169" s="859"/>
      <c r="R169" s="859"/>
      <c r="S169" s="859"/>
    </row>
    <row r="170" spans="15:19" ht="12.75">
      <c r="O170" s="859"/>
      <c r="P170" s="859"/>
      <c r="Q170" s="859"/>
      <c r="R170" s="859"/>
      <c r="S170" s="859"/>
    </row>
    <row r="171" spans="15:19" ht="12.75">
      <c r="O171" s="859"/>
      <c r="P171" s="859"/>
      <c r="Q171" s="859"/>
      <c r="R171" s="859"/>
      <c r="S171" s="859"/>
    </row>
    <row r="172" spans="15:19" ht="12.75">
      <c r="O172" s="859"/>
      <c r="P172" s="859"/>
      <c r="Q172" s="859"/>
      <c r="R172" s="859"/>
      <c r="S172" s="859"/>
    </row>
    <row r="173" spans="15:19" ht="12.75">
      <c r="O173" s="859"/>
      <c r="P173" s="859"/>
      <c r="Q173" s="859"/>
      <c r="R173" s="859"/>
      <c r="S173" s="859"/>
    </row>
    <row r="174" spans="15:19" ht="12.75">
      <c r="O174" s="859"/>
      <c r="P174" s="859"/>
      <c r="Q174" s="859"/>
      <c r="R174" s="859"/>
      <c r="S174" s="859"/>
    </row>
    <row r="175" spans="15:19" ht="12.75">
      <c r="O175" s="859"/>
      <c r="P175" s="859"/>
      <c r="Q175" s="859"/>
      <c r="R175" s="859"/>
      <c r="S175" s="859"/>
    </row>
    <row r="176" spans="15:19" ht="12.75">
      <c r="O176" s="859"/>
      <c r="P176" s="859"/>
      <c r="Q176" s="859"/>
      <c r="R176" s="859"/>
      <c r="S176" s="859"/>
    </row>
    <row r="177" spans="15:19" ht="12.75">
      <c r="O177" s="859"/>
      <c r="P177" s="859"/>
      <c r="Q177" s="859"/>
      <c r="R177" s="859"/>
      <c r="S177" s="859"/>
    </row>
    <row r="178" spans="15:19" ht="12.75">
      <c r="O178" s="859"/>
      <c r="P178" s="859"/>
      <c r="Q178" s="859"/>
      <c r="R178" s="859"/>
      <c r="S178" s="859"/>
    </row>
    <row r="179" spans="15:19" ht="12.75">
      <c r="O179" s="859"/>
      <c r="P179" s="859"/>
      <c r="Q179" s="859"/>
      <c r="R179" s="859"/>
      <c r="S179" s="859"/>
    </row>
    <row r="180" spans="15:19" ht="12.75">
      <c r="O180" s="859"/>
      <c r="P180" s="859"/>
      <c r="Q180" s="859"/>
      <c r="R180" s="859"/>
      <c r="S180" s="859"/>
    </row>
    <row r="181" spans="15:19" ht="12.75">
      <c r="O181" s="859"/>
      <c r="P181" s="859"/>
      <c r="Q181" s="859"/>
      <c r="R181" s="859"/>
      <c r="S181" s="859"/>
    </row>
    <row r="182" spans="15:19" ht="12.75">
      <c r="O182" s="859"/>
      <c r="P182" s="859"/>
      <c r="Q182" s="859"/>
      <c r="R182" s="859"/>
      <c r="S182" s="859"/>
    </row>
    <row r="183" spans="15:19" ht="12.75">
      <c r="O183" s="859"/>
      <c r="P183" s="859"/>
      <c r="Q183" s="859"/>
      <c r="R183" s="859"/>
      <c r="S183" s="859"/>
    </row>
    <row r="184" spans="15:19" ht="12.75">
      <c r="O184" s="859"/>
      <c r="P184" s="859"/>
      <c r="Q184" s="859"/>
      <c r="R184" s="859"/>
      <c r="S184" s="859"/>
    </row>
    <row r="185" spans="15:19" ht="12.75">
      <c r="O185" s="859"/>
      <c r="P185" s="859"/>
      <c r="Q185" s="859"/>
      <c r="R185" s="859"/>
      <c r="S185" s="859"/>
    </row>
    <row r="186" spans="15:19" ht="12.75">
      <c r="O186" s="859"/>
      <c r="P186" s="859"/>
      <c r="Q186" s="859"/>
      <c r="R186" s="859"/>
      <c r="S186" s="859"/>
    </row>
    <row r="187" spans="15:19" ht="12.75">
      <c r="O187" s="859"/>
      <c r="P187" s="859"/>
      <c r="Q187" s="859"/>
      <c r="R187" s="859"/>
      <c r="S187" s="859"/>
    </row>
    <row r="188" spans="15:19" ht="12.75">
      <c r="O188" s="859"/>
      <c r="P188" s="859"/>
      <c r="Q188" s="859"/>
      <c r="R188" s="859"/>
      <c r="S188" s="859"/>
    </row>
    <row r="189" spans="15:19" ht="12.75">
      <c r="O189" s="859"/>
      <c r="P189" s="859"/>
      <c r="Q189" s="859"/>
      <c r="R189" s="859"/>
      <c r="S189" s="859"/>
    </row>
    <row r="190" spans="15:19" ht="12.75">
      <c r="O190" s="859"/>
      <c r="P190" s="859"/>
      <c r="Q190" s="859"/>
      <c r="R190" s="859"/>
      <c r="S190" s="859"/>
    </row>
    <row r="191" spans="15:19" ht="12.75">
      <c r="O191" s="859"/>
      <c r="P191" s="859"/>
      <c r="Q191" s="859"/>
      <c r="R191" s="859"/>
      <c r="S191" s="859"/>
    </row>
    <row r="192" spans="15:19" ht="12.75">
      <c r="O192" s="859"/>
      <c r="P192" s="859"/>
      <c r="Q192" s="859"/>
      <c r="R192" s="859"/>
      <c r="S192" s="859"/>
    </row>
    <row r="193" spans="15:19" ht="12.75">
      <c r="O193" s="859"/>
      <c r="P193" s="859"/>
      <c r="Q193" s="859"/>
      <c r="R193" s="859"/>
      <c r="S193" s="859"/>
    </row>
    <row r="194" spans="15:19" ht="12.75">
      <c r="O194" s="859"/>
      <c r="P194" s="859"/>
      <c r="Q194" s="859"/>
      <c r="R194" s="859"/>
      <c r="S194" s="859"/>
    </row>
    <row r="195" spans="15:19" ht="12.75">
      <c r="O195" s="859"/>
      <c r="P195" s="859"/>
      <c r="Q195" s="859"/>
      <c r="R195" s="859"/>
      <c r="S195" s="859"/>
    </row>
    <row r="196" spans="15:19" ht="12.75">
      <c r="O196" s="859"/>
      <c r="P196" s="859"/>
      <c r="Q196" s="859"/>
      <c r="R196" s="859"/>
      <c r="S196" s="859"/>
    </row>
    <row r="197" spans="15:19" ht="12.75">
      <c r="O197" s="859"/>
      <c r="P197" s="859"/>
      <c r="Q197" s="859"/>
      <c r="R197" s="859"/>
      <c r="S197" s="859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9"/>
  <sheetViews>
    <sheetView zoomScale="50" zoomScaleNormal="50" zoomScalePageLayoutView="0" workbookViewId="0" topLeftCell="A1">
      <selection activeCell="B3" sqref="B3"/>
    </sheetView>
  </sheetViews>
  <sheetFormatPr defaultColWidth="11.421875" defaultRowHeight="12.75"/>
  <cols>
    <col min="1" max="1" width="18.00390625" style="2386" customWidth="1"/>
    <col min="2" max="2" width="10.7109375" style="2386" customWidth="1"/>
    <col min="3" max="3" width="10.421875" style="2386" customWidth="1"/>
    <col min="4" max="4" width="52.8515625" style="2386" customWidth="1"/>
    <col min="5" max="5" width="18.00390625" style="2386" bestFit="1" customWidth="1"/>
    <col min="6" max="6" width="15.57421875" style="2386" customWidth="1"/>
    <col min="7" max="7" width="7.7109375" style="2386" hidden="1" customWidth="1"/>
    <col min="8" max="9" width="8.7109375" style="2386" customWidth="1"/>
    <col min="10" max="10" width="9.7109375" style="2386" bestFit="1" customWidth="1"/>
    <col min="11" max="20" width="8.7109375" style="2386" customWidth="1"/>
    <col min="21" max="21" width="10.7109375" style="2386" customWidth="1"/>
    <col min="22" max="22" width="3.421875" style="2386" customWidth="1"/>
    <col min="23" max="16384" width="11.421875" style="2386" customWidth="1"/>
  </cols>
  <sheetData>
    <row r="1" spans="21:22" ht="45" customHeight="1">
      <c r="U1" s="2387"/>
      <c r="V1" s="2388"/>
    </row>
    <row r="2" spans="2:22" s="2389" customFormat="1" ht="26.25">
      <c r="B2" s="2390" t="str">
        <f>+'TOT-1214'!B2</f>
        <v>ANEXO I al Memorándum D.T.E.E. N° 90 /2016</v>
      </c>
      <c r="C2" s="2390"/>
      <c r="D2" s="2390"/>
      <c r="E2" s="2390"/>
      <c r="F2" s="2390"/>
      <c r="G2" s="2390"/>
      <c r="H2" s="2390"/>
      <c r="I2" s="2390"/>
      <c r="J2" s="2390"/>
      <c r="K2" s="2390"/>
      <c r="L2" s="2390"/>
      <c r="M2" s="2390"/>
      <c r="N2" s="2390"/>
      <c r="O2" s="2390"/>
      <c r="P2" s="2390"/>
      <c r="Q2" s="2390"/>
      <c r="R2" s="2390"/>
      <c r="S2" s="2390"/>
      <c r="T2" s="2390"/>
      <c r="U2" s="2390"/>
      <c r="V2" s="2391"/>
    </row>
    <row r="3" spans="1:22" s="2394" customFormat="1" ht="11.25">
      <c r="A3" s="2392" t="s">
        <v>2</v>
      </c>
      <c r="B3" s="2393"/>
      <c r="U3" s="2395"/>
      <c r="V3" s="2395"/>
    </row>
    <row r="4" spans="1:22" s="2394" customFormat="1" ht="11.25">
      <c r="A4" s="2392" t="s">
        <v>3</v>
      </c>
      <c r="B4" s="2393"/>
      <c r="U4" s="2393"/>
      <c r="V4" s="2395"/>
    </row>
    <row r="5" spans="21:22" ht="9.75" customHeight="1">
      <c r="U5" s="2396"/>
      <c r="V5" s="2388"/>
    </row>
    <row r="6" spans="2:178" s="2397" customFormat="1" ht="23.25">
      <c r="B6" s="2398" t="s">
        <v>338</v>
      </c>
      <c r="C6" s="2398"/>
      <c r="D6" s="2399"/>
      <c r="E6" s="2398"/>
      <c r="F6" s="2398"/>
      <c r="G6" s="2398"/>
      <c r="H6" s="2398"/>
      <c r="I6" s="2398"/>
      <c r="J6" s="2398"/>
      <c r="K6" s="2398"/>
      <c r="L6" s="2398"/>
      <c r="M6" s="2398"/>
      <c r="N6" s="2398"/>
      <c r="O6" s="2398"/>
      <c r="P6" s="2398"/>
      <c r="Q6" s="2398"/>
      <c r="R6" s="2398"/>
      <c r="S6" s="2398"/>
      <c r="T6" s="2398"/>
      <c r="U6" s="2398"/>
      <c r="V6" s="2400"/>
      <c r="W6" s="2398"/>
      <c r="X6" s="2398"/>
      <c r="Y6" s="2398"/>
      <c r="Z6" s="2398"/>
      <c r="AA6" s="2398"/>
      <c r="AB6" s="2398"/>
      <c r="AC6" s="2398"/>
      <c r="AD6" s="2398"/>
      <c r="AE6" s="2398"/>
      <c r="AF6" s="2398"/>
      <c r="AG6" s="2398"/>
      <c r="AH6" s="2398"/>
      <c r="AI6" s="2398"/>
      <c r="AJ6" s="2398"/>
      <c r="AK6" s="2398"/>
      <c r="AL6" s="2398"/>
      <c r="AM6" s="2398"/>
      <c r="AN6" s="2398"/>
      <c r="AO6" s="2398"/>
      <c r="AP6" s="2398"/>
      <c r="AQ6" s="2398"/>
      <c r="AR6" s="2398"/>
      <c r="AS6" s="2398"/>
      <c r="AT6" s="2398"/>
      <c r="AU6" s="2398"/>
      <c r="AV6" s="2398"/>
      <c r="AW6" s="2398"/>
      <c r="AX6" s="2398"/>
      <c r="AY6" s="2398"/>
      <c r="AZ6" s="2398"/>
      <c r="BA6" s="2398"/>
      <c r="BB6" s="2398"/>
      <c r="BC6" s="2398"/>
      <c r="BD6" s="2398"/>
      <c r="BE6" s="2398"/>
      <c r="BF6" s="2398"/>
      <c r="BG6" s="2398"/>
      <c r="BH6" s="2398"/>
      <c r="BI6" s="2398"/>
      <c r="BJ6" s="2398"/>
      <c r="BK6" s="2398"/>
      <c r="BL6" s="2398"/>
      <c r="BM6" s="2398"/>
      <c r="BN6" s="2398"/>
      <c r="BO6" s="2398"/>
      <c r="BP6" s="2398"/>
      <c r="BQ6" s="2398"/>
      <c r="BR6" s="2398"/>
      <c r="BS6" s="2398"/>
      <c r="BT6" s="2398"/>
      <c r="BU6" s="2398"/>
      <c r="BV6" s="2398"/>
      <c r="BW6" s="2398"/>
      <c r="BX6" s="2398"/>
      <c r="BY6" s="2398"/>
      <c r="BZ6" s="2398"/>
      <c r="CA6" s="2398"/>
      <c r="CB6" s="2398"/>
      <c r="CC6" s="2398"/>
      <c r="CD6" s="2398"/>
      <c r="CE6" s="2398"/>
      <c r="CF6" s="2398"/>
      <c r="CG6" s="2398"/>
      <c r="CH6" s="2398"/>
      <c r="CI6" s="2398"/>
      <c r="CJ6" s="2398"/>
      <c r="CK6" s="2398"/>
      <c r="CL6" s="2398"/>
      <c r="CM6" s="2398"/>
      <c r="CN6" s="2398"/>
      <c r="CO6" s="2398"/>
      <c r="CP6" s="2398"/>
      <c r="CQ6" s="2398"/>
      <c r="CR6" s="2398"/>
      <c r="CS6" s="2398"/>
      <c r="CT6" s="2398"/>
      <c r="CU6" s="2398"/>
      <c r="CV6" s="2398"/>
      <c r="CW6" s="2398"/>
      <c r="CX6" s="2398"/>
      <c r="CY6" s="2398"/>
      <c r="CZ6" s="2398"/>
      <c r="DA6" s="2398"/>
      <c r="DB6" s="2398"/>
      <c r="DC6" s="2398"/>
      <c r="DD6" s="2398"/>
      <c r="DE6" s="2398"/>
      <c r="DF6" s="2398"/>
      <c r="DG6" s="2398"/>
      <c r="DH6" s="2398"/>
      <c r="DI6" s="2398"/>
      <c r="DJ6" s="2398"/>
      <c r="DK6" s="2398"/>
      <c r="DL6" s="2398"/>
      <c r="DM6" s="2398"/>
      <c r="DN6" s="2398"/>
      <c r="DO6" s="2398"/>
      <c r="DP6" s="2398"/>
      <c r="DQ6" s="2398"/>
      <c r="DR6" s="2398"/>
      <c r="DS6" s="2398"/>
      <c r="DT6" s="2398"/>
      <c r="DU6" s="2398"/>
      <c r="DV6" s="2398"/>
      <c r="DW6" s="2398"/>
      <c r="DX6" s="2398"/>
      <c r="DY6" s="2398"/>
      <c r="DZ6" s="2398"/>
      <c r="EA6" s="2398"/>
      <c r="EB6" s="2398"/>
      <c r="EC6" s="2398"/>
      <c r="ED6" s="2398"/>
      <c r="EE6" s="2398"/>
      <c r="EF6" s="2398"/>
      <c r="EG6" s="2398"/>
      <c r="EH6" s="2398"/>
      <c r="EI6" s="2398"/>
      <c r="EJ6" s="2398"/>
      <c r="EK6" s="2398"/>
      <c r="EL6" s="2398"/>
      <c r="EM6" s="2398"/>
      <c r="EN6" s="2398"/>
      <c r="EO6" s="2398"/>
      <c r="EP6" s="2398"/>
      <c r="EQ6" s="2398"/>
      <c r="ER6" s="2398"/>
      <c r="ES6" s="2398"/>
      <c r="ET6" s="2398"/>
      <c r="EU6" s="2398"/>
      <c r="EV6" s="2398"/>
      <c r="EW6" s="2398"/>
      <c r="EX6" s="2398"/>
      <c r="EY6" s="2398"/>
      <c r="EZ6" s="2398"/>
      <c r="FA6" s="2398"/>
      <c r="FB6" s="2398"/>
      <c r="FC6" s="2398"/>
      <c r="FD6" s="2398"/>
      <c r="FE6" s="2398"/>
      <c r="FF6" s="2398"/>
      <c r="FG6" s="2398"/>
      <c r="FH6" s="2398"/>
      <c r="FI6" s="2398"/>
      <c r="FJ6" s="2398"/>
      <c r="FK6" s="2398"/>
      <c r="FL6" s="2398"/>
      <c r="FM6" s="2398"/>
      <c r="FN6" s="2398"/>
      <c r="FO6" s="2398"/>
      <c r="FP6" s="2398"/>
      <c r="FQ6" s="2398"/>
      <c r="FR6" s="2398"/>
      <c r="FS6" s="2398"/>
      <c r="FT6" s="2398"/>
      <c r="FU6" s="2398"/>
      <c r="FV6" s="2398"/>
    </row>
    <row r="7" spans="2:178" s="2401" customFormat="1" ht="9.75" customHeight="1">
      <c r="B7" s="2402"/>
      <c r="C7" s="2402"/>
      <c r="D7" s="2402"/>
      <c r="E7" s="2402"/>
      <c r="F7" s="2402"/>
      <c r="G7" s="2402"/>
      <c r="H7" s="2402"/>
      <c r="I7" s="2402"/>
      <c r="J7" s="2402"/>
      <c r="K7" s="2402"/>
      <c r="L7" s="2402"/>
      <c r="M7" s="2402"/>
      <c r="N7" s="2402"/>
      <c r="O7" s="2402"/>
      <c r="P7" s="2402"/>
      <c r="Q7" s="2402"/>
      <c r="R7" s="2402"/>
      <c r="S7" s="2402"/>
      <c r="T7" s="2402"/>
      <c r="U7" s="2403"/>
      <c r="V7" s="2403"/>
      <c r="W7" s="2402"/>
      <c r="X7" s="2402"/>
      <c r="Y7" s="2402"/>
      <c r="Z7" s="2402"/>
      <c r="AA7" s="2402"/>
      <c r="AB7" s="2402"/>
      <c r="AC7" s="2402"/>
      <c r="AD7" s="2402"/>
      <c r="AE7" s="2402"/>
      <c r="AF7" s="2402"/>
      <c r="AG7" s="2402"/>
      <c r="AH7" s="2402"/>
      <c r="AI7" s="2402"/>
      <c r="AJ7" s="2402"/>
      <c r="AK7" s="2402"/>
      <c r="AL7" s="2402"/>
      <c r="AM7" s="2402"/>
      <c r="AN7" s="2402"/>
      <c r="AO7" s="2402"/>
      <c r="AP7" s="2402"/>
      <c r="AQ7" s="2402"/>
      <c r="AR7" s="2402"/>
      <c r="AS7" s="2402"/>
      <c r="AT7" s="2402"/>
      <c r="AU7" s="2402"/>
      <c r="AV7" s="2402"/>
      <c r="AW7" s="2402"/>
      <c r="AX7" s="2402"/>
      <c r="AY7" s="2402"/>
      <c r="AZ7" s="2402"/>
      <c r="BA7" s="2402"/>
      <c r="BB7" s="2402"/>
      <c r="BC7" s="2402"/>
      <c r="BD7" s="2402"/>
      <c r="BE7" s="2402"/>
      <c r="BF7" s="2402"/>
      <c r="BG7" s="2402"/>
      <c r="BH7" s="2402"/>
      <c r="BI7" s="2402"/>
      <c r="BJ7" s="2402"/>
      <c r="BK7" s="2402"/>
      <c r="BL7" s="2402"/>
      <c r="BM7" s="2402"/>
      <c r="BN7" s="2402"/>
      <c r="BO7" s="2402"/>
      <c r="BP7" s="2402"/>
      <c r="BQ7" s="2402"/>
      <c r="BR7" s="2402"/>
      <c r="BS7" s="2402"/>
      <c r="BT7" s="2402"/>
      <c r="BU7" s="2402"/>
      <c r="BV7" s="2402"/>
      <c r="BW7" s="2402"/>
      <c r="BX7" s="2402"/>
      <c r="BY7" s="2402"/>
      <c r="BZ7" s="2402"/>
      <c r="CA7" s="2402"/>
      <c r="CB7" s="2402"/>
      <c r="CC7" s="2402"/>
      <c r="CD7" s="2402"/>
      <c r="CE7" s="2402"/>
      <c r="CF7" s="2402"/>
      <c r="CG7" s="2402"/>
      <c r="CH7" s="2402"/>
      <c r="CI7" s="2402"/>
      <c r="CJ7" s="2402"/>
      <c r="CK7" s="2402"/>
      <c r="CL7" s="2402"/>
      <c r="CM7" s="2402"/>
      <c r="CN7" s="2402"/>
      <c r="CO7" s="2402"/>
      <c r="CP7" s="2402"/>
      <c r="CQ7" s="2402"/>
      <c r="CR7" s="2402"/>
      <c r="CS7" s="2402"/>
      <c r="CT7" s="2402"/>
      <c r="CU7" s="2402"/>
      <c r="CV7" s="2402"/>
      <c r="CW7" s="2402"/>
      <c r="CX7" s="2402"/>
      <c r="CY7" s="2402"/>
      <c r="CZ7" s="2402"/>
      <c r="DA7" s="2402"/>
      <c r="DB7" s="2402"/>
      <c r="DC7" s="2402"/>
      <c r="DD7" s="2402"/>
      <c r="DE7" s="2402"/>
      <c r="DF7" s="2402"/>
      <c r="DG7" s="2402"/>
      <c r="DH7" s="2402"/>
      <c r="DI7" s="2402"/>
      <c r="DJ7" s="2402"/>
      <c r="DK7" s="2402"/>
      <c r="DL7" s="2402"/>
      <c r="DM7" s="2402"/>
      <c r="DN7" s="2402"/>
      <c r="DO7" s="2402"/>
      <c r="DP7" s="2402"/>
      <c r="DQ7" s="2402"/>
      <c r="DR7" s="2402"/>
      <c r="DS7" s="2402"/>
      <c r="DT7" s="2402"/>
      <c r="DU7" s="2402"/>
      <c r="DV7" s="2402"/>
      <c r="DW7" s="2402"/>
      <c r="DX7" s="2402"/>
      <c r="DY7" s="2402"/>
      <c r="DZ7" s="2402"/>
      <c r="EA7" s="2402"/>
      <c r="EB7" s="2402"/>
      <c r="EC7" s="2402"/>
      <c r="ED7" s="2402"/>
      <c r="EE7" s="2402"/>
      <c r="EF7" s="2402"/>
      <c r="EG7" s="2402"/>
      <c r="EH7" s="2402"/>
      <c r="EI7" s="2402"/>
      <c r="EJ7" s="2402"/>
      <c r="EK7" s="2402"/>
      <c r="EL7" s="2402"/>
      <c r="EM7" s="2402"/>
      <c r="EN7" s="2402"/>
      <c r="EO7" s="2402"/>
      <c r="EP7" s="2402"/>
      <c r="EQ7" s="2402"/>
      <c r="ER7" s="2402"/>
      <c r="ES7" s="2402"/>
      <c r="ET7" s="2402"/>
      <c r="EU7" s="2402"/>
      <c r="EV7" s="2402"/>
      <c r="EW7" s="2402"/>
      <c r="EX7" s="2402"/>
      <c r="EY7" s="2402"/>
      <c r="EZ7" s="2402"/>
      <c r="FA7" s="2402"/>
      <c r="FB7" s="2402"/>
      <c r="FC7" s="2402"/>
      <c r="FD7" s="2402"/>
      <c r="FE7" s="2402"/>
      <c r="FF7" s="2402"/>
      <c r="FG7" s="2402"/>
      <c r="FH7" s="2402"/>
      <c r="FI7" s="2402"/>
      <c r="FJ7" s="2402"/>
      <c r="FK7" s="2402"/>
      <c r="FL7" s="2402"/>
      <c r="FM7" s="2402"/>
      <c r="FN7" s="2402"/>
      <c r="FO7" s="2402"/>
      <c r="FP7" s="2402"/>
      <c r="FQ7" s="2402"/>
      <c r="FR7" s="2402"/>
      <c r="FS7" s="2402"/>
      <c r="FT7" s="2402"/>
      <c r="FU7" s="2402"/>
      <c r="FV7" s="2402"/>
    </row>
    <row r="8" spans="2:178" s="2404" customFormat="1" ht="23.25">
      <c r="B8" s="2398" t="s">
        <v>1</v>
      </c>
      <c r="C8" s="2399"/>
      <c r="D8" s="2399"/>
      <c r="E8" s="2399"/>
      <c r="F8" s="2399"/>
      <c r="G8" s="2399"/>
      <c r="H8" s="2399"/>
      <c r="I8" s="2399"/>
      <c r="J8" s="2399"/>
      <c r="K8" s="2399"/>
      <c r="L8" s="2399"/>
      <c r="M8" s="2399"/>
      <c r="N8" s="2399"/>
      <c r="O8" s="2399"/>
      <c r="P8" s="2399"/>
      <c r="Q8" s="2399"/>
      <c r="R8" s="2399"/>
      <c r="S8" s="2399"/>
      <c r="T8" s="2399"/>
      <c r="U8" s="2399"/>
      <c r="V8" s="2405"/>
      <c r="W8" s="2399"/>
      <c r="X8" s="2399"/>
      <c r="Y8" s="2399"/>
      <c r="Z8" s="2399"/>
      <c r="AA8" s="2399"/>
      <c r="AB8" s="2399"/>
      <c r="AC8" s="2399"/>
      <c r="AD8" s="2399"/>
      <c r="AE8" s="2399"/>
      <c r="AF8" s="2399"/>
      <c r="AG8" s="2399"/>
      <c r="AH8" s="2399"/>
      <c r="AI8" s="2399"/>
      <c r="AJ8" s="2399"/>
      <c r="AK8" s="2399"/>
      <c r="AL8" s="2399"/>
      <c r="AM8" s="2399"/>
      <c r="AN8" s="2399"/>
      <c r="AO8" s="2399"/>
      <c r="AP8" s="2399"/>
      <c r="AQ8" s="2399"/>
      <c r="AR8" s="2399"/>
      <c r="AS8" s="2399"/>
      <c r="AT8" s="2399"/>
      <c r="AU8" s="2399"/>
      <c r="AV8" s="2399"/>
      <c r="AW8" s="2399"/>
      <c r="AX8" s="2399"/>
      <c r="AY8" s="2399"/>
      <c r="AZ8" s="2399"/>
      <c r="BA8" s="2399"/>
      <c r="BB8" s="2399"/>
      <c r="BC8" s="2399"/>
      <c r="BD8" s="2399"/>
      <c r="BE8" s="2399"/>
      <c r="BF8" s="2399"/>
      <c r="BG8" s="2399"/>
      <c r="BH8" s="2399"/>
      <c r="BI8" s="2399"/>
      <c r="BJ8" s="2399"/>
      <c r="BK8" s="2399"/>
      <c r="BL8" s="2399"/>
      <c r="BM8" s="2399"/>
      <c r="BN8" s="2399"/>
      <c r="BO8" s="2399"/>
      <c r="BP8" s="2399"/>
      <c r="BQ8" s="2399"/>
      <c r="BR8" s="2399"/>
      <c r="BS8" s="2399"/>
      <c r="BT8" s="2399"/>
      <c r="BU8" s="2399"/>
      <c r="BV8" s="2399"/>
      <c r="BW8" s="2399"/>
      <c r="BX8" s="2399"/>
      <c r="BY8" s="2399"/>
      <c r="BZ8" s="2399"/>
      <c r="CA8" s="2399"/>
      <c r="CB8" s="2399"/>
      <c r="CC8" s="2399"/>
      <c r="CD8" s="2399"/>
      <c r="CE8" s="2399"/>
      <c r="CF8" s="2399"/>
      <c r="CG8" s="2399"/>
      <c r="CH8" s="2399"/>
      <c r="CI8" s="2399"/>
      <c r="CJ8" s="2399"/>
      <c r="CK8" s="2399"/>
      <c r="CL8" s="2399"/>
      <c r="CM8" s="2399"/>
      <c r="CN8" s="2399"/>
      <c r="CO8" s="2399"/>
      <c r="CP8" s="2399"/>
      <c r="CQ8" s="2399"/>
      <c r="CR8" s="2399"/>
      <c r="CS8" s="2399"/>
      <c r="CT8" s="2399"/>
      <c r="CU8" s="2399"/>
      <c r="CV8" s="2399"/>
      <c r="CW8" s="2399"/>
      <c r="CX8" s="2399"/>
      <c r="CY8" s="2399"/>
      <c r="CZ8" s="2399"/>
      <c r="DA8" s="2399"/>
      <c r="DB8" s="2399"/>
      <c r="DC8" s="2399"/>
      <c r="DD8" s="2399"/>
      <c r="DE8" s="2399"/>
      <c r="DF8" s="2399"/>
      <c r="DG8" s="2399"/>
      <c r="DH8" s="2399"/>
      <c r="DI8" s="2399"/>
      <c r="DJ8" s="2399"/>
      <c r="DK8" s="2399"/>
      <c r="DL8" s="2399"/>
      <c r="DM8" s="2399"/>
      <c r="DN8" s="2399"/>
      <c r="DO8" s="2399"/>
      <c r="DP8" s="2399"/>
      <c r="DQ8" s="2399"/>
      <c r="DR8" s="2399"/>
      <c r="DS8" s="2399"/>
      <c r="DT8" s="2399"/>
      <c r="DU8" s="2399"/>
      <c r="DV8" s="2399"/>
      <c r="DW8" s="2399"/>
      <c r="DX8" s="2399"/>
      <c r="DY8" s="2399"/>
      <c r="DZ8" s="2399"/>
      <c r="EA8" s="2399"/>
      <c r="EB8" s="2399"/>
      <c r="EC8" s="2399"/>
      <c r="ED8" s="2399"/>
      <c r="EE8" s="2399"/>
      <c r="EF8" s="2399"/>
      <c r="EG8" s="2399"/>
      <c r="EH8" s="2399"/>
      <c r="EI8" s="2399"/>
      <c r="EJ8" s="2399"/>
      <c r="EK8" s="2399"/>
      <c r="EL8" s="2399"/>
      <c r="EM8" s="2399"/>
      <c r="EN8" s="2399"/>
      <c r="EO8" s="2399"/>
      <c r="EP8" s="2399"/>
      <c r="EQ8" s="2399"/>
      <c r="ER8" s="2399"/>
      <c r="ES8" s="2399"/>
      <c r="ET8" s="2399"/>
      <c r="EU8" s="2399"/>
      <c r="EV8" s="2399"/>
      <c r="EW8" s="2399"/>
      <c r="EX8" s="2399"/>
      <c r="EY8" s="2399"/>
      <c r="EZ8" s="2399"/>
      <c r="FA8" s="2399"/>
      <c r="FB8" s="2399"/>
      <c r="FC8" s="2399"/>
      <c r="FD8" s="2399"/>
      <c r="FE8" s="2399"/>
      <c r="FF8" s="2399"/>
      <c r="FG8" s="2399"/>
      <c r="FH8" s="2399"/>
      <c r="FI8" s="2399"/>
      <c r="FJ8" s="2399"/>
      <c r="FK8" s="2399"/>
      <c r="FL8" s="2399"/>
      <c r="FM8" s="2399"/>
      <c r="FN8" s="2399"/>
      <c r="FO8" s="2399"/>
      <c r="FP8" s="2399"/>
      <c r="FQ8" s="2399"/>
      <c r="FR8" s="2399"/>
      <c r="FS8" s="2399"/>
      <c r="FT8" s="2399"/>
      <c r="FU8" s="2399"/>
      <c r="FV8" s="2399"/>
    </row>
    <row r="9" spans="2:178" s="2401" customFormat="1" ht="9.75" customHeight="1">
      <c r="B9" s="2402"/>
      <c r="C9" s="2402"/>
      <c r="D9" s="2402"/>
      <c r="E9" s="2402"/>
      <c r="F9" s="2402"/>
      <c r="G9" s="2402"/>
      <c r="H9" s="2402"/>
      <c r="I9" s="2402"/>
      <c r="J9" s="2402"/>
      <c r="K9" s="2402"/>
      <c r="L9" s="2402"/>
      <c r="M9" s="2402"/>
      <c r="N9" s="2402"/>
      <c r="O9" s="2402"/>
      <c r="P9" s="2402"/>
      <c r="Q9" s="2402"/>
      <c r="R9" s="2402"/>
      <c r="S9" s="2402"/>
      <c r="T9" s="2402"/>
      <c r="U9" s="2403"/>
      <c r="V9" s="2403"/>
      <c r="W9" s="2402"/>
      <c r="X9" s="2402"/>
      <c r="Y9" s="2402"/>
      <c r="Z9" s="2402"/>
      <c r="AA9" s="2402"/>
      <c r="AB9" s="2402"/>
      <c r="AC9" s="2402"/>
      <c r="AD9" s="2402"/>
      <c r="AE9" s="2402"/>
      <c r="AF9" s="2402"/>
      <c r="AG9" s="2402"/>
      <c r="AH9" s="2402"/>
      <c r="AI9" s="2402"/>
      <c r="AJ9" s="2402"/>
      <c r="AK9" s="2402"/>
      <c r="AL9" s="2402"/>
      <c r="AM9" s="2402"/>
      <c r="AN9" s="2402"/>
      <c r="AO9" s="2402"/>
      <c r="AP9" s="2402"/>
      <c r="AQ9" s="2402"/>
      <c r="AR9" s="2402"/>
      <c r="AS9" s="2402"/>
      <c r="AT9" s="2402"/>
      <c r="AU9" s="2402"/>
      <c r="AV9" s="2402"/>
      <c r="AW9" s="2402"/>
      <c r="AX9" s="2402"/>
      <c r="AY9" s="2402"/>
      <c r="AZ9" s="2402"/>
      <c r="BA9" s="2402"/>
      <c r="BB9" s="2402"/>
      <c r="BC9" s="2402"/>
      <c r="BD9" s="2402"/>
      <c r="BE9" s="2402"/>
      <c r="BF9" s="2402"/>
      <c r="BG9" s="2402"/>
      <c r="BH9" s="2402"/>
      <c r="BI9" s="2402"/>
      <c r="BJ9" s="2402"/>
      <c r="BK9" s="2402"/>
      <c r="BL9" s="2402"/>
      <c r="BM9" s="2402"/>
      <c r="BN9" s="2402"/>
      <c r="BO9" s="2402"/>
      <c r="BP9" s="2402"/>
      <c r="BQ9" s="2402"/>
      <c r="BR9" s="2402"/>
      <c r="BS9" s="2402"/>
      <c r="BT9" s="2402"/>
      <c r="BU9" s="2402"/>
      <c r="BV9" s="2402"/>
      <c r="BW9" s="2402"/>
      <c r="BX9" s="2402"/>
      <c r="BY9" s="2402"/>
      <c r="BZ9" s="2402"/>
      <c r="CA9" s="2402"/>
      <c r="CB9" s="2402"/>
      <c r="CC9" s="2402"/>
      <c r="CD9" s="2402"/>
      <c r="CE9" s="2402"/>
      <c r="CF9" s="2402"/>
      <c r="CG9" s="2402"/>
      <c r="CH9" s="2402"/>
      <c r="CI9" s="2402"/>
      <c r="CJ9" s="2402"/>
      <c r="CK9" s="2402"/>
      <c r="CL9" s="2402"/>
      <c r="CM9" s="2402"/>
      <c r="CN9" s="2402"/>
      <c r="CO9" s="2402"/>
      <c r="CP9" s="2402"/>
      <c r="CQ9" s="2402"/>
      <c r="CR9" s="2402"/>
      <c r="CS9" s="2402"/>
      <c r="CT9" s="2402"/>
      <c r="CU9" s="2402"/>
      <c r="CV9" s="2402"/>
      <c r="CW9" s="2402"/>
      <c r="CX9" s="2402"/>
      <c r="CY9" s="2402"/>
      <c r="CZ9" s="2402"/>
      <c r="DA9" s="2402"/>
      <c r="DB9" s="2402"/>
      <c r="DC9" s="2402"/>
      <c r="DD9" s="2402"/>
      <c r="DE9" s="2402"/>
      <c r="DF9" s="2402"/>
      <c r="DG9" s="2402"/>
      <c r="DH9" s="2402"/>
      <c r="DI9" s="2402"/>
      <c r="DJ9" s="2402"/>
      <c r="DK9" s="2402"/>
      <c r="DL9" s="2402"/>
      <c r="DM9" s="2402"/>
      <c r="DN9" s="2402"/>
      <c r="DO9" s="2402"/>
      <c r="DP9" s="2402"/>
      <c r="DQ9" s="2402"/>
      <c r="DR9" s="2402"/>
      <c r="DS9" s="2402"/>
      <c r="DT9" s="2402"/>
      <c r="DU9" s="2402"/>
      <c r="DV9" s="2402"/>
      <c r="DW9" s="2402"/>
      <c r="DX9" s="2402"/>
      <c r="DY9" s="2402"/>
      <c r="DZ9" s="2402"/>
      <c r="EA9" s="2402"/>
      <c r="EB9" s="2402"/>
      <c r="EC9" s="2402"/>
      <c r="ED9" s="2402"/>
      <c r="EE9" s="2402"/>
      <c r="EF9" s="2402"/>
      <c r="EG9" s="2402"/>
      <c r="EH9" s="2402"/>
      <c r="EI9" s="2402"/>
      <c r="EJ9" s="2402"/>
      <c r="EK9" s="2402"/>
      <c r="EL9" s="2402"/>
      <c r="EM9" s="2402"/>
      <c r="EN9" s="2402"/>
      <c r="EO9" s="2402"/>
      <c r="EP9" s="2402"/>
      <c r="EQ9" s="2402"/>
      <c r="ER9" s="2402"/>
      <c r="ES9" s="2402"/>
      <c r="ET9" s="2402"/>
      <c r="EU9" s="2402"/>
      <c r="EV9" s="2402"/>
      <c r="EW9" s="2402"/>
      <c r="EX9" s="2402"/>
      <c r="EY9" s="2402"/>
      <c r="EZ9" s="2402"/>
      <c r="FA9" s="2402"/>
      <c r="FB9" s="2402"/>
      <c r="FC9" s="2402"/>
      <c r="FD9" s="2402"/>
      <c r="FE9" s="2402"/>
      <c r="FF9" s="2402"/>
      <c r="FG9" s="2402"/>
      <c r="FH9" s="2402"/>
      <c r="FI9" s="2402"/>
      <c r="FJ9" s="2402"/>
      <c r="FK9" s="2402"/>
      <c r="FL9" s="2402"/>
      <c r="FM9" s="2402"/>
      <c r="FN9" s="2402"/>
      <c r="FO9" s="2402"/>
      <c r="FP9" s="2402"/>
      <c r="FQ9" s="2402"/>
      <c r="FR9" s="2402"/>
      <c r="FS9" s="2402"/>
      <c r="FT9" s="2402"/>
      <c r="FU9" s="2402"/>
      <c r="FV9" s="2402"/>
    </row>
    <row r="10" spans="2:178" s="2404" customFormat="1" ht="23.25">
      <c r="B10" s="2398" t="s">
        <v>339</v>
      </c>
      <c r="C10" s="2399"/>
      <c r="D10" s="2399"/>
      <c r="E10" s="2399"/>
      <c r="F10" s="2399"/>
      <c r="G10" s="2399"/>
      <c r="H10" s="2399"/>
      <c r="I10" s="2399"/>
      <c r="J10" s="2399"/>
      <c r="K10" s="2399"/>
      <c r="L10" s="2399"/>
      <c r="M10" s="2399"/>
      <c r="N10" s="2399"/>
      <c r="O10" s="2399"/>
      <c r="P10" s="2399"/>
      <c r="Q10" s="2399"/>
      <c r="R10" s="2399"/>
      <c r="S10" s="2399"/>
      <c r="T10" s="2399"/>
      <c r="U10" s="2399"/>
      <c r="V10" s="2405"/>
      <c r="W10" s="2399"/>
      <c r="X10" s="2399"/>
      <c r="Y10" s="2399"/>
      <c r="Z10" s="2399"/>
      <c r="AA10" s="2399"/>
      <c r="AB10" s="2399"/>
      <c r="AC10" s="2399"/>
      <c r="AD10" s="2399"/>
      <c r="AE10" s="2399"/>
      <c r="AF10" s="2399"/>
      <c r="AG10" s="2399"/>
      <c r="AH10" s="2399"/>
      <c r="AI10" s="2399"/>
      <c r="AJ10" s="2399"/>
      <c r="AK10" s="2399"/>
      <c r="AL10" s="2399"/>
      <c r="AM10" s="2399"/>
      <c r="AN10" s="2399"/>
      <c r="AO10" s="2399"/>
      <c r="AP10" s="2399"/>
      <c r="AQ10" s="2399"/>
      <c r="AR10" s="2399"/>
      <c r="AS10" s="2399"/>
      <c r="AT10" s="2399"/>
      <c r="AU10" s="2399"/>
      <c r="AV10" s="2399"/>
      <c r="AW10" s="2399"/>
      <c r="AX10" s="2399"/>
      <c r="AY10" s="2399"/>
      <c r="AZ10" s="2399"/>
      <c r="BA10" s="2399"/>
      <c r="BB10" s="2399"/>
      <c r="BC10" s="2399"/>
      <c r="BD10" s="2399"/>
      <c r="BE10" s="2399"/>
      <c r="BF10" s="2399"/>
      <c r="BG10" s="2399"/>
      <c r="BH10" s="2399"/>
      <c r="BI10" s="2399"/>
      <c r="BJ10" s="2399"/>
      <c r="BK10" s="2399"/>
      <c r="BL10" s="2399"/>
      <c r="BM10" s="2399"/>
      <c r="BN10" s="2399"/>
      <c r="BO10" s="2399"/>
      <c r="BP10" s="2399"/>
      <c r="BQ10" s="2399"/>
      <c r="BR10" s="2399"/>
      <c r="BS10" s="2399"/>
      <c r="BT10" s="2399"/>
      <c r="BU10" s="2399"/>
      <c r="BV10" s="2399"/>
      <c r="BW10" s="2399"/>
      <c r="BX10" s="2399"/>
      <c r="BY10" s="2399"/>
      <c r="BZ10" s="2399"/>
      <c r="CA10" s="2399"/>
      <c r="CB10" s="2399"/>
      <c r="CC10" s="2399"/>
      <c r="CD10" s="2399"/>
      <c r="CE10" s="2399"/>
      <c r="CF10" s="2399"/>
      <c r="CG10" s="2399"/>
      <c r="CH10" s="2399"/>
      <c r="CI10" s="2399"/>
      <c r="CJ10" s="2399"/>
      <c r="CK10" s="2399"/>
      <c r="CL10" s="2399"/>
      <c r="CM10" s="2399"/>
      <c r="CN10" s="2399"/>
      <c r="CO10" s="2399"/>
      <c r="CP10" s="2399"/>
      <c r="CQ10" s="2399"/>
      <c r="CR10" s="2399"/>
      <c r="CS10" s="2399"/>
      <c r="CT10" s="2399"/>
      <c r="CU10" s="2399"/>
      <c r="CV10" s="2399"/>
      <c r="CW10" s="2399"/>
      <c r="CX10" s="2399"/>
      <c r="CY10" s="2399"/>
      <c r="CZ10" s="2399"/>
      <c r="DA10" s="2399"/>
      <c r="DB10" s="2399"/>
      <c r="DC10" s="2399"/>
      <c r="DD10" s="2399"/>
      <c r="DE10" s="2399"/>
      <c r="DF10" s="2399"/>
      <c r="DG10" s="2399"/>
      <c r="DH10" s="2399"/>
      <c r="DI10" s="2399"/>
      <c r="DJ10" s="2399"/>
      <c r="DK10" s="2399"/>
      <c r="DL10" s="2399"/>
      <c r="DM10" s="2399"/>
      <c r="DN10" s="2399"/>
      <c r="DO10" s="2399"/>
      <c r="DP10" s="2399"/>
      <c r="DQ10" s="2399"/>
      <c r="DR10" s="2399"/>
      <c r="DS10" s="2399"/>
      <c r="DT10" s="2399"/>
      <c r="DU10" s="2399"/>
      <c r="DV10" s="2399"/>
      <c r="DW10" s="2399"/>
      <c r="DX10" s="2399"/>
      <c r="DY10" s="2399"/>
      <c r="DZ10" s="2399"/>
      <c r="EA10" s="2399"/>
      <c r="EB10" s="2399"/>
      <c r="EC10" s="2399"/>
      <c r="ED10" s="2399"/>
      <c r="EE10" s="2399"/>
      <c r="EF10" s="2399"/>
      <c r="EG10" s="2399"/>
      <c r="EH10" s="2399"/>
      <c r="EI10" s="2399"/>
      <c r="EJ10" s="2399"/>
      <c r="EK10" s="2399"/>
      <c r="EL10" s="2399"/>
      <c r="EM10" s="2399"/>
      <c r="EN10" s="2399"/>
      <c r="EO10" s="2399"/>
      <c r="EP10" s="2399"/>
      <c r="EQ10" s="2399"/>
      <c r="ER10" s="2399"/>
      <c r="ES10" s="2399"/>
      <c r="ET10" s="2399"/>
      <c r="EU10" s="2399"/>
      <c r="EV10" s="2399"/>
      <c r="EW10" s="2399"/>
      <c r="EX10" s="2399"/>
      <c r="EY10" s="2399"/>
      <c r="EZ10" s="2399"/>
      <c r="FA10" s="2399"/>
      <c r="FB10" s="2399"/>
      <c r="FC10" s="2399"/>
      <c r="FD10" s="2399"/>
      <c r="FE10" s="2399"/>
      <c r="FF10" s="2399"/>
      <c r="FG10" s="2399"/>
      <c r="FH10" s="2399"/>
      <c r="FI10" s="2399"/>
      <c r="FJ10" s="2399"/>
      <c r="FK10" s="2399"/>
      <c r="FL10" s="2399"/>
      <c r="FM10" s="2399"/>
      <c r="FN10" s="2399"/>
      <c r="FO10" s="2399"/>
      <c r="FP10" s="2399"/>
      <c r="FQ10" s="2399"/>
      <c r="FR10" s="2399"/>
      <c r="FS10" s="2399"/>
      <c r="FT10" s="2399"/>
      <c r="FU10" s="2399"/>
      <c r="FV10" s="2399"/>
    </row>
    <row r="11" spans="2:178" s="2401" customFormat="1" ht="9.75" customHeight="1" thickBot="1">
      <c r="B11" s="2402"/>
      <c r="C11" s="2402"/>
      <c r="D11" s="2402"/>
      <c r="E11" s="2402"/>
      <c r="F11" s="2402"/>
      <c r="G11" s="2402"/>
      <c r="H11" s="2402"/>
      <c r="I11" s="2402"/>
      <c r="J11" s="2402"/>
      <c r="K11" s="2402"/>
      <c r="L11" s="2402"/>
      <c r="M11" s="2402"/>
      <c r="N11" s="2402"/>
      <c r="O11" s="2402"/>
      <c r="P11" s="2402"/>
      <c r="Q11" s="2402"/>
      <c r="R11" s="2402"/>
      <c r="S11" s="2402"/>
      <c r="T11" s="2402"/>
      <c r="U11" s="2403"/>
      <c r="V11" s="2403"/>
      <c r="W11" s="2402"/>
      <c r="X11" s="2402"/>
      <c r="Y11" s="2402"/>
      <c r="Z11" s="2402"/>
      <c r="AA11" s="2402"/>
      <c r="AB11" s="2402"/>
      <c r="AC11" s="2402"/>
      <c r="AD11" s="2402"/>
      <c r="AE11" s="2402"/>
      <c r="AF11" s="2402"/>
      <c r="AG11" s="2402"/>
      <c r="AH11" s="2402"/>
      <c r="AI11" s="2402"/>
      <c r="AJ11" s="2402"/>
      <c r="AK11" s="2402"/>
      <c r="AL11" s="2402"/>
      <c r="AM11" s="2402"/>
      <c r="AN11" s="2402"/>
      <c r="AO11" s="2402"/>
      <c r="AP11" s="2402"/>
      <c r="AQ11" s="2402"/>
      <c r="AR11" s="2402"/>
      <c r="AS11" s="2402"/>
      <c r="AT11" s="2402"/>
      <c r="AU11" s="2402"/>
      <c r="AV11" s="2402"/>
      <c r="AW11" s="2402"/>
      <c r="AX11" s="2402"/>
      <c r="AY11" s="2402"/>
      <c r="AZ11" s="2402"/>
      <c r="BA11" s="2402"/>
      <c r="BB11" s="2402"/>
      <c r="BC11" s="2402"/>
      <c r="BD11" s="2402"/>
      <c r="BE11" s="2402"/>
      <c r="BF11" s="2402"/>
      <c r="BG11" s="2402"/>
      <c r="BH11" s="2402"/>
      <c r="BI11" s="2402"/>
      <c r="BJ11" s="2402"/>
      <c r="BK11" s="2402"/>
      <c r="BL11" s="2402"/>
      <c r="BM11" s="2402"/>
      <c r="BN11" s="2402"/>
      <c r="BO11" s="2402"/>
      <c r="BP11" s="2402"/>
      <c r="BQ11" s="2402"/>
      <c r="BR11" s="2402"/>
      <c r="BS11" s="2402"/>
      <c r="BT11" s="2402"/>
      <c r="BU11" s="2402"/>
      <c r="BV11" s="2402"/>
      <c r="BW11" s="2402"/>
      <c r="BX11" s="2402"/>
      <c r="BY11" s="2402"/>
      <c r="BZ11" s="2402"/>
      <c r="CA11" s="2402"/>
      <c r="CB11" s="2402"/>
      <c r="CC11" s="2402"/>
      <c r="CD11" s="2402"/>
      <c r="CE11" s="2402"/>
      <c r="CF11" s="2402"/>
      <c r="CG11" s="2402"/>
      <c r="CH11" s="2402"/>
      <c r="CI11" s="2402"/>
      <c r="CJ11" s="2402"/>
      <c r="CK11" s="2402"/>
      <c r="CL11" s="2402"/>
      <c r="CM11" s="2402"/>
      <c r="CN11" s="2402"/>
      <c r="CO11" s="2402"/>
      <c r="CP11" s="2402"/>
      <c r="CQ11" s="2402"/>
      <c r="CR11" s="2402"/>
      <c r="CS11" s="2402"/>
      <c r="CT11" s="2402"/>
      <c r="CU11" s="2402"/>
      <c r="CV11" s="2402"/>
      <c r="CW11" s="2402"/>
      <c r="CX11" s="2402"/>
      <c r="CY11" s="2402"/>
      <c r="CZ11" s="2402"/>
      <c r="DA11" s="2402"/>
      <c r="DB11" s="2402"/>
      <c r="DC11" s="2402"/>
      <c r="DD11" s="2402"/>
      <c r="DE11" s="2402"/>
      <c r="DF11" s="2402"/>
      <c r="DG11" s="2402"/>
      <c r="DH11" s="2402"/>
      <c r="DI11" s="2402"/>
      <c r="DJ11" s="2402"/>
      <c r="DK11" s="2402"/>
      <c r="DL11" s="2402"/>
      <c r="DM11" s="2402"/>
      <c r="DN11" s="2402"/>
      <c r="DO11" s="2402"/>
      <c r="DP11" s="2402"/>
      <c r="DQ11" s="2402"/>
      <c r="DR11" s="2402"/>
      <c r="DS11" s="2402"/>
      <c r="DT11" s="2402"/>
      <c r="DU11" s="2402"/>
      <c r="DV11" s="2402"/>
      <c r="DW11" s="2402"/>
      <c r="DX11" s="2402"/>
      <c r="DY11" s="2402"/>
      <c r="DZ11" s="2402"/>
      <c r="EA11" s="2402"/>
      <c r="EB11" s="2402"/>
      <c r="EC11" s="2402"/>
      <c r="ED11" s="2402"/>
      <c r="EE11" s="2402"/>
      <c r="EF11" s="2402"/>
      <c r="EG11" s="2402"/>
      <c r="EH11" s="2402"/>
      <c r="EI11" s="2402"/>
      <c r="EJ11" s="2402"/>
      <c r="EK11" s="2402"/>
      <c r="EL11" s="2402"/>
      <c r="EM11" s="2402"/>
      <c r="EN11" s="2402"/>
      <c r="EO11" s="2402"/>
      <c r="EP11" s="2402"/>
      <c r="EQ11" s="2402"/>
      <c r="ER11" s="2402"/>
      <c r="ES11" s="2402"/>
      <c r="ET11" s="2402"/>
      <c r="EU11" s="2402"/>
      <c r="EV11" s="2402"/>
      <c r="EW11" s="2402"/>
      <c r="EX11" s="2402"/>
      <c r="EY11" s="2402"/>
      <c r="EZ11" s="2402"/>
      <c r="FA11" s="2402"/>
      <c r="FB11" s="2402"/>
      <c r="FC11" s="2402"/>
      <c r="FD11" s="2402"/>
      <c r="FE11" s="2402"/>
      <c r="FF11" s="2402"/>
      <c r="FG11" s="2402"/>
      <c r="FH11" s="2402"/>
      <c r="FI11" s="2402"/>
      <c r="FJ11" s="2402"/>
      <c r="FK11" s="2402"/>
      <c r="FL11" s="2402"/>
      <c r="FM11" s="2402"/>
      <c r="FN11" s="2402"/>
      <c r="FO11" s="2402"/>
      <c r="FP11" s="2402"/>
      <c r="FQ11" s="2402"/>
      <c r="FR11" s="2402"/>
      <c r="FS11" s="2402"/>
      <c r="FT11" s="2402"/>
      <c r="FU11" s="2402"/>
      <c r="FV11" s="2402"/>
    </row>
    <row r="12" spans="2:177" s="2401" customFormat="1" ht="9.75" customHeight="1" thickTop="1">
      <c r="B12" s="2406"/>
      <c r="C12" s="2407"/>
      <c r="D12" s="2407"/>
      <c r="E12" s="2407"/>
      <c r="F12" s="2407"/>
      <c r="G12" s="2407"/>
      <c r="H12" s="2407"/>
      <c r="I12" s="2407"/>
      <c r="J12" s="2407"/>
      <c r="K12" s="2407"/>
      <c r="L12" s="2407"/>
      <c r="M12" s="2407"/>
      <c r="N12" s="2407"/>
      <c r="O12" s="2407"/>
      <c r="P12" s="2407"/>
      <c r="Q12" s="2407"/>
      <c r="R12" s="2407"/>
      <c r="S12" s="2407"/>
      <c r="T12" s="2407"/>
      <c r="U12" s="2408"/>
      <c r="V12" s="2402"/>
      <c r="W12" s="2402"/>
      <c r="X12" s="2402"/>
      <c r="Y12" s="2402"/>
      <c r="Z12" s="2402"/>
      <c r="AA12" s="2402"/>
      <c r="AB12" s="2402"/>
      <c r="AC12" s="2402"/>
      <c r="AD12" s="2402"/>
      <c r="AE12" s="2402"/>
      <c r="AF12" s="2402"/>
      <c r="AG12" s="2402"/>
      <c r="AH12" s="2402"/>
      <c r="AI12" s="2402"/>
      <c r="AJ12" s="2402"/>
      <c r="AK12" s="2402"/>
      <c r="AL12" s="2402"/>
      <c r="AM12" s="2402"/>
      <c r="AN12" s="2402"/>
      <c r="AO12" s="2402"/>
      <c r="AP12" s="2402"/>
      <c r="AQ12" s="2402"/>
      <c r="AR12" s="2402"/>
      <c r="AS12" s="2402"/>
      <c r="AT12" s="2402"/>
      <c r="AU12" s="2402"/>
      <c r="AV12" s="2402"/>
      <c r="AW12" s="2402"/>
      <c r="AX12" s="2402"/>
      <c r="AY12" s="2402"/>
      <c r="AZ12" s="2402"/>
      <c r="BA12" s="2402"/>
      <c r="BB12" s="2402"/>
      <c r="BC12" s="2402"/>
      <c r="BD12" s="2402"/>
      <c r="BE12" s="2402"/>
      <c r="BF12" s="2402"/>
      <c r="BG12" s="2402"/>
      <c r="BH12" s="2402"/>
      <c r="BI12" s="2402"/>
      <c r="BJ12" s="2402"/>
      <c r="BK12" s="2402"/>
      <c r="BL12" s="2402"/>
      <c r="BM12" s="2402"/>
      <c r="BN12" s="2402"/>
      <c r="BO12" s="2402"/>
      <c r="BP12" s="2402"/>
      <c r="BQ12" s="2402"/>
      <c r="BR12" s="2402"/>
      <c r="BS12" s="2402"/>
      <c r="BT12" s="2402"/>
      <c r="BU12" s="2402"/>
      <c r="BV12" s="2402"/>
      <c r="BW12" s="2402"/>
      <c r="BX12" s="2402"/>
      <c r="BY12" s="2402"/>
      <c r="BZ12" s="2402"/>
      <c r="CA12" s="2402"/>
      <c r="CB12" s="2402"/>
      <c r="CC12" s="2402"/>
      <c r="CD12" s="2402"/>
      <c r="CE12" s="2402"/>
      <c r="CF12" s="2402"/>
      <c r="CG12" s="2402"/>
      <c r="CH12" s="2402"/>
      <c r="CI12" s="2402"/>
      <c r="CJ12" s="2402"/>
      <c r="CK12" s="2402"/>
      <c r="CL12" s="2402"/>
      <c r="CM12" s="2402"/>
      <c r="CN12" s="2402"/>
      <c r="CO12" s="2402"/>
      <c r="CP12" s="2402"/>
      <c r="CQ12" s="2402"/>
      <c r="CR12" s="2402"/>
      <c r="CS12" s="2402"/>
      <c r="CT12" s="2402"/>
      <c r="CU12" s="2402"/>
      <c r="CV12" s="2402"/>
      <c r="CW12" s="2402"/>
      <c r="CX12" s="2402"/>
      <c r="CY12" s="2402"/>
      <c r="CZ12" s="2402"/>
      <c r="DA12" s="2402"/>
      <c r="DB12" s="2402"/>
      <c r="DC12" s="2402"/>
      <c r="DD12" s="2402"/>
      <c r="DE12" s="2402"/>
      <c r="DF12" s="2402"/>
      <c r="DG12" s="2402"/>
      <c r="DH12" s="2402"/>
      <c r="DI12" s="2402"/>
      <c r="DJ12" s="2402"/>
      <c r="DK12" s="2402"/>
      <c r="DL12" s="2402"/>
      <c r="DM12" s="2402"/>
      <c r="DN12" s="2402"/>
      <c r="DO12" s="2402"/>
      <c r="DP12" s="2402"/>
      <c r="DQ12" s="2402"/>
      <c r="DR12" s="2402"/>
      <c r="DS12" s="2402"/>
      <c r="DT12" s="2402"/>
      <c r="DU12" s="2402"/>
      <c r="DV12" s="2402"/>
      <c r="DW12" s="2402"/>
      <c r="DX12" s="2402"/>
      <c r="DY12" s="2402"/>
      <c r="DZ12" s="2402"/>
      <c r="EA12" s="2402"/>
      <c r="EB12" s="2402"/>
      <c r="EC12" s="2402"/>
      <c r="ED12" s="2402"/>
      <c r="EE12" s="2402"/>
      <c r="EF12" s="2402"/>
      <c r="EG12" s="2402"/>
      <c r="EH12" s="2402"/>
      <c r="EI12" s="2402"/>
      <c r="EJ12" s="2402"/>
      <c r="EK12" s="2402"/>
      <c r="EL12" s="2402"/>
      <c r="EM12" s="2402"/>
      <c r="EN12" s="2402"/>
      <c r="EO12" s="2402"/>
      <c r="EP12" s="2402"/>
      <c r="EQ12" s="2402"/>
      <c r="ER12" s="2402"/>
      <c r="ES12" s="2402"/>
      <c r="ET12" s="2402"/>
      <c r="EU12" s="2402"/>
      <c r="EV12" s="2402"/>
      <c r="EW12" s="2402"/>
      <c r="EX12" s="2402"/>
      <c r="EY12" s="2402"/>
      <c r="EZ12" s="2402"/>
      <c r="FA12" s="2402"/>
      <c r="FB12" s="2402"/>
      <c r="FC12" s="2402"/>
      <c r="FD12" s="2402"/>
      <c r="FE12" s="2402"/>
      <c r="FF12" s="2402"/>
      <c r="FG12" s="2402"/>
      <c r="FH12" s="2402"/>
      <c r="FI12" s="2402"/>
      <c r="FJ12" s="2402"/>
      <c r="FK12" s="2402"/>
      <c r="FL12" s="2402"/>
      <c r="FM12" s="2402"/>
      <c r="FN12" s="2402"/>
      <c r="FO12" s="2402"/>
      <c r="FP12" s="2402"/>
      <c r="FQ12" s="2402"/>
      <c r="FR12" s="2402"/>
      <c r="FS12" s="2402"/>
      <c r="FT12" s="2402"/>
      <c r="FU12" s="2402"/>
    </row>
    <row r="13" spans="2:177" s="2401" customFormat="1" ht="19.5">
      <c r="B13" s="2409" t="s">
        <v>346</v>
      </c>
      <c r="C13" s="2410"/>
      <c r="D13" s="2410"/>
      <c r="E13" s="2410"/>
      <c r="F13" s="2410"/>
      <c r="G13" s="2410"/>
      <c r="H13" s="2410"/>
      <c r="I13" s="2410"/>
      <c r="J13" s="2410"/>
      <c r="K13" s="2410"/>
      <c r="L13" s="2410"/>
      <c r="M13" s="2410"/>
      <c r="N13" s="2410"/>
      <c r="O13" s="2410"/>
      <c r="P13" s="2410"/>
      <c r="Q13" s="2410"/>
      <c r="R13" s="2410"/>
      <c r="S13" s="2410"/>
      <c r="T13" s="2410"/>
      <c r="U13" s="2411"/>
      <c r="V13" s="2402"/>
      <c r="W13" s="2402"/>
      <c r="X13" s="2402"/>
      <c r="Y13" s="2402"/>
      <c r="Z13" s="2402"/>
      <c r="AA13" s="2402"/>
      <c r="AB13" s="2402"/>
      <c r="AC13" s="2402"/>
      <c r="AD13" s="2402"/>
      <c r="AE13" s="2402"/>
      <c r="AF13" s="2402"/>
      <c r="AG13" s="2402"/>
      <c r="AH13" s="2402"/>
      <c r="AI13" s="2402"/>
      <c r="AJ13" s="2402"/>
      <c r="AK13" s="2402"/>
      <c r="AL13" s="2402"/>
      <c r="AM13" s="2402"/>
      <c r="AN13" s="2402"/>
      <c r="AO13" s="2402"/>
      <c r="AP13" s="2402"/>
      <c r="AQ13" s="2402"/>
      <c r="AR13" s="2402"/>
      <c r="AS13" s="2402"/>
      <c r="AT13" s="2402"/>
      <c r="AU13" s="2402"/>
      <c r="AV13" s="2402"/>
      <c r="AW13" s="2402"/>
      <c r="AX13" s="2402"/>
      <c r="AY13" s="2402"/>
      <c r="AZ13" s="2402"/>
      <c r="BA13" s="2402"/>
      <c r="BB13" s="2402"/>
      <c r="BC13" s="2402"/>
      <c r="BD13" s="2402"/>
      <c r="BE13" s="2402"/>
      <c r="BF13" s="2402"/>
      <c r="BG13" s="2402"/>
      <c r="BH13" s="2402"/>
      <c r="BI13" s="2402"/>
      <c r="BJ13" s="2402"/>
      <c r="BK13" s="2402"/>
      <c r="BL13" s="2402"/>
      <c r="BM13" s="2402"/>
      <c r="BN13" s="2402"/>
      <c r="BO13" s="2402"/>
      <c r="BP13" s="2402"/>
      <c r="BQ13" s="2402"/>
      <c r="BR13" s="2402"/>
      <c r="BS13" s="2402"/>
      <c r="BT13" s="2402"/>
      <c r="BU13" s="2402"/>
      <c r="BV13" s="2402"/>
      <c r="BW13" s="2402"/>
      <c r="BX13" s="2402"/>
      <c r="BY13" s="2402"/>
      <c r="BZ13" s="2402"/>
      <c r="CA13" s="2402"/>
      <c r="CB13" s="2402"/>
      <c r="CC13" s="2402"/>
      <c r="CD13" s="2402"/>
      <c r="CE13" s="2402"/>
      <c r="CF13" s="2402"/>
      <c r="CG13" s="2402"/>
      <c r="CH13" s="2402"/>
      <c r="CI13" s="2402"/>
      <c r="CJ13" s="2402"/>
      <c r="CK13" s="2402"/>
      <c r="CL13" s="2402"/>
      <c r="CM13" s="2402"/>
      <c r="CN13" s="2402"/>
      <c r="CO13" s="2402"/>
      <c r="CP13" s="2402"/>
      <c r="CQ13" s="2402"/>
      <c r="CR13" s="2402"/>
      <c r="CS13" s="2402"/>
      <c r="CT13" s="2402"/>
      <c r="CU13" s="2402"/>
      <c r="CV13" s="2402"/>
      <c r="CW13" s="2402"/>
      <c r="CX13" s="2402"/>
      <c r="CY13" s="2402"/>
      <c r="CZ13" s="2402"/>
      <c r="DA13" s="2402"/>
      <c r="DB13" s="2402"/>
      <c r="DC13" s="2402"/>
      <c r="DD13" s="2402"/>
      <c r="DE13" s="2402"/>
      <c r="DF13" s="2402"/>
      <c r="DG13" s="2402"/>
      <c r="DH13" s="2402"/>
      <c r="DI13" s="2402"/>
      <c r="DJ13" s="2402"/>
      <c r="DK13" s="2402"/>
      <c r="DL13" s="2402"/>
      <c r="DM13" s="2402"/>
      <c r="DN13" s="2402"/>
      <c r="DO13" s="2402"/>
      <c r="DP13" s="2402"/>
      <c r="DQ13" s="2402"/>
      <c r="DR13" s="2402"/>
      <c r="DS13" s="2402"/>
      <c r="DT13" s="2402"/>
      <c r="DU13" s="2402"/>
      <c r="DV13" s="2402"/>
      <c r="DW13" s="2402"/>
      <c r="DX13" s="2402"/>
      <c r="DY13" s="2402"/>
      <c r="DZ13" s="2402"/>
      <c r="EA13" s="2402"/>
      <c r="EB13" s="2402"/>
      <c r="EC13" s="2402"/>
      <c r="ED13" s="2402"/>
      <c r="EE13" s="2402"/>
      <c r="EF13" s="2402"/>
      <c r="EG13" s="2402"/>
      <c r="EH13" s="2402"/>
      <c r="EI13" s="2402"/>
      <c r="EJ13" s="2402"/>
      <c r="EK13" s="2402"/>
      <c r="EL13" s="2402"/>
      <c r="EM13" s="2402"/>
      <c r="EN13" s="2402"/>
      <c r="EO13" s="2402"/>
      <c r="EP13" s="2402"/>
      <c r="EQ13" s="2402"/>
      <c r="ER13" s="2402"/>
      <c r="ES13" s="2402"/>
      <c r="ET13" s="2402"/>
      <c r="EU13" s="2402"/>
      <c r="EV13" s="2402"/>
      <c r="EW13" s="2402"/>
      <c r="EX13" s="2402"/>
      <c r="EY13" s="2402"/>
      <c r="EZ13" s="2402"/>
      <c r="FA13" s="2402"/>
      <c r="FB13" s="2402"/>
      <c r="FC13" s="2402"/>
      <c r="FD13" s="2402"/>
      <c r="FE13" s="2402"/>
      <c r="FF13" s="2402"/>
      <c r="FG13" s="2402"/>
      <c r="FH13" s="2402"/>
      <c r="FI13" s="2402"/>
      <c r="FJ13" s="2402"/>
      <c r="FK13" s="2402"/>
      <c r="FL13" s="2402"/>
      <c r="FM13" s="2402"/>
      <c r="FN13" s="2402"/>
      <c r="FO13" s="2402"/>
      <c r="FP13" s="2402"/>
      <c r="FQ13" s="2402"/>
      <c r="FR13" s="2402"/>
      <c r="FS13" s="2402"/>
      <c r="FT13" s="2402"/>
      <c r="FU13" s="2402"/>
    </row>
    <row r="14" spans="2:21" s="2401" customFormat="1" ht="9.75" customHeight="1" thickBot="1">
      <c r="B14" s="2412"/>
      <c r="C14" s="2413"/>
      <c r="D14" s="2413"/>
      <c r="E14" s="2413"/>
      <c r="F14" s="2413"/>
      <c r="G14" s="2413"/>
      <c r="H14" s="2413"/>
      <c r="I14" s="2413"/>
      <c r="J14" s="2413"/>
      <c r="K14" s="2413"/>
      <c r="L14" s="2413"/>
      <c r="M14" s="2413"/>
      <c r="N14" s="2413"/>
      <c r="O14" s="2413"/>
      <c r="P14" s="2413"/>
      <c r="Q14" s="2413"/>
      <c r="R14" s="2413"/>
      <c r="S14" s="2413"/>
      <c r="T14" s="2413"/>
      <c r="U14" s="2414"/>
    </row>
    <row r="15" spans="2:21" s="2415" customFormat="1" ht="33.75" customHeight="1" thickBot="1" thickTop="1">
      <c r="B15" s="2416"/>
      <c r="C15" s="2417"/>
      <c r="D15" s="2417" t="s">
        <v>5</v>
      </c>
      <c r="E15" s="2418" t="s">
        <v>31</v>
      </c>
      <c r="F15" s="2418" t="s">
        <v>32</v>
      </c>
      <c r="G15" s="2419" t="s">
        <v>340</v>
      </c>
      <c r="H15" s="2419">
        <v>41609</v>
      </c>
      <c r="I15" s="2419">
        <v>41640</v>
      </c>
      <c r="J15" s="2419">
        <v>41671</v>
      </c>
      <c r="K15" s="2419">
        <v>41699</v>
      </c>
      <c r="L15" s="2419">
        <v>41730</v>
      </c>
      <c r="M15" s="2419">
        <v>41760</v>
      </c>
      <c r="N15" s="2419">
        <v>41791</v>
      </c>
      <c r="O15" s="2419">
        <v>41821</v>
      </c>
      <c r="P15" s="2419">
        <v>41852</v>
      </c>
      <c r="Q15" s="2419">
        <v>41883</v>
      </c>
      <c r="R15" s="2419">
        <v>41913</v>
      </c>
      <c r="S15" s="2419">
        <v>41944</v>
      </c>
      <c r="T15" s="2419">
        <v>41974</v>
      </c>
      <c r="U15" s="2420"/>
    </row>
    <row r="16" spans="2:21" s="2421" customFormat="1" ht="9.75" customHeight="1" thickTop="1">
      <c r="B16" s="2422"/>
      <c r="C16" s="2423"/>
      <c r="D16" s="2424"/>
      <c r="E16" s="2424"/>
      <c r="F16" s="2424"/>
      <c r="G16" s="2424"/>
      <c r="H16" s="2425"/>
      <c r="I16" s="2425"/>
      <c r="J16" s="2425"/>
      <c r="K16" s="2425"/>
      <c r="L16" s="2425"/>
      <c r="M16" s="2425"/>
      <c r="N16" s="2425"/>
      <c r="O16" s="2425"/>
      <c r="P16" s="2425"/>
      <c r="Q16" s="2425"/>
      <c r="R16" s="2425"/>
      <c r="S16" s="2425"/>
      <c r="T16" s="2426"/>
      <c r="U16" s="2427"/>
    </row>
    <row r="17" spans="2:21" s="2421" customFormat="1" ht="19.5" customHeight="1">
      <c r="B17" s="2422"/>
      <c r="C17" s="2428">
        <f>IF('[7]BASE'!C17=0,"",'[7]BASE'!C17)</f>
        <v>1</v>
      </c>
      <c r="D17" s="2428" t="str">
        <f>IF('[7]BASE'!D17=0,"",'[7]BASE'!D17)</f>
        <v>ABASTO - OLAVARRIA 1</v>
      </c>
      <c r="E17" s="2428">
        <f>IF('[7]BASE'!E17=0,"",'[7]BASE'!E17)</f>
        <v>500</v>
      </c>
      <c r="F17" s="2428">
        <f>IF('[7]BASE'!F17=0,"",'[7]BASE'!F17)</f>
        <v>291</v>
      </c>
      <c r="G17" s="2428" t="str">
        <f>IF('[8]BASE'!G17=0,"",'[8]BASE'!G17)</f>
        <v>B</v>
      </c>
      <c r="H17" s="2429">
        <f>IF('[7]BASE'!DX17=0,"",'[7]BASE'!DX17)</f>
      </c>
      <c r="I17" s="2429">
        <f>IF('[7]BASE'!DY17=0,"",'[7]BASE'!DY17)</f>
      </c>
      <c r="J17" s="2429">
        <f>IF('[7]BASE'!DZ17=0,"",'[7]BASE'!DZ17)</f>
      </c>
      <c r="K17" s="2429">
        <f>IF('[7]BASE'!EA17=0,"",'[7]BASE'!EA17)</f>
      </c>
      <c r="L17" s="2429">
        <f>IF('[7]BASE'!EB17=0,"",'[7]BASE'!EB17)</f>
      </c>
      <c r="M17" s="2429">
        <f>IF('[7]BASE'!EC17=0,"",'[7]BASE'!EC17)</f>
      </c>
      <c r="N17" s="2429">
        <f>IF('[7]BASE'!ED17=0,"",'[7]BASE'!ED17)</f>
      </c>
      <c r="O17" s="2429">
        <f>IF('[7]BASE'!EE17=0,"",'[7]BASE'!EE17)</f>
      </c>
      <c r="P17" s="2429">
        <f>IF('[7]BASE'!EF17=0,"",'[7]BASE'!EF17)</f>
      </c>
      <c r="Q17" s="2429">
        <f>IF('[7]BASE'!EG17=0,"",'[7]BASE'!EG17)</f>
      </c>
      <c r="R17" s="2429">
        <f>IF('[7]BASE'!EH17=0,"",'[7]BASE'!EH17)</f>
      </c>
      <c r="S17" s="2429">
        <f>IF('[7]BASE'!EI17=0,"",'[7]BASE'!EI17)</f>
      </c>
      <c r="T17" s="2430"/>
      <c r="U17" s="2427"/>
    </row>
    <row r="18" spans="2:21" s="2421" customFormat="1" ht="19.5" customHeight="1">
      <c r="B18" s="2422"/>
      <c r="C18" s="2428">
        <f>IF('[7]BASE'!C18=0,"",'[7]BASE'!C18)</f>
        <v>2</v>
      </c>
      <c r="D18" s="2428" t="str">
        <f>IF('[7]BASE'!D18=0,"",'[7]BASE'!D18)</f>
        <v>ABASTO - OLAVARRIA 2</v>
      </c>
      <c r="E18" s="2428">
        <f>IF('[7]BASE'!E18=0,"",'[7]BASE'!E18)</f>
        <v>500</v>
      </c>
      <c r="F18" s="2428">
        <f>IF('[7]BASE'!F18=0,"",'[7]BASE'!F18)</f>
        <v>301.9</v>
      </c>
      <c r="G18" s="2428" t="e">
        <f>IF('[8]BASE'!G18=0,"",'[8]BASE'!G18)</f>
        <v>#REF!</v>
      </c>
      <c r="H18" s="2429">
        <f>IF('[7]BASE'!DX18=0,"",'[7]BASE'!DX18)</f>
      </c>
      <c r="I18" s="2429">
        <f>IF('[7]BASE'!DY18=0,"",'[7]BASE'!DY18)</f>
      </c>
      <c r="J18" s="2429">
        <f>IF('[7]BASE'!DZ18=0,"",'[7]BASE'!DZ18)</f>
      </c>
      <c r="K18" s="2429">
        <f>IF('[7]BASE'!EA18=0,"",'[7]BASE'!EA18)</f>
      </c>
      <c r="L18" s="2429">
        <f>IF('[7]BASE'!EB18=0,"",'[7]BASE'!EB18)</f>
      </c>
      <c r="M18" s="2429">
        <f>IF('[7]BASE'!EC18=0,"",'[7]BASE'!EC18)</f>
      </c>
      <c r="N18" s="2429">
        <f>IF('[7]BASE'!ED18=0,"",'[7]BASE'!ED18)</f>
      </c>
      <c r="O18" s="2429">
        <f>IF('[7]BASE'!EE18=0,"",'[7]BASE'!EE18)</f>
      </c>
      <c r="P18" s="2429">
        <f>IF('[7]BASE'!EF18=0,"",'[7]BASE'!EF18)</f>
      </c>
      <c r="Q18" s="2429">
        <f>IF('[7]BASE'!EG18=0,"",'[7]BASE'!EG18)</f>
      </c>
      <c r="R18" s="2429">
        <f>IF('[7]BASE'!EH18=0,"",'[7]BASE'!EH18)</f>
      </c>
      <c r="S18" s="2429">
        <f>IF('[7]BASE'!EI18=0,"",'[7]BASE'!EI18)</f>
      </c>
      <c r="T18" s="2430"/>
      <c r="U18" s="2427"/>
    </row>
    <row r="19" spans="2:21" s="2421" customFormat="1" ht="19.5" customHeight="1">
      <c r="B19" s="2422"/>
      <c r="C19" s="2428">
        <f>IF('[7]BASE'!C19=0,"",'[7]BASE'!C19)</f>
        <v>3</v>
      </c>
      <c r="D19" s="2428" t="str">
        <f>IF('[7]BASE'!D19=0,"",'[7]BASE'!D19)</f>
        <v>AGUA DEL CAJON - CHOCON OESTE</v>
      </c>
      <c r="E19" s="2428">
        <f>IF('[7]BASE'!E19=0,"",'[7]BASE'!E19)</f>
        <v>500</v>
      </c>
      <c r="F19" s="2428">
        <f>IF('[7]BASE'!F19=0,"",'[7]BASE'!F19)</f>
        <v>52</v>
      </c>
      <c r="G19" s="2428" t="e">
        <f>IF('[8]BASE'!G19=0,"",'[8]BASE'!G19)</f>
        <v>#REF!</v>
      </c>
      <c r="H19" s="2429">
        <f>IF('[7]BASE'!DX19=0,"",'[7]BASE'!DX19)</f>
      </c>
      <c r="I19" s="2429">
        <f>IF('[7]BASE'!DY19=0,"",'[7]BASE'!DY19)</f>
      </c>
      <c r="J19" s="2429">
        <f>IF('[7]BASE'!DZ19=0,"",'[7]BASE'!DZ19)</f>
      </c>
      <c r="K19" s="2429">
        <f>IF('[7]BASE'!EA19=0,"",'[7]BASE'!EA19)</f>
      </c>
      <c r="L19" s="2429">
        <f>IF('[7]BASE'!EB19=0,"",'[7]BASE'!EB19)</f>
      </c>
      <c r="M19" s="2429">
        <f>IF('[7]BASE'!EC19=0,"",'[7]BASE'!EC19)</f>
      </c>
      <c r="N19" s="2429">
        <f>IF('[7]BASE'!ED19=0,"",'[7]BASE'!ED19)</f>
      </c>
      <c r="O19" s="2429">
        <f>IF('[7]BASE'!EE19=0,"",'[7]BASE'!EE19)</f>
      </c>
      <c r="P19" s="2429">
        <f>IF('[7]BASE'!EF19=0,"",'[7]BASE'!EF19)</f>
      </c>
      <c r="Q19" s="2429">
        <f>IF('[7]BASE'!EG19=0,"",'[7]BASE'!EG19)</f>
      </c>
      <c r="R19" s="2429">
        <f>IF('[7]BASE'!EH19=0,"",'[7]BASE'!EH19)</f>
      </c>
      <c r="S19" s="2429">
        <f>IF('[7]BASE'!EI19=0,"",'[7]BASE'!EI19)</f>
      </c>
      <c r="T19" s="2430"/>
      <c r="U19" s="2427"/>
    </row>
    <row r="20" spans="2:21" s="2421" customFormat="1" ht="19.5" customHeight="1">
      <c r="B20" s="2422"/>
      <c r="C20" s="2428">
        <f>IF('[7]BASE'!C20=0,"",'[7]BASE'!C20)</f>
        <v>4</v>
      </c>
      <c r="D20" s="2428" t="str">
        <f>IF('[7]BASE'!D20=0,"",'[7]BASE'!D20)</f>
        <v>ALICURA - E.T. P.del A. 1 (5LG1)</v>
      </c>
      <c r="E20" s="2428">
        <f>IF('[7]BASE'!E20=0,"",'[7]BASE'!E20)</f>
        <v>500</v>
      </c>
      <c r="F20" s="2428">
        <f>IF('[7]BASE'!F20=0,"",'[7]BASE'!F20)</f>
        <v>76</v>
      </c>
      <c r="G20" s="2428" t="str">
        <f>IF('[8]BASE'!G20=0,"",'[8]BASE'!G20)</f>
        <v>C</v>
      </c>
      <c r="H20" s="2429">
        <f>IF('[7]BASE'!DX20=0,"",'[7]BASE'!DX20)</f>
      </c>
      <c r="I20" s="2429">
        <f>IF('[7]BASE'!DY20=0,"",'[7]BASE'!DY20)</f>
      </c>
      <c r="J20" s="2429">
        <f>IF('[7]BASE'!DZ20=0,"",'[7]BASE'!DZ20)</f>
      </c>
      <c r="K20" s="2429">
        <f>IF('[7]BASE'!EA20=0,"",'[7]BASE'!EA20)</f>
      </c>
      <c r="L20" s="2429">
        <f>IF('[7]BASE'!EB20=0,"",'[7]BASE'!EB20)</f>
      </c>
      <c r="M20" s="2429">
        <f>IF('[7]BASE'!EC20=0,"",'[7]BASE'!EC20)</f>
      </c>
      <c r="N20" s="2429">
        <f>IF('[7]BASE'!ED20=0,"",'[7]BASE'!ED20)</f>
      </c>
      <c r="O20" s="2429">
        <f>IF('[7]BASE'!EE20=0,"",'[7]BASE'!EE20)</f>
        <v>1</v>
      </c>
      <c r="P20" s="2429">
        <f>IF('[7]BASE'!EF20=0,"",'[7]BASE'!EF20)</f>
      </c>
      <c r="Q20" s="2429">
        <f>IF('[7]BASE'!EG20=0,"",'[7]BASE'!EG20)</f>
      </c>
      <c r="R20" s="2429">
        <f>IF('[7]BASE'!EH20=0,"",'[7]BASE'!EH20)</f>
      </c>
      <c r="S20" s="2429">
        <f>IF('[7]BASE'!EI20=0,"",'[7]BASE'!EI20)</f>
      </c>
      <c r="T20" s="2430"/>
      <c r="U20" s="2427"/>
    </row>
    <row r="21" spans="2:21" s="2421" customFormat="1" ht="19.5" customHeight="1">
      <c r="B21" s="2422"/>
      <c r="C21" s="2428">
        <f>IF('[7]BASE'!C21=0,"",'[7]BASE'!C21)</f>
        <v>5</v>
      </c>
      <c r="D21" s="2428" t="str">
        <f>IF('[7]BASE'!D21=0,"",'[7]BASE'!D21)</f>
        <v>ALICURA - E.T. P.del A. 2 (5LG2)</v>
      </c>
      <c r="E21" s="2428">
        <f>IF('[7]BASE'!E21=0,"",'[7]BASE'!E21)</f>
        <v>500</v>
      </c>
      <c r="F21" s="2428">
        <f>IF('[7]BASE'!F21=0,"",'[7]BASE'!F21)</f>
        <v>76</v>
      </c>
      <c r="G21" s="2428" t="str">
        <f>IF('[8]BASE'!G21=0,"",'[8]BASE'!G21)</f>
        <v>C</v>
      </c>
      <c r="H21" s="2429">
        <f>IF('[7]BASE'!DX21=0,"",'[7]BASE'!DX21)</f>
      </c>
      <c r="I21" s="2429">
        <f>IF('[7]BASE'!DY21=0,"",'[7]BASE'!DY21)</f>
      </c>
      <c r="J21" s="2429">
        <f>IF('[7]BASE'!DZ21=0,"",'[7]BASE'!DZ21)</f>
      </c>
      <c r="K21" s="2429">
        <f>IF('[7]BASE'!EA21=0,"",'[7]BASE'!EA21)</f>
      </c>
      <c r="L21" s="2429">
        <f>IF('[7]BASE'!EB21=0,"",'[7]BASE'!EB21)</f>
      </c>
      <c r="M21" s="2429">
        <f>IF('[7]BASE'!EC21=0,"",'[7]BASE'!EC21)</f>
      </c>
      <c r="N21" s="2429">
        <f>IF('[7]BASE'!ED21=0,"",'[7]BASE'!ED21)</f>
      </c>
      <c r="O21" s="2429">
        <f>IF('[7]BASE'!EE21=0,"",'[7]BASE'!EE21)</f>
      </c>
      <c r="P21" s="2429">
        <f>IF('[7]BASE'!EF21=0,"",'[7]BASE'!EF21)</f>
      </c>
      <c r="Q21" s="2429">
        <f>IF('[7]BASE'!EG21=0,"",'[7]BASE'!EG21)</f>
      </c>
      <c r="R21" s="2429">
        <f>IF('[7]BASE'!EH21=0,"",'[7]BASE'!EH21)</f>
      </c>
      <c r="S21" s="2429">
        <f>IF('[7]BASE'!EI21=0,"",'[7]BASE'!EI21)</f>
      </c>
      <c r="T21" s="2430"/>
      <c r="U21" s="2427"/>
    </row>
    <row r="22" spans="2:21" s="2421" customFormat="1" ht="19.5" customHeight="1">
      <c r="B22" s="2422"/>
      <c r="C22" s="2428">
        <f>IF('[7]BASE'!C22=0,"",'[7]BASE'!C22)</f>
        <v>6</v>
      </c>
      <c r="D22" s="2428" t="str">
        <f>IF('[7]BASE'!D22=0,"",'[7]BASE'!D22)</f>
        <v>ALMAFUERTE - EMBALSE </v>
      </c>
      <c r="E22" s="2428">
        <f>IF('[7]BASE'!E22=0,"",'[7]BASE'!E22)</f>
        <v>500</v>
      </c>
      <c r="F22" s="2428">
        <f>IF('[7]BASE'!F22=0,"",'[7]BASE'!F22)</f>
        <v>12</v>
      </c>
      <c r="G22" s="2428" t="str">
        <f>IF('[8]BASE'!G22=0,"",'[8]BASE'!G22)</f>
        <v>A</v>
      </c>
      <c r="H22" s="2429">
        <f>IF('[7]BASE'!DX22=0,"",'[7]BASE'!DX22)</f>
      </c>
      <c r="I22" s="2429">
        <f>IF('[7]BASE'!DY22=0,"",'[7]BASE'!DY22)</f>
      </c>
      <c r="J22" s="2429">
        <f>IF('[7]BASE'!DZ22=0,"",'[7]BASE'!DZ22)</f>
      </c>
      <c r="K22" s="2429">
        <f>IF('[7]BASE'!EA22=0,"",'[7]BASE'!EA22)</f>
      </c>
      <c r="L22" s="2429">
        <f>IF('[7]BASE'!EB22=0,"",'[7]BASE'!EB22)</f>
      </c>
      <c r="M22" s="2429">
        <f>IF('[7]BASE'!EC22=0,"",'[7]BASE'!EC22)</f>
      </c>
      <c r="N22" s="2429">
        <f>IF('[7]BASE'!ED22=0,"",'[7]BASE'!ED22)</f>
      </c>
      <c r="O22" s="2429">
        <f>IF('[7]BASE'!EE22=0,"",'[7]BASE'!EE22)</f>
      </c>
      <c r="P22" s="2429">
        <f>IF('[7]BASE'!EF22=0,"",'[7]BASE'!EF22)</f>
      </c>
      <c r="Q22" s="2429">
        <f>IF('[7]BASE'!EG22=0,"",'[7]BASE'!EG22)</f>
      </c>
      <c r="R22" s="2429">
        <f>IF('[7]BASE'!EH22=0,"",'[7]BASE'!EH22)</f>
      </c>
      <c r="S22" s="2429">
        <f>IF('[7]BASE'!EI22=0,"",'[7]BASE'!EI22)</f>
      </c>
      <c r="T22" s="2430"/>
      <c r="U22" s="2427"/>
    </row>
    <row r="23" spans="2:21" s="2421" customFormat="1" ht="19.5" customHeight="1">
      <c r="B23" s="2422"/>
      <c r="C23" s="2428">
        <f>IF('[7]BASE'!C23=0,"",'[7]BASE'!C23)</f>
        <v>7</v>
      </c>
      <c r="D23" s="2428" t="str">
        <f>IF('[7]BASE'!D23=0,"",'[7]BASE'!D23)</f>
        <v> ALMAFUERTE - ROSARIO OESTE</v>
      </c>
      <c r="E23" s="2428">
        <f>IF('[7]BASE'!E23=0,"",'[7]BASE'!E23)</f>
        <v>500</v>
      </c>
      <c r="F23" s="2428">
        <f>IF('[7]BASE'!F23=0,"",'[7]BASE'!F23)</f>
        <v>345</v>
      </c>
      <c r="G23" s="2428" t="str">
        <f>IF('[8]BASE'!G23=0,"",'[8]BASE'!G23)</f>
        <v>B</v>
      </c>
      <c r="H23" s="2429">
        <f>IF('[7]BASE'!DX23=0,"",'[7]BASE'!DX23)</f>
      </c>
      <c r="I23" s="2429">
        <f>IF('[7]BASE'!DY23=0,"",'[7]BASE'!DY23)</f>
        <v>1</v>
      </c>
      <c r="J23" s="2429">
        <f>IF('[7]BASE'!DZ23=0,"",'[7]BASE'!DZ23)</f>
      </c>
      <c r="K23" s="2429">
        <f>IF('[7]BASE'!EA23=0,"",'[7]BASE'!EA23)</f>
        <v>1</v>
      </c>
      <c r="L23" s="2429">
        <f>IF('[7]BASE'!EB23=0,"",'[7]BASE'!EB23)</f>
      </c>
      <c r="M23" s="2429">
        <f>IF('[7]BASE'!EC23=0,"",'[7]BASE'!EC23)</f>
      </c>
      <c r="N23" s="2429">
        <f>IF('[7]BASE'!ED23=0,"",'[7]BASE'!ED23)</f>
      </c>
      <c r="O23" s="2429">
        <f>IF('[7]BASE'!EE23=0,"",'[7]BASE'!EE23)</f>
      </c>
      <c r="P23" s="2429">
        <f>IF('[7]BASE'!EF23=0,"",'[7]BASE'!EF23)</f>
      </c>
      <c r="Q23" s="2429">
        <f>IF('[7]BASE'!EG23=0,"",'[7]BASE'!EG23)</f>
        <v>1</v>
      </c>
      <c r="R23" s="2429">
        <f>IF('[7]BASE'!EH23=0,"",'[7]BASE'!EH23)</f>
      </c>
      <c r="S23" s="2429">
        <f>IF('[7]BASE'!EI23=0,"",'[7]BASE'!EI23)</f>
        <v>1</v>
      </c>
      <c r="T23" s="2430"/>
      <c r="U23" s="2427"/>
    </row>
    <row r="24" spans="2:21" s="2421" customFormat="1" ht="19.5" customHeight="1">
      <c r="B24" s="2422"/>
      <c r="C24" s="2428">
        <f>IF('[7]BASE'!C24=0,"",'[7]BASE'!C24)</f>
        <v>8</v>
      </c>
      <c r="D24" s="2428" t="str">
        <f>IF('[7]BASE'!D24=0,"",'[7]BASE'!D24)</f>
        <v>BAHIA BLANCA - CHOELE CHOEL 1</v>
      </c>
      <c r="E24" s="2428">
        <f>IF('[7]BASE'!E24=0,"",'[7]BASE'!E24)</f>
        <v>500</v>
      </c>
      <c r="F24" s="2428">
        <f>IF('[7]BASE'!F24=0,"",'[7]BASE'!F24)</f>
        <v>346</v>
      </c>
      <c r="G24" s="2428" t="str">
        <f>IF('[8]BASE'!G24=0,"",'[8]BASE'!G24)</f>
        <v>B</v>
      </c>
      <c r="H24" s="2429">
        <f>IF('[7]BASE'!DX24=0,"",'[7]BASE'!DX24)</f>
      </c>
      <c r="I24" s="2429">
        <f>IF('[7]BASE'!DY24=0,"",'[7]BASE'!DY24)</f>
      </c>
      <c r="J24" s="2429">
        <f>IF('[7]BASE'!DZ24=0,"",'[7]BASE'!DZ24)</f>
      </c>
      <c r="K24" s="2429">
        <f>IF('[7]BASE'!EA24=0,"",'[7]BASE'!EA24)</f>
      </c>
      <c r="L24" s="2429">
        <f>IF('[7]BASE'!EB24=0,"",'[7]BASE'!EB24)</f>
      </c>
      <c r="M24" s="2429">
        <f>IF('[7]BASE'!EC24=0,"",'[7]BASE'!EC24)</f>
      </c>
      <c r="N24" s="2429">
        <f>IF('[7]BASE'!ED24=0,"",'[7]BASE'!ED24)</f>
      </c>
      <c r="O24" s="2429">
        <f>IF('[7]BASE'!EE24=0,"",'[7]BASE'!EE24)</f>
      </c>
      <c r="P24" s="2429">
        <f>IF('[7]BASE'!EF24=0,"",'[7]BASE'!EF24)</f>
      </c>
      <c r="Q24" s="2429">
        <f>IF('[7]BASE'!EG24=0,"",'[7]BASE'!EG24)</f>
      </c>
      <c r="R24" s="2429">
        <f>IF('[7]BASE'!EH24=0,"",'[7]BASE'!EH24)</f>
      </c>
      <c r="S24" s="2429">
        <f>IF('[7]BASE'!EI24=0,"",'[7]BASE'!EI24)</f>
      </c>
      <c r="T24" s="2430"/>
      <c r="U24" s="2427"/>
    </row>
    <row r="25" spans="2:21" s="2421" customFormat="1" ht="19.5" customHeight="1">
      <c r="B25" s="2422"/>
      <c r="C25" s="2428">
        <f>IF('[7]BASE'!C25=0,"",'[7]BASE'!C25)</f>
        <v>9</v>
      </c>
      <c r="D25" s="2428" t="str">
        <f>IF('[7]BASE'!D25=0,"",'[7]BASE'!D25)</f>
        <v>BAHIA BLANCA - CHOELE CHOEL 2</v>
      </c>
      <c r="E25" s="2428">
        <f>IF('[7]BASE'!E25=0,"",'[7]BASE'!E25)</f>
        <v>500</v>
      </c>
      <c r="F25" s="2428">
        <f>IF('[7]BASE'!F25=0,"",'[7]BASE'!F25)</f>
        <v>348.4</v>
      </c>
      <c r="G25" s="2428" t="e">
        <f>IF('[8]BASE'!G25=0,"",'[8]BASE'!G25)</f>
        <v>#REF!</v>
      </c>
      <c r="H25" s="2429">
        <f>IF('[7]BASE'!DX25=0,"",'[7]BASE'!DX25)</f>
      </c>
      <c r="I25" s="2429">
        <f>IF('[7]BASE'!DY25=0,"",'[7]BASE'!DY25)</f>
      </c>
      <c r="J25" s="2429">
        <f>IF('[7]BASE'!DZ25=0,"",'[7]BASE'!DZ25)</f>
      </c>
      <c r="K25" s="2429">
        <f>IF('[7]BASE'!EA25=0,"",'[7]BASE'!EA25)</f>
      </c>
      <c r="L25" s="2429">
        <f>IF('[7]BASE'!EB25=0,"",'[7]BASE'!EB25)</f>
      </c>
      <c r="M25" s="2429">
        <f>IF('[7]BASE'!EC25=0,"",'[7]BASE'!EC25)</f>
        <v>1</v>
      </c>
      <c r="N25" s="2429">
        <f>IF('[7]BASE'!ED25=0,"",'[7]BASE'!ED25)</f>
      </c>
      <c r="O25" s="2429">
        <f>IF('[7]BASE'!EE25=0,"",'[7]BASE'!EE25)</f>
      </c>
      <c r="P25" s="2429">
        <f>IF('[7]BASE'!EF25=0,"",'[7]BASE'!EF25)</f>
      </c>
      <c r="Q25" s="2429">
        <f>IF('[7]BASE'!EG25=0,"",'[7]BASE'!EG25)</f>
      </c>
      <c r="R25" s="2429">
        <f>IF('[7]BASE'!EH25=0,"",'[7]BASE'!EH25)</f>
      </c>
      <c r="S25" s="2429">
        <f>IF('[7]BASE'!EI25=0,"",'[7]BASE'!EI25)</f>
      </c>
      <c r="T25" s="2430"/>
      <c r="U25" s="2427"/>
    </row>
    <row r="26" spans="2:21" s="2421" customFormat="1" ht="19.5" customHeight="1">
      <c r="B26" s="2422"/>
      <c r="C26" s="2428">
        <f>IF('[7]BASE'!C26=0,"",'[7]BASE'!C26)</f>
        <v>10</v>
      </c>
      <c r="D26" s="2428" t="str">
        <f>IF('[7]BASE'!D26=0,"",'[7]BASE'!D26)</f>
        <v>CERR. de la CTA - P.BAND. (A3)</v>
      </c>
      <c r="E26" s="2428">
        <f>IF('[7]BASE'!E26=0,"",'[7]BASE'!E26)</f>
        <v>500</v>
      </c>
      <c r="F26" s="2428">
        <f>IF('[7]BASE'!F26=0,"",'[7]BASE'!F26)</f>
        <v>27</v>
      </c>
      <c r="G26" s="2428" t="str">
        <f>IF('[8]BASE'!G26=0,"",'[8]BASE'!G26)</f>
        <v>C</v>
      </c>
      <c r="H26" s="2429">
        <f>IF('[7]BASE'!DX26=0,"",'[7]BASE'!DX26)</f>
      </c>
      <c r="I26" s="2429">
        <f>IF('[7]BASE'!DY26=0,"",'[7]BASE'!DY26)</f>
      </c>
      <c r="J26" s="2429">
        <f>IF('[7]BASE'!DZ26=0,"",'[7]BASE'!DZ26)</f>
      </c>
      <c r="K26" s="2429">
        <f>IF('[7]BASE'!EA26=0,"",'[7]BASE'!EA26)</f>
      </c>
      <c r="L26" s="2429">
        <f>IF('[7]BASE'!EB26=0,"",'[7]BASE'!EB26)</f>
      </c>
      <c r="M26" s="2429">
        <f>IF('[7]BASE'!EC26=0,"",'[7]BASE'!EC26)</f>
      </c>
      <c r="N26" s="2429">
        <f>IF('[7]BASE'!ED26=0,"",'[7]BASE'!ED26)</f>
      </c>
      <c r="O26" s="2429">
        <f>IF('[7]BASE'!EE26=0,"",'[7]BASE'!EE26)</f>
      </c>
      <c r="P26" s="2429">
        <f>IF('[7]BASE'!EF26=0,"",'[7]BASE'!EF26)</f>
      </c>
      <c r="Q26" s="2429">
        <f>IF('[7]BASE'!EG26=0,"",'[7]BASE'!EG26)</f>
      </c>
      <c r="R26" s="2429">
        <f>IF('[7]BASE'!EH26=0,"",'[7]BASE'!EH26)</f>
      </c>
      <c r="S26" s="2429">
        <f>IF('[7]BASE'!EI26=0,"",'[7]BASE'!EI26)</f>
      </c>
      <c r="T26" s="2430"/>
      <c r="U26" s="2427"/>
    </row>
    <row r="27" spans="2:21" s="2421" customFormat="1" ht="19.5" customHeight="1">
      <c r="B27" s="2422"/>
      <c r="C27" s="2428">
        <f>IF('[7]BASE'!C27=0,"",'[7]BASE'!C27)</f>
        <v>11</v>
      </c>
      <c r="D27" s="2428" t="str">
        <f>IF('[7]BASE'!D27=0,"",'[7]BASE'!D27)</f>
        <v>COLONIA ELIA - CAMPANA</v>
      </c>
      <c r="E27" s="2428">
        <f>IF('[7]BASE'!E27=0,"",'[7]BASE'!E27)</f>
        <v>500</v>
      </c>
      <c r="F27" s="2428">
        <f>IF('[7]BASE'!F27=0,"",'[7]BASE'!F27)</f>
        <v>194</v>
      </c>
      <c r="G27" s="2428" t="str">
        <f>IF('[8]BASE'!G27=0,"",'[8]BASE'!G27)</f>
        <v>C</v>
      </c>
      <c r="H27" s="2429">
        <f>IF('[7]BASE'!DX27=0,"",'[7]BASE'!DX27)</f>
      </c>
      <c r="I27" s="2429">
        <f>IF('[7]BASE'!DY27=0,"",'[7]BASE'!DY27)</f>
      </c>
      <c r="J27" s="2429">
        <f>IF('[7]BASE'!DZ27=0,"",'[7]BASE'!DZ27)</f>
      </c>
      <c r="K27" s="2429">
        <f>IF('[7]BASE'!EA27=0,"",'[7]BASE'!EA27)</f>
      </c>
      <c r="L27" s="2429">
        <f>IF('[7]BASE'!EB27=0,"",'[7]BASE'!EB27)</f>
      </c>
      <c r="M27" s="2429">
        <f>IF('[7]BASE'!EC27=0,"",'[7]BASE'!EC27)</f>
      </c>
      <c r="N27" s="2429">
        <f>IF('[7]BASE'!ED27=0,"",'[7]BASE'!ED27)</f>
      </c>
      <c r="O27" s="2429">
        <f>IF('[7]BASE'!EE27=0,"",'[7]BASE'!EE27)</f>
      </c>
      <c r="P27" s="2429">
        <f>IF('[7]BASE'!EF27=0,"",'[7]BASE'!EF27)</f>
      </c>
      <c r="Q27" s="2429">
        <f>IF('[7]BASE'!EG27=0,"",'[7]BASE'!EG27)</f>
      </c>
      <c r="R27" s="2429">
        <f>IF('[7]BASE'!EH27=0,"",'[7]BASE'!EH27)</f>
      </c>
      <c r="S27" s="2429">
        <f>IF('[7]BASE'!EI27=0,"",'[7]BASE'!EI27)</f>
      </c>
      <c r="T27" s="2430"/>
      <c r="U27" s="2427"/>
    </row>
    <row r="28" spans="2:21" s="2421" customFormat="1" ht="19.5" customHeight="1">
      <c r="B28" s="2422"/>
      <c r="C28" s="2428">
        <f>IF('[7]BASE'!C28=0,"",'[7]BASE'!C28)</f>
        <v>12</v>
      </c>
      <c r="D28" s="2428" t="str">
        <f>IF('[7]BASE'!D28=0,"",'[7]BASE'!D28)</f>
        <v>CHO. W. - CHOELE CHOEL (5WH1)</v>
      </c>
      <c r="E28" s="2428">
        <f>IF('[7]BASE'!E28=0,"",'[7]BASE'!E28)</f>
        <v>500</v>
      </c>
      <c r="F28" s="2428">
        <f>IF('[7]BASE'!F28=0,"",'[7]BASE'!F28)</f>
        <v>269</v>
      </c>
      <c r="G28" s="2428" t="str">
        <f>IF('[8]BASE'!G28=0,"",'[8]BASE'!G28)</f>
        <v>B</v>
      </c>
      <c r="H28" s="2429">
        <f>IF('[7]BASE'!DX28=0,"",'[7]BASE'!DX28)</f>
      </c>
      <c r="I28" s="2429">
        <f>IF('[7]BASE'!DY28=0,"",'[7]BASE'!DY28)</f>
      </c>
      <c r="J28" s="2429">
        <f>IF('[7]BASE'!DZ28=0,"",'[7]BASE'!DZ28)</f>
      </c>
      <c r="K28" s="2429">
        <f>IF('[7]BASE'!EA28=0,"",'[7]BASE'!EA28)</f>
      </c>
      <c r="L28" s="2429">
        <f>IF('[7]BASE'!EB28=0,"",'[7]BASE'!EB28)</f>
      </c>
      <c r="M28" s="2429">
        <f>IF('[7]BASE'!EC28=0,"",'[7]BASE'!EC28)</f>
      </c>
      <c r="N28" s="2429">
        <f>IF('[7]BASE'!ED28=0,"",'[7]BASE'!ED28)</f>
      </c>
      <c r="O28" s="2429">
        <f>IF('[7]BASE'!EE28=0,"",'[7]BASE'!EE28)</f>
      </c>
      <c r="P28" s="2429">
        <f>IF('[7]BASE'!EF28=0,"",'[7]BASE'!EF28)</f>
      </c>
      <c r="Q28" s="2429">
        <f>IF('[7]BASE'!EG28=0,"",'[7]BASE'!EG28)</f>
      </c>
      <c r="R28" s="2429">
        <f>IF('[7]BASE'!EH28=0,"",'[7]BASE'!EH28)</f>
      </c>
      <c r="S28" s="2429">
        <f>IF('[7]BASE'!EI28=0,"",'[7]BASE'!EI28)</f>
      </c>
      <c r="T28" s="2430"/>
      <c r="U28" s="2427"/>
    </row>
    <row r="29" spans="2:21" s="2421" customFormat="1" ht="19.5" customHeight="1">
      <c r="B29" s="2422"/>
      <c r="C29" s="2428">
        <f>IF('[7]BASE'!C29=0,"",'[7]BASE'!C29)</f>
        <v>13</v>
      </c>
      <c r="D29" s="2428" t="str">
        <f>IF('[7]BASE'!D29=0,"",'[7]BASE'!D29)</f>
        <v>CHO.W. - CHO. 1 (5WC1)</v>
      </c>
      <c r="E29" s="2428">
        <f>IF('[7]BASE'!E29=0,"",'[7]BASE'!E29)</f>
        <v>500</v>
      </c>
      <c r="F29" s="2428">
        <f>IF('[7]BASE'!F29=0,"",'[7]BASE'!F29)</f>
        <v>4.5</v>
      </c>
      <c r="G29" s="2428" t="str">
        <f>IF('[8]BASE'!G29=0,"",'[8]BASE'!G29)</f>
        <v>C</v>
      </c>
      <c r="H29" s="2429">
        <f>IF('[7]BASE'!DX29=0,"",'[7]BASE'!DX29)</f>
      </c>
      <c r="I29" s="2429">
        <f>IF('[7]BASE'!DY29=0,"",'[7]BASE'!DY29)</f>
      </c>
      <c r="J29" s="2429">
        <f>IF('[7]BASE'!DZ29=0,"",'[7]BASE'!DZ29)</f>
      </c>
      <c r="K29" s="2429">
        <f>IF('[7]BASE'!EA29=0,"",'[7]BASE'!EA29)</f>
      </c>
      <c r="L29" s="2429">
        <f>IF('[7]BASE'!EB29=0,"",'[7]BASE'!EB29)</f>
      </c>
      <c r="M29" s="2429">
        <f>IF('[7]BASE'!EC29=0,"",'[7]BASE'!EC29)</f>
      </c>
      <c r="N29" s="2429">
        <f>IF('[7]BASE'!ED29=0,"",'[7]BASE'!ED29)</f>
      </c>
      <c r="O29" s="2429">
        <f>IF('[7]BASE'!EE29=0,"",'[7]BASE'!EE29)</f>
      </c>
      <c r="P29" s="2429">
        <f>IF('[7]BASE'!EF29=0,"",'[7]BASE'!EF29)</f>
      </c>
      <c r="Q29" s="2429">
        <f>IF('[7]BASE'!EG29=0,"",'[7]BASE'!EG29)</f>
      </c>
      <c r="R29" s="2429">
        <f>IF('[7]BASE'!EH29=0,"",'[7]BASE'!EH29)</f>
      </c>
      <c r="S29" s="2429">
        <f>IF('[7]BASE'!EI29=0,"",'[7]BASE'!EI29)</f>
      </c>
      <c r="T29" s="2430"/>
      <c r="U29" s="2427"/>
    </row>
    <row r="30" spans="2:21" s="2421" customFormat="1" ht="19.5" customHeight="1">
      <c r="B30" s="2422"/>
      <c r="C30" s="2428">
        <f>IF('[7]BASE'!C30=0,"",'[7]BASE'!C30)</f>
        <v>14</v>
      </c>
      <c r="D30" s="2428" t="str">
        <f>IF('[7]BASE'!D30=0,"",'[7]BASE'!D30)</f>
        <v>CHO.W. - CHO. 2 (5WC2)</v>
      </c>
      <c r="E30" s="2428">
        <f>IF('[7]BASE'!E30=0,"",'[7]BASE'!E30)</f>
        <v>500</v>
      </c>
      <c r="F30" s="2428">
        <f>IF('[7]BASE'!F30=0,"",'[7]BASE'!F30)</f>
        <v>4.5</v>
      </c>
      <c r="G30" s="2428" t="str">
        <f>IF('[8]BASE'!G30=0,"",'[8]BASE'!G30)</f>
        <v>C</v>
      </c>
      <c r="H30" s="2429">
        <f>IF('[7]BASE'!DX30=0,"",'[7]BASE'!DX30)</f>
      </c>
      <c r="I30" s="2429">
        <f>IF('[7]BASE'!DY30=0,"",'[7]BASE'!DY30)</f>
      </c>
      <c r="J30" s="2429">
        <f>IF('[7]BASE'!DZ30=0,"",'[7]BASE'!DZ30)</f>
      </c>
      <c r="K30" s="2429">
        <f>IF('[7]BASE'!EA30=0,"",'[7]BASE'!EA30)</f>
      </c>
      <c r="L30" s="2429">
        <f>IF('[7]BASE'!EB30=0,"",'[7]BASE'!EB30)</f>
      </c>
      <c r="M30" s="2429">
        <f>IF('[7]BASE'!EC30=0,"",'[7]BASE'!EC30)</f>
      </c>
      <c r="N30" s="2429">
        <f>IF('[7]BASE'!ED30=0,"",'[7]BASE'!ED30)</f>
      </c>
      <c r="O30" s="2429">
        <f>IF('[7]BASE'!EE30=0,"",'[7]BASE'!EE30)</f>
      </c>
      <c r="P30" s="2429">
        <f>IF('[7]BASE'!EF30=0,"",'[7]BASE'!EF30)</f>
      </c>
      <c r="Q30" s="2429">
        <f>IF('[7]BASE'!EG30=0,"",'[7]BASE'!EG30)</f>
      </c>
      <c r="R30" s="2429">
        <f>IF('[7]BASE'!EH30=0,"",'[7]BASE'!EH30)</f>
      </c>
      <c r="S30" s="2429">
        <f>IF('[7]BASE'!EI30=0,"",'[7]BASE'!EI30)</f>
      </c>
      <c r="T30" s="2430"/>
      <c r="U30" s="2427"/>
    </row>
    <row r="31" spans="2:21" s="2421" customFormat="1" ht="19.5" customHeight="1">
      <c r="B31" s="2422"/>
      <c r="C31" s="2428">
        <f>IF('[7]BASE'!C31=0,"",'[7]BASE'!C31)</f>
        <v>15</v>
      </c>
      <c r="D31" s="2428" t="str">
        <f>IF('[7]BASE'!D31=0,"",'[7]BASE'!D31)</f>
        <v>CHOCON - C.H. CHOCON 1</v>
      </c>
      <c r="E31" s="2428">
        <f>IF('[7]BASE'!E31=0,"",'[7]BASE'!E31)</f>
        <v>500</v>
      </c>
      <c r="F31" s="2428">
        <f>IF('[7]BASE'!F31=0,"",'[7]BASE'!F31)</f>
        <v>3</v>
      </c>
      <c r="G31" s="2428" t="str">
        <f>IF('[8]BASE'!G31=0,"",'[8]BASE'!G31)</f>
        <v>C</v>
      </c>
      <c r="H31" s="2429">
        <f>IF('[7]BASE'!DX31=0,"",'[7]BASE'!DX31)</f>
      </c>
      <c r="I31" s="2429">
        <f>IF('[7]BASE'!DY31=0,"",'[7]BASE'!DY31)</f>
      </c>
      <c r="J31" s="2429">
        <f>IF('[7]BASE'!DZ31=0,"",'[7]BASE'!DZ31)</f>
      </c>
      <c r="K31" s="2429">
        <f>IF('[7]BASE'!EA31=0,"",'[7]BASE'!EA31)</f>
      </c>
      <c r="L31" s="2429">
        <f>IF('[7]BASE'!EB31=0,"",'[7]BASE'!EB31)</f>
      </c>
      <c r="M31" s="2429">
        <f>IF('[7]BASE'!EC31=0,"",'[7]BASE'!EC31)</f>
      </c>
      <c r="N31" s="2429">
        <f>IF('[7]BASE'!ED31=0,"",'[7]BASE'!ED31)</f>
      </c>
      <c r="O31" s="2429">
        <f>IF('[7]BASE'!EE31=0,"",'[7]BASE'!EE31)</f>
      </c>
      <c r="P31" s="2429">
        <f>IF('[7]BASE'!EF31=0,"",'[7]BASE'!EF31)</f>
      </c>
      <c r="Q31" s="2429">
        <f>IF('[7]BASE'!EG31=0,"",'[7]BASE'!EG31)</f>
      </c>
      <c r="R31" s="2429">
        <f>IF('[7]BASE'!EH31=0,"",'[7]BASE'!EH31)</f>
      </c>
      <c r="S31" s="2429">
        <f>IF('[7]BASE'!EI31=0,"",'[7]BASE'!EI31)</f>
      </c>
      <c r="T31" s="2430"/>
      <c r="U31" s="2427"/>
    </row>
    <row r="32" spans="2:21" s="2421" customFormat="1" ht="19.5" customHeight="1">
      <c r="B32" s="2422"/>
      <c r="C32" s="2428">
        <f>IF('[7]BASE'!C32=0,"",'[7]BASE'!C32)</f>
        <v>16</v>
      </c>
      <c r="D32" s="2428" t="str">
        <f>IF('[7]BASE'!D32=0,"",'[7]BASE'!D32)</f>
        <v>CHOCON - C.H. CHOCON 2</v>
      </c>
      <c r="E32" s="2428">
        <f>IF('[7]BASE'!E32=0,"",'[7]BASE'!E32)</f>
        <v>500</v>
      </c>
      <c r="F32" s="2428">
        <f>IF('[7]BASE'!F32=0,"",'[7]BASE'!F32)</f>
        <v>3</v>
      </c>
      <c r="G32" s="2428" t="str">
        <f>IF('[8]BASE'!G32=0,"",'[8]BASE'!G32)</f>
        <v>C</v>
      </c>
      <c r="H32" s="2429">
        <f>IF('[7]BASE'!DX32=0,"",'[7]BASE'!DX32)</f>
      </c>
      <c r="I32" s="2429">
        <f>IF('[7]BASE'!DY32=0,"",'[7]BASE'!DY32)</f>
      </c>
      <c r="J32" s="2429">
        <f>IF('[7]BASE'!DZ32=0,"",'[7]BASE'!DZ32)</f>
      </c>
      <c r="K32" s="2429">
        <f>IF('[7]BASE'!EA32=0,"",'[7]BASE'!EA32)</f>
      </c>
      <c r="L32" s="2429">
        <f>IF('[7]BASE'!EB32=0,"",'[7]BASE'!EB32)</f>
      </c>
      <c r="M32" s="2429">
        <f>IF('[7]BASE'!EC32=0,"",'[7]BASE'!EC32)</f>
      </c>
      <c r="N32" s="2429">
        <f>IF('[7]BASE'!ED32=0,"",'[7]BASE'!ED32)</f>
      </c>
      <c r="O32" s="2429">
        <f>IF('[7]BASE'!EE32=0,"",'[7]BASE'!EE32)</f>
      </c>
      <c r="P32" s="2429">
        <f>IF('[7]BASE'!EF32=0,"",'[7]BASE'!EF32)</f>
      </c>
      <c r="Q32" s="2429">
        <f>IF('[7]BASE'!EG32=0,"",'[7]BASE'!EG32)</f>
      </c>
      <c r="R32" s="2429">
        <f>IF('[7]BASE'!EH32=0,"",'[7]BASE'!EH32)</f>
      </c>
      <c r="S32" s="2429">
        <f>IF('[7]BASE'!EI32=0,"",'[7]BASE'!EI32)</f>
      </c>
      <c r="T32" s="2430"/>
      <c r="U32" s="2427"/>
    </row>
    <row r="33" spans="2:21" s="2421" customFormat="1" ht="19.5" customHeight="1">
      <c r="B33" s="2422"/>
      <c r="C33" s="2428">
        <f>IF('[7]BASE'!C33=0,"",'[7]BASE'!C33)</f>
        <v>17</v>
      </c>
      <c r="D33" s="2428" t="str">
        <f>IF('[7]BASE'!D33=0,"",'[7]BASE'!D33)</f>
        <v>CHOCON - C.H. CHOCON 3</v>
      </c>
      <c r="E33" s="2428">
        <f>IF('[7]BASE'!E33=0,"",'[7]BASE'!E33)</f>
        <v>500</v>
      </c>
      <c r="F33" s="2428">
        <f>IF('[7]BASE'!F33=0,"",'[7]BASE'!F33)</f>
        <v>3</v>
      </c>
      <c r="G33" s="2428" t="str">
        <f>IF('[8]BASE'!G33=0,"",'[8]BASE'!G33)</f>
        <v>C</v>
      </c>
      <c r="H33" s="2429">
        <f>IF('[7]BASE'!DX33=0,"",'[7]BASE'!DX33)</f>
      </c>
      <c r="I33" s="2429">
        <f>IF('[7]BASE'!DY33=0,"",'[7]BASE'!DY33)</f>
      </c>
      <c r="J33" s="2429">
        <f>IF('[7]BASE'!DZ33=0,"",'[7]BASE'!DZ33)</f>
      </c>
      <c r="K33" s="2429">
        <f>IF('[7]BASE'!EA33=0,"",'[7]BASE'!EA33)</f>
      </c>
      <c r="L33" s="2429">
        <f>IF('[7]BASE'!EB33=0,"",'[7]BASE'!EB33)</f>
      </c>
      <c r="M33" s="2429">
        <f>IF('[7]BASE'!EC33=0,"",'[7]BASE'!EC33)</f>
      </c>
      <c r="N33" s="2429">
        <f>IF('[7]BASE'!ED33=0,"",'[7]BASE'!ED33)</f>
      </c>
      <c r="O33" s="2429">
        <f>IF('[7]BASE'!EE33=0,"",'[7]BASE'!EE33)</f>
      </c>
      <c r="P33" s="2429">
        <f>IF('[7]BASE'!EF33=0,"",'[7]BASE'!EF33)</f>
      </c>
      <c r="Q33" s="2429">
        <f>IF('[7]BASE'!EG33=0,"",'[7]BASE'!EG33)</f>
      </c>
      <c r="R33" s="2429">
        <f>IF('[7]BASE'!EH33=0,"",'[7]BASE'!EH33)</f>
      </c>
      <c r="S33" s="2429">
        <f>IF('[7]BASE'!EI33=0,"",'[7]BASE'!EI33)</f>
      </c>
      <c r="T33" s="2430"/>
      <c r="U33" s="2427"/>
    </row>
    <row r="34" spans="2:21" s="2421" customFormat="1" ht="19.5" customHeight="1">
      <c r="B34" s="2422"/>
      <c r="C34" s="2428">
        <f>IF('[7]BASE'!C34=0,"",'[7]BASE'!C34)</f>
        <v>18</v>
      </c>
      <c r="D34" s="2428" t="str">
        <f>IF('[7]BASE'!D34=0,"",'[7]BASE'!D34)</f>
        <v>CHOCON - PUELCHES 1</v>
      </c>
      <c r="E34" s="2428">
        <f>IF('[7]BASE'!E34=0,"",'[7]BASE'!E34)</f>
        <v>500</v>
      </c>
      <c r="F34" s="2428">
        <f>IF('[7]BASE'!F34=0,"",'[7]BASE'!F34)</f>
        <v>304</v>
      </c>
      <c r="G34" s="2428" t="str">
        <f>IF('[8]BASE'!G34=0,"",'[8]BASE'!G34)</f>
        <v>A</v>
      </c>
      <c r="H34" s="2429">
        <f>IF('[7]BASE'!DX34=0,"",'[7]BASE'!DX34)</f>
      </c>
      <c r="I34" s="2429">
        <f>IF('[7]BASE'!DY34=0,"",'[7]BASE'!DY34)</f>
      </c>
      <c r="J34" s="2429">
        <f>IF('[7]BASE'!DZ34=0,"",'[7]BASE'!DZ34)</f>
      </c>
      <c r="K34" s="2429">
        <f>IF('[7]BASE'!EA34=0,"",'[7]BASE'!EA34)</f>
      </c>
      <c r="L34" s="2429">
        <f>IF('[7]BASE'!EB34=0,"",'[7]BASE'!EB34)</f>
      </c>
      <c r="M34" s="2429">
        <f>IF('[7]BASE'!EC34=0,"",'[7]BASE'!EC34)</f>
      </c>
      <c r="N34" s="2429">
        <f>IF('[7]BASE'!ED34=0,"",'[7]BASE'!ED34)</f>
      </c>
      <c r="O34" s="2429">
        <f>IF('[7]BASE'!EE34=0,"",'[7]BASE'!EE34)</f>
      </c>
      <c r="P34" s="2429">
        <f>IF('[7]BASE'!EF34=0,"",'[7]BASE'!EF34)</f>
      </c>
      <c r="Q34" s="2429">
        <f>IF('[7]BASE'!EG34=0,"",'[7]BASE'!EG34)</f>
      </c>
      <c r="R34" s="2429">
        <f>IF('[7]BASE'!EH34=0,"",'[7]BASE'!EH34)</f>
      </c>
      <c r="S34" s="2429">
        <f>IF('[7]BASE'!EI34=0,"",'[7]BASE'!EI34)</f>
      </c>
      <c r="T34" s="2430"/>
      <c r="U34" s="2427"/>
    </row>
    <row r="35" spans="2:21" s="2421" customFormat="1" ht="19.5" customHeight="1">
      <c r="B35" s="2422"/>
      <c r="C35" s="2428">
        <f>IF('[7]BASE'!C35=0,"",'[7]BASE'!C35)</f>
        <v>19</v>
      </c>
      <c r="D35" s="2428" t="str">
        <f>IF('[7]BASE'!D35=0,"",'[7]BASE'!D35)</f>
        <v>CHOCON - PUELCHES 2</v>
      </c>
      <c r="E35" s="2428">
        <f>IF('[7]BASE'!E35=0,"",'[7]BASE'!E35)</f>
        <v>500</v>
      </c>
      <c r="F35" s="2428">
        <f>IF('[7]BASE'!F35=0,"",'[7]BASE'!F35)</f>
        <v>304</v>
      </c>
      <c r="G35" s="2428" t="str">
        <f>IF('[8]BASE'!G35=0,"",'[8]BASE'!G35)</f>
        <v>A</v>
      </c>
      <c r="H35" s="2429">
        <f>IF('[7]BASE'!DX35=0,"",'[7]BASE'!DX35)</f>
      </c>
      <c r="I35" s="2429">
        <f>IF('[7]BASE'!DY35=0,"",'[7]BASE'!DY35)</f>
      </c>
      <c r="J35" s="2429">
        <f>IF('[7]BASE'!DZ35=0,"",'[7]BASE'!DZ35)</f>
      </c>
      <c r="K35" s="2429">
        <f>IF('[7]BASE'!EA35=0,"",'[7]BASE'!EA35)</f>
      </c>
      <c r="L35" s="2429">
        <f>IF('[7]BASE'!EB35=0,"",'[7]BASE'!EB35)</f>
      </c>
      <c r="M35" s="2429">
        <f>IF('[7]BASE'!EC35=0,"",'[7]BASE'!EC35)</f>
      </c>
      <c r="N35" s="2429">
        <f>IF('[7]BASE'!ED35=0,"",'[7]BASE'!ED35)</f>
      </c>
      <c r="O35" s="2429">
        <f>IF('[7]BASE'!EE35=0,"",'[7]BASE'!EE35)</f>
      </c>
      <c r="P35" s="2429">
        <f>IF('[7]BASE'!EF35=0,"",'[7]BASE'!EF35)</f>
      </c>
      <c r="Q35" s="2429">
        <f>IF('[7]BASE'!EG35=0,"",'[7]BASE'!EG35)</f>
      </c>
      <c r="R35" s="2429">
        <f>IF('[7]BASE'!EH35=0,"",'[7]BASE'!EH35)</f>
      </c>
      <c r="S35" s="2429">
        <f>IF('[7]BASE'!EI35=0,"",'[7]BASE'!EI35)</f>
      </c>
      <c r="T35" s="2430"/>
      <c r="U35" s="2427"/>
    </row>
    <row r="36" spans="2:21" s="2421" customFormat="1" ht="19.5" customHeight="1">
      <c r="B36" s="2422"/>
      <c r="C36" s="2428">
        <f>IF('[7]BASE'!C36=0,"",'[7]BASE'!C36)</f>
        <v>20</v>
      </c>
      <c r="D36" s="2428" t="str">
        <f>IF('[7]BASE'!D36=0,"",'[7]BASE'!D36)</f>
        <v>E.T.P.del AGUILA - CENTRAL P.del A. 1</v>
      </c>
      <c r="E36" s="2428">
        <f>IF('[7]BASE'!E36=0,"",'[7]BASE'!E36)</f>
        <v>500</v>
      </c>
      <c r="F36" s="2428">
        <f>IF('[7]BASE'!F36=0,"",'[7]BASE'!F36)</f>
        <v>5.6</v>
      </c>
      <c r="G36" s="2428" t="str">
        <f>IF('[8]BASE'!G36=0,"",'[8]BASE'!G36)</f>
        <v>C</v>
      </c>
      <c r="H36" s="2429">
        <f>IF('[7]BASE'!DX36=0,"",'[7]BASE'!DX36)</f>
      </c>
      <c r="I36" s="2429">
        <f>IF('[7]BASE'!DY36=0,"",'[7]BASE'!DY36)</f>
      </c>
      <c r="J36" s="2429">
        <f>IF('[7]BASE'!DZ36=0,"",'[7]BASE'!DZ36)</f>
      </c>
      <c r="K36" s="2429">
        <f>IF('[7]BASE'!EA36=0,"",'[7]BASE'!EA36)</f>
      </c>
      <c r="L36" s="2429">
        <f>IF('[7]BASE'!EB36=0,"",'[7]BASE'!EB36)</f>
      </c>
      <c r="M36" s="2429">
        <f>IF('[7]BASE'!EC36=0,"",'[7]BASE'!EC36)</f>
      </c>
      <c r="N36" s="2429">
        <f>IF('[7]BASE'!ED36=0,"",'[7]BASE'!ED36)</f>
      </c>
      <c r="O36" s="2429">
        <f>IF('[7]BASE'!EE36=0,"",'[7]BASE'!EE36)</f>
      </c>
      <c r="P36" s="2429">
        <f>IF('[7]BASE'!EF36=0,"",'[7]BASE'!EF36)</f>
      </c>
      <c r="Q36" s="2429">
        <f>IF('[7]BASE'!EG36=0,"",'[7]BASE'!EG36)</f>
      </c>
      <c r="R36" s="2429">
        <f>IF('[7]BASE'!EH36=0,"",'[7]BASE'!EH36)</f>
      </c>
      <c r="S36" s="2429">
        <f>IF('[7]BASE'!EI36=0,"",'[7]BASE'!EI36)</f>
      </c>
      <c r="T36" s="2430"/>
      <c r="U36" s="2427"/>
    </row>
    <row r="37" spans="2:21" s="2421" customFormat="1" ht="19.5" customHeight="1">
      <c r="B37" s="2422"/>
      <c r="C37" s="2428">
        <f>IF('[7]BASE'!C37=0,"",'[7]BASE'!C37)</f>
        <v>21</v>
      </c>
      <c r="D37" s="2428" t="str">
        <f>IF('[7]BASE'!D37=0,"",'[7]BASE'!D37)</f>
        <v>E.T.P.del AGUILA - CENTRAL P.del A. 2</v>
      </c>
      <c r="E37" s="2428">
        <f>IF('[7]BASE'!E37=0,"",'[7]BASE'!E37)</f>
        <v>500</v>
      </c>
      <c r="F37" s="2428">
        <f>IF('[7]BASE'!F37=0,"",'[7]BASE'!F37)</f>
        <v>5.6</v>
      </c>
      <c r="G37" s="2428" t="str">
        <f>IF('[8]BASE'!G37=0,"",'[8]BASE'!G37)</f>
        <v>C</v>
      </c>
      <c r="H37" s="2429">
        <f>IF('[7]BASE'!DX37=0,"",'[7]BASE'!DX37)</f>
      </c>
      <c r="I37" s="2429">
        <f>IF('[7]BASE'!DY37=0,"",'[7]BASE'!DY37)</f>
      </c>
      <c r="J37" s="2429">
        <f>IF('[7]BASE'!DZ37=0,"",'[7]BASE'!DZ37)</f>
      </c>
      <c r="K37" s="2429">
        <f>IF('[7]BASE'!EA37=0,"",'[7]BASE'!EA37)</f>
      </c>
      <c r="L37" s="2429">
        <f>IF('[7]BASE'!EB37=0,"",'[7]BASE'!EB37)</f>
      </c>
      <c r="M37" s="2429">
        <f>IF('[7]BASE'!EC37=0,"",'[7]BASE'!EC37)</f>
      </c>
      <c r="N37" s="2429">
        <f>IF('[7]BASE'!ED37=0,"",'[7]BASE'!ED37)</f>
      </c>
      <c r="O37" s="2429">
        <f>IF('[7]BASE'!EE37=0,"",'[7]BASE'!EE37)</f>
      </c>
      <c r="P37" s="2429">
        <f>IF('[7]BASE'!EF37=0,"",'[7]BASE'!EF37)</f>
      </c>
      <c r="Q37" s="2429">
        <f>IF('[7]BASE'!EG37=0,"",'[7]BASE'!EG37)</f>
      </c>
      <c r="R37" s="2429">
        <f>IF('[7]BASE'!EH37=0,"",'[7]BASE'!EH37)</f>
      </c>
      <c r="S37" s="2429">
        <f>IF('[7]BASE'!EI37=0,"",'[7]BASE'!EI37)</f>
      </c>
      <c r="T37" s="2430"/>
      <c r="U37" s="2427"/>
    </row>
    <row r="38" spans="2:21" s="2421" customFormat="1" ht="19.5" customHeight="1">
      <c r="B38" s="2422"/>
      <c r="C38" s="2428">
        <f>IF('[7]BASE'!C38=0,"",'[7]BASE'!C38)</f>
        <v>22</v>
      </c>
      <c r="D38" s="2428" t="str">
        <f>IF('[7]BASE'!D38=0,"",'[7]BASE'!D38)</f>
        <v>EL BRACHO - RECREO(5)</v>
      </c>
      <c r="E38" s="2428">
        <f>IF('[7]BASE'!E38=0,"",'[7]BASE'!E38)</f>
        <v>500</v>
      </c>
      <c r="F38" s="2428">
        <f>IF('[7]BASE'!F38=0,"",'[7]BASE'!F38)</f>
        <v>255</v>
      </c>
      <c r="G38" s="2428" t="str">
        <f>IF('[8]BASE'!G38=0,"",'[8]BASE'!G38)</f>
        <v>C</v>
      </c>
      <c r="H38" s="2429">
        <f>IF('[7]BASE'!DX38=0,"",'[7]BASE'!DX38)</f>
      </c>
      <c r="I38" s="2429">
        <f>IF('[7]BASE'!DY38=0,"",'[7]BASE'!DY38)</f>
      </c>
      <c r="J38" s="2429">
        <f>IF('[7]BASE'!DZ38=0,"",'[7]BASE'!DZ38)</f>
      </c>
      <c r="K38" s="2429">
        <f>IF('[7]BASE'!EA38=0,"",'[7]BASE'!EA38)</f>
      </c>
      <c r="L38" s="2429">
        <f>IF('[7]BASE'!EB38=0,"",'[7]BASE'!EB38)</f>
      </c>
      <c r="M38" s="2429">
        <f>IF('[7]BASE'!EC38=0,"",'[7]BASE'!EC38)</f>
      </c>
      <c r="N38" s="2429">
        <f>IF('[7]BASE'!ED38=0,"",'[7]BASE'!ED38)</f>
      </c>
      <c r="O38" s="2429">
        <f>IF('[7]BASE'!EE38=0,"",'[7]BASE'!EE38)</f>
      </c>
      <c r="P38" s="2429">
        <f>IF('[7]BASE'!EF38=0,"",'[7]BASE'!EF38)</f>
      </c>
      <c r="Q38" s="2429">
        <f>IF('[7]BASE'!EG38=0,"",'[7]BASE'!EG38)</f>
      </c>
      <c r="R38" s="2429">
        <f>IF('[7]BASE'!EH38=0,"",'[7]BASE'!EH38)</f>
      </c>
      <c r="S38" s="2429">
        <f>IF('[7]BASE'!EI38=0,"",'[7]BASE'!EI38)</f>
      </c>
      <c r="T38" s="2430"/>
      <c r="U38" s="2427"/>
    </row>
    <row r="39" spans="2:21" s="2421" customFormat="1" ht="19.5" customHeight="1">
      <c r="B39" s="2422"/>
      <c r="C39" s="2428">
        <f>IF('[7]BASE'!C39=0,"",'[7]BASE'!C39)</f>
        <v>23</v>
      </c>
      <c r="D39" s="2428" t="str">
        <f>IF('[7]BASE'!D39=0,"",'[7]BASE'!D39)</f>
        <v>EZEIZA - ABASTO 1</v>
      </c>
      <c r="E39" s="2428">
        <f>IF('[7]BASE'!E39=0,"",'[7]BASE'!E39)</f>
        <v>500</v>
      </c>
      <c r="F39" s="2428">
        <f>IF('[7]BASE'!F39=0,"",'[7]BASE'!F39)</f>
        <v>58</v>
      </c>
      <c r="G39" s="2428" t="str">
        <f>IF('[8]BASE'!G39=0,"",'[8]BASE'!G39)</f>
        <v>C</v>
      </c>
      <c r="H39" s="2429">
        <f>IF('[7]BASE'!DX39=0,"",'[7]BASE'!DX39)</f>
      </c>
      <c r="I39" s="2429">
        <f>IF('[7]BASE'!DY39=0,"",'[7]BASE'!DY39)</f>
      </c>
      <c r="J39" s="2429">
        <f>IF('[7]BASE'!DZ39=0,"",'[7]BASE'!DZ39)</f>
      </c>
      <c r="K39" s="2429">
        <f>IF('[7]BASE'!EA39=0,"",'[7]BASE'!EA39)</f>
      </c>
      <c r="L39" s="2429">
        <f>IF('[7]BASE'!EB39=0,"",'[7]BASE'!EB39)</f>
      </c>
      <c r="M39" s="2429">
        <f>IF('[7]BASE'!EC39=0,"",'[7]BASE'!EC39)</f>
      </c>
      <c r="N39" s="2429">
        <f>IF('[7]BASE'!ED39=0,"",'[7]BASE'!ED39)</f>
      </c>
      <c r="O39" s="2429">
        <f>IF('[7]BASE'!EE39=0,"",'[7]BASE'!EE39)</f>
      </c>
      <c r="P39" s="2429">
        <f>IF('[7]BASE'!EF39=0,"",'[7]BASE'!EF39)</f>
      </c>
      <c r="Q39" s="2429">
        <f>IF('[7]BASE'!EG39=0,"",'[7]BASE'!EG39)</f>
      </c>
      <c r="R39" s="2429">
        <f>IF('[7]BASE'!EH39=0,"",'[7]BASE'!EH39)</f>
      </c>
      <c r="S39" s="2429">
        <f>IF('[7]BASE'!EI39=0,"",'[7]BASE'!EI39)</f>
      </c>
      <c r="T39" s="2430"/>
      <c r="U39" s="2427"/>
    </row>
    <row r="40" spans="2:21" s="2421" customFormat="1" ht="19.5" customHeight="1">
      <c r="B40" s="2422"/>
      <c r="C40" s="2428">
        <f>IF('[7]BASE'!C40=0,"",'[7]BASE'!C40)</f>
        <v>24</v>
      </c>
      <c r="D40" s="2428" t="str">
        <f>IF('[7]BASE'!D40=0,"",'[7]BASE'!D40)</f>
        <v>EZEIZA - ABASTO 2</v>
      </c>
      <c r="E40" s="2428">
        <f>IF('[7]BASE'!E40=0,"",'[7]BASE'!E40)</f>
        <v>500</v>
      </c>
      <c r="F40" s="2428">
        <f>IF('[7]BASE'!F40=0,"",'[7]BASE'!F40)</f>
        <v>58</v>
      </c>
      <c r="G40" s="2428" t="str">
        <f>IF('[8]BASE'!G40=0,"",'[8]BASE'!G40)</f>
        <v>C</v>
      </c>
      <c r="H40" s="2429">
        <f>IF('[7]BASE'!DX40=0,"",'[7]BASE'!DX40)</f>
      </c>
      <c r="I40" s="2429">
        <f>IF('[7]BASE'!DY40=0,"",'[7]BASE'!DY40)</f>
      </c>
      <c r="J40" s="2429">
        <f>IF('[7]BASE'!DZ40=0,"",'[7]BASE'!DZ40)</f>
        <v>1</v>
      </c>
      <c r="K40" s="2429">
        <f>IF('[7]BASE'!EA40=0,"",'[7]BASE'!EA40)</f>
      </c>
      <c r="L40" s="2429">
        <f>IF('[7]BASE'!EB40=0,"",'[7]BASE'!EB40)</f>
      </c>
      <c r="M40" s="2429">
        <f>IF('[7]BASE'!EC40=0,"",'[7]BASE'!EC40)</f>
      </c>
      <c r="N40" s="2429">
        <f>IF('[7]BASE'!ED40=0,"",'[7]BASE'!ED40)</f>
      </c>
      <c r="O40" s="2429">
        <f>IF('[7]BASE'!EE40=0,"",'[7]BASE'!EE40)</f>
      </c>
      <c r="P40" s="2429">
        <f>IF('[7]BASE'!EF40=0,"",'[7]BASE'!EF40)</f>
      </c>
      <c r="Q40" s="2429">
        <f>IF('[7]BASE'!EG40=0,"",'[7]BASE'!EG40)</f>
      </c>
      <c r="R40" s="2429">
        <f>IF('[7]BASE'!EH40=0,"",'[7]BASE'!EH40)</f>
      </c>
      <c r="S40" s="2429">
        <f>IF('[7]BASE'!EI40=0,"",'[7]BASE'!EI40)</f>
      </c>
      <c r="T40" s="2430"/>
      <c r="U40" s="2427"/>
    </row>
    <row r="41" spans="2:21" s="2421" customFormat="1" ht="19.5" customHeight="1">
      <c r="B41" s="2422"/>
      <c r="C41" s="2428">
        <f>IF('[7]BASE'!C41=0,"",'[7]BASE'!C41)</f>
        <v>25</v>
      </c>
      <c r="D41" s="2428" t="str">
        <f>IF('[7]BASE'!D41=0,"",'[7]BASE'!D41)</f>
        <v>EZEIZA - RODRIGUEZ 1</v>
      </c>
      <c r="E41" s="2428">
        <f>IF('[7]BASE'!E41=0,"",'[7]BASE'!E41)</f>
        <v>500</v>
      </c>
      <c r="F41" s="2428">
        <f>IF('[7]BASE'!F41=0,"",'[7]BASE'!F41)</f>
        <v>53</v>
      </c>
      <c r="G41" s="2428" t="str">
        <f>IF('[8]BASE'!G41=0,"",'[8]BASE'!G41)</f>
        <v>C</v>
      </c>
      <c r="H41" s="2429">
        <f>IF('[7]BASE'!DX41=0,"",'[7]BASE'!DX41)</f>
      </c>
      <c r="I41" s="2429">
        <f>IF('[7]BASE'!DY41=0,"",'[7]BASE'!DY41)</f>
      </c>
      <c r="J41" s="2429">
        <f>IF('[7]BASE'!DZ41=0,"",'[7]BASE'!DZ41)</f>
      </c>
      <c r="K41" s="2429">
        <f>IF('[7]BASE'!EA41=0,"",'[7]BASE'!EA41)</f>
      </c>
      <c r="L41" s="2429">
        <f>IF('[7]BASE'!EB41=0,"",'[7]BASE'!EB41)</f>
      </c>
      <c r="M41" s="2429">
        <f>IF('[7]BASE'!EC41=0,"",'[7]BASE'!EC41)</f>
      </c>
      <c r="N41" s="2429">
        <f>IF('[7]BASE'!ED41=0,"",'[7]BASE'!ED41)</f>
      </c>
      <c r="O41" s="2429">
        <f>IF('[7]BASE'!EE41=0,"",'[7]BASE'!EE41)</f>
      </c>
      <c r="P41" s="2429">
        <f>IF('[7]BASE'!EF41=0,"",'[7]BASE'!EF41)</f>
      </c>
      <c r="Q41" s="2429">
        <f>IF('[7]BASE'!EG41=0,"",'[7]BASE'!EG41)</f>
      </c>
      <c r="R41" s="2429">
        <f>IF('[7]BASE'!EH41=0,"",'[7]BASE'!EH41)</f>
      </c>
      <c r="S41" s="2429">
        <f>IF('[7]BASE'!EI41=0,"",'[7]BASE'!EI41)</f>
      </c>
      <c r="T41" s="2430"/>
      <c r="U41" s="2427"/>
    </row>
    <row r="42" spans="2:21" s="2421" customFormat="1" ht="19.5" customHeight="1">
      <c r="B42" s="2422"/>
      <c r="C42" s="2428">
        <f>IF('[7]BASE'!C42=0,"",'[7]BASE'!C42)</f>
        <v>26</v>
      </c>
      <c r="D42" s="2428" t="str">
        <f>IF('[7]BASE'!D42=0,"",'[7]BASE'!D42)</f>
        <v>EZEIZA - RODRIGUEZ 2</v>
      </c>
      <c r="E42" s="2428">
        <f>IF('[7]BASE'!E42=0,"",'[7]BASE'!E42)</f>
        <v>500</v>
      </c>
      <c r="F42" s="2428">
        <f>IF('[7]BASE'!F42=0,"",'[7]BASE'!F42)</f>
        <v>53</v>
      </c>
      <c r="G42" s="2428" t="str">
        <f>IF('[8]BASE'!G42=0,"",'[8]BASE'!G42)</f>
        <v>C</v>
      </c>
      <c r="H42" s="2429">
        <f>IF('[7]BASE'!DX42=0,"",'[7]BASE'!DX42)</f>
      </c>
      <c r="I42" s="2429">
        <f>IF('[7]BASE'!DY42=0,"",'[7]BASE'!DY42)</f>
      </c>
      <c r="J42" s="2429">
        <f>IF('[7]BASE'!DZ42=0,"",'[7]BASE'!DZ42)</f>
      </c>
      <c r="K42" s="2429">
        <f>IF('[7]BASE'!EA42=0,"",'[7]BASE'!EA42)</f>
      </c>
      <c r="L42" s="2429">
        <f>IF('[7]BASE'!EB42=0,"",'[7]BASE'!EB42)</f>
      </c>
      <c r="M42" s="2429">
        <f>IF('[7]BASE'!EC42=0,"",'[7]BASE'!EC42)</f>
      </c>
      <c r="N42" s="2429">
        <f>IF('[7]BASE'!ED42=0,"",'[7]BASE'!ED42)</f>
      </c>
      <c r="O42" s="2429">
        <f>IF('[7]BASE'!EE42=0,"",'[7]BASE'!EE42)</f>
      </c>
      <c r="P42" s="2429">
        <f>IF('[7]BASE'!EF42=0,"",'[7]BASE'!EF42)</f>
      </c>
      <c r="Q42" s="2429">
        <f>IF('[7]BASE'!EG42=0,"",'[7]BASE'!EG42)</f>
      </c>
      <c r="R42" s="2429">
        <f>IF('[7]BASE'!EH42=0,"",'[7]BASE'!EH42)</f>
      </c>
      <c r="S42" s="2429">
        <f>IF('[7]BASE'!EI42=0,"",'[7]BASE'!EI42)</f>
      </c>
      <c r="T42" s="2430"/>
      <c r="U42" s="2427"/>
    </row>
    <row r="43" spans="2:21" s="2421" customFormat="1" ht="19.5" customHeight="1">
      <c r="B43" s="2422"/>
      <c r="C43" s="2428">
        <f>IF('[7]BASE'!C43=0,"",'[7]BASE'!C43)</f>
        <v>27</v>
      </c>
      <c r="D43" s="2428" t="str">
        <f>IF('[7]BASE'!D43=0,"",'[7]BASE'!D43)</f>
        <v>EZEIZA- HENDERSON 1</v>
      </c>
      <c r="E43" s="2428">
        <f>IF('[7]BASE'!E43=0,"",'[7]BASE'!E43)</f>
        <v>500</v>
      </c>
      <c r="F43" s="2428">
        <f>IF('[7]BASE'!F43=0,"",'[7]BASE'!F43)</f>
        <v>313</v>
      </c>
      <c r="G43" s="2428" t="str">
        <f>IF('[8]BASE'!G43=0,"",'[8]BASE'!G43)</f>
        <v>A</v>
      </c>
      <c r="H43" s="2429">
        <f>IF('[7]BASE'!DX43=0,"",'[7]BASE'!DX43)</f>
        <v>1</v>
      </c>
      <c r="I43" s="2429">
        <f>IF('[7]BASE'!DY43=0,"",'[7]BASE'!DY43)</f>
      </c>
      <c r="J43" s="2429">
        <f>IF('[7]BASE'!DZ43=0,"",'[7]BASE'!DZ43)</f>
      </c>
      <c r="K43" s="2429">
        <f>IF('[7]BASE'!EA43=0,"",'[7]BASE'!EA43)</f>
      </c>
      <c r="L43" s="2429">
        <f>IF('[7]BASE'!EB43=0,"",'[7]BASE'!EB43)</f>
      </c>
      <c r="M43" s="2429">
        <f>IF('[7]BASE'!EC43=0,"",'[7]BASE'!EC43)</f>
      </c>
      <c r="N43" s="2429">
        <f>IF('[7]BASE'!ED43=0,"",'[7]BASE'!ED43)</f>
      </c>
      <c r="O43" s="2429">
        <f>IF('[7]BASE'!EE43=0,"",'[7]BASE'!EE43)</f>
      </c>
      <c r="P43" s="2429">
        <f>IF('[7]BASE'!EF43=0,"",'[7]BASE'!EF43)</f>
      </c>
      <c r="Q43" s="2429">
        <f>IF('[7]BASE'!EG43=0,"",'[7]BASE'!EG43)</f>
      </c>
      <c r="R43" s="2429">
        <f>IF('[7]BASE'!EH43=0,"",'[7]BASE'!EH43)</f>
      </c>
      <c r="S43" s="2429">
        <f>IF('[7]BASE'!EI43=0,"",'[7]BASE'!EI43)</f>
      </c>
      <c r="T43" s="2430"/>
      <c r="U43" s="2427"/>
    </row>
    <row r="44" spans="2:21" s="2421" customFormat="1" ht="19.5" customHeight="1">
      <c r="B44" s="2422"/>
      <c r="C44" s="2428">
        <f>IF('[7]BASE'!C44=0,"",'[7]BASE'!C44)</f>
        <v>28</v>
      </c>
      <c r="D44" s="2428" t="str">
        <f>IF('[7]BASE'!D44=0,"",'[7]BASE'!D44)</f>
        <v>EZEIZA - HENDERSON 2</v>
      </c>
      <c r="E44" s="2428">
        <f>IF('[7]BASE'!E44=0,"",'[7]BASE'!E44)</f>
        <v>500</v>
      </c>
      <c r="F44" s="2428">
        <f>IF('[7]BASE'!F44=0,"",'[7]BASE'!F44)</f>
        <v>313</v>
      </c>
      <c r="G44" s="2428" t="str">
        <f>IF('[8]BASE'!G44=0,"",'[8]BASE'!G44)</f>
        <v>A</v>
      </c>
      <c r="H44" s="2429">
        <f>IF('[7]BASE'!DX44=0,"",'[7]BASE'!DX44)</f>
      </c>
      <c r="I44" s="2429">
        <f>IF('[7]BASE'!DY44=0,"",'[7]BASE'!DY44)</f>
      </c>
      <c r="J44" s="2429">
        <f>IF('[7]BASE'!DZ44=0,"",'[7]BASE'!DZ44)</f>
      </c>
      <c r="K44" s="2429">
        <f>IF('[7]BASE'!EA44=0,"",'[7]BASE'!EA44)</f>
      </c>
      <c r="L44" s="2429">
        <f>IF('[7]BASE'!EB44=0,"",'[7]BASE'!EB44)</f>
      </c>
      <c r="M44" s="2429">
        <f>IF('[7]BASE'!EC44=0,"",'[7]BASE'!EC44)</f>
      </c>
      <c r="N44" s="2429">
        <f>IF('[7]BASE'!ED44=0,"",'[7]BASE'!ED44)</f>
      </c>
      <c r="O44" s="2429">
        <f>IF('[7]BASE'!EE44=0,"",'[7]BASE'!EE44)</f>
      </c>
      <c r="P44" s="2429">
        <f>IF('[7]BASE'!EF44=0,"",'[7]BASE'!EF44)</f>
      </c>
      <c r="Q44" s="2429">
        <f>IF('[7]BASE'!EG44=0,"",'[7]BASE'!EG44)</f>
      </c>
      <c r="R44" s="2429">
        <f>IF('[7]BASE'!EH44=0,"",'[7]BASE'!EH44)</f>
      </c>
      <c r="S44" s="2429">
        <f>IF('[7]BASE'!EI44=0,"",'[7]BASE'!EI44)</f>
      </c>
      <c r="T44" s="2430"/>
      <c r="U44" s="2427"/>
    </row>
    <row r="45" spans="2:21" s="2421" customFormat="1" ht="19.5" customHeight="1">
      <c r="B45" s="2422"/>
      <c r="C45" s="2428">
        <f>IF('[7]BASE'!C45=0,"",'[7]BASE'!C45)</f>
        <v>29</v>
      </c>
      <c r="D45" s="2428" t="str">
        <f>IF('[7]BASE'!D45=0,"",'[7]BASE'!D45)</f>
        <v>GRAL. RODRIGUEZ - CAMPANA </v>
      </c>
      <c r="E45" s="2428">
        <f>IF('[7]BASE'!E45=0,"",'[7]BASE'!E45)</f>
        <v>500</v>
      </c>
      <c r="F45" s="2428">
        <f>IF('[7]BASE'!F45=0,"",'[7]BASE'!F45)</f>
        <v>42</v>
      </c>
      <c r="G45" s="2428" t="str">
        <f>IF('[8]BASE'!G45=0,"",'[8]BASE'!G45)</f>
        <v>B</v>
      </c>
      <c r="H45" s="2429">
        <f>IF('[7]BASE'!DX45=0,"",'[7]BASE'!DX45)</f>
      </c>
      <c r="I45" s="2429">
        <f>IF('[7]BASE'!DY45=0,"",'[7]BASE'!DY45)</f>
      </c>
      <c r="J45" s="2429">
        <f>IF('[7]BASE'!DZ45=0,"",'[7]BASE'!DZ45)</f>
      </c>
      <c r="K45" s="2429">
        <f>IF('[7]BASE'!EA45=0,"",'[7]BASE'!EA45)</f>
      </c>
      <c r="L45" s="2429">
        <f>IF('[7]BASE'!EB45=0,"",'[7]BASE'!EB45)</f>
      </c>
      <c r="M45" s="2429">
        <f>IF('[7]BASE'!EC45=0,"",'[7]BASE'!EC45)</f>
      </c>
      <c r="N45" s="2429">
        <f>IF('[7]BASE'!ED45=0,"",'[7]BASE'!ED45)</f>
      </c>
      <c r="O45" s="2429">
        <f>IF('[7]BASE'!EE45=0,"",'[7]BASE'!EE45)</f>
      </c>
      <c r="P45" s="2429">
        <f>IF('[7]BASE'!EF45=0,"",'[7]BASE'!EF45)</f>
      </c>
      <c r="Q45" s="2429">
        <f>IF('[7]BASE'!EG45=0,"",'[7]BASE'!EG45)</f>
      </c>
      <c r="R45" s="2429">
        <f>IF('[7]BASE'!EH45=0,"",'[7]BASE'!EH45)</f>
      </c>
      <c r="S45" s="2429">
        <f>IF('[7]BASE'!EI45=0,"",'[7]BASE'!EI45)</f>
      </c>
      <c r="T45" s="2430"/>
      <c r="U45" s="2427"/>
    </row>
    <row r="46" spans="2:21" s="2421" customFormat="1" ht="19.5" customHeight="1">
      <c r="B46" s="2422"/>
      <c r="C46" s="2428">
        <f>IF('[7]BASE'!C46=0,"",'[7]BASE'!C46)</f>
        <v>30</v>
      </c>
      <c r="D46" s="2428" t="str">
        <f>IF('[7]BASE'!D46=0,"",'[7]BASE'!D46)</f>
        <v>GRAL. RODRIGUEZ- ROSARIO OESTE </v>
      </c>
      <c r="E46" s="2428">
        <f>IF('[7]BASE'!E46=0,"",'[7]BASE'!E46)</f>
        <v>500</v>
      </c>
      <c r="F46" s="2428">
        <f>IF('[7]BASE'!F46=0,"",'[7]BASE'!F46)</f>
        <v>258</v>
      </c>
      <c r="G46" s="2428" t="str">
        <f>IF('[8]BASE'!G46=0,"",'[8]BASE'!G46)</f>
        <v>C</v>
      </c>
      <c r="H46" s="2429" t="str">
        <f>IF('[7]BASE'!DX46=0,"",'[7]BASE'!DX46)</f>
        <v>XXXX</v>
      </c>
      <c r="I46" s="2429" t="str">
        <f>IF('[7]BASE'!DY46=0,"",'[7]BASE'!DY46)</f>
        <v>XXXX</v>
      </c>
      <c r="J46" s="2429" t="str">
        <f>IF('[7]BASE'!DZ46=0,"",'[7]BASE'!DZ46)</f>
        <v>XXXX</v>
      </c>
      <c r="K46" s="2429" t="str">
        <f>IF('[7]BASE'!EA46=0,"",'[7]BASE'!EA46)</f>
        <v>XXXX</v>
      </c>
      <c r="L46" s="2429" t="str">
        <f>IF('[7]BASE'!EB46=0,"",'[7]BASE'!EB46)</f>
        <v>XXXX</v>
      </c>
      <c r="M46" s="2429" t="str">
        <f>IF('[7]BASE'!EC46=0,"",'[7]BASE'!EC46)</f>
        <v>XXXX</v>
      </c>
      <c r="N46" s="2429" t="str">
        <f>IF('[7]BASE'!ED46=0,"",'[7]BASE'!ED46)</f>
        <v>XXXX</v>
      </c>
      <c r="O46" s="2429" t="str">
        <f>IF('[7]BASE'!EE46=0,"",'[7]BASE'!EE46)</f>
        <v>XXXX</v>
      </c>
      <c r="P46" s="2429" t="str">
        <f>IF('[7]BASE'!EF46=0,"",'[7]BASE'!EF46)</f>
        <v>XXXX</v>
      </c>
      <c r="Q46" s="2429" t="str">
        <f>IF('[7]BASE'!EG46=0,"",'[7]BASE'!EG46)</f>
        <v>XXXX</v>
      </c>
      <c r="R46" s="2429" t="str">
        <f>IF('[7]BASE'!EH46=0,"",'[7]BASE'!EH46)</f>
        <v>XXXX</v>
      </c>
      <c r="S46" s="2429" t="str">
        <f>IF('[7]BASE'!EI46=0,"",'[7]BASE'!EI46)</f>
        <v>XXXX</v>
      </c>
      <c r="T46" s="2430"/>
      <c r="U46" s="2427"/>
    </row>
    <row r="47" spans="2:21" s="2421" customFormat="1" ht="19.5" customHeight="1">
      <c r="B47" s="2422"/>
      <c r="C47" s="2428">
        <f>IF('[7]BASE'!C47=0,"",'[7]BASE'!C47)</f>
        <v>31</v>
      </c>
      <c r="D47" s="2428" t="str">
        <f>IF('[7]BASE'!D47=0,"",'[7]BASE'!D47)</f>
        <v>MALVINAS ARG. - ALMAFUERTE </v>
      </c>
      <c r="E47" s="2428">
        <f>IF('[7]BASE'!E47=0,"",'[7]BASE'!E47)</f>
        <v>500</v>
      </c>
      <c r="F47" s="2428">
        <f>IF('[7]BASE'!F47=0,"",'[7]BASE'!F47)</f>
        <v>105</v>
      </c>
      <c r="G47" s="2428" t="str">
        <f>IF('[8]BASE'!G47=0,"",'[8]BASE'!G47)</f>
        <v>B</v>
      </c>
      <c r="H47" s="2429">
        <f>IF('[7]BASE'!DX47=0,"",'[7]BASE'!DX47)</f>
      </c>
      <c r="I47" s="2429">
        <f>IF('[7]BASE'!DY47=0,"",'[7]BASE'!DY47)</f>
      </c>
      <c r="J47" s="2429">
        <f>IF('[7]BASE'!DZ47=0,"",'[7]BASE'!DZ47)</f>
      </c>
      <c r="K47" s="2429">
        <f>IF('[7]BASE'!EA47=0,"",'[7]BASE'!EA47)</f>
      </c>
      <c r="L47" s="2429">
        <f>IF('[7]BASE'!EB47=0,"",'[7]BASE'!EB47)</f>
      </c>
      <c r="M47" s="2429">
        <f>IF('[7]BASE'!EC47=0,"",'[7]BASE'!EC47)</f>
      </c>
      <c r="N47" s="2429">
        <f>IF('[7]BASE'!ED47=0,"",'[7]BASE'!ED47)</f>
      </c>
      <c r="O47" s="2429">
        <f>IF('[7]BASE'!EE47=0,"",'[7]BASE'!EE47)</f>
      </c>
      <c r="P47" s="2429">
        <f>IF('[7]BASE'!EF47=0,"",'[7]BASE'!EF47)</f>
      </c>
      <c r="Q47" s="2429">
        <f>IF('[7]BASE'!EG47=0,"",'[7]BASE'!EG47)</f>
      </c>
      <c r="R47" s="2429">
        <f>IF('[7]BASE'!EH47=0,"",'[7]BASE'!EH47)</f>
      </c>
      <c r="S47" s="2429">
        <f>IF('[7]BASE'!EI47=0,"",'[7]BASE'!EI47)</f>
      </c>
      <c r="T47" s="2430"/>
      <c r="U47" s="2427"/>
    </row>
    <row r="48" spans="2:21" s="2421" customFormat="1" ht="19.5" customHeight="1">
      <c r="B48" s="2422"/>
      <c r="C48" s="2428">
        <f>IF('[7]BASE'!C48=0,"",'[7]BASE'!C48)</f>
        <v>32</v>
      </c>
      <c r="D48" s="2428" t="str">
        <f>IF('[7]BASE'!D48=0,"",'[7]BASE'!D48)</f>
        <v>OLAVARRIA - BAHIA BLANCA 1</v>
      </c>
      <c r="E48" s="2428">
        <f>IF('[7]BASE'!E48=0,"",'[7]BASE'!E48)</f>
        <v>500</v>
      </c>
      <c r="F48" s="2428">
        <f>IF('[7]BASE'!F48=0,"",'[7]BASE'!F48)</f>
        <v>255</v>
      </c>
      <c r="G48" s="2428" t="str">
        <f>IF('[8]BASE'!G48=0,"",'[8]BASE'!G48)</f>
        <v>B</v>
      </c>
      <c r="H48" s="2429">
        <f>IF('[7]BASE'!DX48=0,"",'[7]BASE'!DX48)</f>
        <v>1</v>
      </c>
      <c r="I48" s="2429">
        <f>IF('[7]BASE'!DY48=0,"",'[7]BASE'!DY48)</f>
      </c>
      <c r="J48" s="2429">
        <f>IF('[7]BASE'!DZ48=0,"",'[7]BASE'!DZ48)</f>
      </c>
      <c r="K48" s="2429">
        <f>IF('[7]BASE'!EA48=0,"",'[7]BASE'!EA48)</f>
      </c>
      <c r="L48" s="2429">
        <f>IF('[7]BASE'!EB48=0,"",'[7]BASE'!EB48)</f>
      </c>
      <c r="M48" s="2429">
        <f>IF('[7]BASE'!EC48=0,"",'[7]BASE'!EC48)</f>
      </c>
      <c r="N48" s="2429">
        <f>IF('[7]BASE'!ED48=0,"",'[7]BASE'!ED48)</f>
      </c>
      <c r="O48" s="2429">
        <f>IF('[7]BASE'!EE48=0,"",'[7]BASE'!EE48)</f>
      </c>
      <c r="P48" s="2429">
        <f>IF('[7]BASE'!EF48=0,"",'[7]BASE'!EF48)</f>
      </c>
      <c r="Q48" s="2429">
        <f>IF('[7]BASE'!EG48=0,"",'[7]BASE'!EG48)</f>
      </c>
      <c r="R48" s="2429">
        <f>IF('[7]BASE'!EH48=0,"",'[7]BASE'!EH48)</f>
      </c>
      <c r="S48" s="2429">
        <f>IF('[7]BASE'!EI48=0,"",'[7]BASE'!EI48)</f>
      </c>
      <c r="T48" s="2430"/>
      <c r="U48" s="2427"/>
    </row>
    <row r="49" spans="2:21" s="2421" customFormat="1" ht="19.5" customHeight="1">
      <c r="B49" s="2422"/>
      <c r="C49" s="2428">
        <f>IF('[7]BASE'!C49=0,"",'[7]BASE'!C49)</f>
        <v>33</v>
      </c>
      <c r="D49" s="2428" t="str">
        <f>IF('[7]BASE'!D49=0,"",'[7]BASE'!D49)</f>
        <v>OLAVARRIA - BAHIA BLANCA 2</v>
      </c>
      <c r="E49" s="2428">
        <f>IF('[7]BASE'!E49=0,"",'[7]BASE'!E49)</f>
        <v>500</v>
      </c>
      <c r="F49" s="2428">
        <f>IF('[7]BASE'!F49=0,"",'[7]BASE'!F49)</f>
        <v>254.8</v>
      </c>
      <c r="G49" s="2428" t="e">
        <f>IF('[8]BASE'!G49=0,"",'[8]BASE'!G49)</f>
        <v>#REF!</v>
      </c>
      <c r="H49" s="2429">
        <f>IF('[7]BASE'!DX49=0,"",'[7]BASE'!DX49)</f>
      </c>
      <c r="I49" s="2429">
        <f>IF('[7]BASE'!DY49=0,"",'[7]BASE'!DY49)</f>
      </c>
      <c r="J49" s="2429">
        <f>IF('[7]BASE'!DZ49=0,"",'[7]BASE'!DZ49)</f>
        <v>1</v>
      </c>
      <c r="K49" s="2429">
        <f>IF('[7]BASE'!EA49=0,"",'[7]BASE'!EA49)</f>
      </c>
      <c r="L49" s="2429">
        <f>IF('[7]BASE'!EB49=0,"",'[7]BASE'!EB49)</f>
      </c>
      <c r="M49" s="2429">
        <f>IF('[7]BASE'!EC49=0,"",'[7]BASE'!EC49)</f>
      </c>
      <c r="N49" s="2429">
        <f>IF('[7]BASE'!ED49=0,"",'[7]BASE'!ED49)</f>
      </c>
      <c r="O49" s="2429">
        <f>IF('[7]BASE'!EE49=0,"",'[7]BASE'!EE49)</f>
      </c>
      <c r="P49" s="2429">
        <f>IF('[7]BASE'!EF49=0,"",'[7]BASE'!EF49)</f>
        <v>2</v>
      </c>
      <c r="Q49" s="2429">
        <f>IF('[7]BASE'!EG49=0,"",'[7]BASE'!EG49)</f>
      </c>
      <c r="R49" s="2429">
        <f>IF('[7]BASE'!EH49=0,"",'[7]BASE'!EH49)</f>
      </c>
      <c r="S49" s="2429">
        <f>IF('[7]BASE'!EI49=0,"",'[7]BASE'!EI49)</f>
      </c>
      <c r="T49" s="2430"/>
      <c r="U49" s="2427"/>
    </row>
    <row r="50" spans="2:21" s="2421" customFormat="1" ht="19.5" customHeight="1">
      <c r="B50" s="2422"/>
      <c r="C50" s="2428">
        <f>IF('[7]BASE'!C50=0,"",'[7]BASE'!C50)</f>
        <v>34</v>
      </c>
      <c r="D50" s="2428" t="str">
        <f>IF('[7]BASE'!D50=0,"",'[7]BASE'!D50)</f>
        <v>P.del AGUILA  - CHOELE CHOEL</v>
      </c>
      <c r="E50" s="2428">
        <f>IF('[7]BASE'!E50=0,"",'[7]BASE'!E50)</f>
        <v>500</v>
      </c>
      <c r="F50" s="2428">
        <f>IF('[7]BASE'!F50=0,"",'[7]BASE'!F50)</f>
        <v>386.7</v>
      </c>
      <c r="G50" s="2428" t="e">
        <f>IF('[8]BASE'!G50=0,"",'[8]BASE'!G50)</f>
        <v>#REF!</v>
      </c>
      <c r="H50" s="2429">
        <f>IF('[7]BASE'!DX50=0,"",'[7]BASE'!DX50)</f>
      </c>
      <c r="I50" s="2429">
        <f>IF('[7]BASE'!DY50=0,"",'[7]BASE'!DY50)</f>
      </c>
      <c r="J50" s="2429">
        <f>IF('[7]BASE'!DZ50=0,"",'[7]BASE'!DZ50)</f>
      </c>
      <c r="K50" s="2429">
        <f>IF('[7]BASE'!EA50=0,"",'[7]BASE'!EA50)</f>
      </c>
      <c r="L50" s="2429">
        <f>IF('[7]BASE'!EB50=0,"",'[7]BASE'!EB50)</f>
      </c>
      <c r="M50" s="2429">
        <f>IF('[7]BASE'!EC50=0,"",'[7]BASE'!EC50)</f>
      </c>
      <c r="N50" s="2429">
        <f>IF('[7]BASE'!ED50=0,"",'[7]BASE'!ED50)</f>
      </c>
      <c r="O50" s="2429">
        <f>IF('[7]BASE'!EE50=0,"",'[7]BASE'!EE50)</f>
      </c>
      <c r="P50" s="2429">
        <f>IF('[7]BASE'!EF50=0,"",'[7]BASE'!EF50)</f>
      </c>
      <c r="Q50" s="2429">
        <f>IF('[7]BASE'!EG50=0,"",'[7]BASE'!EG50)</f>
      </c>
      <c r="R50" s="2429">
        <f>IF('[7]BASE'!EH50=0,"",'[7]BASE'!EH50)</f>
      </c>
      <c r="S50" s="2429">
        <f>IF('[7]BASE'!EI50=0,"",'[7]BASE'!EI50)</f>
      </c>
      <c r="T50" s="2430"/>
      <c r="U50" s="2427"/>
    </row>
    <row r="51" spans="2:21" s="2421" customFormat="1" ht="19.5" customHeight="1">
      <c r="B51" s="2422"/>
      <c r="C51" s="2428">
        <f>IF('[7]BASE'!C51=0,"",'[7]BASE'!C51)</f>
        <v>35</v>
      </c>
      <c r="D51" s="2428" t="str">
        <f>IF('[7]BASE'!D51=0,"",'[7]BASE'!D51)</f>
        <v>P.del AGUILA  - CHO. W. 1 (5GW1)</v>
      </c>
      <c r="E51" s="2428">
        <f>IF('[7]BASE'!E51=0,"",'[7]BASE'!E51)</f>
        <v>500</v>
      </c>
      <c r="F51" s="2428">
        <f>IF('[7]BASE'!F51=0,"",'[7]BASE'!F51)</f>
        <v>165</v>
      </c>
      <c r="G51" s="2428" t="str">
        <f>IF('[8]BASE'!G51=0,"",'[8]BASE'!G51)</f>
        <v>A</v>
      </c>
      <c r="H51" s="2429">
        <f>IF('[7]BASE'!DX51=0,"",'[7]BASE'!DX51)</f>
      </c>
      <c r="I51" s="2429">
        <f>IF('[7]BASE'!DY51=0,"",'[7]BASE'!DY51)</f>
      </c>
      <c r="J51" s="2429">
        <f>IF('[7]BASE'!DZ51=0,"",'[7]BASE'!DZ51)</f>
      </c>
      <c r="K51" s="2429">
        <f>IF('[7]BASE'!EA51=0,"",'[7]BASE'!EA51)</f>
      </c>
      <c r="L51" s="2429">
        <f>IF('[7]BASE'!EB51=0,"",'[7]BASE'!EB51)</f>
      </c>
      <c r="M51" s="2429">
        <f>IF('[7]BASE'!EC51=0,"",'[7]BASE'!EC51)</f>
      </c>
      <c r="N51" s="2429">
        <f>IF('[7]BASE'!ED51=0,"",'[7]BASE'!ED51)</f>
      </c>
      <c r="O51" s="2429">
        <f>IF('[7]BASE'!EE51=0,"",'[7]BASE'!EE51)</f>
      </c>
      <c r="P51" s="2429">
        <f>IF('[7]BASE'!EF51=0,"",'[7]BASE'!EF51)</f>
      </c>
      <c r="Q51" s="2429">
        <f>IF('[7]BASE'!EG51=0,"",'[7]BASE'!EG51)</f>
      </c>
      <c r="R51" s="2429">
        <f>IF('[7]BASE'!EH51=0,"",'[7]BASE'!EH51)</f>
        <v>1</v>
      </c>
      <c r="S51" s="2429">
        <f>IF('[7]BASE'!EI51=0,"",'[7]BASE'!EI51)</f>
      </c>
      <c r="T51" s="2430"/>
      <c r="U51" s="2427"/>
    </row>
    <row r="52" spans="2:21" s="2421" customFormat="1" ht="19.5" customHeight="1">
      <c r="B52" s="2422"/>
      <c r="C52" s="2428">
        <f>IF('[7]BASE'!C52=0,"",'[7]BASE'!C52)</f>
        <v>36</v>
      </c>
      <c r="D52" s="2428" t="str">
        <f>IF('[7]BASE'!D52=0,"",'[7]BASE'!D52)</f>
        <v>P.del AGUILA  - CHO. W. 2 (5GW2)</v>
      </c>
      <c r="E52" s="2428">
        <f>IF('[7]BASE'!E52=0,"",'[7]BASE'!E52)</f>
        <v>500</v>
      </c>
      <c r="F52" s="2428">
        <f>IF('[7]BASE'!F52=0,"",'[7]BASE'!F52)</f>
        <v>170</v>
      </c>
      <c r="G52" s="2428" t="str">
        <f>IF('[8]BASE'!G52=0,"",'[8]BASE'!G52)</f>
        <v>A</v>
      </c>
      <c r="H52" s="2429">
        <f>IF('[7]BASE'!DX52=0,"",'[7]BASE'!DX52)</f>
      </c>
      <c r="I52" s="2429">
        <f>IF('[7]BASE'!DY52=0,"",'[7]BASE'!DY52)</f>
      </c>
      <c r="J52" s="2429">
        <f>IF('[7]BASE'!DZ52=0,"",'[7]BASE'!DZ52)</f>
      </c>
      <c r="K52" s="2429">
        <f>IF('[7]BASE'!EA52=0,"",'[7]BASE'!EA52)</f>
      </c>
      <c r="L52" s="2429">
        <f>IF('[7]BASE'!EB52=0,"",'[7]BASE'!EB52)</f>
      </c>
      <c r="M52" s="2429">
        <f>IF('[7]BASE'!EC52=0,"",'[7]BASE'!EC52)</f>
      </c>
      <c r="N52" s="2429">
        <f>IF('[7]BASE'!ED52=0,"",'[7]BASE'!ED52)</f>
      </c>
      <c r="O52" s="2429">
        <f>IF('[7]BASE'!EE52=0,"",'[7]BASE'!EE52)</f>
      </c>
      <c r="P52" s="2429">
        <f>IF('[7]BASE'!EF52=0,"",'[7]BASE'!EF52)</f>
      </c>
      <c r="Q52" s="2429">
        <f>IF('[7]BASE'!EG52=0,"",'[7]BASE'!EG52)</f>
      </c>
      <c r="R52" s="2429">
        <f>IF('[7]BASE'!EH52=0,"",'[7]BASE'!EH52)</f>
      </c>
      <c r="S52" s="2429">
        <f>IF('[7]BASE'!EI52=0,"",'[7]BASE'!EI52)</f>
      </c>
      <c r="T52" s="2430"/>
      <c r="U52" s="2427"/>
    </row>
    <row r="53" spans="2:21" s="2421" customFormat="1" ht="19.5" customHeight="1">
      <c r="B53" s="2422"/>
      <c r="C53" s="2428">
        <f>IF('[7]BASE'!C53=0,"",'[7]BASE'!C53)</f>
        <v>37</v>
      </c>
      <c r="D53" s="2428" t="str">
        <f>IF('[7]BASE'!D53=0,"",'[7]BASE'!D53)</f>
        <v>PUELCHES - HENDERSON 1 (B1)</v>
      </c>
      <c r="E53" s="2428">
        <f>IF('[7]BASE'!E53=0,"",'[7]BASE'!E53)</f>
        <v>500</v>
      </c>
      <c r="F53" s="2428">
        <f>IF('[7]BASE'!F53=0,"",'[7]BASE'!F53)</f>
        <v>421</v>
      </c>
      <c r="G53" s="2428" t="str">
        <f>IF('[8]BASE'!G53=0,"",'[8]BASE'!G53)</f>
        <v>A</v>
      </c>
      <c r="H53" s="2429">
        <f>IF('[7]BASE'!DX53=0,"",'[7]BASE'!DX53)</f>
      </c>
      <c r="I53" s="2429">
        <f>IF('[7]BASE'!DY53=0,"",'[7]BASE'!DY53)</f>
      </c>
      <c r="J53" s="2429">
        <f>IF('[7]BASE'!DZ53=0,"",'[7]BASE'!DZ53)</f>
      </c>
      <c r="K53" s="2429">
        <f>IF('[7]BASE'!EA53=0,"",'[7]BASE'!EA53)</f>
      </c>
      <c r="L53" s="2429">
        <f>IF('[7]BASE'!EB53=0,"",'[7]BASE'!EB53)</f>
      </c>
      <c r="M53" s="2429">
        <f>IF('[7]BASE'!EC53=0,"",'[7]BASE'!EC53)</f>
      </c>
      <c r="N53" s="2429">
        <f>IF('[7]BASE'!ED53=0,"",'[7]BASE'!ED53)</f>
      </c>
      <c r="O53" s="2429">
        <f>IF('[7]BASE'!EE53=0,"",'[7]BASE'!EE53)</f>
      </c>
      <c r="P53" s="2429">
        <f>IF('[7]BASE'!EF53=0,"",'[7]BASE'!EF53)</f>
      </c>
      <c r="Q53" s="2429">
        <f>IF('[7]BASE'!EG53=0,"",'[7]BASE'!EG53)</f>
      </c>
      <c r="R53" s="2429">
        <f>IF('[7]BASE'!EH53=0,"",'[7]BASE'!EH53)</f>
      </c>
      <c r="S53" s="2429">
        <f>IF('[7]BASE'!EI53=0,"",'[7]BASE'!EI53)</f>
      </c>
      <c r="T53" s="2430"/>
      <c r="U53" s="2427"/>
    </row>
    <row r="54" spans="2:21" s="2421" customFormat="1" ht="19.5" customHeight="1">
      <c r="B54" s="2422"/>
      <c r="C54" s="2428">
        <f>IF('[7]BASE'!C54=0,"",'[7]BASE'!C54)</f>
        <v>38</v>
      </c>
      <c r="D54" s="2428" t="str">
        <f>IF('[7]BASE'!D54=0,"",'[7]BASE'!D54)</f>
        <v>PUELCHES - HENDERSON 2 (B2)</v>
      </c>
      <c r="E54" s="2428">
        <f>IF('[7]BASE'!E54=0,"",'[7]BASE'!E54)</f>
        <v>500</v>
      </c>
      <c r="F54" s="2428">
        <f>IF('[7]BASE'!F54=0,"",'[7]BASE'!F54)</f>
        <v>421</v>
      </c>
      <c r="G54" s="2428" t="str">
        <f>IF('[8]BASE'!G54=0,"",'[8]BASE'!G54)</f>
        <v>A</v>
      </c>
      <c r="H54" s="2429" t="str">
        <f>IF('[7]BASE'!DX54=0,"",'[7]BASE'!DX54)</f>
        <v>XXXX</v>
      </c>
      <c r="I54" s="2429" t="str">
        <f>IF('[7]BASE'!DY54=0,"",'[7]BASE'!DY54)</f>
        <v>XXXX</v>
      </c>
      <c r="J54" s="2429" t="str">
        <f>IF('[7]BASE'!DZ54=0,"",'[7]BASE'!DZ54)</f>
        <v>XXXX</v>
      </c>
      <c r="K54" s="2429" t="str">
        <f>IF('[7]BASE'!EA54=0,"",'[7]BASE'!EA54)</f>
        <v>XXXX</v>
      </c>
      <c r="L54" s="2429" t="str">
        <f>IF('[7]BASE'!EB54=0,"",'[7]BASE'!EB54)</f>
        <v>XXXX</v>
      </c>
      <c r="M54" s="2429" t="str">
        <f>IF('[7]BASE'!EC54=0,"",'[7]BASE'!EC54)</f>
        <v>XXXX</v>
      </c>
      <c r="N54" s="2429" t="str">
        <f>IF('[7]BASE'!ED54=0,"",'[7]BASE'!ED54)</f>
        <v>XXXX</v>
      </c>
      <c r="O54" s="2429" t="str">
        <f>IF('[7]BASE'!EE54=0,"",'[7]BASE'!EE54)</f>
        <v>XXXX</v>
      </c>
      <c r="P54" s="2429" t="str">
        <f>IF('[7]BASE'!EF54=0,"",'[7]BASE'!EF54)</f>
        <v>XXXX</v>
      </c>
      <c r="Q54" s="2429" t="str">
        <f>IF('[7]BASE'!EG54=0,"",'[7]BASE'!EG54)</f>
        <v>XXXX</v>
      </c>
      <c r="R54" s="2429" t="str">
        <f>IF('[7]BASE'!EH54=0,"",'[7]BASE'!EH54)</f>
        <v>XXXX</v>
      </c>
      <c r="S54" s="2429" t="str">
        <f>IF('[7]BASE'!EI54=0,"",'[7]BASE'!EI54)</f>
        <v>XXXX</v>
      </c>
      <c r="T54" s="2430"/>
      <c r="U54" s="2427"/>
    </row>
    <row r="55" spans="2:21" s="2421" customFormat="1" ht="19.5" customHeight="1">
      <c r="B55" s="2422"/>
      <c r="C55" s="2428">
        <f>IF('[7]BASE'!C55=0,"",'[7]BASE'!C55)</f>
        <v>39</v>
      </c>
      <c r="D55" s="2428" t="str">
        <f>IF('[7]BASE'!D55=0,"",'[7]BASE'!D55)</f>
        <v>RECREO - MALVINAS ARG. </v>
      </c>
      <c r="E55" s="2428">
        <f>IF('[7]BASE'!E55=0,"",'[7]BASE'!E55)</f>
        <v>500</v>
      </c>
      <c r="F55" s="2428">
        <f>IF('[7]BASE'!F55=0,"",'[7]BASE'!F55)</f>
        <v>259</v>
      </c>
      <c r="G55" s="2428" t="str">
        <f>IF('[8]BASE'!G55=0,"",'[8]BASE'!G55)</f>
        <v>C</v>
      </c>
      <c r="H55" s="2429">
        <f>IF('[7]BASE'!DX55=0,"",'[7]BASE'!DX55)</f>
      </c>
      <c r="I55" s="2429">
        <f>IF('[7]BASE'!DY55=0,"",'[7]BASE'!DY55)</f>
      </c>
      <c r="J55" s="2429">
        <f>IF('[7]BASE'!DZ55=0,"",'[7]BASE'!DZ55)</f>
      </c>
      <c r="K55" s="2429">
        <f>IF('[7]BASE'!EA55=0,"",'[7]BASE'!EA55)</f>
      </c>
      <c r="L55" s="2429">
        <f>IF('[7]BASE'!EB55=0,"",'[7]BASE'!EB55)</f>
      </c>
      <c r="M55" s="2429">
        <f>IF('[7]BASE'!EC55=0,"",'[7]BASE'!EC55)</f>
      </c>
      <c r="N55" s="2429">
        <f>IF('[7]BASE'!ED55=0,"",'[7]BASE'!ED55)</f>
      </c>
      <c r="O55" s="2429">
        <f>IF('[7]BASE'!EE55=0,"",'[7]BASE'!EE55)</f>
      </c>
      <c r="P55" s="2429">
        <f>IF('[7]BASE'!EF55=0,"",'[7]BASE'!EF55)</f>
      </c>
      <c r="Q55" s="2429">
        <f>IF('[7]BASE'!EG55=0,"",'[7]BASE'!EG55)</f>
      </c>
      <c r="R55" s="2429">
        <f>IF('[7]BASE'!EH55=0,"",'[7]BASE'!EH55)</f>
      </c>
      <c r="S55" s="2429">
        <f>IF('[7]BASE'!EI55=0,"",'[7]BASE'!EI55)</f>
      </c>
      <c r="T55" s="2430"/>
      <c r="U55" s="2427"/>
    </row>
    <row r="56" spans="2:21" s="2421" customFormat="1" ht="19.5" customHeight="1">
      <c r="B56" s="2422"/>
      <c r="C56" s="2428">
        <f>IF('[7]BASE'!C56=0,"",'[7]BASE'!C56)</f>
        <v>40</v>
      </c>
      <c r="D56" s="2428" t="str">
        <f>IF('[7]BASE'!D56=0,"",'[7]BASE'!D56)</f>
        <v>RIO GRANDE - EMBALSE</v>
      </c>
      <c r="E56" s="2428">
        <f>IF('[7]BASE'!E56=0,"",'[7]BASE'!E56)</f>
        <v>500</v>
      </c>
      <c r="F56" s="2428">
        <f>IF('[7]BASE'!F56=0,"",'[7]BASE'!F56)</f>
        <v>30</v>
      </c>
      <c r="G56" s="2428" t="str">
        <f>IF('[8]BASE'!G56=0,"",'[8]BASE'!G56)</f>
        <v>B</v>
      </c>
      <c r="H56" s="2429">
        <f>IF('[7]BASE'!DX56=0,"",'[7]BASE'!DX56)</f>
      </c>
      <c r="I56" s="2429">
        <f>IF('[7]BASE'!DY56=0,"",'[7]BASE'!DY56)</f>
      </c>
      <c r="J56" s="2429">
        <f>IF('[7]BASE'!DZ56=0,"",'[7]BASE'!DZ56)</f>
      </c>
      <c r="K56" s="2429">
        <f>IF('[7]BASE'!EA56=0,"",'[7]BASE'!EA56)</f>
      </c>
      <c r="L56" s="2429">
        <f>IF('[7]BASE'!EB56=0,"",'[7]BASE'!EB56)</f>
      </c>
      <c r="M56" s="2429">
        <f>IF('[7]BASE'!EC56=0,"",'[7]BASE'!EC56)</f>
      </c>
      <c r="N56" s="2429">
        <f>IF('[7]BASE'!ED56=0,"",'[7]BASE'!ED56)</f>
      </c>
      <c r="O56" s="2429">
        <f>IF('[7]BASE'!EE56=0,"",'[7]BASE'!EE56)</f>
      </c>
      <c r="P56" s="2429">
        <f>IF('[7]BASE'!EF56=0,"",'[7]BASE'!EF56)</f>
      </c>
      <c r="Q56" s="2429">
        <f>IF('[7]BASE'!EG56=0,"",'[7]BASE'!EG56)</f>
      </c>
      <c r="R56" s="2429">
        <f>IF('[7]BASE'!EH56=0,"",'[7]BASE'!EH56)</f>
      </c>
      <c r="S56" s="2429">
        <f>IF('[7]BASE'!EI56=0,"",'[7]BASE'!EI56)</f>
      </c>
      <c r="T56" s="2430"/>
      <c r="U56" s="2427"/>
    </row>
    <row r="57" spans="2:21" s="2421" customFormat="1" ht="19.5" customHeight="1">
      <c r="B57" s="2422"/>
      <c r="C57" s="2428">
        <f>IF('[7]BASE'!C57=0,"",'[7]BASE'!C57)</f>
        <v>41</v>
      </c>
      <c r="D57" s="2428" t="str">
        <f>IF('[7]BASE'!D57=0,"",'[7]BASE'!D57)</f>
        <v>RIO GRANDE - GRAN MENDOZA</v>
      </c>
      <c r="E57" s="2428">
        <f>IF('[7]BASE'!E57=0,"",'[7]BASE'!E57)</f>
        <v>500</v>
      </c>
      <c r="F57" s="2428">
        <f>IF('[7]BASE'!F57=0,"",'[7]BASE'!F57)</f>
        <v>407</v>
      </c>
      <c r="G57" s="2428" t="str">
        <f>IF('[8]BASE'!G57=0,"",'[8]BASE'!G57)</f>
        <v>B</v>
      </c>
      <c r="H57" s="2429" t="str">
        <f>IF('[7]BASE'!DX57=0,"",'[7]BASE'!DX57)</f>
        <v>XXXX</v>
      </c>
      <c r="I57" s="2429" t="str">
        <f>IF('[7]BASE'!DY57=0,"",'[7]BASE'!DY57)</f>
        <v>XXXX</v>
      </c>
      <c r="J57" s="2429" t="str">
        <f>IF('[7]BASE'!DZ57=0,"",'[7]BASE'!DZ57)</f>
        <v>XXXX</v>
      </c>
      <c r="K57" s="2429" t="str">
        <f>IF('[7]BASE'!EA57=0,"",'[7]BASE'!EA57)</f>
        <v>XXXX</v>
      </c>
      <c r="L57" s="2429" t="str">
        <f>IF('[7]BASE'!EB57=0,"",'[7]BASE'!EB57)</f>
        <v>XXXX</v>
      </c>
      <c r="M57" s="2429" t="str">
        <f>IF('[7]BASE'!EC57=0,"",'[7]BASE'!EC57)</f>
        <v>XXXX</v>
      </c>
      <c r="N57" s="2429" t="str">
        <f>IF('[7]BASE'!ED57=0,"",'[7]BASE'!ED57)</f>
        <v>XXXX</v>
      </c>
      <c r="O57" s="2429" t="str">
        <f>IF('[7]BASE'!EE57=0,"",'[7]BASE'!EE57)</f>
        <v>XXXX</v>
      </c>
      <c r="P57" s="2429" t="str">
        <f>IF('[7]BASE'!EF57=0,"",'[7]BASE'!EF57)</f>
        <v>XXXX</v>
      </c>
      <c r="Q57" s="2429" t="str">
        <f>IF('[7]BASE'!EG57=0,"",'[7]BASE'!EG57)</f>
        <v>XXXX</v>
      </c>
      <c r="R57" s="2429" t="str">
        <f>IF('[7]BASE'!EH57=0,"",'[7]BASE'!EH57)</f>
        <v>XXXX</v>
      </c>
      <c r="S57" s="2429" t="str">
        <f>IF('[7]BASE'!EI57=0,"",'[7]BASE'!EI57)</f>
        <v>XXXX</v>
      </c>
      <c r="T57" s="2430"/>
      <c r="U57" s="2427"/>
    </row>
    <row r="58" spans="2:21" s="2421" customFormat="1" ht="19.5" customHeight="1">
      <c r="B58" s="2422"/>
      <c r="C58" s="2428">
        <f>IF('[7]BASE'!C58=0,"",'[7]BASE'!C58)</f>
        <v>42</v>
      </c>
      <c r="D58" s="2428" t="str">
        <f>IF('[7]BASE'!D58=0,"",'[7]BASE'!D58)</f>
        <v>RIO GRANDE - LUJAN</v>
      </c>
      <c r="E58" s="2428">
        <f>IF('[7]BASE'!E58=0,"",'[7]BASE'!E58)</f>
        <v>500</v>
      </c>
      <c r="F58" s="2428">
        <f>IF('[7]BASE'!F58=0,"",'[7]BASE'!F58)</f>
        <v>150</v>
      </c>
      <c r="G58" s="2428" t="str">
        <f>IF('[8]BASE'!G58=0,"",'[8]BASE'!G58)</f>
        <v>A</v>
      </c>
      <c r="H58" s="2429">
        <f>IF('[7]BASE'!DX58=0,"",'[7]BASE'!DX58)</f>
      </c>
      <c r="I58" s="2429">
        <f>IF('[7]BASE'!DY58=0,"",'[7]BASE'!DY58)</f>
      </c>
      <c r="J58" s="2429">
        <f>IF('[7]BASE'!DZ58=0,"",'[7]BASE'!DZ58)</f>
      </c>
      <c r="K58" s="2429">
        <f>IF('[7]BASE'!EA58=0,"",'[7]BASE'!EA58)</f>
      </c>
      <c r="L58" s="2429">
        <f>IF('[7]BASE'!EB58=0,"",'[7]BASE'!EB58)</f>
      </c>
      <c r="M58" s="2429">
        <f>IF('[7]BASE'!EC58=0,"",'[7]BASE'!EC58)</f>
      </c>
      <c r="N58" s="2429">
        <f>IF('[7]BASE'!ED58=0,"",'[7]BASE'!ED58)</f>
        <v>1</v>
      </c>
      <c r="O58" s="2429">
        <f>IF('[7]BASE'!EE58=0,"",'[7]BASE'!EE58)</f>
      </c>
      <c r="P58" s="2429">
        <f>IF('[7]BASE'!EF58=0,"",'[7]BASE'!EF58)</f>
      </c>
      <c r="Q58" s="2429">
        <f>IF('[7]BASE'!EG58=0,"",'[7]BASE'!EG58)</f>
      </c>
      <c r="R58" s="2429">
        <f>IF('[7]BASE'!EH58=0,"",'[7]BASE'!EH58)</f>
      </c>
      <c r="S58" s="2429">
        <f>IF('[7]BASE'!EI58=0,"",'[7]BASE'!EI58)</f>
      </c>
      <c r="T58" s="2430"/>
      <c r="U58" s="2427"/>
    </row>
    <row r="59" spans="2:21" s="2421" customFormat="1" ht="19.5" customHeight="1">
      <c r="B59" s="2422"/>
      <c r="C59" s="2428">
        <f>IF('[7]BASE'!C59=0,"",'[7]BASE'!C59)</f>
        <v>43</v>
      </c>
      <c r="D59" s="2428" t="str">
        <f>IF('[7]BASE'!D59=0,"",'[7]BASE'!D59)</f>
        <v>LUJAN - GRAN MENDOZA</v>
      </c>
      <c r="E59" s="2428">
        <f>IF('[7]BASE'!E59=0,"",'[7]BASE'!E59)</f>
        <v>500</v>
      </c>
      <c r="F59" s="2428">
        <f>IF('[7]BASE'!F59=0,"",'[7]BASE'!F59)</f>
        <v>257</v>
      </c>
      <c r="G59" s="2428" t="str">
        <f>IF('[8]BASE'!G59=0,"",'[8]BASE'!G59)</f>
        <v>B</v>
      </c>
      <c r="H59" s="2429">
        <f>IF('[7]BASE'!DX59=0,"",'[7]BASE'!DX59)</f>
      </c>
      <c r="I59" s="2429">
        <f>IF('[7]BASE'!DY59=0,"",'[7]BASE'!DY59)</f>
      </c>
      <c r="J59" s="2429">
        <f>IF('[7]BASE'!DZ59=0,"",'[7]BASE'!DZ59)</f>
      </c>
      <c r="K59" s="2429">
        <f>IF('[7]BASE'!EA59=0,"",'[7]BASE'!EA59)</f>
      </c>
      <c r="L59" s="2429">
        <f>IF('[7]BASE'!EB59=0,"",'[7]BASE'!EB59)</f>
      </c>
      <c r="M59" s="2429">
        <f>IF('[7]BASE'!EC59=0,"",'[7]BASE'!EC59)</f>
      </c>
      <c r="N59" s="2429">
        <f>IF('[7]BASE'!ED59=0,"",'[7]BASE'!ED59)</f>
        <v>1</v>
      </c>
      <c r="O59" s="2429">
        <f>IF('[7]BASE'!EE59=0,"",'[7]BASE'!EE59)</f>
      </c>
      <c r="P59" s="2429">
        <f>IF('[7]BASE'!EF59=0,"",'[7]BASE'!EF59)</f>
      </c>
      <c r="Q59" s="2429">
        <f>IF('[7]BASE'!EG59=0,"",'[7]BASE'!EG59)</f>
      </c>
      <c r="R59" s="2429">
        <f>IF('[7]BASE'!EH59=0,"",'[7]BASE'!EH59)</f>
      </c>
      <c r="S59" s="2429">
        <f>IF('[7]BASE'!EI59=0,"",'[7]BASE'!EI59)</f>
      </c>
      <c r="T59" s="2430"/>
      <c r="U59" s="2427"/>
    </row>
    <row r="60" spans="2:21" s="2421" customFormat="1" ht="19.5" customHeight="1">
      <c r="B60" s="2422"/>
      <c r="C60" s="2428">
        <f>IF('[7]BASE'!C60=0,"",'[7]BASE'!C60)</f>
        <v>44</v>
      </c>
      <c r="D60" s="2428" t="str">
        <f>IF('[7]BASE'!D60=0,"",'[7]BASE'!D60)</f>
        <v>ROMANG - RESISTENCIA</v>
      </c>
      <c r="E60" s="2428">
        <f>IF('[7]BASE'!E60=0,"",'[7]BASE'!E60)</f>
        <v>500</v>
      </c>
      <c r="F60" s="2428">
        <f>IF('[7]BASE'!F60=0,"",'[7]BASE'!F60)</f>
        <v>256</v>
      </c>
      <c r="G60" s="2428" t="str">
        <f>IF('[8]BASE'!G60=0,"",'[8]BASE'!G60)</f>
        <v>A</v>
      </c>
      <c r="H60" s="2429">
        <f>IF('[7]BASE'!DX60=0,"",'[7]BASE'!DX60)</f>
        <v>1</v>
      </c>
      <c r="I60" s="2429">
        <f>IF('[7]BASE'!DY60=0,"",'[7]BASE'!DY60)</f>
      </c>
      <c r="J60" s="2429">
        <f>IF('[7]BASE'!DZ60=0,"",'[7]BASE'!DZ60)</f>
      </c>
      <c r="K60" s="2429">
        <f>IF('[7]BASE'!EA60=0,"",'[7]BASE'!EA60)</f>
      </c>
      <c r="L60" s="2429">
        <f>IF('[7]BASE'!EB60=0,"",'[7]BASE'!EB60)</f>
      </c>
      <c r="M60" s="2429">
        <f>IF('[7]BASE'!EC60=0,"",'[7]BASE'!EC60)</f>
      </c>
      <c r="N60" s="2429">
        <f>IF('[7]BASE'!ED60=0,"",'[7]BASE'!ED60)</f>
      </c>
      <c r="O60" s="2429">
        <f>IF('[7]BASE'!EE60=0,"",'[7]BASE'!EE60)</f>
        <v>1</v>
      </c>
      <c r="P60" s="2429">
        <f>IF('[7]BASE'!EF60=0,"",'[7]BASE'!EF60)</f>
      </c>
      <c r="Q60" s="2429">
        <f>IF('[7]BASE'!EG60=0,"",'[7]BASE'!EG60)</f>
      </c>
      <c r="R60" s="2429">
        <f>IF('[7]BASE'!EH60=0,"",'[7]BASE'!EH60)</f>
      </c>
      <c r="S60" s="2429">
        <f>IF('[7]BASE'!EI60=0,"",'[7]BASE'!EI60)</f>
      </c>
      <c r="T60" s="2430"/>
      <c r="U60" s="2427"/>
    </row>
    <row r="61" spans="2:21" s="2421" customFormat="1" ht="19.5" customHeight="1">
      <c r="B61" s="2422"/>
      <c r="C61" s="2428">
        <f>IF('[7]BASE'!C61=0,"",'[7]BASE'!C61)</f>
        <v>45</v>
      </c>
      <c r="D61" s="2428" t="str">
        <f>IF('[7]BASE'!D61=0,"",'[7]BASE'!D61)</f>
        <v>ROSARIO OESTE -SANTO TOME</v>
      </c>
      <c r="E61" s="2428">
        <f>IF('[7]BASE'!E61=0,"",'[7]BASE'!E61)</f>
        <v>500</v>
      </c>
      <c r="F61" s="2428">
        <f>IF('[7]BASE'!F61=0,"",'[7]BASE'!F61)</f>
        <v>159</v>
      </c>
      <c r="G61" s="2428" t="str">
        <f>IF('[8]BASE'!G61=0,"",'[8]BASE'!G61)</f>
        <v>C</v>
      </c>
      <c r="H61" s="2429" t="str">
        <f>IF('[7]BASE'!DX61=0,"",'[7]BASE'!DX61)</f>
        <v>XXXX</v>
      </c>
      <c r="I61" s="2429" t="str">
        <f>IF('[7]BASE'!DY61=0,"",'[7]BASE'!DY61)</f>
        <v>XXXX</v>
      </c>
      <c r="J61" s="2429" t="str">
        <f>IF('[7]BASE'!DZ61=0,"",'[7]BASE'!DZ61)</f>
        <v>XXXX</v>
      </c>
      <c r="K61" s="2429" t="str">
        <f>IF('[7]BASE'!EA61=0,"",'[7]BASE'!EA61)</f>
        <v>XXXX</v>
      </c>
      <c r="L61" s="2429" t="str">
        <f>IF('[7]BASE'!EB61=0,"",'[7]BASE'!EB61)</f>
        <v>XXXX</v>
      </c>
      <c r="M61" s="2429" t="str">
        <f>IF('[7]BASE'!EC61=0,"",'[7]BASE'!EC61)</f>
        <v>XXXX</v>
      </c>
      <c r="N61" s="2429" t="str">
        <f>IF('[7]BASE'!ED61=0,"",'[7]BASE'!ED61)</f>
        <v>XXXX</v>
      </c>
      <c r="O61" s="2429" t="str">
        <f>IF('[7]BASE'!EE61=0,"",'[7]BASE'!EE61)</f>
        <v>XXXX</v>
      </c>
      <c r="P61" s="2429" t="str">
        <f>IF('[7]BASE'!EF61=0,"",'[7]BASE'!EF61)</f>
        <v>XXXX</v>
      </c>
      <c r="Q61" s="2429" t="str">
        <f>IF('[7]BASE'!EG61=0,"",'[7]BASE'!EG61)</f>
        <v>XXXX</v>
      </c>
      <c r="R61" s="2429" t="str">
        <f>IF('[7]BASE'!EH61=0,"",'[7]BASE'!EH61)</f>
        <v>XXXX</v>
      </c>
      <c r="S61" s="2429" t="str">
        <f>IF('[7]BASE'!EI61=0,"",'[7]BASE'!EI61)</f>
        <v>XXXX</v>
      </c>
      <c r="T61" s="2430"/>
      <c r="U61" s="2427"/>
    </row>
    <row r="62" spans="2:21" s="2421" customFormat="1" ht="19.5" customHeight="1">
      <c r="B62" s="2422"/>
      <c r="C62" s="2428">
        <f>IF('[7]BASE'!C62=0,"",'[7]BASE'!C62)</f>
      </c>
      <c r="D62" s="2428" t="str">
        <f>IF('[7]BASE'!D62=0,"",'[7]BASE'!D62)</f>
        <v>ROSARIO OESTE - RIO CORONDA</v>
      </c>
      <c r="E62" s="2428">
        <f>IF('[7]BASE'!E62=0,"",'[7]BASE'!E62)</f>
        <v>500</v>
      </c>
      <c r="F62" s="2428">
        <f>IF('[7]BASE'!F62=0,"",'[7]BASE'!F62)</f>
        <v>64.99</v>
      </c>
      <c r="G62" s="2428" t="str">
        <f>IF('[8]BASE'!G62=0,"",'[8]BASE'!G62)</f>
        <v>C</v>
      </c>
      <c r="H62" s="2429">
        <f>IF('[7]BASE'!DX62=0,"",'[7]BASE'!DX62)</f>
      </c>
      <c r="I62" s="2429">
        <f>IF('[7]BASE'!DY62=0,"",'[7]BASE'!DY62)</f>
        <v>1</v>
      </c>
      <c r="J62" s="2429">
        <f>IF('[7]BASE'!DZ62=0,"",'[7]BASE'!DZ62)</f>
      </c>
      <c r="K62" s="2429">
        <f>IF('[7]BASE'!EA62=0,"",'[7]BASE'!EA62)</f>
      </c>
      <c r="L62" s="2429">
        <f>IF('[7]BASE'!EB62=0,"",'[7]BASE'!EB62)</f>
      </c>
      <c r="M62" s="2429">
        <f>IF('[7]BASE'!EC62=0,"",'[7]BASE'!EC62)</f>
      </c>
      <c r="N62" s="2429">
        <f>IF('[7]BASE'!ED62=0,"",'[7]BASE'!ED62)</f>
      </c>
      <c r="O62" s="2429">
        <f>IF('[7]BASE'!EE62=0,"",'[7]BASE'!EE62)</f>
      </c>
      <c r="P62" s="2429">
        <f>IF('[7]BASE'!EF62=0,"",'[7]BASE'!EF62)</f>
      </c>
      <c r="Q62" s="2429">
        <f>IF('[7]BASE'!EG62=0,"",'[7]BASE'!EG62)</f>
      </c>
      <c r="R62" s="2429">
        <f>IF('[7]BASE'!EH62=0,"",'[7]BASE'!EH62)</f>
      </c>
      <c r="S62" s="2429">
        <f>IF('[7]BASE'!EI62=0,"",'[7]BASE'!EI62)</f>
      </c>
      <c r="T62" s="2430"/>
      <c r="U62" s="2427"/>
    </row>
    <row r="63" spans="2:21" s="2421" customFormat="1" ht="19.5" customHeight="1">
      <c r="B63" s="2422"/>
      <c r="C63" s="2428">
        <f>IF('[7]BASE'!C63=0,"",'[7]BASE'!C63)</f>
      </c>
      <c r="D63" s="2428" t="str">
        <f>IF('[7]BASE'!D63=0,"",'[7]BASE'!D63)</f>
        <v>RIO CORONDA - SANTO TOME</v>
      </c>
      <c r="E63" s="2428">
        <f>IF('[7]BASE'!E63=0,"",'[7]BASE'!E63)</f>
        <v>500</v>
      </c>
      <c r="F63" s="2428">
        <f>IF('[7]BASE'!F63=0,"",'[7]BASE'!F63)</f>
        <v>137.94</v>
      </c>
      <c r="G63" s="2428" t="str">
        <f>IF('[8]BASE'!G63=0,"",'[8]BASE'!G63)</f>
        <v>A</v>
      </c>
      <c r="H63" s="2429">
        <f>IF('[7]BASE'!DX63=0,"",'[7]BASE'!DX63)</f>
      </c>
      <c r="I63" s="2429">
        <f>IF('[7]BASE'!DY63=0,"",'[7]BASE'!DY63)</f>
      </c>
      <c r="J63" s="2429">
        <f>IF('[7]BASE'!DZ63=0,"",'[7]BASE'!DZ63)</f>
      </c>
      <c r="K63" s="2429">
        <f>IF('[7]BASE'!EA63=0,"",'[7]BASE'!EA63)</f>
      </c>
      <c r="L63" s="2429">
        <f>IF('[7]BASE'!EB63=0,"",'[7]BASE'!EB63)</f>
      </c>
      <c r="M63" s="2429">
        <f>IF('[7]BASE'!EC63=0,"",'[7]BASE'!EC63)</f>
      </c>
      <c r="N63" s="2429">
        <f>IF('[7]BASE'!ED63=0,"",'[7]BASE'!ED63)</f>
      </c>
      <c r="O63" s="2429">
        <f>IF('[7]BASE'!EE63=0,"",'[7]BASE'!EE63)</f>
      </c>
      <c r="P63" s="2429">
        <f>IF('[7]BASE'!EF63=0,"",'[7]BASE'!EF63)</f>
      </c>
      <c r="Q63" s="2429">
        <f>IF('[7]BASE'!EG63=0,"",'[7]BASE'!EG63)</f>
      </c>
      <c r="R63" s="2429">
        <f>IF('[7]BASE'!EH63=0,"",'[7]BASE'!EH63)</f>
      </c>
      <c r="S63" s="2429">
        <f>IF('[7]BASE'!EI63=0,"",'[7]BASE'!EI63)</f>
      </c>
      <c r="T63" s="2430"/>
      <c r="U63" s="2427"/>
    </row>
    <row r="64" spans="2:21" s="2421" customFormat="1" ht="19.5" customHeight="1">
      <c r="B64" s="2422"/>
      <c r="C64" s="2428">
        <f>IF('[7]BASE'!C64=0,"",'[7]BASE'!C64)</f>
        <v>46</v>
      </c>
      <c r="D64" s="2428" t="str">
        <f>IF('[7]BASE'!D64=0,"",'[7]BASE'!D64)</f>
        <v>SALTO GRANDE - SANTO TOME </v>
      </c>
      <c r="E64" s="2428">
        <f>IF('[7]BASE'!E64=0,"",'[7]BASE'!E64)</f>
        <v>500</v>
      </c>
      <c r="F64" s="2428">
        <f>IF('[7]BASE'!F64=0,"",'[7]BASE'!F64)</f>
        <v>289</v>
      </c>
      <c r="G64" s="2428" t="str">
        <f>IF('[8]BASE'!G64=0,"",'[8]BASE'!G64)</f>
        <v>C</v>
      </c>
      <c r="H64" s="2429">
        <f>IF('[7]BASE'!DX64=0,"",'[7]BASE'!DX64)</f>
      </c>
      <c r="I64" s="2429">
        <f>IF('[7]BASE'!DY64=0,"",'[7]BASE'!DY64)</f>
      </c>
      <c r="J64" s="2429">
        <f>IF('[7]BASE'!DZ64=0,"",'[7]BASE'!DZ64)</f>
      </c>
      <c r="K64" s="2429">
        <f>IF('[7]BASE'!EA64=0,"",'[7]BASE'!EA64)</f>
      </c>
      <c r="L64" s="2429">
        <f>IF('[7]BASE'!EB64=0,"",'[7]BASE'!EB64)</f>
      </c>
      <c r="M64" s="2429">
        <f>IF('[7]BASE'!EC64=0,"",'[7]BASE'!EC64)</f>
      </c>
      <c r="N64" s="2429">
        <f>IF('[7]BASE'!ED64=0,"",'[7]BASE'!ED64)</f>
      </c>
      <c r="O64" s="2429">
        <f>IF('[7]BASE'!EE64=0,"",'[7]BASE'!EE64)</f>
      </c>
      <c r="P64" s="2429">
        <f>IF('[7]BASE'!EF64=0,"",'[7]BASE'!EF64)</f>
      </c>
      <c r="Q64" s="2429">
        <f>IF('[7]BASE'!EG64=0,"",'[7]BASE'!EG64)</f>
      </c>
      <c r="R64" s="2429">
        <f>IF('[7]BASE'!EH64=0,"",'[7]BASE'!EH64)</f>
      </c>
      <c r="S64" s="2429">
        <f>IF('[7]BASE'!EI64=0,"",'[7]BASE'!EI64)</f>
      </c>
      <c r="T64" s="2430"/>
      <c r="U64" s="2427"/>
    </row>
    <row r="65" spans="2:21" s="2421" customFormat="1" ht="19.5" customHeight="1">
      <c r="B65" s="2422"/>
      <c r="C65" s="2428">
        <f>IF('[7]BASE'!C65=0,"",'[7]BASE'!C65)</f>
        <v>47</v>
      </c>
      <c r="D65" s="2428" t="str">
        <f>IF('[7]BASE'!D65=0,"",'[7]BASE'!D65)</f>
        <v>SANTO TOME - ROMANG </v>
      </c>
      <c r="E65" s="2428">
        <f>IF('[7]BASE'!E65=0,"",'[7]BASE'!E65)</f>
        <v>500</v>
      </c>
      <c r="F65" s="2428">
        <f>IF('[7]BASE'!F65=0,"",'[7]BASE'!F65)</f>
        <v>270</v>
      </c>
      <c r="G65" s="2428" t="str">
        <f>IF('[8]BASE'!G65=0,"",'[8]BASE'!G65)</f>
        <v>C</v>
      </c>
      <c r="H65" s="2429">
        <f>IF('[7]BASE'!DX65=0,"",'[7]BASE'!DX65)</f>
      </c>
      <c r="I65" s="2429">
        <f>IF('[7]BASE'!DY65=0,"",'[7]BASE'!DY65)</f>
      </c>
      <c r="J65" s="2429">
        <f>IF('[7]BASE'!DZ65=0,"",'[7]BASE'!DZ65)</f>
      </c>
      <c r="K65" s="2429">
        <f>IF('[7]BASE'!EA65=0,"",'[7]BASE'!EA65)</f>
      </c>
      <c r="L65" s="2429">
        <f>IF('[7]BASE'!EB65=0,"",'[7]BASE'!EB65)</f>
      </c>
      <c r="M65" s="2429">
        <f>IF('[7]BASE'!EC65=0,"",'[7]BASE'!EC65)</f>
      </c>
      <c r="N65" s="2429">
        <f>IF('[7]BASE'!ED65=0,"",'[7]BASE'!ED65)</f>
      </c>
      <c r="O65" s="2429">
        <f>IF('[7]BASE'!EE65=0,"",'[7]BASE'!EE65)</f>
      </c>
      <c r="P65" s="2429">
        <f>IF('[7]BASE'!EF65=0,"",'[7]BASE'!EF65)</f>
      </c>
      <c r="Q65" s="2429">
        <f>IF('[7]BASE'!EG65=0,"",'[7]BASE'!EG65)</f>
      </c>
      <c r="R65" s="2429">
        <f>IF('[7]BASE'!EH65=0,"",'[7]BASE'!EH65)</f>
      </c>
      <c r="S65" s="2429">
        <f>IF('[7]BASE'!EI65=0,"",'[7]BASE'!EI65)</f>
      </c>
      <c r="T65" s="2430"/>
      <c r="U65" s="2427"/>
    </row>
    <row r="66" spans="2:21" s="2421" customFormat="1" ht="19.5" customHeight="1">
      <c r="B66" s="2422"/>
      <c r="C66" s="2428">
        <f>IF('[7]BASE'!C66=0,"",'[7]BASE'!C66)</f>
      </c>
      <c r="D66" s="2428">
        <f>IF('[7]BASE'!D66=0,"",'[7]BASE'!D66)</f>
      </c>
      <c r="E66" s="2428">
        <f>IF('[7]BASE'!E66=0,"",'[7]BASE'!E66)</f>
      </c>
      <c r="F66" s="2428">
        <f>IF('[7]BASE'!F66=0,"",'[7]BASE'!F66)</f>
      </c>
      <c r="G66" s="2428" t="str">
        <f>IF('[8]BASE'!G66=0,"",'[8]BASE'!G66)</f>
        <v>C</v>
      </c>
      <c r="H66" s="2429">
        <f>IF('[7]BASE'!DX66=0,"",'[7]BASE'!DX66)</f>
      </c>
      <c r="I66" s="2429">
        <f>IF('[7]BASE'!DY66=0,"",'[7]BASE'!DY66)</f>
      </c>
      <c r="J66" s="2429">
        <f>IF('[7]BASE'!DZ66=0,"",'[7]BASE'!DZ66)</f>
      </c>
      <c r="K66" s="2429">
        <f>IF('[7]BASE'!EA66=0,"",'[7]BASE'!EA66)</f>
      </c>
      <c r="L66" s="2429">
        <f>IF('[7]BASE'!EB66=0,"",'[7]BASE'!EB66)</f>
      </c>
      <c r="M66" s="2429">
        <f>IF('[7]BASE'!EC66=0,"",'[7]BASE'!EC66)</f>
      </c>
      <c r="N66" s="2429">
        <f>IF('[7]BASE'!ED66=0,"",'[7]BASE'!ED66)</f>
      </c>
      <c r="O66" s="2429">
        <f>IF('[7]BASE'!EE66=0,"",'[7]BASE'!EE66)</f>
      </c>
      <c r="P66" s="2429">
        <f>IF('[7]BASE'!EF66=0,"",'[7]BASE'!EF66)</f>
      </c>
      <c r="Q66" s="2429">
        <f>IF('[7]BASE'!EG66=0,"",'[7]BASE'!EG66)</f>
      </c>
      <c r="R66" s="2429">
        <f>IF('[7]BASE'!EH66=0,"",'[7]BASE'!EH66)</f>
      </c>
      <c r="S66" s="2429">
        <f>IF('[7]BASE'!EI66=0,"",'[7]BASE'!EI66)</f>
      </c>
      <c r="T66" s="2430"/>
      <c r="U66" s="2427"/>
    </row>
    <row r="67" spans="2:21" s="2421" customFormat="1" ht="19.5" customHeight="1">
      <c r="B67" s="2422"/>
      <c r="C67" s="2428">
        <f>IF('[7]BASE'!C67=0,"",'[7]BASE'!C67)</f>
        <v>48</v>
      </c>
      <c r="D67" s="2428" t="str">
        <f>IF('[7]BASE'!D67=0,"",'[7]BASE'!D67)</f>
        <v>GRAL. RODRIGUEZ - VILLA  LIA 1</v>
      </c>
      <c r="E67" s="2428">
        <f>IF('[7]BASE'!E67=0,"",'[7]BASE'!E67)</f>
        <v>220</v>
      </c>
      <c r="F67" s="2428">
        <f>IF('[7]BASE'!F67=0,"",'[7]BASE'!F67)</f>
        <v>61</v>
      </c>
      <c r="G67" s="2428" t="str">
        <f>IF('[8]BASE'!G67=0,"",'[8]BASE'!G67)</f>
        <v>C</v>
      </c>
      <c r="H67" s="2429">
        <f>IF('[7]BASE'!DX67=0,"",'[7]BASE'!DX67)</f>
      </c>
      <c r="I67" s="2429">
        <f>IF('[7]BASE'!DY67=0,"",'[7]BASE'!DY67)</f>
      </c>
      <c r="J67" s="2429">
        <f>IF('[7]BASE'!DZ67=0,"",'[7]BASE'!DZ67)</f>
      </c>
      <c r="K67" s="2429">
        <f>IF('[7]BASE'!EA67=0,"",'[7]BASE'!EA67)</f>
      </c>
      <c r="L67" s="2429">
        <f>IF('[7]BASE'!EB67=0,"",'[7]BASE'!EB67)</f>
      </c>
      <c r="M67" s="2429">
        <f>IF('[7]BASE'!EC67=0,"",'[7]BASE'!EC67)</f>
      </c>
      <c r="N67" s="2429">
        <f>IF('[7]BASE'!ED67=0,"",'[7]BASE'!ED67)</f>
      </c>
      <c r="O67" s="2429">
        <f>IF('[7]BASE'!EE67=0,"",'[7]BASE'!EE67)</f>
      </c>
      <c r="P67" s="2429">
        <f>IF('[7]BASE'!EF67=0,"",'[7]BASE'!EF67)</f>
      </c>
      <c r="Q67" s="2429">
        <f>IF('[7]BASE'!EG67=0,"",'[7]BASE'!EG67)</f>
      </c>
      <c r="R67" s="2429">
        <f>IF('[7]BASE'!EH67=0,"",'[7]BASE'!EH67)</f>
        <v>1</v>
      </c>
      <c r="S67" s="2429">
        <f>IF('[7]BASE'!EI67=0,"",'[7]BASE'!EI67)</f>
        <v>1</v>
      </c>
      <c r="T67" s="2430"/>
      <c r="U67" s="2427"/>
    </row>
    <row r="68" spans="2:21" s="2421" customFormat="1" ht="19.5" customHeight="1">
      <c r="B68" s="2422"/>
      <c r="C68" s="2428">
        <f>IF('[7]BASE'!C68=0,"",'[7]BASE'!C68)</f>
        <v>49</v>
      </c>
      <c r="D68" s="2428" t="str">
        <f>IF('[7]BASE'!D68=0,"",'[7]BASE'!D68)</f>
        <v>GRAL. RODRIGUEZ - VILLA  LIA 2</v>
      </c>
      <c r="E68" s="2428">
        <f>IF('[7]BASE'!E68=0,"",'[7]BASE'!E68)</f>
        <v>220</v>
      </c>
      <c r="F68" s="2428">
        <f>IF('[7]BASE'!F68=0,"",'[7]BASE'!F68)</f>
        <v>61</v>
      </c>
      <c r="G68" s="2428" t="str">
        <f>IF('[8]BASE'!G68=0,"",'[8]BASE'!G68)</f>
        <v>C</v>
      </c>
      <c r="H68" s="2429">
        <f>IF('[7]BASE'!DX68=0,"",'[7]BASE'!DX68)</f>
      </c>
      <c r="I68" s="2429">
        <f>IF('[7]BASE'!DY68=0,"",'[7]BASE'!DY68)</f>
      </c>
      <c r="J68" s="2429">
        <f>IF('[7]BASE'!DZ68=0,"",'[7]BASE'!DZ68)</f>
      </c>
      <c r="K68" s="2429">
        <f>IF('[7]BASE'!EA68=0,"",'[7]BASE'!EA68)</f>
      </c>
      <c r="L68" s="2429">
        <f>IF('[7]BASE'!EB68=0,"",'[7]BASE'!EB68)</f>
      </c>
      <c r="M68" s="2429">
        <f>IF('[7]BASE'!EC68=0,"",'[7]BASE'!EC68)</f>
      </c>
      <c r="N68" s="2429">
        <f>IF('[7]BASE'!ED68=0,"",'[7]BASE'!ED68)</f>
      </c>
      <c r="O68" s="2429">
        <f>IF('[7]BASE'!EE68=0,"",'[7]BASE'!EE68)</f>
      </c>
      <c r="P68" s="2429">
        <f>IF('[7]BASE'!EF68=0,"",'[7]BASE'!EF68)</f>
      </c>
      <c r="Q68" s="2429">
        <f>IF('[7]BASE'!EG68=0,"",'[7]BASE'!EG68)</f>
      </c>
      <c r="R68" s="2429">
        <f>IF('[7]BASE'!EH68=0,"",'[7]BASE'!EH68)</f>
        <v>1</v>
      </c>
      <c r="S68" s="2429">
        <f>IF('[7]BASE'!EI68=0,"",'[7]BASE'!EI68)</f>
      </c>
      <c r="T68" s="2430"/>
      <c r="U68" s="2427"/>
    </row>
    <row r="69" spans="2:21" s="2421" customFormat="1" ht="19.5" customHeight="1">
      <c r="B69" s="2422"/>
      <c r="C69" s="2428">
        <f>IF('[7]BASE'!C69=0,"",'[7]BASE'!C69)</f>
        <v>50</v>
      </c>
      <c r="D69" s="2428" t="str">
        <f>IF('[7]BASE'!D69=0,"",'[7]BASE'!D69)</f>
        <v>RAMALLO - SAN NICOLAS (2)</v>
      </c>
      <c r="E69" s="2428">
        <f>IF('[7]BASE'!E69=0,"",'[7]BASE'!E69)</f>
        <v>220</v>
      </c>
      <c r="F69" s="2428">
        <f>IF('[7]BASE'!F69=0,"",'[7]BASE'!F69)</f>
        <v>6</v>
      </c>
      <c r="G69" s="2428" t="str">
        <f>IF('[8]BASE'!G69=0,"",'[8]BASE'!G69)</f>
        <v>C</v>
      </c>
      <c r="H69" s="2429">
        <f>IF('[7]BASE'!DX69=0,"",'[7]BASE'!DX69)</f>
      </c>
      <c r="I69" s="2429">
        <f>IF('[7]BASE'!DY69=0,"",'[7]BASE'!DY69)</f>
      </c>
      <c r="J69" s="2429">
        <f>IF('[7]BASE'!DZ69=0,"",'[7]BASE'!DZ69)</f>
      </c>
      <c r="K69" s="2429">
        <f>IF('[7]BASE'!EA69=0,"",'[7]BASE'!EA69)</f>
      </c>
      <c r="L69" s="2429">
        <f>IF('[7]BASE'!EB69=0,"",'[7]BASE'!EB69)</f>
      </c>
      <c r="M69" s="2429">
        <f>IF('[7]BASE'!EC69=0,"",'[7]BASE'!EC69)</f>
      </c>
      <c r="N69" s="2429">
        <f>IF('[7]BASE'!ED69=0,"",'[7]BASE'!ED69)</f>
      </c>
      <c r="O69" s="2429">
        <f>IF('[7]BASE'!EE69=0,"",'[7]BASE'!EE69)</f>
      </c>
      <c r="P69" s="2429">
        <f>IF('[7]BASE'!EF69=0,"",'[7]BASE'!EF69)</f>
      </c>
      <c r="Q69" s="2429">
        <f>IF('[7]BASE'!EG69=0,"",'[7]BASE'!EG69)</f>
      </c>
      <c r="R69" s="2429">
        <f>IF('[7]BASE'!EH69=0,"",'[7]BASE'!EH69)</f>
      </c>
      <c r="S69" s="2429">
        <f>IF('[7]BASE'!EI69=0,"",'[7]BASE'!EI69)</f>
      </c>
      <c r="T69" s="2430"/>
      <c r="U69" s="2427"/>
    </row>
    <row r="70" spans="2:21" s="2421" customFormat="1" ht="19.5" customHeight="1">
      <c r="B70" s="2422"/>
      <c r="C70" s="2428">
        <f>IF('[7]BASE'!C70=0,"",'[7]BASE'!C70)</f>
        <v>51</v>
      </c>
      <c r="D70" s="2428" t="str">
        <f>IF('[7]BASE'!D70=0,"",'[7]BASE'!D70)</f>
        <v>RAMALLO - SAN NICOLAS (1)</v>
      </c>
      <c r="E70" s="2428">
        <f>IF('[7]BASE'!E70=0,"",'[7]BASE'!E70)</f>
        <v>220</v>
      </c>
      <c r="F70" s="2428">
        <f>IF('[7]BASE'!F70=0,"",'[7]BASE'!F70)</f>
        <v>6</v>
      </c>
      <c r="G70" s="2428" t="str">
        <f>IF('[8]BASE'!G70=0,"",'[8]BASE'!G70)</f>
        <v>C</v>
      </c>
      <c r="H70" s="2429">
        <f>IF('[7]BASE'!DX70=0,"",'[7]BASE'!DX70)</f>
      </c>
      <c r="I70" s="2429">
        <f>IF('[7]BASE'!DY70=0,"",'[7]BASE'!DY70)</f>
      </c>
      <c r="J70" s="2429">
        <f>IF('[7]BASE'!DZ70=0,"",'[7]BASE'!DZ70)</f>
      </c>
      <c r="K70" s="2429">
        <f>IF('[7]BASE'!EA70=0,"",'[7]BASE'!EA70)</f>
      </c>
      <c r="L70" s="2429">
        <f>IF('[7]BASE'!EB70=0,"",'[7]BASE'!EB70)</f>
      </c>
      <c r="M70" s="2429">
        <f>IF('[7]BASE'!EC70=0,"",'[7]BASE'!EC70)</f>
      </c>
      <c r="N70" s="2429">
        <f>IF('[7]BASE'!ED70=0,"",'[7]BASE'!ED70)</f>
      </c>
      <c r="O70" s="2429">
        <f>IF('[7]BASE'!EE70=0,"",'[7]BASE'!EE70)</f>
      </c>
      <c r="P70" s="2429">
        <f>IF('[7]BASE'!EF70=0,"",'[7]BASE'!EF70)</f>
      </c>
      <c r="Q70" s="2429">
        <f>IF('[7]BASE'!EG70=0,"",'[7]BASE'!EG70)</f>
      </c>
      <c r="R70" s="2429">
        <f>IF('[7]BASE'!EH70=0,"",'[7]BASE'!EH70)</f>
      </c>
      <c r="S70" s="2429">
        <f>IF('[7]BASE'!EI70=0,"",'[7]BASE'!EI70)</f>
      </c>
      <c r="T70" s="2430"/>
      <c r="U70" s="2427"/>
    </row>
    <row r="71" spans="2:21" s="2421" customFormat="1" ht="19.5" customHeight="1">
      <c r="B71" s="2422"/>
      <c r="C71" s="2428">
        <f>IF('[7]BASE'!C71=0,"",'[7]BASE'!C71)</f>
        <v>52</v>
      </c>
      <c r="D71" s="2428" t="str">
        <f>IF('[7]BASE'!D71=0,"",'[7]BASE'!D71)</f>
        <v>RAMALLO - VILLA LIA  1</v>
      </c>
      <c r="E71" s="2428">
        <f>IF('[7]BASE'!E71=0,"",'[7]BASE'!E71)</f>
        <v>220</v>
      </c>
      <c r="F71" s="2428">
        <f>IF('[7]BASE'!F71=0,"",'[7]BASE'!F71)</f>
        <v>114</v>
      </c>
      <c r="G71" s="2428" t="str">
        <f>IF('[8]BASE'!G71=0,"",'[8]BASE'!G71)</f>
        <v>C</v>
      </c>
      <c r="H71" s="2429">
        <f>IF('[7]BASE'!DX71=0,"",'[7]BASE'!DX71)</f>
      </c>
      <c r="I71" s="2429">
        <f>IF('[7]BASE'!DY71=0,"",'[7]BASE'!DY71)</f>
        <v>1</v>
      </c>
      <c r="J71" s="2429">
        <f>IF('[7]BASE'!DZ71=0,"",'[7]BASE'!DZ71)</f>
      </c>
      <c r="K71" s="2429">
        <f>IF('[7]BASE'!EA71=0,"",'[7]BASE'!EA71)</f>
      </c>
      <c r="L71" s="2429">
        <f>IF('[7]BASE'!EB71=0,"",'[7]BASE'!EB71)</f>
      </c>
      <c r="M71" s="2429">
        <f>IF('[7]BASE'!EC71=0,"",'[7]BASE'!EC71)</f>
      </c>
      <c r="N71" s="2429">
        <f>IF('[7]BASE'!ED71=0,"",'[7]BASE'!ED71)</f>
        <v>1</v>
      </c>
      <c r="O71" s="2429">
        <f>IF('[7]BASE'!EE71=0,"",'[7]BASE'!EE71)</f>
      </c>
      <c r="P71" s="2429">
        <f>IF('[7]BASE'!EF71=0,"",'[7]BASE'!EF71)</f>
      </c>
      <c r="Q71" s="2429">
        <f>IF('[7]BASE'!EG71=0,"",'[7]BASE'!EG71)</f>
      </c>
      <c r="R71" s="2429">
        <f>IF('[7]BASE'!EH71=0,"",'[7]BASE'!EH71)</f>
      </c>
      <c r="S71" s="2429">
        <f>IF('[7]BASE'!EI71=0,"",'[7]BASE'!EI71)</f>
        <v>2</v>
      </c>
      <c r="T71" s="2430"/>
      <c r="U71" s="2427"/>
    </row>
    <row r="72" spans="2:21" s="2421" customFormat="1" ht="19.5" customHeight="1">
      <c r="B72" s="2422"/>
      <c r="C72" s="2428">
        <f>IF('[7]BASE'!C72=0,"",'[7]BASE'!C72)</f>
        <v>53</v>
      </c>
      <c r="D72" s="2428" t="str">
        <f>IF('[7]BASE'!D72=0,"",'[7]BASE'!D72)</f>
        <v>RAMALLO - VILLA LIA  2</v>
      </c>
      <c r="E72" s="2428">
        <f>IF('[7]BASE'!E72=0,"",'[7]BASE'!E72)</f>
        <v>220</v>
      </c>
      <c r="F72" s="2428">
        <f>IF('[7]BASE'!F72=0,"",'[7]BASE'!F72)</f>
        <v>114</v>
      </c>
      <c r="G72" s="2428" t="str">
        <f>IF('[8]BASE'!G72=0,"",'[8]BASE'!G72)</f>
        <v>C</v>
      </c>
      <c r="H72" s="2429">
        <f>IF('[7]BASE'!DX72=0,"",'[7]BASE'!DX72)</f>
        <v>1</v>
      </c>
      <c r="I72" s="2429">
        <f>IF('[7]BASE'!DY72=0,"",'[7]BASE'!DY72)</f>
      </c>
      <c r="J72" s="2429">
        <f>IF('[7]BASE'!DZ72=0,"",'[7]BASE'!DZ72)</f>
      </c>
      <c r="K72" s="2429">
        <f>IF('[7]BASE'!EA72=0,"",'[7]BASE'!EA72)</f>
      </c>
      <c r="L72" s="2429">
        <f>IF('[7]BASE'!EB72=0,"",'[7]BASE'!EB72)</f>
      </c>
      <c r="M72" s="2429">
        <f>IF('[7]BASE'!EC72=0,"",'[7]BASE'!EC72)</f>
      </c>
      <c r="N72" s="2429">
        <f>IF('[7]BASE'!ED72=0,"",'[7]BASE'!ED72)</f>
      </c>
      <c r="O72" s="2429">
        <f>IF('[7]BASE'!EE72=0,"",'[7]BASE'!EE72)</f>
      </c>
      <c r="P72" s="2429">
        <f>IF('[7]BASE'!EF72=0,"",'[7]BASE'!EF72)</f>
      </c>
      <c r="Q72" s="2429">
        <f>IF('[7]BASE'!EG72=0,"",'[7]BASE'!EG72)</f>
      </c>
      <c r="R72" s="2429">
        <f>IF('[7]BASE'!EH72=0,"",'[7]BASE'!EH72)</f>
      </c>
      <c r="S72" s="2429">
        <f>IF('[7]BASE'!EI72=0,"",'[7]BASE'!EI72)</f>
      </c>
      <c r="T72" s="2430"/>
      <c r="U72" s="2427"/>
    </row>
    <row r="73" spans="2:21" s="2421" customFormat="1" ht="19.5" customHeight="1">
      <c r="B73" s="2422"/>
      <c r="C73" s="2428">
        <f>IF('[7]BASE'!C73=0,"",'[7]BASE'!C73)</f>
        <v>54</v>
      </c>
      <c r="D73" s="2428" t="str">
        <f>IF('[7]BASE'!D73=0,"",'[7]BASE'!D73)</f>
        <v>ROSARIO OESTE - RAMALLO  1</v>
      </c>
      <c r="E73" s="2428">
        <f>IF('[7]BASE'!E73=0,"",'[7]BASE'!E73)</f>
        <v>220</v>
      </c>
      <c r="F73" s="2428">
        <f>IF('[7]BASE'!F73=0,"",'[7]BASE'!F73)</f>
        <v>77</v>
      </c>
      <c r="G73" s="2428" t="str">
        <f>IF('[8]BASE'!G73=0,"",'[8]BASE'!G73)</f>
        <v>C</v>
      </c>
      <c r="H73" s="2429">
        <f>IF('[7]BASE'!DX73=0,"",'[7]BASE'!DX73)</f>
      </c>
      <c r="I73" s="2429">
        <f>IF('[7]BASE'!DY73=0,"",'[7]BASE'!DY73)</f>
      </c>
      <c r="J73" s="2429">
        <f>IF('[7]BASE'!DZ73=0,"",'[7]BASE'!DZ73)</f>
      </c>
      <c r="K73" s="2429">
        <f>IF('[7]BASE'!EA73=0,"",'[7]BASE'!EA73)</f>
      </c>
      <c r="L73" s="2429">
        <f>IF('[7]BASE'!EB73=0,"",'[7]BASE'!EB73)</f>
      </c>
      <c r="M73" s="2429">
        <f>IF('[7]BASE'!EC73=0,"",'[7]BASE'!EC73)</f>
      </c>
      <c r="N73" s="2429">
        <f>IF('[7]BASE'!ED73=0,"",'[7]BASE'!ED73)</f>
        <v>1</v>
      </c>
      <c r="O73" s="2429">
        <f>IF('[7]BASE'!EE73=0,"",'[7]BASE'!EE73)</f>
      </c>
      <c r="P73" s="2429">
        <f>IF('[7]BASE'!EF73=0,"",'[7]BASE'!EF73)</f>
        <v>1</v>
      </c>
      <c r="Q73" s="2429">
        <f>IF('[7]BASE'!EG73=0,"",'[7]BASE'!EG73)</f>
      </c>
      <c r="R73" s="2429">
        <f>IF('[7]BASE'!EH73=0,"",'[7]BASE'!EH73)</f>
      </c>
      <c r="S73" s="2429">
        <f>IF('[7]BASE'!EI73=0,"",'[7]BASE'!EI73)</f>
      </c>
      <c r="T73" s="2430"/>
      <c r="U73" s="2427"/>
    </row>
    <row r="74" spans="2:21" s="2421" customFormat="1" ht="19.5" customHeight="1">
      <c r="B74" s="2422"/>
      <c r="C74" s="2428">
        <f>IF('[7]BASE'!C74=0,"",'[7]BASE'!C74)</f>
        <v>55</v>
      </c>
      <c r="D74" s="2428" t="str">
        <f>IF('[7]BASE'!D74=0,"",'[7]BASE'!D74)</f>
        <v>ROSARIO OESTE - RAMALLO  2</v>
      </c>
      <c r="E74" s="2428">
        <f>IF('[7]BASE'!E74=0,"",'[7]BASE'!E74)</f>
        <v>220</v>
      </c>
      <c r="F74" s="2428">
        <f>IF('[7]BASE'!F74=0,"",'[7]BASE'!F74)</f>
        <v>77</v>
      </c>
      <c r="G74" s="2428" t="str">
        <f>IF('[8]BASE'!G74=0,"",'[8]BASE'!G74)</f>
        <v>C</v>
      </c>
      <c r="H74" s="2429">
        <f>IF('[7]BASE'!DX74=0,"",'[7]BASE'!DX74)</f>
      </c>
      <c r="I74" s="2429">
        <f>IF('[7]BASE'!DY74=0,"",'[7]BASE'!DY74)</f>
      </c>
      <c r="J74" s="2429">
        <f>IF('[7]BASE'!DZ74=0,"",'[7]BASE'!DZ74)</f>
      </c>
      <c r="K74" s="2429">
        <f>IF('[7]BASE'!EA74=0,"",'[7]BASE'!EA74)</f>
      </c>
      <c r="L74" s="2429">
        <f>IF('[7]BASE'!EB74=0,"",'[7]BASE'!EB74)</f>
      </c>
      <c r="M74" s="2429">
        <f>IF('[7]BASE'!EC74=0,"",'[7]BASE'!EC74)</f>
      </c>
      <c r="N74" s="2429">
        <f>IF('[7]BASE'!ED74=0,"",'[7]BASE'!ED74)</f>
      </c>
      <c r="O74" s="2429">
        <f>IF('[7]BASE'!EE74=0,"",'[7]BASE'!EE74)</f>
      </c>
      <c r="P74" s="2429">
        <f>IF('[7]BASE'!EF74=0,"",'[7]BASE'!EF74)</f>
      </c>
      <c r="Q74" s="2429">
        <f>IF('[7]BASE'!EG74=0,"",'[7]BASE'!EG74)</f>
      </c>
      <c r="R74" s="2429">
        <f>IF('[7]BASE'!EH74=0,"",'[7]BASE'!EH74)</f>
      </c>
      <c r="S74" s="2429">
        <f>IF('[7]BASE'!EI74=0,"",'[7]BASE'!EI74)</f>
      </c>
      <c r="T74" s="2430"/>
      <c r="U74" s="2427"/>
    </row>
    <row r="75" spans="2:21" s="2421" customFormat="1" ht="19.5" customHeight="1">
      <c r="B75" s="2422"/>
      <c r="C75" s="2428">
        <f>IF('[7]BASE'!C75=0,"",'[7]BASE'!C75)</f>
        <v>56</v>
      </c>
      <c r="D75" s="2428" t="str">
        <f>IF('[7]BASE'!D75=0,"",'[7]BASE'!D75)</f>
        <v>VILLA LIA - ATUCHA 1</v>
      </c>
      <c r="E75" s="2428">
        <f>IF('[7]BASE'!E75=0,"",'[7]BASE'!E75)</f>
        <v>220</v>
      </c>
      <c r="F75" s="2428">
        <f>IF('[7]BASE'!F75=0,"",'[7]BASE'!F75)</f>
        <v>26</v>
      </c>
      <c r="G75" s="2428" t="str">
        <f>IF('[8]BASE'!G75=0,"",'[8]BASE'!G75)</f>
        <v>C</v>
      </c>
      <c r="H75" s="2429">
        <f>IF('[7]BASE'!DX75=0,"",'[7]BASE'!DX75)</f>
      </c>
      <c r="I75" s="2429">
        <f>IF('[7]BASE'!DY75=0,"",'[7]BASE'!DY75)</f>
      </c>
      <c r="J75" s="2429">
        <f>IF('[7]BASE'!DZ75=0,"",'[7]BASE'!DZ75)</f>
      </c>
      <c r="K75" s="2429">
        <f>IF('[7]BASE'!EA75=0,"",'[7]BASE'!EA75)</f>
      </c>
      <c r="L75" s="2429">
        <f>IF('[7]BASE'!EB75=0,"",'[7]BASE'!EB75)</f>
      </c>
      <c r="M75" s="2429">
        <f>IF('[7]BASE'!EC75=0,"",'[7]BASE'!EC75)</f>
      </c>
      <c r="N75" s="2429">
        <f>IF('[7]BASE'!ED75=0,"",'[7]BASE'!ED75)</f>
      </c>
      <c r="O75" s="2429">
        <f>IF('[7]BASE'!EE75=0,"",'[7]BASE'!EE75)</f>
      </c>
      <c r="P75" s="2429">
        <f>IF('[7]BASE'!EF75=0,"",'[7]BASE'!EF75)</f>
      </c>
      <c r="Q75" s="2429">
        <f>IF('[7]BASE'!EG75=0,"",'[7]BASE'!EG75)</f>
      </c>
      <c r="R75" s="2429">
        <f>IF('[7]BASE'!EH75=0,"",'[7]BASE'!EH75)</f>
      </c>
      <c r="S75" s="2429">
        <f>IF('[7]BASE'!EI75=0,"",'[7]BASE'!EI75)</f>
        <v>1</v>
      </c>
      <c r="T75" s="2430"/>
      <c r="U75" s="2427"/>
    </row>
    <row r="76" spans="2:21" s="2421" customFormat="1" ht="19.5" customHeight="1">
      <c r="B76" s="2422"/>
      <c r="C76" s="2428">
        <f>IF('[7]BASE'!C76=0,"",'[7]BASE'!C76)</f>
        <v>57</v>
      </c>
      <c r="D76" s="2428" t="str">
        <f>IF('[7]BASE'!D76=0,"",'[7]BASE'!D76)</f>
        <v>VILLA LIA - ATUCHA 2</v>
      </c>
      <c r="E76" s="2428">
        <f>IF('[7]BASE'!E76=0,"",'[7]BASE'!E76)</f>
        <v>220</v>
      </c>
      <c r="F76" s="2428">
        <f>IF('[7]BASE'!F76=0,"",'[7]BASE'!F76)</f>
        <v>26</v>
      </c>
      <c r="G76" s="2428" t="str">
        <f>IF('[8]BASE'!G76=0,"",'[8]BASE'!G76)</f>
        <v>C</v>
      </c>
      <c r="H76" s="2429">
        <f>IF('[7]BASE'!DX76=0,"",'[7]BASE'!DX76)</f>
      </c>
      <c r="I76" s="2429">
        <f>IF('[7]BASE'!DY76=0,"",'[7]BASE'!DY76)</f>
      </c>
      <c r="J76" s="2429">
        <f>IF('[7]BASE'!DZ76=0,"",'[7]BASE'!DZ76)</f>
      </c>
      <c r="K76" s="2429">
        <f>IF('[7]BASE'!EA76=0,"",'[7]BASE'!EA76)</f>
      </c>
      <c r="L76" s="2429">
        <f>IF('[7]BASE'!EB76=0,"",'[7]BASE'!EB76)</f>
      </c>
      <c r="M76" s="2429">
        <f>IF('[7]BASE'!EC76=0,"",'[7]BASE'!EC76)</f>
      </c>
      <c r="N76" s="2429">
        <f>IF('[7]BASE'!ED76=0,"",'[7]BASE'!ED76)</f>
      </c>
      <c r="O76" s="2429">
        <f>IF('[7]BASE'!EE76=0,"",'[7]BASE'!EE76)</f>
      </c>
      <c r="P76" s="2429">
        <f>IF('[7]BASE'!EF76=0,"",'[7]BASE'!EF76)</f>
      </c>
      <c r="Q76" s="2429">
        <f>IF('[7]BASE'!EG76=0,"",'[7]BASE'!EG76)</f>
      </c>
      <c r="R76" s="2429">
        <f>IF('[7]BASE'!EH76=0,"",'[7]BASE'!EH76)</f>
      </c>
      <c r="S76" s="2429">
        <f>IF('[7]BASE'!EI76=0,"",'[7]BASE'!EI76)</f>
      </c>
      <c r="T76" s="2430"/>
      <c r="U76" s="2427"/>
    </row>
    <row r="77" spans="2:21" s="2421" customFormat="1" ht="19.5" customHeight="1">
      <c r="B77" s="2422"/>
      <c r="C77" s="2428">
        <f>IF('[7]BASE'!C77=0,"",'[7]BASE'!C77)</f>
      </c>
      <c r="D77" s="2428">
        <f>IF('[7]BASE'!D77=0,"",'[7]BASE'!D77)</f>
      </c>
      <c r="E77" s="2428">
        <f>IF('[7]BASE'!E77=0,"",'[7]BASE'!E77)</f>
      </c>
      <c r="F77" s="2428">
        <f>IF('[7]BASE'!F77=0,"",'[7]BASE'!F77)</f>
      </c>
      <c r="G77" s="2428" t="str">
        <f>IF('[8]BASE'!G77=0,"",'[8]BASE'!G77)</f>
        <v>C</v>
      </c>
      <c r="H77" s="2429">
        <f>IF('[7]BASE'!DX77=0,"",'[7]BASE'!DX77)</f>
      </c>
      <c r="I77" s="2429">
        <f>IF('[7]BASE'!DY77=0,"",'[7]BASE'!DY77)</f>
      </c>
      <c r="J77" s="2429">
        <f>IF('[7]BASE'!DZ77=0,"",'[7]BASE'!DZ77)</f>
      </c>
      <c r="K77" s="2429">
        <f>IF('[7]BASE'!EA77=0,"",'[7]BASE'!EA77)</f>
      </c>
      <c r="L77" s="2429">
        <f>IF('[7]BASE'!EB77=0,"",'[7]BASE'!EB77)</f>
      </c>
      <c r="M77" s="2429">
        <f>IF('[7]BASE'!EC77=0,"",'[7]BASE'!EC77)</f>
      </c>
      <c r="N77" s="2429">
        <f>IF('[7]BASE'!ED77=0,"",'[7]BASE'!ED77)</f>
      </c>
      <c r="O77" s="2429">
        <f>IF('[7]BASE'!EE77=0,"",'[7]BASE'!EE77)</f>
      </c>
      <c r="P77" s="2429">
        <f>IF('[7]BASE'!EF77=0,"",'[7]BASE'!EF77)</f>
      </c>
      <c r="Q77" s="2429">
        <f>IF('[7]BASE'!EG77=0,"",'[7]BASE'!EG77)</f>
      </c>
      <c r="R77" s="2429">
        <f>IF('[7]BASE'!EH77=0,"",'[7]BASE'!EH77)</f>
      </c>
      <c r="S77" s="2429">
        <f>IF('[7]BASE'!EI77=0,"",'[7]BASE'!EI77)</f>
      </c>
      <c r="T77" s="2430"/>
      <c r="U77" s="2427"/>
    </row>
    <row r="78" spans="2:21" s="2421" customFormat="1" ht="19.5" customHeight="1">
      <c r="B78" s="2422"/>
      <c r="C78" s="2428">
        <f>IF('[7]BASE'!C78=0,"",'[7]BASE'!C78)</f>
        <v>58</v>
      </c>
      <c r="D78" s="2428" t="str">
        <f>IF('[7]BASE'!D78=0,"",'[7]BASE'!D78)</f>
        <v>GRAL RODRIGUEZ - RAMALLO</v>
      </c>
      <c r="E78" s="2428">
        <f>IF('[7]BASE'!E78=0,"",'[7]BASE'!E78)</f>
        <v>500</v>
      </c>
      <c r="F78" s="2428">
        <f>IF('[7]BASE'!F78=0,"",'[7]BASE'!F78)</f>
        <v>183.9</v>
      </c>
      <c r="G78" s="2428" t="str">
        <f>IF('[8]BASE'!G78=0,"",'[8]BASE'!G78)</f>
        <v>A</v>
      </c>
      <c r="H78" s="2429">
        <f>IF('[7]BASE'!DX78=0,"",'[7]BASE'!DX78)</f>
      </c>
      <c r="I78" s="2429">
        <f>IF('[7]BASE'!DY78=0,"",'[7]BASE'!DY78)</f>
      </c>
      <c r="J78" s="2429">
        <f>IF('[7]BASE'!DZ78=0,"",'[7]BASE'!DZ78)</f>
      </c>
      <c r="K78" s="2429">
        <f>IF('[7]BASE'!EA78=0,"",'[7]BASE'!EA78)</f>
      </c>
      <c r="L78" s="2429">
        <f>IF('[7]BASE'!EB78=0,"",'[7]BASE'!EB78)</f>
      </c>
      <c r="M78" s="2429">
        <f>IF('[7]BASE'!EC78=0,"",'[7]BASE'!EC78)</f>
      </c>
      <c r="N78" s="2429">
        <f>IF('[7]BASE'!ED78=0,"",'[7]BASE'!ED78)</f>
      </c>
      <c r="O78" s="2429">
        <f>IF('[7]BASE'!EE78=0,"",'[7]BASE'!EE78)</f>
      </c>
      <c r="P78" s="2429">
        <f>IF('[7]BASE'!EF78=0,"",'[7]BASE'!EF78)</f>
      </c>
      <c r="Q78" s="2429">
        <f>IF('[7]BASE'!EG78=0,"",'[7]BASE'!EG78)</f>
      </c>
      <c r="R78" s="2429">
        <f>IF('[7]BASE'!EH78=0,"",'[7]BASE'!EH78)</f>
      </c>
      <c r="S78" s="2429">
        <f>IF('[7]BASE'!EI78=0,"",'[7]BASE'!EI78)</f>
      </c>
      <c r="T78" s="2430"/>
      <c r="U78" s="2427"/>
    </row>
    <row r="79" spans="2:21" s="2421" customFormat="1" ht="19.5" customHeight="1">
      <c r="B79" s="2422"/>
      <c r="C79" s="2428">
        <f>IF('[7]BASE'!C79=0,"",'[7]BASE'!C79)</f>
        <v>59</v>
      </c>
      <c r="D79" s="2428" t="str">
        <f>IF('[7]BASE'!D79=0,"",'[7]BASE'!D79)</f>
        <v>RAMALLO - ROSARIO OESTE</v>
      </c>
      <c r="E79" s="2428">
        <f>IF('[7]BASE'!E79=0,"",'[7]BASE'!E79)</f>
        <v>500</v>
      </c>
      <c r="F79" s="2428">
        <f>IF('[7]BASE'!F79=0,"",'[7]BASE'!F79)</f>
        <v>77</v>
      </c>
      <c r="G79" s="2428" t="str">
        <f>IF('[8]BASE'!G79=0,"",'[8]BASE'!G79)</f>
        <v>A</v>
      </c>
      <c r="H79" s="2429">
        <f>IF('[7]BASE'!DX79=0,"",'[7]BASE'!DX79)</f>
        <v>1</v>
      </c>
      <c r="I79" s="2429">
        <f>IF('[7]BASE'!DY79=0,"",'[7]BASE'!DY79)</f>
        <v>1</v>
      </c>
      <c r="J79" s="2429">
        <f>IF('[7]BASE'!DZ79=0,"",'[7]BASE'!DZ79)</f>
      </c>
      <c r="K79" s="2429">
        <f>IF('[7]BASE'!EA79=0,"",'[7]BASE'!EA79)</f>
        <v>1</v>
      </c>
      <c r="L79" s="2429">
        <f>IF('[7]BASE'!EB79=0,"",'[7]BASE'!EB79)</f>
      </c>
      <c r="M79" s="2429">
        <f>IF('[7]BASE'!EC79=0,"",'[7]BASE'!EC79)</f>
      </c>
      <c r="N79" s="2429">
        <f>IF('[7]BASE'!ED79=0,"",'[7]BASE'!ED79)</f>
      </c>
      <c r="O79" s="2429">
        <f>IF('[7]BASE'!EE79=0,"",'[7]BASE'!EE79)</f>
      </c>
      <c r="P79" s="2429">
        <f>IF('[7]BASE'!EF79=0,"",'[7]BASE'!EF79)</f>
      </c>
      <c r="Q79" s="2429">
        <f>IF('[7]BASE'!EG79=0,"",'[7]BASE'!EG79)</f>
      </c>
      <c r="R79" s="2429">
        <f>IF('[7]BASE'!EH79=0,"",'[7]BASE'!EH79)</f>
      </c>
      <c r="S79" s="2429">
        <f>IF('[7]BASE'!EI79=0,"",'[7]BASE'!EI79)</f>
      </c>
      <c r="T79" s="2430"/>
      <c r="U79" s="2427"/>
    </row>
    <row r="80" spans="2:21" s="2421" customFormat="1" ht="19.5" customHeight="1">
      <c r="B80" s="2422"/>
      <c r="C80" s="2428">
        <f>IF('[7]BASE'!C80=0,"",'[7]BASE'!C80)</f>
        <v>60</v>
      </c>
      <c r="D80" s="2428" t="str">
        <f>IF('[7]BASE'!D80=0,"",'[7]BASE'!D80)</f>
        <v>MACACHIN - HENDERSON</v>
      </c>
      <c r="E80" s="2428">
        <f>IF('[7]BASE'!E80=0,"",'[7]BASE'!E80)</f>
        <v>500</v>
      </c>
      <c r="F80" s="2428">
        <f>IF('[7]BASE'!F80=0,"",'[7]BASE'!F80)</f>
        <v>194</v>
      </c>
      <c r="G80" s="2428" t="str">
        <f>IF('[8]BASE'!G80=0,"",'[8]BASE'!G80)</f>
        <v>A</v>
      </c>
      <c r="H80" s="2429">
        <f>IF('[7]BASE'!DX80=0,"",'[7]BASE'!DX80)</f>
      </c>
      <c r="I80" s="2429">
        <f>IF('[7]BASE'!DY80=0,"",'[7]BASE'!DY80)</f>
      </c>
      <c r="J80" s="2429">
        <f>IF('[7]BASE'!DZ80=0,"",'[7]BASE'!DZ80)</f>
      </c>
      <c r="K80" s="2429">
        <f>IF('[7]BASE'!EA80=0,"",'[7]BASE'!EA80)</f>
      </c>
      <c r="L80" s="2429">
        <f>IF('[7]BASE'!EB80=0,"",'[7]BASE'!EB80)</f>
      </c>
      <c r="M80" s="2429">
        <f>IF('[7]BASE'!EC80=0,"",'[7]BASE'!EC80)</f>
      </c>
      <c r="N80" s="2429">
        <f>IF('[7]BASE'!ED80=0,"",'[7]BASE'!ED80)</f>
      </c>
      <c r="O80" s="2429">
        <f>IF('[7]BASE'!EE80=0,"",'[7]BASE'!EE80)</f>
      </c>
      <c r="P80" s="2429">
        <f>IF('[7]BASE'!EF80=0,"",'[7]BASE'!EF80)</f>
      </c>
      <c r="Q80" s="2429">
        <f>IF('[7]BASE'!EG80=0,"",'[7]BASE'!EG80)</f>
      </c>
      <c r="R80" s="2429">
        <f>IF('[7]BASE'!EH80=0,"",'[7]BASE'!EH80)</f>
      </c>
      <c r="S80" s="2429">
        <f>IF('[7]BASE'!EI80=0,"",'[7]BASE'!EI80)</f>
      </c>
      <c r="T80" s="2430"/>
      <c r="U80" s="2427"/>
    </row>
    <row r="81" spans="2:21" s="2421" customFormat="1" ht="19.5" customHeight="1">
      <c r="B81" s="2422"/>
      <c r="C81" s="2428">
        <f>IF('[7]BASE'!C81=0,"",'[7]BASE'!C81)</f>
        <v>61</v>
      </c>
      <c r="D81" s="2428" t="str">
        <f>IF('[7]BASE'!D81=0,"",'[7]BASE'!D81)</f>
        <v>PUELCHES - MACACHIN</v>
      </c>
      <c r="E81" s="2428">
        <f>IF('[7]BASE'!E81=0,"",'[7]BASE'!E81)</f>
        <v>500</v>
      </c>
      <c r="F81" s="2428">
        <f>IF('[7]BASE'!F81=0,"",'[7]BASE'!F81)</f>
        <v>227</v>
      </c>
      <c r="G81" s="2428" t="str">
        <f>IF('[8]BASE'!G81=0,"",'[8]BASE'!G81)</f>
        <v>A</v>
      </c>
      <c r="H81" s="2429">
        <f>IF('[7]BASE'!DX81=0,"",'[7]BASE'!DX81)</f>
      </c>
      <c r="I81" s="2429">
        <f>IF('[7]BASE'!DY81=0,"",'[7]BASE'!DY81)</f>
      </c>
      <c r="J81" s="2429">
        <f>IF('[7]BASE'!DZ81=0,"",'[7]BASE'!DZ81)</f>
      </c>
      <c r="K81" s="2429">
        <f>IF('[7]BASE'!EA81=0,"",'[7]BASE'!EA81)</f>
      </c>
      <c r="L81" s="2429">
        <f>IF('[7]BASE'!EB81=0,"",'[7]BASE'!EB81)</f>
      </c>
      <c r="M81" s="2429">
        <f>IF('[7]BASE'!EC81=0,"",'[7]BASE'!EC81)</f>
      </c>
      <c r="N81" s="2429">
        <f>IF('[7]BASE'!ED81=0,"",'[7]BASE'!ED81)</f>
      </c>
      <c r="O81" s="2429">
        <f>IF('[7]BASE'!EE81=0,"",'[7]BASE'!EE81)</f>
      </c>
      <c r="P81" s="2429">
        <f>IF('[7]BASE'!EF81=0,"",'[7]BASE'!EF81)</f>
      </c>
      <c r="Q81" s="2429">
        <f>IF('[7]BASE'!EG81=0,"",'[7]BASE'!EG81)</f>
      </c>
      <c r="R81" s="2429">
        <f>IF('[7]BASE'!EH81=0,"",'[7]BASE'!EH81)</f>
      </c>
      <c r="S81" s="2429">
        <f>IF('[7]BASE'!EI81=0,"",'[7]BASE'!EI81)</f>
      </c>
      <c r="T81" s="2430"/>
      <c r="U81" s="2427"/>
    </row>
    <row r="82" spans="2:21" s="2421" customFormat="1" ht="19.5" customHeight="1">
      <c r="B82" s="2422"/>
      <c r="C82" s="2428">
        <f>IF('[7]BASE'!C82=0,"",'[7]BASE'!C82)</f>
      </c>
      <c r="D82" s="2428">
        <f>IF('[7]BASE'!D82=0,"",'[7]BASE'!D82)</f>
      </c>
      <c r="E82" s="2428">
        <f>IF('[7]BASE'!E82=0,"",'[7]BASE'!E82)</f>
      </c>
      <c r="F82" s="2428">
        <f>IF('[7]BASE'!F82=0,"",'[7]BASE'!F82)</f>
      </c>
      <c r="G82" s="2428" t="str">
        <f>IF('[8]BASE'!G82=0,"",'[8]BASE'!G82)</f>
        <v>B</v>
      </c>
      <c r="H82" s="2429">
        <f>IF('[7]BASE'!DX82=0,"",'[7]BASE'!DX82)</f>
      </c>
      <c r="I82" s="2429">
        <f>IF('[7]BASE'!DY82=0,"",'[7]BASE'!DY82)</f>
      </c>
      <c r="J82" s="2429">
        <f>IF('[7]BASE'!DZ82=0,"",'[7]BASE'!DZ82)</f>
      </c>
      <c r="K82" s="2429">
        <f>IF('[7]BASE'!EA82=0,"",'[7]BASE'!EA82)</f>
      </c>
      <c r="L82" s="2429">
        <f>IF('[7]BASE'!EB82=0,"",'[7]BASE'!EB82)</f>
      </c>
      <c r="M82" s="2429">
        <f>IF('[7]BASE'!EC82=0,"",'[7]BASE'!EC82)</f>
      </c>
      <c r="N82" s="2429">
        <f>IF('[7]BASE'!ED82=0,"",'[7]BASE'!ED82)</f>
      </c>
      <c r="O82" s="2429">
        <f>IF('[7]BASE'!EE82=0,"",'[7]BASE'!EE82)</f>
      </c>
      <c r="P82" s="2429">
        <f>IF('[7]BASE'!EF82=0,"",'[7]BASE'!EF82)</f>
      </c>
      <c r="Q82" s="2429">
        <f>IF('[7]BASE'!EG82=0,"",'[7]BASE'!EG82)</f>
      </c>
      <c r="R82" s="2429">
        <f>IF('[7]BASE'!EH82=0,"",'[7]BASE'!EH82)</f>
      </c>
      <c r="S82" s="2429">
        <f>IF('[7]BASE'!EI82=0,"",'[7]BASE'!EI82)</f>
      </c>
      <c r="T82" s="2430"/>
      <c r="U82" s="2427"/>
    </row>
    <row r="83" spans="2:21" s="2421" customFormat="1" ht="19.5" customHeight="1">
      <c r="B83" s="2422"/>
      <c r="C83" s="2428">
        <f>IF('[7]BASE'!C83=0,"",'[7]BASE'!C83)</f>
      </c>
      <c r="D83" s="2428">
        <f>IF('[7]BASE'!D83=0,"",'[7]BASE'!D83)</f>
      </c>
      <c r="E83" s="2428">
        <f>IF('[7]BASE'!E83=0,"",'[7]BASE'!E83)</f>
      </c>
      <c r="F83" s="2428">
        <f>IF('[7]BASE'!F83=0,"",'[7]BASE'!F83)</f>
      </c>
      <c r="G83" s="2428" t="str">
        <f>IF('[8]BASE'!G83=0,"",'[8]BASE'!G83)</f>
        <v>B</v>
      </c>
      <c r="H83" s="2429">
        <f>IF('[7]BASE'!DX83=0,"",'[7]BASE'!DX83)</f>
      </c>
      <c r="I83" s="2429">
        <f>IF('[7]BASE'!DY83=0,"",'[7]BASE'!DY83)</f>
      </c>
      <c r="J83" s="2429">
        <f>IF('[7]BASE'!DZ83=0,"",'[7]BASE'!DZ83)</f>
      </c>
      <c r="K83" s="2429">
        <f>IF('[7]BASE'!EA83=0,"",'[7]BASE'!EA83)</f>
      </c>
      <c r="L83" s="2429">
        <f>IF('[7]BASE'!EB83=0,"",'[7]BASE'!EB83)</f>
      </c>
      <c r="M83" s="2429">
        <f>IF('[7]BASE'!EC83=0,"",'[7]BASE'!EC83)</f>
      </c>
      <c r="N83" s="2429">
        <f>IF('[7]BASE'!ED83=0,"",'[7]BASE'!ED83)</f>
      </c>
      <c r="O83" s="2429">
        <f>IF('[7]BASE'!EE83=0,"",'[7]BASE'!EE83)</f>
      </c>
      <c r="P83" s="2429">
        <f>IF('[7]BASE'!EF83=0,"",'[7]BASE'!EF83)</f>
      </c>
      <c r="Q83" s="2429">
        <f>IF('[7]BASE'!EG83=0,"",'[7]BASE'!EG83)</f>
      </c>
      <c r="R83" s="2429">
        <f>IF('[7]BASE'!EH83=0,"",'[7]BASE'!EH83)</f>
      </c>
      <c r="S83" s="2429">
        <f>IF('[7]BASE'!EI83=0,"",'[7]BASE'!EI83)</f>
      </c>
      <c r="T83" s="2430"/>
      <c r="U83" s="2427"/>
    </row>
    <row r="84" spans="2:21" s="2421" customFormat="1" ht="19.5" customHeight="1">
      <c r="B84" s="2422"/>
      <c r="C84" s="2428">
        <f>IF('[7]BASE'!C84=0,"",'[7]BASE'!C84)</f>
        <v>62</v>
      </c>
      <c r="D84" s="2428" t="str">
        <f>IF('[7]BASE'!D84=0,"",'[7]BASE'!D84)</f>
        <v>YACYRETÁ - RINCON I</v>
      </c>
      <c r="E84" s="2428">
        <f>IF('[7]BASE'!E84=0,"",'[7]BASE'!E84)</f>
        <v>500</v>
      </c>
      <c r="F84" s="2428">
        <f>IF('[7]BASE'!F84=0,"",'[7]BASE'!F84)</f>
        <v>3.6</v>
      </c>
      <c r="G84" s="2428" t="str">
        <f>IF('[8]BASE'!G84=0,"",'[8]BASE'!G84)</f>
        <v>B</v>
      </c>
      <c r="H84" s="2429">
        <f>IF('[7]BASE'!DX84=0,"",'[7]BASE'!DX84)</f>
      </c>
      <c r="I84" s="2429">
        <f>IF('[7]BASE'!DY84=0,"",'[7]BASE'!DY84)</f>
      </c>
      <c r="J84" s="2429">
        <f>IF('[7]BASE'!DZ84=0,"",'[7]BASE'!DZ84)</f>
      </c>
      <c r="K84" s="2429">
        <f>IF('[7]BASE'!EA84=0,"",'[7]BASE'!EA84)</f>
      </c>
      <c r="L84" s="2429">
        <f>IF('[7]BASE'!EB84=0,"",'[7]BASE'!EB84)</f>
      </c>
      <c r="M84" s="2429">
        <f>IF('[7]BASE'!EC84=0,"",'[7]BASE'!EC84)</f>
      </c>
      <c r="N84" s="2429">
        <f>IF('[7]BASE'!ED84=0,"",'[7]BASE'!ED84)</f>
      </c>
      <c r="O84" s="2429">
        <f>IF('[7]BASE'!EE84=0,"",'[7]BASE'!EE84)</f>
      </c>
      <c r="P84" s="2429">
        <f>IF('[7]BASE'!EF84=0,"",'[7]BASE'!EF84)</f>
      </c>
      <c r="Q84" s="2429">
        <f>IF('[7]BASE'!EG84=0,"",'[7]BASE'!EG84)</f>
      </c>
      <c r="R84" s="2429">
        <f>IF('[7]BASE'!EH84=0,"",'[7]BASE'!EH84)</f>
      </c>
      <c r="S84" s="2429">
        <f>IF('[7]BASE'!EI84=0,"",'[7]BASE'!EI84)</f>
      </c>
      <c r="T84" s="2430"/>
      <c r="U84" s="2427"/>
    </row>
    <row r="85" spans="2:21" s="2421" customFormat="1" ht="19.5" customHeight="1">
      <c r="B85" s="2422"/>
      <c r="C85" s="2428">
        <f>IF('[7]BASE'!C85=0,"",'[7]BASE'!C85)</f>
        <v>63</v>
      </c>
      <c r="D85" s="2428" t="str">
        <f>IF('[7]BASE'!D85=0,"",'[7]BASE'!D85)</f>
        <v>YACYRETÁ - RINCON II</v>
      </c>
      <c r="E85" s="2428">
        <f>IF('[7]BASE'!E85=0,"",'[7]BASE'!E85)</f>
        <v>500</v>
      </c>
      <c r="F85" s="2428">
        <f>IF('[7]BASE'!F85=0,"",'[7]BASE'!F85)</f>
        <v>3.6</v>
      </c>
      <c r="G85" s="2428" t="str">
        <f>IF('[8]BASE'!G85=0,"",'[8]BASE'!G85)</f>
        <v>A</v>
      </c>
      <c r="H85" s="2429">
        <f>IF('[7]BASE'!DX85=0,"",'[7]BASE'!DX85)</f>
      </c>
      <c r="I85" s="2429">
        <f>IF('[7]BASE'!DY85=0,"",'[7]BASE'!DY85)</f>
      </c>
      <c r="J85" s="2429">
        <f>IF('[7]BASE'!DZ85=0,"",'[7]BASE'!DZ85)</f>
      </c>
      <c r="K85" s="2429">
        <f>IF('[7]BASE'!EA85=0,"",'[7]BASE'!EA85)</f>
      </c>
      <c r="L85" s="2429">
        <f>IF('[7]BASE'!EB85=0,"",'[7]BASE'!EB85)</f>
      </c>
      <c r="M85" s="2429">
        <f>IF('[7]BASE'!EC85=0,"",'[7]BASE'!EC85)</f>
      </c>
      <c r="N85" s="2429">
        <f>IF('[7]BASE'!ED85=0,"",'[7]BASE'!ED85)</f>
      </c>
      <c r="O85" s="2429">
        <f>IF('[7]BASE'!EE85=0,"",'[7]BASE'!EE85)</f>
      </c>
      <c r="P85" s="2429">
        <f>IF('[7]BASE'!EF85=0,"",'[7]BASE'!EF85)</f>
      </c>
      <c r="Q85" s="2429">
        <f>IF('[7]BASE'!EG85=0,"",'[7]BASE'!EG85)</f>
      </c>
      <c r="R85" s="2429">
        <f>IF('[7]BASE'!EH85=0,"",'[7]BASE'!EH85)</f>
      </c>
      <c r="S85" s="2429">
        <f>IF('[7]BASE'!EI85=0,"",'[7]BASE'!EI85)</f>
      </c>
      <c r="T85" s="2430"/>
      <c r="U85" s="2427"/>
    </row>
    <row r="86" spans="2:21" s="2421" customFormat="1" ht="19.5" customHeight="1">
      <c r="B86" s="2422"/>
      <c r="C86" s="2428">
        <f>IF('[7]BASE'!C86=0,"",'[7]BASE'!C86)</f>
        <v>64</v>
      </c>
      <c r="D86" s="2428" t="str">
        <f>IF('[7]BASE'!D86=0,"",'[7]BASE'!D86)</f>
        <v>YACYRETÁ - RINCON III</v>
      </c>
      <c r="E86" s="2428">
        <f>IF('[7]BASE'!E86=0,"",'[7]BASE'!E86)</f>
        <v>500</v>
      </c>
      <c r="F86" s="2428">
        <f>IF('[7]BASE'!F86=0,"",'[7]BASE'!F86)</f>
        <v>3.6</v>
      </c>
      <c r="G86" s="2428" t="str">
        <f>IF('[8]BASE'!G86=0,"",'[8]BASE'!G86)</f>
        <v>C</v>
      </c>
      <c r="H86" s="2429">
        <f>IF('[7]BASE'!DX86=0,"",'[7]BASE'!DX86)</f>
      </c>
      <c r="I86" s="2429">
        <f>IF('[7]BASE'!DY86=0,"",'[7]BASE'!DY86)</f>
      </c>
      <c r="J86" s="2429">
        <f>IF('[7]BASE'!DZ86=0,"",'[7]BASE'!DZ86)</f>
      </c>
      <c r="K86" s="2429">
        <f>IF('[7]BASE'!EA86=0,"",'[7]BASE'!EA86)</f>
      </c>
      <c r="L86" s="2429">
        <f>IF('[7]BASE'!EB86=0,"",'[7]BASE'!EB86)</f>
      </c>
      <c r="M86" s="2429">
        <f>IF('[7]BASE'!EC86=0,"",'[7]BASE'!EC86)</f>
      </c>
      <c r="N86" s="2429">
        <f>IF('[7]BASE'!ED86=0,"",'[7]BASE'!ED86)</f>
      </c>
      <c r="O86" s="2429">
        <f>IF('[7]BASE'!EE86=0,"",'[7]BASE'!EE86)</f>
      </c>
      <c r="P86" s="2429">
        <f>IF('[7]BASE'!EF86=0,"",'[7]BASE'!EF86)</f>
      </c>
      <c r="Q86" s="2429">
        <f>IF('[7]BASE'!EG86=0,"",'[7]BASE'!EG86)</f>
      </c>
      <c r="R86" s="2429">
        <f>IF('[7]BASE'!EH86=0,"",'[7]BASE'!EH86)</f>
      </c>
      <c r="S86" s="2429">
        <f>IF('[7]BASE'!EI86=0,"",'[7]BASE'!EI86)</f>
      </c>
      <c r="T86" s="2430"/>
      <c r="U86" s="2427"/>
    </row>
    <row r="87" spans="2:21" s="2421" customFormat="1" ht="19.5" customHeight="1">
      <c r="B87" s="2422"/>
      <c r="C87" s="2428">
        <f>IF('[7]BASE'!C87=0,"",'[7]BASE'!C87)</f>
        <v>65</v>
      </c>
      <c r="D87" s="2428" t="str">
        <f>IF('[7]BASE'!D87=0,"",'[7]BASE'!D87)</f>
        <v>RINCON - PASO DE LA PATRIA</v>
      </c>
      <c r="E87" s="2428">
        <f>IF('[7]BASE'!E87=0,"",'[7]BASE'!E87)</f>
        <v>500</v>
      </c>
      <c r="F87" s="2428">
        <f>IF('[7]BASE'!F87=0,"",'[7]BASE'!F87)</f>
        <v>227</v>
      </c>
      <c r="G87" s="2428" t="str">
        <f>IF('[8]BASE'!G87=0,"",'[8]BASE'!G87)</f>
        <v>B</v>
      </c>
      <c r="H87" s="2429">
        <f>IF('[7]BASE'!DX87=0,"",'[7]BASE'!DX87)</f>
      </c>
      <c r="I87" s="2429">
        <f>IF('[7]BASE'!DY87=0,"",'[7]BASE'!DY87)</f>
      </c>
      <c r="J87" s="2429">
        <f>IF('[7]BASE'!DZ87=0,"",'[7]BASE'!DZ87)</f>
      </c>
      <c r="K87" s="2429">
        <f>IF('[7]BASE'!EA87=0,"",'[7]BASE'!EA87)</f>
      </c>
      <c r="L87" s="2429">
        <f>IF('[7]BASE'!EB87=0,"",'[7]BASE'!EB87)</f>
        <v>1</v>
      </c>
      <c r="M87" s="2429">
        <f>IF('[7]BASE'!EC87=0,"",'[7]BASE'!EC87)</f>
      </c>
      <c r="N87" s="2429">
        <f>IF('[7]BASE'!ED87=0,"",'[7]BASE'!ED87)</f>
      </c>
      <c r="O87" s="2429">
        <f>IF('[7]BASE'!EE87=0,"",'[7]BASE'!EE87)</f>
      </c>
      <c r="P87" s="2429">
        <f>IF('[7]BASE'!EF87=0,"",'[7]BASE'!EF87)</f>
      </c>
      <c r="Q87" s="2429">
        <f>IF('[7]BASE'!EG87=0,"",'[7]BASE'!EG87)</f>
      </c>
      <c r="R87" s="2429">
        <f>IF('[7]BASE'!EH87=0,"",'[7]BASE'!EH87)</f>
      </c>
      <c r="S87" s="2429">
        <f>IF('[7]BASE'!EI87=0,"",'[7]BASE'!EI87)</f>
      </c>
      <c r="T87" s="2430"/>
      <c r="U87" s="2427"/>
    </row>
    <row r="88" spans="2:21" s="2421" customFormat="1" ht="19.5" customHeight="1">
      <c r="B88" s="2422"/>
      <c r="C88" s="2428">
        <f>IF('[7]BASE'!C88=0,"",'[7]BASE'!C88)</f>
        <v>66</v>
      </c>
      <c r="D88" s="2428" t="str">
        <f>IF('[7]BASE'!D88=0,"",'[7]BASE'!D88)</f>
        <v>PASO DE LA PATRIA - RESISTENCIA</v>
      </c>
      <c r="E88" s="2428">
        <f>IF('[7]BASE'!E88=0,"",'[7]BASE'!E88)</f>
        <v>500</v>
      </c>
      <c r="F88" s="2428">
        <f>IF('[7]BASE'!F88=0,"",'[7]BASE'!F88)</f>
        <v>40</v>
      </c>
      <c r="G88" s="2428" t="str">
        <f>IF('[8]BASE'!G88=0,"",'[8]BASE'!G88)</f>
        <v>C</v>
      </c>
      <c r="H88" s="2429">
        <f>IF('[7]BASE'!DX88=0,"",'[7]BASE'!DX88)</f>
      </c>
      <c r="I88" s="2429">
        <f>IF('[7]BASE'!DY88=0,"",'[7]BASE'!DY88)</f>
      </c>
      <c r="J88" s="2429">
        <f>IF('[7]BASE'!DZ88=0,"",'[7]BASE'!DZ88)</f>
      </c>
      <c r="K88" s="2429">
        <f>IF('[7]BASE'!EA88=0,"",'[7]BASE'!EA88)</f>
      </c>
      <c r="L88" s="2429">
        <f>IF('[7]BASE'!EB88=0,"",'[7]BASE'!EB88)</f>
      </c>
      <c r="M88" s="2429">
        <f>IF('[7]BASE'!EC88=0,"",'[7]BASE'!EC88)</f>
      </c>
      <c r="N88" s="2429">
        <f>IF('[7]BASE'!ED88=0,"",'[7]BASE'!ED88)</f>
      </c>
      <c r="O88" s="2429">
        <f>IF('[7]BASE'!EE88=0,"",'[7]BASE'!EE88)</f>
      </c>
      <c r="P88" s="2429">
        <f>IF('[7]BASE'!EF88=0,"",'[7]BASE'!EF88)</f>
      </c>
      <c r="Q88" s="2429">
        <f>IF('[7]BASE'!EG88=0,"",'[7]BASE'!EG88)</f>
      </c>
      <c r="R88" s="2429">
        <f>IF('[7]BASE'!EH88=0,"",'[7]BASE'!EH88)</f>
      </c>
      <c r="S88" s="2429">
        <f>IF('[7]BASE'!EI88=0,"",'[7]BASE'!EI88)</f>
      </c>
      <c r="T88" s="2430"/>
      <c r="U88" s="2427"/>
    </row>
    <row r="89" spans="2:21" s="2421" customFormat="1" ht="19.5" customHeight="1">
      <c r="B89" s="2422"/>
      <c r="C89" s="2428">
        <f>IF('[7]BASE'!C89=0,"",'[7]BASE'!C89)</f>
        <v>67</v>
      </c>
      <c r="D89" s="2428" t="str">
        <f>IF('[7]BASE'!D89=0,"",'[7]BASE'!D89)</f>
        <v>RINCON - RESISTENCIA</v>
      </c>
      <c r="E89" s="2428">
        <f>IF('[7]BASE'!E89=0,"",'[7]BASE'!E89)</f>
        <v>500</v>
      </c>
      <c r="F89" s="2428">
        <f>IF('[7]BASE'!F89=0,"",'[7]BASE'!F89)</f>
        <v>267</v>
      </c>
      <c r="G89" s="2428" t="str">
        <f>IF('[8]BASE'!G89=0,"",'[8]BASE'!G89)</f>
        <v>A</v>
      </c>
      <c r="H89" s="2429" t="str">
        <f>IF('[7]BASE'!DX89=0,"",'[7]BASE'!DX89)</f>
        <v>XXXX</v>
      </c>
      <c r="I89" s="2429" t="str">
        <f>IF('[7]BASE'!DY89=0,"",'[7]BASE'!DY89)</f>
        <v>XXXX</v>
      </c>
      <c r="J89" s="2429" t="str">
        <f>IF('[7]BASE'!DZ89=0,"",'[7]BASE'!DZ89)</f>
        <v>XXXX</v>
      </c>
      <c r="K89" s="2429" t="str">
        <f>IF('[7]BASE'!EA89=0,"",'[7]BASE'!EA89)</f>
        <v>XXXX</v>
      </c>
      <c r="L89" s="2429" t="str">
        <f>IF('[7]BASE'!EB89=0,"",'[7]BASE'!EB89)</f>
        <v>XXXX</v>
      </c>
      <c r="M89" s="2429" t="str">
        <f>IF('[7]BASE'!EC89=0,"",'[7]BASE'!EC89)</f>
        <v>XXXX</v>
      </c>
      <c r="N89" s="2429" t="str">
        <f>IF('[7]BASE'!ED89=0,"",'[7]BASE'!ED89)</f>
        <v>XXXX</v>
      </c>
      <c r="O89" s="2429" t="str">
        <f>IF('[7]BASE'!EE89=0,"",'[7]BASE'!EE89)</f>
        <v>XXXX</v>
      </c>
      <c r="P89" s="2429" t="str">
        <f>IF('[7]BASE'!EF89=0,"",'[7]BASE'!EF89)</f>
        <v>XXXX</v>
      </c>
      <c r="Q89" s="2429" t="str">
        <f>IF('[7]BASE'!EG89=0,"",'[7]BASE'!EG89)</f>
        <v>XXXX</v>
      </c>
      <c r="R89" s="2429" t="str">
        <f>IF('[7]BASE'!EH89=0,"",'[7]BASE'!EH89)</f>
        <v>XXXX</v>
      </c>
      <c r="S89" s="2429" t="str">
        <f>IF('[7]BASE'!EI89=0,"",'[7]BASE'!EI89)</f>
        <v>XXXX</v>
      </c>
      <c r="T89" s="2430"/>
      <c r="U89" s="2427"/>
    </row>
    <row r="90" spans="2:21" s="2421" customFormat="1" ht="19.5" customHeight="1">
      <c r="B90" s="2422"/>
      <c r="C90" s="2428">
        <f>IF('[7]BASE'!C90=0,"",'[7]BASE'!C90)</f>
      </c>
      <c r="D90" s="2428">
        <f>IF('[7]BASE'!D90=0,"",'[7]BASE'!D90)</f>
      </c>
      <c r="E90" s="2428">
        <f>IF('[7]BASE'!E90=0,"",'[7]BASE'!E90)</f>
      </c>
      <c r="F90" s="2428">
        <f>IF('[7]BASE'!F90=0,"",'[7]BASE'!F90)</f>
      </c>
      <c r="G90" s="2428" t="str">
        <f>IF('[8]BASE'!G90=0,"",'[8]BASE'!G90)</f>
        <v>C</v>
      </c>
      <c r="H90" s="2429">
        <f>IF('[7]BASE'!DX90=0,"",'[7]BASE'!DX90)</f>
      </c>
      <c r="I90" s="2429">
        <f>IF('[7]BASE'!DY90=0,"",'[7]BASE'!DY90)</f>
      </c>
      <c r="J90" s="2429">
        <f>IF('[7]BASE'!DZ90=0,"",'[7]BASE'!DZ90)</f>
      </c>
      <c r="K90" s="2429">
        <f>IF('[7]BASE'!EA90=0,"",'[7]BASE'!EA90)</f>
      </c>
      <c r="L90" s="2429">
        <f>IF('[7]BASE'!EB90=0,"",'[7]BASE'!EB90)</f>
      </c>
      <c r="M90" s="2429">
        <f>IF('[7]BASE'!EC90=0,"",'[7]BASE'!EC90)</f>
      </c>
      <c r="N90" s="2429">
        <f>IF('[7]BASE'!ED90=0,"",'[7]BASE'!ED90)</f>
      </c>
      <c r="O90" s="2429">
        <f>IF('[7]BASE'!EE90=0,"",'[7]BASE'!EE90)</f>
      </c>
      <c r="P90" s="2429">
        <f>IF('[7]BASE'!EF90=0,"",'[7]BASE'!EF90)</f>
      </c>
      <c r="Q90" s="2429">
        <f>IF('[7]BASE'!EG90=0,"",'[7]BASE'!EG90)</f>
      </c>
      <c r="R90" s="2429">
        <f>IF('[7]BASE'!EH90=0,"",'[7]BASE'!EH90)</f>
      </c>
      <c r="S90" s="2429">
        <f>IF('[7]BASE'!EI90=0,"",'[7]BASE'!EI90)</f>
      </c>
      <c r="T90" s="2430"/>
      <c r="U90" s="2427"/>
    </row>
    <row r="91" spans="2:21" s="2421" customFormat="1" ht="19.5" customHeight="1">
      <c r="B91" s="2422"/>
      <c r="C91" s="2428">
        <f>IF('[7]BASE'!C91=0,"",'[7]BASE'!C91)</f>
        <v>68</v>
      </c>
      <c r="D91" s="2428" t="str">
        <f>IF('[7]BASE'!D91=0,"",'[7]BASE'!D91)</f>
        <v>RINCON - SALTO GRANDE</v>
      </c>
      <c r="E91" s="2428">
        <f>IF('[7]BASE'!E91=0,"",'[7]BASE'!E91)</f>
        <v>500</v>
      </c>
      <c r="F91" s="2428">
        <f>IF('[7]BASE'!F91=0,"",'[7]BASE'!F91)</f>
        <v>506</v>
      </c>
      <c r="G91" s="2428" t="str">
        <f>IF('[8]BASE'!G91=0,"",'[8]BASE'!G91)</f>
        <v>A</v>
      </c>
      <c r="H91" s="2429">
        <f>IF('[7]BASE'!DX91=0,"",'[7]BASE'!DX91)</f>
      </c>
      <c r="I91" s="2429">
        <f>IF('[7]BASE'!DY91=0,"",'[7]BASE'!DY91)</f>
      </c>
      <c r="J91" s="2429">
        <f>IF('[7]BASE'!DZ91=0,"",'[7]BASE'!DZ91)</f>
      </c>
      <c r="K91" s="2429">
        <f>IF('[7]BASE'!EA91=0,"",'[7]BASE'!EA91)</f>
      </c>
      <c r="L91" s="2429">
        <f>IF('[7]BASE'!EB91=0,"",'[7]BASE'!EB91)</f>
      </c>
      <c r="M91" s="2429">
        <f>IF('[7]BASE'!EC91=0,"",'[7]BASE'!EC91)</f>
      </c>
      <c r="N91" s="2429">
        <f>IF('[7]BASE'!ED91=0,"",'[7]BASE'!ED91)</f>
      </c>
      <c r="O91" s="2429">
        <f>IF('[7]BASE'!EE91=0,"",'[7]BASE'!EE91)</f>
      </c>
      <c r="P91" s="2429">
        <f>IF('[7]BASE'!EF91=0,"",'[7]BASE'!EF91)</f>
      </c>
      <c r="Q91" s="2429">
        <f>IF('[7]BASE'!EG91=0,"",'[7]BASE'!EG91)</f>
      </c>
      <c r="R91" s="2429">
        <f>IF('[7]BASE'!EH91=0,"",'[7]BASE'!EH91)</f>
      </c>
      <c r="S91" s="2429">
        <f>IF('[7]BASE'!EI91=0,"",'[7]BASE'!EI91)</f>
      </c>
      <c r="T91" s="2430"/>
      <c r="U91" s="2427"/>
    </row>
    <row r="92" spans="2:21" s="2421" customFormat="1" ht="19.5" customHeight="1">
      <c r="B92" s="2422"/>
      <c r="C92" s="2428">
        <f>IF('[7]BASE'!C92=0,"",'[7]BASE'!C92)</f>
        <v>69</v>
      </c>
      <c r="D92" s="2428" t="str">
        <f>IF('[7]BASE'!D92=0,"",'[7]BASE'!D92)</f>
        <v>RINCON - SAN ISIDRO</v>
      </c>
      <c r="E92" s="2428">
        <f>IF('[7]BASE'!E92=0,"",'[7]BASE'!E92)</f>
        <v>500</v>
      </c>
      <c r="F92" s="2428">
        <f>IF('[7]BASE'!F92=0,"",'[7]BASE'!F92)</f>
        <v>85</v>
      </c>
      <c r="G92" s="2428" t="str">
        <f>IF('[8]BASE'!G92=0,"",'[8]BASE'!G92)</f>
        <v>C</v>
      </c>
      <c r="H92" s="2429">
        <f>IF('[7]BASE'!DX92=0,"",'[7]BASE'!DX92)</f>
      </c>
      <c r="I92" s="2429">
        <f>IF('[7]BASE'!DY92=0,"",'[7]BASE'!DY92)</f>
      </c>
      <c r="J92" s="2429">
        <f>IF('[7]BASE'!DZ92=0,"",'[7]BASE'!DZ92)</f>
      </c>
      <c r="K92" s="2429">
        <f>IF('[7]BASE'!EA92=0,"",'[7]BASE'!EA92)</f>
      </c>
      <c r="L92" s="2429">
        <f>IF('[7]BASE'!EB92=0,"",'[7]BASE'!EB92)</f>
      </c>
      <c r="M92" s="2429">
        <f>IF('[7]BASE'!EC92=0,"",'[7]BASE'!EC92)</f>
      </c>
      <c r="N92" s="2429">
        <f>IF('[7]BASE'!ED92=0,"",'[7]BASE'!ED92)</f>
      </c>
      <c r="O92" s="2429">
        <f>IF('[7]BASE'!EE92=0,"",'[7]BASE'!EE92)</f>
      </c>
      <c r="P92" s="2429">
        <f>IF('[7]BASE'!EF92=0,"",'[7]BASE'!EF92)</f>
      </c>
      <c r="Q92" s="2429">
        <f>IF('[7]BASE'!EG92=0,"",'[7]BASE'!EG92)</f>
      </c>
      <c r="R92" s="2429">
        <f>IF('[7]BASE'!EH92=0,"",'[7]BASE'!EH92)</f>
      </c>
      <c r="S92" s="2429">
        <f>IF('[7]BASE'!EI92=0,"",'[7]BASE'!EI92)</f>
      </c>
      <c r="T92" s="2430"/>
      <c r="U92" s="2427"/>
    </row>
    <row r="93" spans="2:21" s="2421" customFormat="1" ht="19.5" customHeight="1">
      <c r="B93" s="2422"/>
      <c r="C93" s="2428">
        <f>IF('[7]BASE'!C93=0,"",'[7]BASE'!C93)</f>
      </c>
      <c r="D93" s="2428">
        <f>IF('[7]BASE'!D93=0,"",'[7]BASE'!D93)</f>
      </c>
      <c r="E93" s="2428">
        <f>IF('[7]BASE'!E93=0,"",'[7]BASE'!E93)</f>
      </c>
      <c r="F93" s="2428">
        <f>IF('[7]BASE'!F93=0,"",'[7]BASE'!F93)</f>
      </c>
      <c r="G93" s="2428" t="e">
        <f>IF('[8]BASE'!G93=0,"",'[8]BASE'!G93)</f>
        <v>#REF!</v>
      </c>
      <c r="H93" s="2429">
        <f>IF('[7]BASE'!DX93=0,"",'[7]BASE'!DX93)</f>
      </c>
      <c r="I93" s="2429">
        <f>IF('[7]BASE'!DY93=0,"",'[7]BASE'!DY93)</f>
      </c>
      <c r="J93" s="2429">
        <f>IF('[7]BASE'!DZ93=0,"",'[7]BASE'!DZ93)</f>
      </c>
      <c r="K93" s="2429">
        <f>IF('[7]BASE'!EA93=0,"",'[7]BASE'!EA93)</f>
      </c>
      <c r="L93" s="2429">
        <f>IF('[7]BASE'!EB93=0,"",'[7]BASE'!EB93)</f>
      </c>
      <c r="M93" s="2429">
        <f>IF('[7]BASE'!EC93=0,"",'[7]BASE'!EC93)</f>
      </c>
      <c r="N93" s="2429">
        <f>IF('[7]BASE'!ED93=0,"",'[7]BASE'!ED93)</f>
      </c>
      <c r="O93" s="2429">
        <f>IF('[7]BASE'!EE93=0,"",'[7]BASE'!EE93)</f>
      </c>
      <c r="P93" s="2429">
        <f>IF('[7]BASE'!EF93=0,"",'[7]BASE'!EF93)</f>
      </c>
      <c r="Q93" s="2429">
        <f>IF('[7]BASE'!EG93=0,"",'[7]BASE'!EG93)</f>
      </c>
      <c r="R93" s="2429">
        <f>IF('[7]BASE'!EH93=0,"",'[7]BASE'!EH93)</f>
      </c>
      <c r="S93" s="2429">
        <f>IF('[7]BASE'!EI93=0,"",'[7]BASE'!EI93)</f>
      </c>
      <c r="T93" s="2430"/>
      <c r="U93" s="2427"/>
    </row>
    <row r="94" spans="2:21" s="2421" customFormat="1" ht="19.5" customHeight="1">
      <c r="B94" s="2422"/>
      <c r="C94" s="2428">
        <f>IF('[7]BASE'!C94=0,"",'[7]BASE'!C94)</f>
        <v>70</v>
      </c>
      <c r="D94" s="2428" t="str">
        <f>IF('[7]BASE'!D94=0,"",'[7]BASE'!D94)</f>
        <v>RECREO - LA RIOJA SUR</v>
      </c>
      <c r="E94" s="2428">
        <f>IF('[7]BASE'!E94=0,"",'[7]BASE'!E94)</f>
        <v>500</v>
      </c>
      <c r="F94" s="2428">
        <f>IF('[7]BASE'!F94=0,"",'[7]BASE'!F94)</f>
        <v>150.3</v>
      </c>
      <c r="G94" s="2428" t="str">
        <f>IF('[8]BASE'!G94=0,"",'[8]BASE'!G94)</f>
        <v>C</v>
      </c>
      <c r="H94" s="2429">
        <f>IF('[7]BASE'!DX94=0,"",'[7]BASE'!DX94)</f>
      </c>
      <c r="I94" s="2429">
        <f>IF('[7]BASE'!DY94=0,"",'[7]BASE'!DY94)</f>
      </c>
      <c r="J94" s="2429">
        <f>IF('[7]BASE'!DZ94=0,"",'[7]BASE'!DZ94)</f>
      </c>
      <c r="K94" s="2429">
        <f>IF('[7]BASE'!EA94=0,"",'[7]BASE'!EA94)</f>
      </c>
      <c r="L94" s="2429">
        <f>IF('[7]BASE'!EB94=0,"",'[7]BASE'!EB94)</f>
      </c>
      <c r="M94" s="2429">
        <f>IF('[7]BASE'!EC94=0,"",'[7]BASE'!EC94)</f>
      </c>
      <c r="N94" s="2429">
        <f>IF('[7]BASE'!ED94=0,"",'[7]BASE'!ED94)</f>
      </c>
      <c r="O94" s="2429">
        <f>IF('[7]BASE'!EE94=0,"",'[7]BASE'!EE94)</f>
      </c>
      <c r="P94" s="2429">
        <f>IF('[7]BASE'!EF94=0,"",'[7]BASE'!EF94)</f>
      </c>
      <c r="Q94" s="2429">
        <f>IF('[7]BASE'!EG94=0,"",'[7]BASE'!EG94)</f>
      </c>
      <c r="R94" s="2429">
        <f>IF('[7]BASE'!EH94=0,"",'[7]BASE'!EH94)</f>
      </c>
      <c r="S94" s="2429">
        <f>IF('[7]BASE'!EI94=0,"",'[7]BASE'!EI94)</f>
      </c>
      <c r="T94" s="2430"/>
      <c r="U94" s="2427"/>
    </row>
    <row r="95" spans="2:21" s="2421" customFormat="1" ht="19.5" customHeight="1">
      <c r="B95" s="2422"/>
      <c r="C95" s="2428">
        <f>IF('[7]BASE'!C95=0,"",'[7]BASE'!C95)</f>
        <v>71</v>
      </c>
      <c r="D95" s="2428" t="str">
        <f>IF('[7]BASE'!D95=0,"",'[7]BASE'!D95)</f>
        <v>M.BELGRANO - G.RODRIGUEZ</v>
      </c>
      <c r="E95" s="2428">
        <f>IF('[7]BASE'!E95=0,"",'[7]BASE'!E95)</f>
        <v>500</v>
      </c>
      <c r="F95" s="2428">
        <f>IF('[7]BASE'!F95=0,"",'[7]BASE'!F95)</f>
        <v>41.4</v>
      </c>
      <c r="G95" s="2428" t="str">
        <f>IF('[8]BASE'!G95=0,"",'[8]BASE'!G95)</f>
        <v>C</v>
      </c>
      <c r="H95" s="2429">
        <f>IF('[7]BASE'!DX95=0,"",'[7]BASE'!DX95)</f>
      </c>
      <c r="I95" s="2429">
        <f>IF('[7]BASE'!DY95=0,"",'[7]BASE'!DY95)</f>
      </c>
      <c r="J95" s="2429">
        <f>IF('[7]BASE'!DZ95=0,"",'[7]BASE'!DZ95)</f>
      </c>
      <c r="K95" s="2429">
        <f>IF('[7]BASE'!EA95=0,"",'[7]BASE'!EA95)</f>
      </c>
      <c r="L95" s="2429">
        <f>IF('[7]BASE'!EB95=0,"",'[7]BASE'!EB95)</f>
      </c>
      <c r="M95" s="2429">
        <f>IF('[7]BASE'!EC95=0,"",'[7]BASE'!EC95)</f>
      </c>
      <c r="N95" s="2429">
        <f>IF('[7]BASE'!ED95=0,"",'[7]BASE'!ED95)</f>
      </c>
      <c r="O95" s="2429">
        <f>IF('[7]BASE'!EE95=0,"",'[7]BASE'!EE95)</f>
      </c>
      <c r="P95" s="2429">
        <f>IF('[7]BASE'!EF95=0,"",'[7]BASE'!EF95)</f>
      </c>
      <c r="Q95" s="2429">
        <f>IF('[7]BASE'!EG95=0,"",'[7]BASE'!EG95)</f>
      </c>
      <c r="R95" s="2429">
        <f>IF('[7]BASE'!EH95=0,"",'[7]BASE'!EH95)</f>
      </c>
      <c r="S95" s="2429">
        <f>IF('[7]BASE'!EI95=0,"",'[7]BASE'!EI95)</f>
      </c>
      <c r="T95" s="2430"/>
      <c r="U95" s="2427"/>
    </row>
    <row r="96" spans="2:21" s="2421" customFormat="1" ht="25.5" customHeight="1" thickBot="1">
      <c r="B96" s="2422"/>
      <c r="C96" s="2431"/>
      <c r="D96" s="2431"/>
      <c r="E96" s="2431"/>
      <c r="F96" s="2432"/>
      <c r="G96" s="2433" t="e">
        <f>IF('[8]BASE'!G96=0,"",'[8]BASE'!G96)</f>
        <v>#REF!</v>
      </c>
      <c r="H96" s="2434"/>
      <c r="I96" s="2434"/>
      <c r="J96" s="2434"/>
      <c r="K96" s="2434"/>
      <c r="L96" s="2434"/>
      <c r="M96" s="2434"/>
      <c r="N96" s="2434"/>
      <c r="O96" s="2434"/>
      <c r="P96" s="2434"/>
      <c r="Q96" s="2434"/>
      <c r="R96" s="2434"/>
      <c r="S96" s="2434"/>
      <c r="T96" s="2430"/>
      <c r="U96" s="2427"/>
    </row>
    <row r="97" spans="2:21" s="2421" customFormat="1" ht="19.5" customHeight="1" thickBot="1" thickTop="1">
      <c r="B97" s="2422"/>
      <c r="C97" s="2435"/>
      <c r="D97" s="2436"/>
      <c r="E97" s="2437" t="s">
        <v>341</v>
      </c>
      <c r="F97" s="2438">
        <f>SUM(F17:F95)-F46-F54-F57-F61-F89</f>
        <v>9902.33</v>
      </c>
      <c r="G97" s="2439"/>
      <c r="H97" s="2440"/>
      <c r="I97" s="2440"/>
      <c r="J97" s="2440"/>
      <c r="K97" s="2440"/>
      <c r="L97" s="2440"/>
      <c r="M97" s="2440"/>
      <c r="N97" s="2440"/>
      <c r="O97" s="2440"/>
      <c r="P97" s="2440"/>
      <c r="Q97" s="2440"/>
      <c r="R97" s="2440"/>
      <c r="S97" s="2440"/>
      <c r="T97" s="2430"/>
      <c r="U97" s="2427"/>
    </row>
    <row r="98" spans="2:21" s="2421" customFormat="1" ht="19.5" customHeight="1" thickBot="1" thickTop="1">
      <c r="B98" s="2422"/>
      <c r="C98" s="2441"/>
      <c r="D98" s="2442"/>
      <c r="E98" s="2443"/>
      <c r="F98" s="2444" t="s">
        <v>342</v>
      </c>
      <c r="H98" s="2445">
        <f aca="true" t="shared" si="0" ref="H98:S98">SUM(H17:H95)</f>
        <v>5</v>
      </c>
      <c r="I98" s="2445">
        <f t="shared" si="0"/>
        <v>4</v>
      </c>
      <c r="J98" s="2445">
        <f t="shared" si="0"/>
        <v>2</v>
      </c>
      <c r="K98" s="2445">
        <f t="shared" si="0"/>
        <v>2</v>
      </c>
      <c r="L98" s="2445">
        <f t="shared" si="0"/>
        <v>1</v>
      </c>
      <c r="M98" s="2445">
        <f t="shared" si="0"/>
        <v>1</v>
      </c>
      <c r="N98" s="2445">
        <f t="shared" si="0"/>
        <v>4</v>
      </c>
      <c r="O98" s="2445">
        <f t="shared" si="0"/>
        <v>2</v>
      </c>
      <c r="P98" s="2445">
        <f t="shared" si="0"/>
        <v>3</v>
      </c>
      <c r="Q98" s="2445">
        <f t="shared" si="0"/>
        <v>1</v>
      </c>
      <c r="R98" s="2445">
        <f t="shared" si="0"/>
        <v>3</v>
      </c>
      <c r="S98" s="2445">
        <f t="shared" si="0"/>
        <v>5</v>
      </c>
      <c r="T98" s="2446"/>
      <c r="U98" s="2427"/>
    </row>
    <row r="99" spans="2:21" s="2421" customFormat="1" ht="19.5" customHeight="1" thickBot="1" thickTop="1">
      <c r="B99" s="2422"/>
      <c r="E99" s="2443"/>
      <c r="F99" s="2444" t="s">
        <v>343</v>
      </c>
      <c r="H99" s="2447">
        <f>'[7]BASE'!DX104</f>
        <v>0.56</v>
      </c>
      <c r="I99" s="2447">
        <f>'[7]BASE'!DY104</f>
        <v>0.54</v>
      </c>
      <c r="J99" s="2447">
        <f>'[7]BASE'!DZ104</f>
        <v>0.54</v>
      </c>
      <c r="K99" s="2447">
        <f>'[7]BASE'!EA104</f>
        <v>0.52</v>
      </c>
      <c r="L99" s="2447">
        <f>'[7]BASE'!EB104</f>
        <v>0.47</v>
      </c>
      <c r="M99" s="2447">
        <f>'[7]BASE'!EC104</f>
        <v>0.43</v>
      </c>
      <c r="N99" s="2447">
        <f>'[7]BASE'!ED104</f>
        <v>0.36</v>
      </c>
      <c r="O99" s="2447">
        <f>'[7]BASE'!EE104</f>
        <v>0.37</v>
      </c>
      <c r="P99" s="2447">
        <f>'[7]BASE'!EF104</f>
        <v>0.36</v>
      </c>
      <c r="Q99" s="2447">
        <f>'[7]BASE'!EG104</f>
        <v>0.34</v>
      </c>
      <c r="R99" s="2447">
        <f>'[7]BASE'!EH104</f>
        <v>0.34</v>
      </c>
      <c r="S99" s="2447">
        <f>'[7]BASE'!EI104</f>
        <v>0.34</v>
      </c>
      <c r="T99" s="2447">
        <f>'[7]BASE'!EJ104</f>
        <v>0.33</v>
      </c>
      <c r="U99" s="2427"/>
    </row>
    <row r="100" spans="2:21" s="2421" customFormat="1" ht="19.5" customHeight="1" thickTop="1">
      <c r="B100" s="2422"/>
      <c r="C100" s="2448"/>
      <c r="D100" s="2449"/>
      <c r="E100" s="2450"/>
      <c r="F100" s="2451"/>
      <c r="G100" s="2448"/>
      <c r="H100" s="2452"/>
      <c r="I100" s="2452"/>
      <c r="J100" s="2452"/>
      <c r="K100" s="2452"/>
      <c r="L100" s="2452"/>
      <c r="M100" s="2452"/>
      <c r="N100" s="2452"/>
      <c r="O100" s="2452"/>
      <c r="P100" s="2452"/>
      <c r="Q100" s="2452"/>
      <c r="R100" s="2452"/>
      <c r="S100" s="2452"/>
      <c r="T100" s="2452"/>
      <c r="U100" s="2427"/>
    </row>
    <row r="101" spans="2:21" s="2421" customFormat="1" ht="19.5" customHeight="1" thickBot="1">
      <c r="B101" s="2422"/>
      <c r="C101" s="2453"/>
      <c r="D101" s="2453"/>
      <c r="E101" s="2454"/>
      <c r="F101" s="2454"/>
      <c r="G101" s="2455"/>
      <c r="H101" s="2454"/>
      <c r="I101" s="2454"/>
      <c r="J101" s="2454"/>
      <c r="K101" s="2454"/>
      <c r="L101" s="2454"/>
      <c r="M101" s="2454"/>
      <c r="N101" s="2454"/>
      <c r="O101" s="2454"/>
      <c r="P101" s="2454"/>
      <c r="Q101" s="2454"/>
      <c r="R101" s="2454"/>
      <c r="S101" s="2454"/>
      <c r="T101" s="2454"/>
      <c r="U101" s="2427"/>
    </row>
    <row r="102" spans="2:21" s="2421" customFormat="1" ht="19.5" customHeight="1" thickBot="1" thickTop="1">
      <c r="B102" s="2422"/>
      <c r="C102" s="2455"/>
      <c r="D102" s="2454"/>
      <c r="E102" s="2386"/>
      <c r="F102" s="2386"/>
      <c r="G102" s="2386"/>
      <c r="H102" s="2456" t="s">
        <v>344</v>
      </c>
      <c r="I102" s="2457"/>
      <c r="J102" s="2458">
        <f>T99</f>
        <v>0.33</v>
      </c>
      <c r="K102" s="2459" t="s">
        <v>345</v>
      </c>
      <c r="L102" s="2460"/>
      <c r="M102" s="2461"/>
      <c r="N102" s="2454"/>
      <c r="O102" s="2454"/>
      <c r="P102" s="2454"/>
      <c r="Q102" s="2454"/>
      <c r="R102" s="2454"/>
      <c r="S102" s="2454"/>
      <c r="T102" s="2454"/>
      <c r="U102" s="2427"/>
    </row>
    <row r="103" spans="2:21" s="2462" customFormat="1" ht="9.75" customHeight="1" thickTop="1">
      <c r="B103" s="2463"/>
      <c r="C103" s="2448"/>
      <c r="D103" s="2449"/>
      <c r="E103" s="2450"/>
      <c r="F103" s="2451"/>
      <c r="G103" s="2448"/>
      <c r="H103" s="2452"/>
      <c r="I103" s="2452"/>
      <c r="J103" s="2452"/>
      <c r="K103" s="2452"/>
      <c r="L103" s="2452"/>
      <c r="M103" s="2452"/>
      <c r="N103" s="2452"/>
      <c r="O103" s="2452"/>
      <c r="P103" s="2452"/>
      <c r="Q103" s="2452"/>
      <c r="R103" s="2452"/>
      <c r="S103" s="2452"/>
      <c r="T103" s="2452"/>
      <c r="U103" s="2464"/>
    </row>
    <row r="104" spans="2:21" s="2401" customFormat="1" ht="9.75" customHeight="1" thickBot="1">
      <c r="B104" s="2465"/>
      <c r="C104" s="2466"/>
      <c r="D104" s="2467"/>
      <c r="E104" s="2467"/>
      <c r="F104" s="2466"/>
      <c r="G104" s="2466"/>
      <c r="H104" s="2467"/>
      <c r="I104" s="2467"/>
      <c r="J104" s="2467"/>
      <c r="K104" s="2467"/>
      <c r="L104" s="2467"/>
      <c r="M104" s="2467"/>
      <c r="N104" s="2467"/>
      <c r="O104" s="2467"/>
      <c r="P104" s="2467"/>
      <c r="Q104" s="2467"/>
      <c r="R104" s="2467"/>
      <c r="S104" s="2467"/>
      <c r="T104" s="2467"/>
      <c r="U104" s="2468"/>
    </row>
    <row r="105" spans="3:7" ht="13.5" thickTop="1">
      <c r="C105" s="2469"/>
      <c r="F105" s="2469"/>
      <c r="G105" s="2469"/>
    </row>
    <row r="106" spans="3:194" ht="12.75">
      <c r="C106" s="2469"/>
      <c r="D106" s="2455"/>
      <c r="E106" s="2455"/>
      <c r="F106" s="2455"/>
      <c r="G106" s="2455"/>
      <c r="H106" s="2470"/>
      <c r="I106" s="2470"/>
      <c r="J106" s="2470"/>
      <c r="K106" s="2470"/>
      <c r="L106" s="2470"/>
      <c r="M106" s="2470"/>
      <c r="N106" s="2470"/>
      <c r="O106" s="2470"/>
      <c r="P106" s="2470"/>
      <c r="Q106" s="2470"/>
      <c r="R106" s="2470"/>
      <c r="S106" s="2470"/>
      <c r="T106" s="2470"/>
      <c r="U106" s="2454"/>
      <c r="V106" s="2454"/>
      <c r="W106" s="2454"/>
      <c r="X106" s="2454"/>
      <c r="Y106" s="2454"/>
      <c r="Z106" s="2454"/>
      <c r="AA106" s="2454"/>
      <c r="AB106" s="2454"/>
      <c r="AC106" s="2454"/>
      <c r="AD106" s="2454"/>
      <c r="AE106" s="2454"/>
      <c r="AF106" s="2454"/>
      <c r="AG106" s="2454"/>
      <c r="AH106" s="2454"/>
      <c r="AI106" s="2454"/>
      <c r="AJ106" s="2454"/>
      <c r="AK106" s="2454"/>
      <c r="AL106" s="2454"/>
      <c r="AM106" s="2454"/>
      <c r="AN106" s="2454"/>
      <c r="AO106" s="2454"/>
      <c r="AP106" s="2454"/>
      <c r="AQ106" s="2454"/>
      <c r="AR106" s="2454"/>
      <c r="AS106" s="2454"/>
      <c r="AT106" s="2454"/>
      <c r="AU106" s="2454"/>
      <c r="AV106" s="2454"/>
      <c r="AW106" s="2454"/>
      <c r="AX106" s="2454"/>
      <c r="AY106" s="2454"/>
      <c r="AZ106" s="2454"/>
      <c r="BA106" s="2454"/>
      <c r="BB106" s="2454"/>
      <c r="BC106" s="2454"/>
      <c r="BD106" s="2454"/>
      <c r="BE106" s="2454"/>
      <c r="BF106" s="2454"/>
      <c r="BG106" s="2454"/>
      <c r="BH106" s="2454"/>
      <c r="BI106" s="2454"/>
      <c r="BJ106" s="2454"/>
      <c r="BK106" s="2454"/>
      <c r="BL106" s="2454"/>
      <c r="BM106" s="2454"/>
      <c r="BN106" s="2454"/>
      <c r="BO106" s="2454"/>
      <c r="BP106" s="2454"/>
      <c r="BQ106" s="2454"/>
      <c r="BR106" s="2454"/>
      <c r="BS106" s="2454"/>
      <c r="BT106" s="2454"/>
      <c r="BU106" s="2454"/>
      <c r="BV106" s="2454"/>
      <c r="BW106" s="2454"/>
      <c r="BX106" s="2454"/>
      <c r="BY106" s="2454"/>
      <c r="BZ106" s="2454"/>
      <c r="CA106" s="2454"/>
      <c r="CB106" s="2454"/>
      <c r="CC106" s="2454"/>
      <c r="CD106" s="2454"/>
      <c r="CE106" s="2454"/>
      <c r="CF106" s="2454"/>
      <c r="CG106" s="2454"/>
      <c r="CH106" s="2454"/>
      <c r="CI106" s="2454"/>
      <c r="CJ106" s="2454"/>
      <c r="CK106" s="2454"/>
      <c r="CL106" s="2454"/>
      <c r="CM106" s="2454"/>
      <c r="CN106" s="2454"/>
      <c r="CO106" s="2454"/>
      <c r="CP106" s="2454"/>
      <c r="CQ106" s="2454"/>
      <c r="CR106" s="2454"/>
      <c r="CS106" s="2454"/>
      <c r="CT106" s="2454"/>
      <c r="CU106" s="2454"/>
      <c r="CV106" s="2454"/>
      <c r="CW106" s="2454"/>
      <c r="CX106" s="2454"/>
      <c r="CY106" s="2454"/>
      <c r="CZ106" s="2454"/>
      <c r="DA106" s="2454"/>
      <c r="DB106" s="2454"/>
      <c r="DC106" s="2454"/>
      <c r="DD106" s="2454"/>
      <c r="DE106" s="2454"/>
      <c r="DF106" s="2454"/>
      <c r="DG106" s="2454"/>
      <c r="DH106" s="2454"/>
      <c r="DI106" s="2454"/>
      <c r="DJ106" s="2454"/>
      <c r="DK106" s="2454"/>
      <c r="DL106" s="2454"/>
      <c r="DM106" s="2454"/>
      <c r="DN106" s="2454"/>
      <c r="DO106" s="2454"/>
      <c r="DP106" s="2454"/>
      <c r="DQ106" s="2454"/>
      <c r="DR106" s="2454"/>
      <c r="DS106" s="2454"/>
      <c r="DT106" s="2454"/>
      <c r="DU106" s="2454"/>
      <c r="DV106" s="2454"/>
      <c r="DW106" s="2454"/>
      <c r="DX106" s="2454"/>
      <c r="DY106" s="2454"/>
      <c r="DZ106" s="2454"/>
      <c r="EA106" s="2454"/>
      <c r="EB106" s="2454"/>
      <c r="EC106" s="2454"/>
      <c r="ED106" s="2454"/>
      <c r="EE106" s="2454"/>
      <c r="EF106" s="2454"/>
      <c r="EG106" s="2454"/>
      <c r="EH106" s="2454"/>
      <c r="EI106" s="2454"/>
      <c r="EJ106" s="2454"/>
      <c r="EK106" s="2454"/>
      <c r="EL106" s="2454"/>
      <c r="EM106" s="2454"/>
      <c r="EN106" s="2454"/>
      <c r="EO106" s="2454"/>
      <c r="EP106" s="2454"/>
      <c r="EQ106" s="2454"/>
      <c r="ER106" s="2454"/>
      <c r="ES106" s="2454"/>
      <c r="ET106" s="2454"/>
      <c r="EU106" s="2454"/>
      <c r="EV106" s="2454"/>
      <c r="EW106" s="2454"/>
      <c r="EX106" s="2454"/>
      <c r="EY106" s="2454"/>
      <c r="EZ106" s="2454"/>
      <c r="FA106" s="2454"/>
      <c r="FB106" s="2454"/>
      <c r="FC106" s="2454"/>
      <c r="FD106" s="2454"/>
      <c r="FE106" s="2454"/>
      <c r="FF106" s="2454"/>
      <c r="FG106" s="2454"/>
      <c r="FH106" s="2454"/>
      <c r="FI106" s="2454"/>
      <c r="FJ106" s="2454"/>
      <c r="FK106" s="2454"/>
      <c r="FL106" s="2454"/>
      <c r="FM106" s="2454"/>
      <c r="FN106" s="2454"/>
      <c r="FO106" s="2454"/>
      <c r="FP106" s="2454"/>
      <c r="FQ106" s="2454"/>
      <c r="FR106" s="2454"/>
      <c r="FS106" s="2454"/>
      <c r="FT106" s="2454"/>
      <c r="FU106" s="2454"/>
      <c r="FV106" s="2454"/>
      <c r="FW106" s="2454"/>
      <c r="FX106" s="2454"/>
      <c r="FY106" s="2454"/>
      <c r="FZ106" s="2454"/>
      <c r="GA106" s="2454"/>
      <c r="GB106" s="2454"/>
      <c r="GC106" s="2454"/>
      <c r="GD106" s="2454"/>
      <c r="GE106" s="2454"/>
      <c r="GF106" s="2454"/>
      <c r="GG106" s="2454"/>
      <c r="GH106" s="2454"/>
      <c r="GI106" s="2454"/>
      <c r="GJ106" s="2454"/>
      <c r="GK106" s="2454"/>
      <c r="GL106" s="2454"/>
    </row>
    <row r="107" spans="3:194" ht="12.75">
      <c r="C107" s="2469"/>
      <c r="D107" s="2455"/>
      <c r="E107" s="2455"/>
      <c r="F107" s="2455"/>
      <c r="G107" s="2455"/>
      <c r="H107" s="2470"/>
      <c r="I107" s="2470"/>
      <c r="J107" s="2470"/>
      <c r="K107" s="2470"/>
      <c r="L107" s="2470"/>
      <c r="M107" s="2470"/>
      <c r="N107" s="2470"/>
      <c r="O107" s="2470"/>
      <c r="P107" s="2470"/>
      <c r="Q107" s="2470"/>
      <c r="R107" s="2470"/>
      <c r="S107" s="2470"/>
      <c r="T107" s="2470"/>
      <c r="U107" s="2454"/>
      <c r="V107" s="2454"/>
      <c r="W107" s="2454"/>
      <c r="X107" s="2454"/>
      <c r="Y107" s="2454"/>
      <c r="Z107" s="2454"/>
      <c r="AA107" s="2454"/>
      <c r="AB107" s="2454"/>
      <c r="AC107" s="2454"/>
      <c r="AD107" s="2454"/>
      <c r="AE107" s="2454"/>
      <c r="AF107" s="2454"/>
      <c r="AG107" s="2454"/>
      <c r="AH107" s="2454"/>
      <c r="AI107" s="2454"/>
      <c r="AJ107" s="2454"/>
      <c r="AK107" s="2454"/>
      <c r="AL107" s="2454"/>
      <c r="AM107" s="2454"/>
      <c r="AN107" s="2454"/>
      <c r="AO107" s="2454"/>
      <c r="AP107" s="2454"/>
      <c r="AQ107" s="2454"/>
      <c r="AR107" s="2454"/>
      <c r="AS107" s="2454"/>
      <c r="AT107" s="2454"/>
      <c r="AU107" s="2454"/>
      <c r="AV107" s="2454"/>
      <c r="AW107" s="2454"/>
      <c r="AX107" s="2454"/>
      <c r="AY107" s="2454"/>
      <c r="AZ107" s="2454"/>
      <c r="BA107" s="2454"/>
      <c r="BB107" s="2454"/>
      <c r="BC107" s="2454"/>
      <c r="BD107" s="2454"/>
      <c r="BE107" s="2454"/>
      <c r="BF107" s="2454"/>
      <c r="BG107" s="2454"/>
      <c r="BH107" s="2454"/>
      <c r="BI107" s="2454"/>
      <c r="BJ107" s="2454"/>
      <c r="BK107" s="2454"/>
      <c r="BL107" s="2454"/>
      <c r="BM107" s="2454"/>
      <c r="BN107" s="2454"/>
      <c r="BO107" s="2454"/>
      <c r="BP107" s="2454"/>
      <c r="BQ107" s="2454"/>
      <c r="BR107" s="2454"/>
      <c r="BS107" s="2454"/>
      <c r="BT107" s="2454"/>
      <c r="BU107" s="2454"/>
      <c r="BV107" s="2454"/>
      <c r="BW107" s="2454"/>
      <c r="BX107" s="2454"/>
      <c r="BY107" s="2454"/>
      <c r="BZ107" s="2454"/>
      <c r="CA107" s="2454"/>
      <c r="CB107" s="2454"/>
      <c r="CC107" s="2454"/>
      <c r="CD107" s="2454"/>
      <c r="CE107" s="2454"/>
      <c r="CF107" s="2454"/>
      <c r="CG107" s="2454"/>
      <c r="CH107" s="2454"/>
      <c r="CI107" s="2454"/>
      <c r="CJ107" s="2454"/>
      <c r="CK107" s="2454"/>
      <c r="CL107" s="2454"/>
      <c r="CM107" s="2454"/>
      <c r="CN107" s="2454"/>
      <c r="CO107" s="2454"/>
      <c r="CP107" s="2454"/>
      <c r="CQ107" s="2454"/>
      <c r="CR107" s="2454"/>
      <c r="CS107" s="2454"/>
      <c r="CT107" s="2454"/>
      <c r="CU107" s="2454"/>
      <c r="CV107" s="2454"/>
      <c r="CW107" s="2454"/>
      <c r="CX107" s="2454"/>
      <c r="CY107" s="2454"/>
      <c r="CZ107" s="2454"/>
      <c r="DA107" s="2454"/>
      <c r="DB107" s="2454"/>
      <c r="DC107" s="2454"/>
      <c r="DD107" s="2454"/>
      <c r="DE107" s="2454"/>
      <c r="DF107" s="2454"/>
      <c r="DG107" s="2454"/>
      <c r="DH107" s="2454"/>
      <c r="DI107" s="2454"/>
      <c r="DJ107" s="2454"/>
      <c r="DK107" s="2454"/>
      <c r="DL107" s="2454"/>
      <c r="DM107" s="2454"/>
      <c r="DN107" s="2454"/>
      <c r="DO107" s="2454"/>
      <c r="DP107" s="2454"/>
      <c r="DQ107" s="2454"/>
      <c r="DR107" s="2454"/>
      <c r="DS107" s="2454"/>
      <c r="DT107" s="2454"/>
      <c r="DU107" s="2454"/>
      <c r="DV107" s="2454"/>
      <c r="DW107" s="2454"/>
      <c r="DX107" s="2454"/>
      <c r="DY107" s="2454"/>
      <c r="DZ107" s="2454"/>
      <c r="EA107" s="2454"/>
      <c r="EB107" s="2454"/>
      <c r="EC107" s="2454"/>
      <c r="ED107" s="2454"/>
      <c r="EE107" s="2454"/>
      <c r="EF107" s="2454"/>
      <c r="EG107" s="2454"/>
      <c r="EH107" s="2454"/>
      <c r="EI107" s="2454"/>
      <c r="EJ107" s="2454"/>
      <c r="EK107" s="2454"/>
      <c r="EL107" s="2454"/>
      <c r="EM107" s="2454"/>
      <c r="EN107" s="2454"/>
      <c r="EO107" s="2454"/>
      <c r="EP107" s="2454"/>
      <c r="EQ107" s="2454"/>
      <c r="ER107" s="2454"/>
      <c r="ES107" s="2454"/>
      <c r="ET107" s="2454"/>
      <c r="EU107" s="2454"/>
      <c r="EV107" s="2454"/>
      <c r="EW107" s="2454"/>
      <c r="EX107" s="2454"/>
      <c r="EY107" s="2454"/>
      <c r="EZ107" s="2454"/>
      <c r="FA107" s="2454"/>
      <c r="FB107" s="2454"/>
      <c r="FC107" s="2454"/>
      <c r="FD107" s="2454"/>
      <c r="FE107" s="2454"/>
      <c r="FF107" s="2454"/>
      <c r="FG107" s="2454"/>
      <c r="FH107" s="2454"/>
      <c r="FI107" s="2454"/>
      <c r="FJ107" s="2454"/>
      <c r="FK107" s="2454"/>
      <c r="FL107" s="2454"/>
      <c r="FM107" s="2454"/>
      <c r="FN107" s="2454"/>
      <c r="FO107" s="2454"/>
      <c r="FP107" s="2454"/>
      <c r="FQ107" s="2454"/>
      <c r="FR107" s="2454"/>
      <c r="FS107" s="2454"/>
      <c r="FT107" s="2454"/>
      <c r="FU107" s="2454"/>
      <c r="FV107" s="2454"/>
      <c r="FW107" s="2454"/>
      <c r="FX107" s="2454"/>
      <c r="FY107" s="2454"/>
      <c r="FZ107" s="2454"/>
      <c r="GA107" s="2454"/>
      <c r="GB107" s="2454"/>
      <c r="GC107" s="2454"/>
      <c r="GD107" s="2454"/>
      <c r="GE107" s="2454"/>
      <c r="GF107" s="2454"/>
      <c r="GG107" s="2454"/>
      <c r="GH107" s="2454"/>
      <c r="GI107" s="2454"/>
      <c r="GJ107" s="2454"/>
      <c r="GK107" s="2454"/>
      <c r="GL107" s="2454"/>
    </row>
    <row r="108" spans="3:194" ht="12.75">
      <c r="C108" s="2469"/>
      <c r="D108" s="2455"/>
      <c r="E108" s="2455"/>
      <c r="F108" s="2455"/>
      <c r="G108" s="2455"/>
      <c r="H108" s="2471"/>
      <c r="I108" s="2471"/>
      <c r="J108" s="2471"/>
      <c r="K108" s="2471"/>
      <c r="L108" s="2471"/>
      <c r="M108" s="2471"/>
      <c r="N108" s="2471"/>
      <c r="O108" s="2471"/>
      <c r="P108" s="2471"/>
      <c r="Q108" s="2471"/>
      <c r="R108" s="2471"/>
      <c r="S108" s="2471"/>
      <c r="T108" s="2471"/>
      <c r="U108" s="2454"/>
      <c r="V108" s="2454"/>
      <c r="W108" s="2454"/>
      <c r="X108" s="2454"/>
      <c r="Y108" s="2454"/>
      <c r="Z108" s="2454"/>
      <c r="AA108" s="2454"/>
      <c r="AB108" s="2454"/>
      <c r="AC108" s="2454"/>
      <c r="AD108" s="2454"/>
      <c r="AE108" s="2454"/>
      <c r="AF108" s="2454"/>
      <c r="AG108" s="2454"/>
      <c r="AH108" s="2454"/>
      <c r="AI108" s="2454"/>
      <c r="AJ108" s="2454"/>
      <c r="AK108" s="2454"/>
      <c r="AL108" s="2454"/>
      <c r="AM108" s="2454"/>
      <c r="AN108" s="2454"/>
      <c r="AO108" s="2454"/>
      <c r="AP108" s="2454"/>
      <c r="AQ108" s="2454"/>
      <c r="AR108" s="2454"/>
      <c r="AS108" s="2454"/>
      <c r="AT108" s="2454"/>
      <c r="AU108" s="2454"/>
      <c r="AV108" s="2454"/>
      <c r="AW108" s="2454"/>
      <c r="AX108" s="2454"/>
      <c r="AY108" s="2454"/>
      <c r="AZ108" s="2454"/>
      <c r="BA108" s="2454"/>
      <c r="BB108" s="2454"/>
      <c r="BC108" s="2454"/>
      <c r="BD108" s="2454"/>
      <c r="BE108" s="2454"/>
      <c r="BF108" s="2454"/>
      <c r="BG108" s="2454"/>
      <c r="BH108" s="2454"/>
      <c r="BI108" s="2454"/>
      <c r="BJ108" s="2454"/>
      <c r="BK108" s="2454"/>
      <c r="BL108" s="2454"/>
      <c r="BM108" s="2454"/>
      <c r="BN108" s="2454"/>
      <c r="BO108" s="2454"/>
      <c r="BP108" s="2454"/>
      <c r="BQ108" s="2454"/>
      <c r="BR108" s="2454"/>
      <c r="BS108" s="2454"/>
      <c r="BT108" s="2454"/>
      <c r="BU108" s="2454"/>
      <c r="BV108" s="2454"/>
      <c r="BW108" s="2454"/>
      <c r="BX108" s="2454"/>
      <c r="BY108" s="2454"/>
      <c r="BZ108" s="2454"/>
      <c r="CA108" s="2454"/>
      <c r="CB108" s="2454"/>
      <c r="CC108" s="2454"/>
      <c r="CD108" s="2454"/>
      <c r="CE108" s="2454"/>
      <c r="CF108" s="2454"/>
      <c r="CG108" s="2454"/>
      <c r="CH108" s="2454"/>
      <c r="CI108" s="2454"/>
      <c r="CJ108" s="2454"/>
      <c r="CK108" s="2454"/>
      <c r="CL108" s="2454"/>
      <c r="CM108" s="2454"/>
      <c r="CN108" s="2454"/>
      <c r="CO108" s="2454"/>
      <c r="CP108" s="2454"/>
      <c r="CQ108" s="2454"/>
      <c r="CR108" s="2454"/>
      <c r="CS108" s="2454"/>
      <c r="CT108" s="2454"/>
      <c r="CU108" s="2454"/>
      <c r="CV108" s="2454"/>
      <c r="CW108" s="2454"/>
      <c r="CX108" s="2454"/>
      <c r="CY108" s="2454"/>
      <c r="CZ108" s="2454"/>
      <c r="DA108" s="2454"/>
      <c r="DB108" s="2454"/>
      <c r="DC108" s="2454"/>
      <c r="DD108" s="2454"/>
      <c r="DE108" s="2454"/>
      <c r="DF108" s="2454"/>
      <c r="DG108" s="2454"/>
      <c r="DH108" s="2454"/>
      <c r="DI108" s="2454"/>
      <c r="DJ108" s="2454"/>
      <c r="DK108" s="2454"/>
      <c r="DL108" s="2454"/>
      <c r="DM108" s="2454"/>
      <c r="DN108" s="2454"/>
      <c r="DO108" s="2454"/>
      <c r="DP108" s="2454"/>
      <c r="DQ108" s="2454"/>
      <c r="DR108" s="2454"/>
      <c r="DS108" s="2454"/>
      <c r="DT108" s="2454"/>
      <c r="DU108" s="2454"/>
      <c r="DV108" s="2454"/>
      <c r="DW108" s="2454"/>
      <c r="DX108" s="2454"/>
      <c r="DY108" s="2454"/>
      <c r="DZ108" s="2454"/>
      <c r="EA108" s="2454"/>
      <c r="EB108" s="2454"/>
      <c r="EC108" s="2454"/>
      <c r="ED108" s="2454"/>
      <c r="EE108" s="2454"/>
      <c r="EF108" s="2454"/>
      <c r="EG108" s="2454"/>
      <c r="EH108" s="2454"/>
      <c r="EI108" s="2454"/>
      <c r="EJ108" s="2454"/>
      <c r="EK108" s="2454"/>
      <c r="EL108" s="2454"/>
      <c r="EM108" s="2454"/>
      <c r="EN108" s="2454"/>
      <c r="EO108" s="2454"/>
      <c r="EP108" s="2454"/>
      <c r="EQ108" s="2454"/>
      <c r="ER108" s="2454"/>
      <c r="ES108" s="2454"/>
      <c r="ET108" s="2454"/>
      <c r="EU108" s="2454"/>
      <c r="EV108" s="2454"/>
      <c r="EW108" s="2454"/>
      <c r="EX108" s="2454"/>
      <c r="EY108" s="2454"/>
      <c r="EZ108" s="2454"/>
      <c r="FA108" s="2454"/>
      <c r="FB108" s="2454"/>
      <c r="FC108" s="2454"/>
      <c r="FD108" s="2454"/>
      <c r="FE108" s="2454"/>
      <c r="FF108" s="2454"/>
      <c r="FG108" s="2454"/>
      <c r="FH108" s="2454"/>
      <c r="FI108" s="2454"/>
      <c r="FJ108" s="2454"/>
      <c r="FK108" s="2454"/>
      <c r="FL108" s="2454"/>
      <c r="FM108" s="2454"/>
      <c r="FN108" s="2454"/>
      <c r="FO108" s="2454"/>
      <c r="FP108" s="2454"/>
      <c r="FQ108" s="2454"/>
      <c r="FR108" s="2454"/>
      <c r="FS108" s="2454"/>
      <c r="FT108" s="2454"/>
      <c r="FU108" s="2454"/>
      <c r="FV108" s="2454"/>
      <c r="FW108" s="2454"/>
      <c r="FX108" s="2454"/>
      <c r="FY108" s="2454"/>
      <c r="FZ108" s="2454"/>
      <c r="GA108" s="2454"/>
      <c r="GB108" s="2454"/>
      <c r="GC108" s="2454"/>
      <c r="GD108" s="2454"/>
      <c r="GE108" s="2454"/>
      <c r="GF108" s="2454"/>
      <c r="GG108" s="2454"/>
      <c r="GH108" s="2454"/>
      <c r="GI108" s="2454"/>
      <c r="GJ108" s="2454"/>
      <c r="GK108" s="2454"/>
      <c r="GL108" s="2454"/>
    </row>
    <row r="109" spans="3:194" ht="12.75">
      <c r="C109" s="2469"/>
      <c r="D109" s="2455"/>
      <c r="E109" s="2455"/>
      <c r="F109" s="2455"/>
      <c r="G109" s="2455"/>
      <c r="H109" s="2470"/>
      <c r="I109" s="2470"/>
      <c r="J109" s="2470"/>
      <c r="K109" s="2470"/>
      <c r="L109" s="2470"/>
      <c r="M109" s="2470"/>
      <c r="N109" s="2470"/>
      <c r="O109" s="2470"/>
      <c r="P109" s="2470"/>
      <c r="Q109" s="2470"/>
      <c r="R109" s="2470"/>
      <c r="S109" s="2470"/>
      <c r="T109" s="2470"/>
      <c r="U109" s="2454"/>
      <c r="V109" s="2454"/>
      <c r="W109" s="2454"/>
      <c r="X109" s="2454"/>
      <c r="Y109" s="2454"/>
      <c r="Z109" s="2454"/>
      <c r="AA109" s="2454"/>
      <c r="AB109" s="2454"/>
      <c r="AC109" s="2454"/>
      <c r="AD109" s="2454"/>
      <c r="AE109" s="2454"/>
      <c r="AF109" s="2454"/>
      <c r="AG109" s="2454"/>
      <c r="AH109" s="2454"/>
      <c r="AI109" s="2454"/>
      <c r="AJ109" s="2454"/>
      <c r="AK109" s="2454"/>
      <c r="AL109" s="2454"/>
      <c r="AM109" s="2454"/>
      <c r="AN109" s="2454"/>
      <c r="AO109" s="2454"/>
      <c r="AP109" s="2454"/>
      <c r="AQ109" s="2454"/>
      <c r="AR109" s="2454"/>
      <c r="AS109" s="2454"/>
      <c r="AT109" s="2454"/>
      <c r="AU109" s="2454"/>
      <c r="AV109" s="2454"/>
      <c r="AW109" s="2454"/>
      <c r="AX109" s="2454"/>
      <c r="AY109" s="2454"/>
      <c r="AZ109" s="2454"/>
      <c r="BA109" s="2454"/>
      <c r="BB109" s="2454"/>
      <c r="BC109" s="2454"/>
      <c r="BD109" s="2454"/>
      <c r="BE109" s="2454"/>
      <c r="BF109" s="2454"/>
      <c r="BG109" s="2454"/>
      <c r="BH109" s="2454"/>
      <c r="BI109" s="2454"/>
      <c r="BJ109" s="2454"/>
      <c r="BK109" s="2454"/>
      <c r="BL109" s="2454"/>
      <c r="BM109" s="2454"/>
      <c r="BN109" s="2454"/>
      <c r="BO109" s="2454"/>
      <c r="BP109" s="2454"/>
      <c r="BQ109" s="2454"/>
      <c r="BR109" s="2454"/>
      <c r="BS109" s="2454"/>
      <c r="BT109" s="2454"/>
      <c r="BU109" s="2454"/>
      <c r="BV109" s="2454"/>
      <c r="BW109" s="2454"/>
      <c r="BX109" s="2454"/>
      <c r="BY109" s="2454"/>
      <c r="BZ109" s="2454"/>
      <c r="CA109" s="2454"/>
      <c r="CB109" s="2454"/>
      <c r="CC109" s="2454"/>
      <c r="CD109" s="2454"/>
      <c r="CE109" s="2454"/>
      <c r="CF109" s="2454"/>
      <c r="CG109" s="2454"/>
      <c r="CH109" s="2454"/>
      <c r="CI109" s="2454"/>
      <c r="CJ109" s="2454"/>
      <c r="CK109" s="2454"/>
      <c r="CL109" s="2454"/>
      <c r="CM109" s="2454"/>
      <c r="CN109" s="2454"/>
      <c r="CO109" s="2454"/>
      <c r="CP109" s="2454"/>
      <c r="CQ109" s="2454"/>
      <c r="CR109" s="2454"/>
      <c r="CS109" s="2454"/>
      <c r="CT109" s="2454"/>
      <c r="CU109" s="2454"/>
      <c r="CV109" s="2454"/>
      <c r="CW109" s="2454"/>
      <c r="CX109" s="2454"/>
      <c r="CY109" s="2454"/>
      <c r="CZ109" s="2454"/>
      <c r="DA109" s="2454"/>
      <c r="DB109" s="2454"/>
      <c r="DC109" s="2454"/>
      <c r="DD109" s="2454"/>
      <c r="DE109" s="2454"/>
      <c r="DF109" s="2454"/>
      <c r="DG109" s="2454"/>
      <c r="DH109" s="2454"/>
      <c r="DI109" s="2454"/>
      <c r="DJ109" s="2454"/>
      <c r="DK109" s="2454"/>
      <c r="DL109" s="2454"/>
      <c r="DM109" s="2454"/>
      <c r="DN109" s="2454"/>
      <c r="DO109" s="2454"/>
      <c r="DP109" s="2454"/>
      <c r="DQ109" s="2454"/>
      <c r="DR109" s="2454"/>
      <c r="DS109" s="2454"/>
      <c r="DT109" s="2454"/>
      <c r="DU109" s="2454"/>
      <c r="DV109" s="2454"/>
      <c r="DW109" s="2454"/>
      <c r="DX109" s="2454"/>
      <c r="DY109" s="2454"/>
      <c r="DZ109" s="2454"/>
      <c r="EA109" s="2454"/>
      <c r="EB109" s="2454"/>
      <c r="EC109" s="2454"/>
      <c r="ED109" s="2454"/>
      <c r="EE109" s="2454"/>
      <c r="EF109" s="2454"/>
      <c r="EG109" s="2454"/>
      <c r="EH109" s="2454"/>
      <c r="EI109" s="2454"/>
      <c r="EJ109" s="2454"/>
      <c r="EK109" s="2454"/>
      <c r="EL109" s="2454"/>
      <c r="EM109" s="2454"/>
      <c r="EN109" s="2454"/>
      <c r="EO109" s="2454"/>
      <c r="EP109" s="2454"/>
      <c r="EQ109" s="2454"/>
      <c r="ER109" s="2454"/>
      <c r="ES109" s="2454"/>
      <c r="ET109" s="2454"/>
      <c r="EU109" s="2454"/>
      <c r="EV109" s="2454"/>
      <c r="EW109" s="2454"/>
      <c r="EX109" s="2454"/>
      <c r="EY109" s="2454"/>
      <c r="EZ109" s="2454"/>
      <c r="FA109" s="2454"/>
      <c r="FB109" s="2454"/>
      <c r="FC109" s="2454"/>
      <c r="FD109" s="2454"/>
      <c r="FE109" s="2454"/>
      <c r="FF109" s="2454"/>
      <c r="FG109" s="2454"/>
      <c r="FH109" s="2454"/>
      <c r="FI109" s="2454"/>
      <c r="FJ109" s="2454"/>
      <c r="FK109" s="2454"/>
      <c r="FL109" s="2454"/>
      <c r="FM109" s="2454"/>
      <c r="FN109" s="2454"/>
      <c r="FO109" s="2454"/>
      <c r="FP109" s="2454"/>
      <c r="FQ109" s="2454"/>
      <c r="FR109" s="2454"/>
      <c r="FS109" s="2454"/>
      <c r="FT109" s="2454"/>
      <c r="FU109" s="2454"/>
      <c r="FV109" s="2454"/>
      <c r="FW109" s="2454"/>
      <c r="FX109" s="2454"/>
      <c r="FY109" s="2454"/>
      <c r="FZ109" s="2454"/>
      <c r="GA109" s="2454"/>
      <c r="GB109" s="2454"/>
      <c r="GC109" s="2454"/>
      <c r="GD109" s="2454"/>
      <c r="GE109" s="2454"/>
      <c r="GF109" s="2454"/>
      <c r="GG109" s="2454"/>
      <c r="GH109" s="2454"/>
      <c r="GI109" s="2454"/>
      <c r="GJ109" s="2454"/>
      <c r="GK109" s="2454"/>
      <c r="GL109" s="2454"/>
    </row>
    <row r="110" spans="3:194" ht="12.75">
      <c r="C110" s="2469"/>
      <c r="D110" s="2455"/>
      <c r="E110" s="2455"/>
      <c r="F110" s="2455"/>
      <c r="G110" s="2455"/>
      <c r="H110" s="2470"/>
      <c r="I110" s="2470"/>
      <c r="J110" s="2470"/>
      <c r="K110" s="2470"/>
      <c r="L110" s="2470"/>
      <c r="M110" s="2470"/>
      <c r="N110" s="2470"/>
      <c r="O110" s="2470"/>
      <c r="P110" s="2470"/>
      <c r="Q110" s="2470"/>
      <c r="R110" s="2470"/>
      <c r="S110" s="2470"/>
      <c r="T110" s="2470"/>
      <c r="U110" s="2454"/>
      <c r="V110" s="2454"/>
      <c r="W110" s="2454"/>
      <c r="X110" s="2454"/>
      <c r="Y110" s="2454"/>
      <c r="Z110" s="2454"/>
      <c r="AA110" s="2454"/>
      <c r="AB110" s="2454"/>
      <c r="AC110" s="2454"/>
      <c r="AD110" s="2454"/>
      <c r="AE110" s="2454"/>
      <c r="AF110" s="2454"/>
      <c r="AG110" s="2454"/>
      <c r="AH110" s="2454"/>
      <c r="AI110" s="2454"/>
      <c r="AJ110" s="2454"/>
      <c r="AK110" s="2454"/>
      <c r="AL110" s="2454"/>
      <c r="AM110" s="2454"/>
      <c r="AN110" s="2454"/>
      <c r="AO110" s="2454"/>
      <c r="AP110" s="2454"/>
      <c r="AQ110" s="2454"/>
      <c r="AR110" s="2454"/>
      <c r="AS110" s="2454"/>
      <c r="AT110" s="2454"/>
      <c r="AU110" s="2454"/>
      <c r="AV110" s="2454"/>
      <c r="AW110" s="2454"/>
      <c r="AX110" s="2454"/>
      <c r="AY110" s="2454"/>
      <c r="AZ110" s="2454"/>
      <c r="BA110" s="2454"/>
      <c r="BB110" s="2454"/>
      <c r="BC110" s="2454"/>
      <c r="BD110" s="2454"/>
      <c r="BE110" s="2454"/>
      <c r="BF110" s="2454"/>
      <c r="BG110" s="2454"/>
      <c r="BH110" s="2454"/>
      <c r="BI110" s="2454"/>
      <c r="BJ110" s="2454"/>
      <c r="BK110" s="2454"/>
      <c r="BL110" s="2454"/>
      <c r="BM110" s="2454"/>
      <c r="BN110" s="2454"/>
      <c r="BO110" s="2454"/>
      <c r="BP110" s="2454"/>
      <c r="BQ110" s="2454"/>
      <c r="BR110" s="2454"/>
      <c r="BS110" s="2454"/>
      <c r="BT110" s="2454"/>
      <c r="BU110" s="2454"/>
      <c r="BV110" s="2454"/>
      <c r="BW110" s="2454"/>
      <c r="BX110" s="2454"/>
      <c r="BY110" s="2454"/>
      <c r="BZ110" s="2454"/>
      <c r="CA110" s="2454"/>
      <c r="CB110" s="2454"/>
      <c r="CC110" s="2454"/>
      <c r="CD110" s="2454"/>
      <c r="CE110" s="2454"/>
      <c r="CF110" s="2454"/>
      <c r="CG110" s="2454"/>
      <c r="CH110" s="2454"/>
      <c r="CI110" s="2454"/>
      <c r="CJ110" s="2454"/>
      <c r="CK110" s="2454"/>
      <c r="CL110" s="2454"/>
      <c r="CM110" s="2454"/>
      <c r="CN110" s="2454"/>
      <c r="CO110" s="2454"/>
      <c r="CP110" s="2454"/>
      <c r="CQ110" s="2454"/>
      <c r="CR110" s="2454"/>
      <c r="CS110" s="2454"/>
      <c r="CT110" s="2454"/>
      <c r="CU110" s="2454"/>
      <c r="CV110" s="2454"/>
      <c r="CW110" s="2454"/>
      <c r="CX110" s="2454"/>
      <c r="CY110" s="2454"/>
      <c r="CZ110" s="2454"/>
      <c r="DA110" s="2454"/>
      <c r="DB110" s="2454"/>
      <c r="DC110" s="2454"/>
      <c r="DD110" s="2454"/>
      <c r="DE110" s="2454"/>
      <c r="DF110" s="2454"/>
      <c r="DG110" s="2454"/>
      <c r="DH110" s="2454"/>
      <c r="DI110" s="2454"/>
      <c r="DJ110" s="2454"/>
      <c r="DK110" s="2454"/>
      <c r="DL110" s="2454"/>
      <c r="DM110" s="2454"/>
      <c r="DN110" s="2454"/>
      <c r="DO110" s="2454"/>
      <c r="DP110" s="2454"/>
      <c r="DQ110" s="2454"/>
      <c r="DR110" s="2454"/>
      <c r="DS110" s="2454"/>
      <c r="DT110" s="2454"/>
      <c r="DU110" s="2454"/>
      <c r="DV110" s="2454"/>
      <c r="DW110" s="2454"/>
      <c r="DX110" s="2454"/>
      <c r="DY110" s="2454"/>
      <c r="DZ110" s="2454"/>
      <c r="EA110" s="2454"/>
      <c r="EB110" s="2454"/>
      <c r="EC110" s="2454"/>
      <c r="ED110" s="2454"/>
      <c r="EE110" s="2454"/>
      <c r="EF110" s="2454"/>
      <c r="EG110" s="2454"/>
      <c r="EH110" s="2454"/>
      <c r="EI110" s="2454"/>
      <c r="EJ110" s="2454"/>
      <c r="EK110" s="2454"/>
      <c r="EL110" s="2454"/>
      <c r="EM110" s="2454"/>
      <c r="EN110" s="2454"/>
      <c r="EO110" s="2454"/>
      <c r="EP110" s="2454"/>
      <c r="EQ110" s="2454"/>
      <c r="ER110" s="2454"/>
      <c r="ES110" s="2454"/>
      <c r="ET110" s="2454"/>
      <c r="EU110" s="2454"/>
      <c r="EV110" s="2454"/>
      <c r="EW110" s="2454"/>
      <c r="EX110" s="2454"/>
      <c r="EY110" s="2454"/>
      <c r="EZ110" s="2454"/>
      <c r="FA110" s="2454"/>
      <c r="FB110" s="2454"/>
      <c r="FC110" s="2454"/>
      <c r="FD110" s="2454"/>
      <c r="FE110" s="2454"/>
      <c r="FF110" s="2454"/>
      <c r="FG110" s="2454"/>
      <c r="FH110" s="2454"/>
      <c r="FI110" s="2454"/>
      <c r="FJ110" s="2454"/>
      <c r="FK110" s="2454"/>
      <c r="FL110" s="2454"/>
      <c r="FM110" s="2454"/>
      <c r="FN110" s="2454"/>
      <c r="FO110" s="2454"/>
      <c r="FP110" s="2454"/>
      <c r="FQ110" s="2454"/>
      <c r="FR110" s="2454"/>
      <c r="FS110" s="2454"/>
      <c r="FT110" s="2454"/>
      <c r="FU110" s="2454"/>
      <c r="FV110" s="2454"/>
      <c r="FW110" s="2454"/>
      <c r="FX110" s="2454"/>
      <c r="FY110" s="2454"/>
      <c r="FZ110" s="2454"/>
      <c r="GA110" s="2454"/>
      <c r="GB110" s="2454"/>
      <c r="GC110" s="2454"/>
      <c r="GD110" s="2454"/>
      <c r="GE110" s="2454"/>
      <c r="GF110" s="2454"/>
      <c r="GG110" s="2454"/>
      <c r="GH110" s="2454"/>
      <c r="GI110" s="2454"/>
      <c r="GJ110" s="2454"/>
      <c r="GK110" s="2454"/>
      <c r="GL110" s="2454"/>
    </row>
    <row r="111" spans="3:194" ht="12.75">
      <c r="C111" s="2469"/>
      <c r="D111" s="2455"/>
      <c r="E111" s="2455"/>
      <c r="F111" s="2455"/>
      <c r="G111" s="2455"/>
      <c r="H111" s="2470"/>
      <c r="I111" s="2470"/>
      <c r="J111" s="2470"/>
      <c r="K111" s="2470"/>
      <c r="L111" s="2470"/>
      <c r="M111" s="2470"/>
      <c r="N111" s="2470"/>
      <c r="O111" s="2470"/>
      <c r="P111" s="2470"/>
      <c r="Q111" s="2470"/>
      <c r="R111" s="2470"/>
      <c r="S111" s="2470"/>
      <c r="T111" s="2470"/>
      <c r="U111" s="2454"/>
      <c r="V111" s="2454"/>
      <c r="W111" s="2454"/>
      <c r="X111" s="2454"/>
      <c r="Y111" s="2454"/>
      <c r="Z111" s="2454"/>
      <c r="AA111" s="2454"/>
      <c r="AB111" s="2454"/>
      <c r="AC111" s="2454"/>
      <c r="AD111" s="2454"/>
      <c r="AE111" s="2454"/>
      <c r="AF111" s="2454"/>
      <c r="AG111" s="2454"/>
      <c r="AH111" s="2454"/>
      <c r="AI111" s="2454"/>
      <c r="AJ111" s="2454"/>
      <c r="AK111" s="2454"/>
      <c r="AL111" s="2454"/>
      <c r="AM111" s="2454"/>
      <c r="AN111" s="2454"/>
      <c r="AO111" s="2454"/>
      <c r="AP111" s="2454"/>
      <c r="AQ111" s="2454"/>
      <c r="AR111" s="2454"/>
      <c r="AS111" s="2454"/>
      <c r="AT111" s="2454"/>
      <c r="AU111" s="2454"/>
      <c r="AV111" s="2454"/>
      <c r="AW111" s="2454"/>
      <c r="AX111" s="2454"/>
      <c r="AY111" s="2454"/>
      <c r="AZ111" s="2454"/>
      <c r="BA111" s="2454"/>
      <c r="BB111" s="2454"/>
      <c r="BC111" s="2454"/>
      <c r="BD111" s="2454"/>
      <c r="BE111" s="2454"/>
      <c r="BF111" s="2454"/>
      <c r="BG111" s="2454"/>
      <c r="BH111" s="2454"/>
      <c r="BI111" s="2454"/>
      <c r="BJ111" s="2454"/>
      <c r="BK111" s="2454"/>
      <c r="BL111" s="2454"/>
      <c r="BM111" s="2454"/>
      <c r="BN111" s="2454"/>
      <c r="BO111" s="2454"/>
      <c r="BP111" s="2454"/>
      <c r="BQ111" s="2454"/>
      <c r="BR111" s="2454"/>
      <c r="BS111" s="2454"/>
      <c r="BT111" s="2454"/>
      <c r="BU111" s="2454"/>
      <c r="BV111" s="2454"/>
      <c r="BW111" s="2454"/>
      <c r="BX111" s="2454"/>
      <c r="BY111" s="2454"/>
      <c r="BZ111" s="2454"/>
      <c r="CA111" s="2454"/>
      <c r="CB111" s="2454"/>
      <c r="CC111" s="2454"/>
      <c r="CD111" s="2454"/>
      <c r="CE111" s="2454"/>
      <c r="CF111" s="2454"/>
      <c r="CG111" s="2454"/>
      <c r="CH111" s="2454"/>
      <c r="CI111" s="2454"/>
      <c r="CJ111" s="2454"/>
      <c r="CK111" s="2454"/>
      <c r="CL111" s="2454"/>
      <c r="CM111" s="2454"/>
      <c r="CN111" s="2454"/>
      <c r="CO111" s="2454"/>
      <c r="CP111" s="2454"/>
      <c r="CQ111" s="2454"/>
      <c r="CR111" s="2454"/>
      <c r="CS111" s="2454"/>
      <c r="CT111" s="2454"/>
      <c r="CU111" s="2454"/>
      <c r="CV111" s="2454"/>
      <c r="CW111" s="2454"/>
      <c r="CX111" s="2454"/>
      <c r="CY111" s="2454"/>
      <c r="CZ111" s="2454"/>
      <c r="DA111" s="2454"/>
      <c r="DB111" s="2454"/>
      <c r="DC111" s="2454"/>
      <c r="DD111" s="2454"/>
      <c r="DE111" s="2454"/>
      <c r="DF111" s="2454"/>
      <c r="DG111" s="2454"/>
      <c r="DH111" s="2454"/>
      <c r="DI111" s="2454"/>
      <c r="DJ111" s="2454"/>
      <c r="DK111" s="2454"/>
      <c r="DL111" s="2454"/>
      <c r="DM111" s="2454"/>
      <c r="DN111" s="2454"/>
      <c r="DO111" s="2454"/>
      <c r="DP111" s="2454"/>
      <c r="DQ111" s="2454"/>
      <c r="DR111" s="2454"/>
      <c r="DS111" s="2454"/>
      <c r="DT111" s="2454"/>
      <c r="DU111" s="2454"/>
      <c r="DV111" s="2454"/>
      <c r="DW111" s="2454"/>
      <c r="DX111" s="2454"/>
      <c r="DY111" s="2454"/>
      <c r="DZ111" s="2454"/>
      <c r="EA111" s="2454"/>
      <c r="EB111" s="2454"/>
      <c r="EC111" s="2454"/>
      <c r="ED111" s="2454"/>
      <c r="EE111" s="2454"/>
      <c r="EF111" s="2454"/>
      <c r="EG111" s="2454"/>
      <c r="EH111" s="2454"/>
      <c r="EI111" s="2454"/>
      <c r="EJ111" s="2454"/>
      <c r="EK111" s="2454"/>
      <c r="EL111" s="2454"/>
      <c r="EM111" s="2454"/>
      <c r="EN111" s="2454"/>
      <c r="EO111" s="2454"/>
      <c r="EP111" s="2454"/>
      <c r="EQ111" s="2454"/>
      <c r="ER111" s="2454"/>
      <c r="ES111" s="2454"/>
      <c r="ET111" s="2454"/>
      <c r="EU111" s="2454"/>
      <c r="EV111" s="2454"/>
      <c r="EW111" s="2454"/>
      <c r="EX111" s="2454"/>
      <c r="EY111" s="2454"/>
      <c r="EZ111" s="2454"/>
      <c r="FA111" s="2454"/>
      <c r="FB111" s="2454"/>
      <c r="FC111" s="2454"/>
      <c r="FD111" s="2454"/>
      <c r="FE111" s="2454"/>
      <c r="FF111" s="2454"/>
      <c r="FG111" s="2454"/>
      <c r="FH111" s="2454"/>
      <c r="FI111" s="2454"/>
      <c r="FJ111" s="2454"/>
      <c r="FK111" s="2454"/>
      <c r="FL111" s="2454"/>
      <c r="FM111" s="2454"/>
      <c r="FN111" s="2454"/>
      <c r="FO111" s="2454"/>
      <c r="FP111" s="2454"/>
      <c r="FQ111" s="2454"/>
      <c r="FR111" s="2454"/>
      <c r="FS111" s="2454"/>
      <c r="FT111" s="2454"/>
      <c r="FU111" s="2454"/>
      <c r="FV111" s="2454"/>
      <c r="FW111" s="2454"/>
      <c r="FX111" s="2454"/>
      <c r="FY111" s="2454"/>
      <c r="FZ111" s="2454"/>
      <c r="GA111" s="2454"/>
      <c r="GB111" s="2454"/>
      <c r="GC111" s="2454"/>
      <c r="GD111" s="2454"/>
      <c r="GE111" s="2454"/>
      <c r="GF111" s="2454"/>
      <c r="GG111" s="2454"/>
      <c r="GH111" s="2454"/>
      <c r="GI111" s="2454"/>
      <c r="GJ111" s="2454"/>
      <c r="GK111" s="2454"/>
      <c r="GL111" s="2454"/>
    </row>
    <row r="112" spans="3:194" ht="12.75">
      <c r="C112" s="2469"/>
      <c r="D112" s="2455"/>
      <c r="E112" s="2455"/>
      <c r="F112" s="2455"/>
      <c r="G112" s="2455"/>
      <c r="H112" s="2470"/>
      <c r="I112" s="2470"/>
      <c r="J112" s="2470"/>
      <c r="K112" s="2470"/>
      <c r="L112" s="2470"/>
      <c r="M112" s="2470"/>
      <c r="N112" s="2470"/>
      <c r="O112" s="2470"/>
      <c r="P112" s="2470"/>
      <c r="Q112" s="2470"/>
      <c r="R112" s="2470"/>
      <c r="S112" s="2470"/>
      <c r="T112" s="2470"/>
      <c r="U112" s="2454"/>
      <c r="V112" s="2454"/>
      <c r="W112" s="2454"/>
      <c r="X112" s="2454"/>
      <c r="Y112" s="2454"/>
      <c r="Z112" s="2454"/>
      <c r="AA112" s="2454"/>
      <c r="AB112" s="2454"/>
      <c r="AC112" s="2454"/>
      <c r="AD112" s="2454"/>
      <c r="AE112" s="2454"/>
      <c r="AF112" s="2454"/>
      <c r="AG112" s="2454"/>
      <c r="AH112" s="2454"/>
      <c r="AI112" s="2454"/>
      <c r="AJ112" s="2454"/>
      <c r="AK112" s="2454"/>
      <c r="AL112" s="2454"/>
      <c r="AM112" s="2454"/>
      <c r="AN112" s="2454"/>
      <c r="AO112" s="2454"/>
      <c r="AP112" s="2454"/>
      <c r="AQ112" s="2454"/>
      <c r="AR112" s="2454"/>
      <c r="AS112" s="2454"/>
      <c r="AT112" s="2454"/>
      <c r="AU112" s="2454"/>
      <c r="AV112" s="2454"/>
      <c r="AW112" s="2454"/>
      <c r="AX112" s="2454"/>
      <c r="AY112" s="2454"/>
      <c r="AZ112" s="2454"/>
      <c r="BA112" s="2454"/>
      <c r="BB112" s="2454"/>
      <c r="BC112" s="2454"/>
      <c r="BD112" s="2454"/>
      <c r="BE112" s="2454"/>
      <c r="BF112" s="2454"/>
      <c r="BG112" s="2454"/>
      <c r="BH112" s="2454"/>
      <c r="BI112" s="2454"/>
      <c r="BJ112" s="2454"/>
      <c r="BK112" s="2454"/>
      <c r="BL112" s="2454"/>
      <c r="BM112" s="2454"/>
      <c r="BN112" s="2454"/>
      <c r="BO112" s="2454"/>
      <c r="BP112" s="2454"/>
      <c r="BQ112" s="2454"/>
      <c r="BR112" s="2454"/>
      <c r="BS112" s="2454"/>
      <c r="BT112" s="2454"/>
      <c r="BU112" s="2454"/>
      <c r="BV112" s="2454"/>
      <c r="BW112" s="2454"/>
      <c r="BX112" s="2454"/>
      <c r="BY112" s="2454"/>
      <c r="BZ112" s="2454"/>
      <c r="CA112" s="2454"/>
      <c r="CB112" s="2454"/>
      <c r="CC112" s="2454"/>
      <c r="CD112" s="2454"/>
      <c r="CE112" s="2454"/>
      <c r="CF112" s="2454"/>
      <c r="CG112" s="2454"/>
      <c r="CH112" s="2454"/>
      <c r="CI112" s="2454"/>
      <c r="CJ112" s="2454"/>
      <c r="CK112" s="2454"/>
      <c r="CL112" s="2454"/>
      <c r="CM112" s="2454"/>
      <c r="CN112" s="2454"/>
      <c r="CO112" s="2454"/>
      <c r="CP112" s="2454"/>
      <c r="CQ112" s="2454"/>
      <c r="CR112" s="2454"/>
      <c r="CS112" s="2454"/>
      <c r="CT112" s="2454"/>
      <c r="CU112" s="2454"/>
      <c r="CV112" s="2454"/>
      <c r="CW112" s="2454"/>
      <c r="CX112" s="2454"/>
      <c r="CY112" s="2454"/>
      <c r="CZ112" s="2454"/>
      <c r="DA112" s="2454"/>
      <c r="DB112" s="2454"/>
      <c r="DC112" s="2454"/>
      <c r="DD112" s="2454"/>
      <c r="DE112" s="2454"/>
      <c r="DF112" s="2454"/>
      <c r="DG112" s="2454"/>
      <c r="DH112" s="2454"/>
      <c r="DI112" s="2454"/>
      <c r="DJ112" s="2454"/>
      <c r="DK112" s="2454"/>
      <c r="DL112" s="2454"/>
      <c r="DM112" s="2454"/>
      <c r="DN112" s="2454"/>
      <c r="DO112" s="2454"/>
      <c r="DP112" s="2454"/>
      <c r="DQ112" s="2454"/>
      <c r="DR112" s="2454"/>
      <c r="DS112" s="2454"/>
      <c r="DT112" s="2454"/>
      <c r="DU112" s="2454"/>
      <c r="DV112" s="2454"/>
      <c r="DW112" s="2454"/>
      <c r="DX112" s="2454"/>
      <c r="DY112" s="2454"/>
      <c r="DZ112" s="2454"/>
      <c r="EA112" s="2454"/>
      <c r="EB112" s="2454"/>
      <c r="EC112" s="2454"/>
      <c r="ED112" s="2454"/>
      <c r="EE112" s="2454"/>
      <c r="EF112" s="2454"/>
      <c r="EG112" s="2454"/>
      <c r="EH112" s="2454"/>
      <c r="EI112" s="2454"/>
      <c r="EJ112" s="2454"/>
      <c r="EK112" s="2454"/>
      <c r="EL112" s="2454"/>
      <c r="EM112" s="2454"/>
      <c r="EN112" s="2454"/>
      <c r="EO112" s="2454"/>
      <c r="EP112" s="2454"/>
      <c r="EQ112" s="2454"/>
      <c r="ER112" s="2454"/>
      <c r="ES112" s="2454"/>
      <c r="ET112" s="2454"/>
      <c r="EU112" s="2454"/>
      <c r="EV112" s="2454"/>
      <c r="EW112" s="2454"/>
      <c r="EX112" s="2454"/>
      <c r="EY112" s="2454"/>
      <c r="EZ112" s="2454"/>
      <c r="FA112" s="2454"/>
      <c r="FB112" s="2454"/>
      <c r="FC112" s="2454"/>
      <c r="FD112" s="2454"/>
      <c r="FE112" s="2454"/>
      <c r="FF112" s="2454"/>
      <c r="FG112" s="2454"/>
      <c r="FH112" s="2454"/>
      <c r="FI112" s="2454"/>
      <c r="FJ112" s="2454"/>
      <c r="FK112" s="2454"/>
      <c r="FL112" s="2454"/>
      <c r="FM112" s="2454"/>
      <c r="FN112" s="2454"/>
      <c r="FO112" s="2454"/>
      <c r="FP112" s="2454"/>
      <c r="FQ112" s="2454"/>
      <c r="FR112" s="2454"/>
      <c r="FS112" s="2454"/>
      <c r="FT112" s="2454"/>
      <c r="FU112" s="2454"/>
      <c r="FV112" s="2454"/>
      <c r="FW112" s="2454"/>
      <c r="FX112" s="2454"/>
      <c r="FY112" s="2454"/>
      <c r="FZ112" s="2454"/>
      <c r="GA112" s="2454"/>
      <c r="GB112" s="2454"/>
      <c r="GC112" s="2454"/>
      <c r="GD112" s="2454"/>
      <c r="GE112" s="2454"/>
      <c r="GF112" s="2454"/>
      <c r="GG112" s="2454"/>
      <c r="GH112" s="2454"/>
      <c r="GI112" s="2454"/>
      <c r="GJ112" s="2454"/>
      <c r="GK112" s="2454"/>
      <c r="GL112" s="2454"/>
    </row>
    <row r="113" spans="3:194" ht="12.75">
      <c r="C113" s="2469"/>
      <c r="D113" s="2455"/>
      <c r="E113" s="2455"/>
      <c r="F113" s="2455"/>
      <c r="G113" s="2455"/>
      <c r="H113" s="2470"/>
      <c r="I113" s="2470"/>
      <c r="J113" s="2470"/>
      <c r="K113" s="2470"/>
      <c r="L113" s="2470"/>
      <c r="M113" s="2470"/>
      <c r="N113" s="2470"/>
      <c r="O113" s="2470"/>
      <c r="P113" s="2470"/>
      <c r="Q113" s="2470"/>
      <c r="R113" s="2470"/>
      <c r="S113" s="2470"/>
      <c r="T113" s="2470"/>
      <c r="U113" s="2454"/>
      <c r="V113" s="2454"/>
      <c r="W113" s="2454"/>
      <c r="X113" s="2454"/>
      <c r="Y113" s="2454"/>
      <c r="Z113" s="2454"/>
      <c r="AA113" s="2454"/>
      <c r="AB113" s="2454"/>
      <c r="AC113" s="2454"/>
      <c r="AD113" s="2454"/>
      <c r="AE113" s="2454"/>
      <c r="AF113" s="2454"/>
      <c r="AG113" s="2454"/>
      <c r="AH113" s="2454"/>
      <c r="AI113" s="2454"/>
      <c r="AJ113" s="2454"/>
      <c r="AK113" s="2454"/>
      <c r="AL113" s="2454"/>
      <c r="AM113" s="2454"/>
      <c r="AN113" s="2454"/>
      <c r="AO113" s="2454"/>
      <c r="AP113" s="2454"/>
      <c r="AQ113" s="2454"/>
      <c r="AR113" s="2454"/>
      <c r="AS113" s="2454"/>
      <c r="AT113" s="2454"/>
      <c r="AU113" s="2454"/>
      <c r="AV113" s="2454"/>
      <c r="AW113" s="2454"/>
      <c r="AX113" s="2454"/>
      <c r="AY113" s="2454"/>
      <c r="AZ113" s="2454"/>
      <c r="BA113" s="2454"/>
      <c r="BB113" s="2454"/>
      <c r="BC113" s="2454"/>
      <c r="BD113" s="2454"/>
      <c r="BE113" s="2454"/>
      <c r="BF113" s="2454"/>
      <c r="BG113" s="2454"/>
      <c r="BH113" s="2454"/>
      <c r="BI113" s="2454"/>
      <c r="BJ113" s="2454"/>
      <c r="BK113" s="2454"/>
      <c r="BL113" s="2454"/>
      <c r="BM113" s="2454"/>
      <c r="BN113" s="2454"/>
      <c r="BO113" s="2454"/>
      <c r="BP113" s="2454"/>
      <c r="BQ113" s="2454"/>
      <c r="BR113" s="2454"/>
      <c r="BS113" s="2454"/>
      <c r="BT113" s="2454"/>
      <c r="BU113" s="2454"/>
      <c r="BV113" s="2454"/>
      <c r="BW113" s="2454"/>
      <c r="BX113" s="2454"/>
      <c r="BY113" s="2454"/>
      <c r="BZ113" s="2454"/>
      <c r="CA113" s="2454"/>
      <c r="CB113" s="2454"/>
      <c r="CC113" s="2454"/>
      <c r="CD113" s="2454"/>
      <c r="CE113" s="2454"/>
      <c r="CF113" s="2454"/>
      <c r="CG113" s="2454"/>
      <c r="CH113" s="2454"/>
      <c r="CI113" s="2454"/>
      <c r="CJ113" s="2454"/>
      <c r="CK113" s="2454"/>
      <c r="CL113" s="2454"/>
      <c r="CM113" s="2454"/>
      <c r="CN113" s="2454"/>
      <c r="CO113" s="2454"/>
      <c r="CP113" s="2454"/>
      <c r="CQ113" s="2454"/>
      <c r="CR113" s="2454"/>
      <c r="CS113" s="2454"/>
      <c r="CT113" s="2454"/>
      <c r="CU113" s="2454"/>
      <c r="CV113" s="2454"/>
      <c r="CW113" s="2454"/>
      <c r="CX113" s="2454"/>
      <c r="CY113" s="2454"/>
      <c r="CZ113" s="2454"/>
      <c r="DA113" s="2454"/>
      <c r="DB113" s="2454"/>
      <c r="DC113" s="2454"/>
      <c r="DD113" s="2454"/>
      <c r="DE113" s="2454"/>
      <c r="DF113" s="2454"/>
      <c r="DG113" s="2454"/>
      <c r="DH113" s="2454"/>
      <c r="DI113" s="2454"/>
      <c r="DJ113" s="2454"/>
      <c r="DK113" s="2454"/>
      <c r="DL113" s="2454"/>
      <c r="DM113" s="2454"/>
      <c r="DN113" s="2454"/>
      <c r="DO113" s="2454"/>
      <c r="DP113" s="2454"/>
      <c r="DQ113" s="2454"/>
      <c r="DR113" s="2454"/>
      <c r="DS113" s="2454"/>
      <c r="DT113" s="2454"/>
      <c r="DU113" s="2454"/>
      <c r="DV113" s="2454"/>
      <c r="DW113" s="2454"/>
      <c r="DX113" s="2454"/>
      <c r="DY113" s="2454"/>
      <c r="DZ113" s="2454"/>
      <c r="EA113" s="2454"/>
      <c r="EB113" s="2454"/>
      <c r="EC113" s="2454"/>
      <c r="ED113" s="2454"/>
      <c r="EE113" s="2454"/>
      <c r="EF113" s="2454"/>
      <c r="EG113" s="2454"/>
      <c r="EH113" s="2454"/>
      <c r="EI113" s="2454"/>
      <c r="EJ113" s="2454"/>
      <c r="EK113" s="2454"/>
      <c r="EL113" s="2454"/>
      <c r="EM113" s="2454"/>
      <c r="EN113" s="2454"/>
      <c r="EO113" s="2454"/>
      <c r="EP113" s="2454"/>
      <c r="EQ113" s="2454"/>
      <c r="ER113" s="2454"/>
      <c r="ES113" s="2454"/>
      <c r="ET113" s="2454"/>
      <c r="EU113" s="2454"/>
      <c r="EV113" s="2454"/>
      <c r="EW113" s="2454"/>
      <c r="EX113" s="2454"/>
      <c r="EY113" s="2454"/>
      <c r="EZ113" s="2454"/>
      <c r="FA113" s="2454"/>
      <c r="FB113" s="2454"/>
      <c r="FC113" s="2454"/>
      <c r="FD113" s="2454"/>
      <c r="FE113" s="2454"/>
      <c r="FF113" s="2454"/>
      <c r="FG113" s="2454"/>
      <c r="FH113" s="2454"/>
      <c r="FI113" s="2454"/>
      <c r="FJ113" s="2454"/>
      <c r="FK113" s="2454"/>
      <c r="FL113" s="2454"/>
      <c r="FM113" s="2454"/>
      <c r="FN113" s="2454"/>
      <c r="FO113" s="2454"/>
      <c r="FP113" s="2454"/>
      <c r="FQ113" s="2454"/>
      <c r="FR113" s="2454"/>
      <c r="FS113" s="2454"/>
      <c r="FT113" s="2454"/>
      <c r="FU113" s="2454"/>
      <c r="FV113" s="2454"/>
      <c r="FW113" s="2454"/>
      <c r="FX113" s="2454"/>
      <c r="FY113" s="2454"/>
      <c r="FZ113" s="2454"/>
      <c r="GA113" s="2454"/>
      <c r="GB113" s="2454"/>
      <c r="GC113" s="2454"/>
      <c r="GD113" s="2454"/>
      <c r="GE113" s="2454"/>
      <c r="GF113" s="2454"/>
      <c r="GG113" s="2454"/>
      <c r="GH113" s="2454"/>
      <c r="GI113" s="2454"/>
      <c r="GJ113" s="2454"/>
      <c r="GK113" s="2454"/>
      <c r="GL113" s="2454"/>
    </row>
    <row r="114" spans="3:194" ht="12.75">
      <c r="C114" s="2469"/>
      <c r="D114" s="2455"/>
      <c r="E114" s="2455"/>
      <c r="F114" s="2455"/>
      <c r="G114" s="2455"/>
      <c r="H114" s="2455"/>
      <c r="I114" s="2455"/>
      <c r="J114" s="2455"/>
      <c r="K114" s="2455"/>
      <c r="L114" s="2455"/>
      <c r="M114" s="2455"/>
      <c r="N114" s="2455"/>
      <c r="O114" s="2455"/>
      <c r="P114" s="2455"/>
      <c r="Q114" s="2455"/>
      <c r="R114" s="2455"/>
      <c r="S114" s="2455"/>
      <c r="T114" s="2455"/>
      <c r="U114" s="2454"/>
      <c r="V114" s="2454"/>
      <c r="W114" s="2454"/>
      <c r="X114" s="2454"/>
      <c r="Y114" s="2454"/>
      <c r="Z114" s="2454"/>
      <c r="AA114" s="2454"/>
      <c r="AB114" s="2454"/>
      <c r="AC114" s="2454"/>
      <c r="AD114" s="2454"/>
      <c r="AE114" s="2454"/>
      <c r="AF114" s="2454"/>
      <c r="AG114" s="2454"/>
      <c r="AH114" s="2454"/>
      <c r="AI114" s="2454"/>
      <c r="AJ114" s="2454"/>
      <c r="AK114" s="2454"/>
      <c r="AL114" s="2454"/>
      <c r="AM114" s="2454"/>
      <c r="AN114" s="2454"/>
      <c r="AO114" s="2454"/>
      <c r="AP114" s="2454"/>
      <c r="AQ114" s="2454"/>
      <c r="AR114" s="2454"/>
      <c r="AS114" s="2454"/>
      <c r="AT114" s="2454"/>
      <c r="AU114" s="2454"/>
      <c r="AV114" s="2454"/>
      <c r="AW114" s="2454"/>
      <c r="AX114" s="2454"/>
      <c r="AY114" s="2454"/>
      <c r="AZ114" s="2454"/>
      <c r="BA114" s="2454"/>
      <c r="BB114" s="2454"/>
      <c r="BC114" s="2454"/>
      <c r="BD114" s="2454"/>
      <c r="BE114" s="2454"/>
      <c r="BF114" s="2454"/>
      <c r="BG114" s="2454"/>
      <c r="BH114" s="2454"/>
      <c r="BI114" s="2454"/>
      <c r="BJ114" s="2454"/>
      <c r="BK114" s="2454"/>
      <c r="BL114" s="2454"/>
      <c r="BM114" s="2454"/>
      <c r="BN114" s="2454"/>
      <c r="BO114" s="2454"/>
      <c r="BP114" s="2454"/>
      <c r="BQ114" s="2454"/>
      <c r="BR114" s="2454"/>
      <c r="BS114" s="2454"/>
      <c r="BT114" s="2454"/>
      <c r="BU114" s="2454"/>
      <c r="BV114" s="2454"/>
      <c r="BW114" s="2454"/>
      <c r="BX114" s="2454"/>
      <c r="BY114" s="2454"/>
      <c r="BZ114" s="2454"/>
      <c r="CA114" s="2454"/>
      <c r="CB114" s="2454"/>
      <c r="CC114" s="2454"/>
      <c r="CD114" s="2454"/>
      <c r="CE114" s="2454"/>
      <c r="CF114" s="2454"/>
      <c r="CG114" s="2454"/>
      <c r="CH114" s="2454"/>
      <c r="CI114" s="2454"/>
      <c r="CJ114" s="2454"/>
      <c r="CK114" s="2454"/>
      <c r="CL114" s="2454"/>
      <c r="CM114" s="2454"/>
      <c r="CN114" s="2454"/>
      <c r="CO114" s="2454"/>
      <c r="CP114" s="2454"/>
      <c r="CQ114" s="2454"/>
      <c r="CR114" s="2454"/>
      <c r="CS114" s="2454"/>
      <c r="CT114" s="2454"/>
      <c r="CU114" s="2454"/>
      <c r="CV114" s="2454"/>
      <c r="CW114" s="2454"/>
      <c r="CX114" s="2454"/>
      <c r="CY114" s="2454"/>
      <c r="CZ114" s="2454"/>
      <c r="DA114" s="2454"/>
      <c r="DB114" s="2454"/>
      <c r="DC114" s="2454"/>
      <c r="DD114" s="2454"/>
      <c r="DE114" s="2454"/>
      <c r="DF114" s="2454"/>
      <c r="DG114" s="2454"/>
      <c r="DH114" s="2454"/>
      <c r="DI114" s="2454"/>
      <c r="DJ114" s="2454"/>
      <c r="DK114" s="2454"/>
      <c r="DL114" s="2454"/>
      <c r="DM114" s="2454"/>
      <c r="DN114" s="2454"/>
      <c r="DO114" s="2454"/>
      <c r="DP114" s="2454"/>
      <c r="DQ114" s="2454"/>
      <c r="DR114" s="2454"/>
      <c r="DS114" s="2454"/>
      <c r="DT114" s="2454"/>
      <c r="DU114" s="2454"/>
      <c r="DV114" s="2454"/>
      <c r="DW114" s="2454"/>
      <c r="DX114" s="2454"/>
      <c r="DY114" s="2454"/>
      <c r="DZ114" s="2454"/>
      <c r="EA114" s="2454"/>
      <c r="EB114" s="2454"/>
      <c r="EC114" s="2454"/>
      <c r="ED114" s="2454"/>
      <c r="EE114" s="2454"/>
      <c r="EF114" s="2454"/>
      <c r="EG114" s="2454"/>
      <c r="EH114" s="2454"/>
      <c r="EI114" s="2454"/>
      <c r="EJ114" s="2454"/>
      <c r="EK114" s="2454"/>
      <c r="EL114" s="2454"/>
      <c r="EM114" s="2454"/>
      <c r="EN114" s="2454"/>
      <c r="EO114" s="2454"/>
      <c r="EP114" s="2454"/>
      <c r="EQ114" s="2454"/>
      <c r="ER114" s="2454"/>
      <c r="ES114" s="2454"/>
      <c r="ET114" s="2454"/>
      <c r="EU114" s="2454"/>
      <c r="EV114" s="2454"/>
      <c r="EW114" s="2454"/>
      <c r="EX114" s="2454"/>
      <c r="EY114" s="2454"/>
      <c r="EZ114" s="2454"/>
      <c r="FA114" s="2454"/>
      <c r="FB114" s="2454"/>
      <c r="FC114" s="2454"/>
      <c r="FD114" s="2454"/>
      <c r="FE114" s="2454"/>
      <c r="FF114" s="2454"/>
      <c r="FG114" s="2454"/>
      <c r="FH114" s="2454"/>
      <c r="FI114" s="2454"/>
      <c r="FJ114" s="2454"/>
      <c r="FK114" s="2454"/>
      <c r="FL114" s="2454"/>
      <c r="FM114" s="2454"/>
      <c r="FN114" s="2454"/>
      <c r="FO114" s="2454"/>
      <c r="FP114" s="2454"/>
      <c r="FQ114" s="2454"/>
      <c r="FR114" s="2454"/>
      <c r="FS114" s="2454"/>
      <c r="FT114" s="2454"/>
      <c r="FU114" s="2454"/>
      <c r="FV114" s="2454"/>
      <c r="FW114" s="2454"/>
      <c r="FX114" s="2454"/>
      <c r="FY114" s="2454"/>
      <c r="FZ114" s="2454"/>
      <c r="GA114" s="2454"/>
      <c r="GB114" s="2454"/>
      <c r="GC114" s="2454"/>
      <c r="GD114" s="2454"/>
      <c r="GE114" s="2454"/>
      <c r="GF114" s="2454"/>
      <c r="GG114" s="2454"/>
      <c r="GH114" s="2454"/>
      <c r="GI114" s="2454"/>
      <c r="GJ114" s="2454"/>
      <c r="GK114" s="2454"/>
      <c r="GL114" s="2454"/>
    </row>
    <row r="115" spans="3:194" ht="12.75">
      <c r="C115" s="2469"/>
      <c r="D115" s="2454"/>
      <c r="E115" s="2454"/>
      <c r="F115" s="2455"/>
      <c r="G115" s="2455"/>
      <c r="H115" s="2454"/>
      <c r="I115" s="2454"/>
      <c r="J115" s="2454"/>
      <c r="K115" s="2454"/>
      <c r="L115" s="2454"/>
      <c r="M115" s="2454"/>
      <c r="N115" s="2454"/>
      <c r="O115" s="2454"/>
      <c r="P115" s="2454"/>
      <c r="Q115" s="2454"/>
      <c r="R115" s="2454"/>
      <c r="S115" s="2454"/>
      <c r="T115" s="2454"/>
      <c r="U115" s="2454"/>
      <c r="V115" s="2454"/>
      <c r="W115" s="2454"/>
      <c r="X115" s="2454"/>
      <c r="Y115" s="2454"/>
      <c r="Z115" s="2454"/>
      <c r="AA115" s="2454"/>
      <c r="AB115" s="2454"/>
      <c r="AC115" s="2454"/>
      <c r="AD115" s="2454"/>
      <c r="AE115" s="2454"/>
      <c r="AF115" s="2454"/>
      <c r="AG115" s="2454"/>
      <c r="AH115" s="2454"/>
      <c r="AI115" s="2454"/>
      <c r="AJ115" s="2454"/>
      <c r="AK115" s="2454"/>
      <c r="AL115" s="2454"/>
      <c r="AM115" s="2454"/>
      <c r="AN115" s="2454"/>
      <c r="AO115" s="2454"/>
      <c r="AP115" s="2454"/>
      <c r="AQ115" s="2454"/>
      <c r="AR115" s="2454"/>
      <c r="AS115" s="2454"/>
      <c r="AT115" s="2454"/>
      <c r="AU115" s="2454"/>
      <c r="AV115" s="2454"/>
      <c r="AW115" s="2454"/>
      <c r="AX115" s="2454"/>
      <c r="AY115" s="2454"/>
      <c r="AZ115" s="2454"/>
      <c r="BA115" s="2454"/>
      <c r="BB115" s="2454"/>
      <c r="BC115" s="2454"/>
      <c r="BD115" s="2454"/>
      <c r="BE115" s="2454"/>
      <c r="BF115" s="2454"/>
      <c r="BG115" s="2454"/>
      <c r="BH115" s="2454"/>
      <c r="BI115" s="2454"/>
      <c r="BJ115" s="2454"/>
      <c r="BK115" s="2454"/>
      <c r="BL115" s="2454"/>
      <c r="BM115" s="2454"/>
      <c r="BN115" s="2454"/>
      <c r="BO115" s="2454"/>
      <c r="BP115" s="2454"/>
      <c r="BQ115" s="2454"/>
      <c r="BR115" s="2454"/>
      <c r="BS115" s="2454"/>
      <c r="BT115" s="2454"/>
      <c r="BU115" s="2454"/>
      <c r="BV115" s="2454"/>
      <c r="BW115" s="2454"/>
      <c r="BX115" s="2454"/>
      <c r="BY115" s="2454"/>
      <c r="BZ115" s="2454"/>
      <c r="CA115" s="2454"/>
      <c r="CB115" s="2454"/>
      <c r="CC115" s="2454"/>
      <c r="CD115" s="2454"/>
      <c r="CE115" s="2454"/>
      <c r="CF115" s="2454"/>
      <c r="CG115" s="2454"/>
      <c r="CH115" s="2454"/>
      <c r="CI115" s="2454"/>
      <c r="CJ115" s="2454"/>
      <c r="CK115" s="2454"/>
      <c r="CL115" s="2454"/>
      <c r="CM115" s="2454"/>
      <c r="CN115" s="2454"/>
      <c r="CO115" s="2454"/>
      <c r="CP115" s="2454"/>
      <c r="CQ115" s="2454"/>
      <c r="CR115" s="2454"/>
      <c r="CS115" s="2454"/>
      <c r="CT115" s="2454"/>
      <c r="CU115" s="2454"/>
      <c r="CV115" s="2454"/>
      <c r="CW115" s="2454"/>
      <c r="CX115" s="2454"/>
      <c r="CY115" s="2454"/>
      <c r="CZ115" s="2454"/>
      <c r="DA115" s="2454"/>
      <c r="DB115" s="2454"/>
      <c r="DC115" s="2454"/>
      <c r="DD115" s="2454"/>
      <c r="DE115" s="2454"/>
      <c r="DF115" s="2454"/>
      <c r="DG115" s="2454"/>
      <c r="DH115" s="2454"/>
      <c r="DI115" s="2454"/>
      <c r="DJ115" s="2454"/>
      <c r="DK115" s="2454"/>
      <c r="DL115" s="2454"/>
      <c r="DM115" s="2454"/>
      <c r="DN115" s="2454"/>
      <c r="DO115" s="2454"/>
      <c r="DP115" s="2454"/>
      <c r="DQ115" s="2454"/>
      <c r="DR115" s="2454"/>
      <c r="DS115" s="2454"/>
      <c r="DT115" s="2454"/>
      <c r="DU115" s="2454"/>
      <c r="DV115" s="2454"/>
      <c r="DW115" s="2454"/>
      <c r="DX115" s="2454"/>
      <c r="DY115" s="2454"/>
      <c r="DZ115" s="2454"/>
      <c r="EA115" s="2454"/>
      <c r="EB115" s="2454"/>
      <c r="EC115" s="2454"/>
      <c r="ED115" s="2454"/>
      <c r="EE115" s="2454"/>
      <c r="EF115" s="2454"/>
      <c r="EG115" s="2454"/>
      <c r="EH115" s="2454"/>
      <c r="EI115" s="2454"/>
      <c r="EJ115" s="2454"/>
      <c r="EK115" s="2454"/>
      <c r="EL115" s="2454"/>
      <c r="EM115" s="2454"/>
      <c r="EN115" s="2454"/>
      <c r="EO115" s="2454"/>
      <c r="EP115" s="2454"/>
      <c r="EQ115" s="2454"/>
      <c r="ER115" s="2454"/>
      <c r="ES115" s="2454"/>
      <c r="ET115" s="2454"/>
      <c r="EU115" s="2454"/>
      <c r="EV115" s="2454"/>
      <c r="EW115" s="2454"/>
      <c r="EX115" s="2454"/>
      <c r="EY115" s="2454"/>
      <c r="EZ115" s="2454"/>
      <c r="FA115" s="2454"/>
      <c r="FB115" s="2454"/>
      <c r="FC115" s="2454"/>
      <c r="FD115" s="2454"/>
      <c r="FE115" s="2454"/>
      <c r="FF115" s="2454"/>
      <c r="FG115" s="2454"/>
      <c r="FH115" s="2454"/>
      <c r="FI115" s="2454"/>
      <c r="FJ115" s="2454"/>
      <c r="FK115" s="2454"/>
      <c r="FL115" s="2454"/>
      <c r="FM115" s="2454"/>
      <c r="FN115" s="2454"/>
      <c r="FO115" s="2454"/>
      <c r="FP115" s="2454"/>
      <c r="FQ115" s="2454"/>
      <c r="FR115" s="2454"/>
      <c r="FS115" s="2454"/>
      <c r="FT115" s="2454"/>
      <c r="FU115" s="2454"/>
      <c r="FV115" s="2454"/>
      <c r="FW115" s="2454"/>
      <c r="FX115" s="2454"/>
      <c r="FY115" s="2454"/>
      <c r="FZ115" s="2454"/>
      <c r="GA115" s="2454"/>
      <c r="GB115" s="2454"/>
      <c r="GC115" s="2454"/>
      <c r="GD115" s="2454"/>
      <c r="GE115" s="2454"/>
      <c r="GF115" s="2454"/>
      <c r="GG115" s="2454"/>
      <c r="GH115" s="2454"/>
      <c r="GI115" s="2454"/>
      <c r="GJ115" s="2454"/>
      <c r="GK115" s="2454"/>
      <c r="GL115" s="2454"/>
    </row>
    <row r="116" spans="3:7" ht="12.75">
      <c r="C116" s="2469"/>
      <c r="F116" s="2469"/>
      <c r="G116" s="2469"/>
    </row>
    <row r="117" spans="3:7" ht="12.75">
      <c r="C117" s="2469"/>
      <c r="F117" s="2469"/>
      <c r="G117" s="2469"/>
    </row>
    <row r="118" spans="3:7" ht="12.75">
      <c r="C118" s="2469"/>
      <c r="F118" s="2469"/>
      <c r="G118" s="2469"/>
    </row>
    <row r="119" spans="6:7" ht="12.75">
      <c r="F119" s="2469"/>
      <c r="G119" s="2469"/>
    </row>
  </sheetData>
  <sheetProtection/>
  <printOptions/>
  <pageMargins left="0.75" right="0.25" top="0.24" bottom="0.24" header="0" footer="0"/>
  <pageSetup fitToHeight="1" fitToWidth="1" horizontalDpi="600" verticalDpi="600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70" zoomScaleNormal="70" zoomScalePageLayoutView="0" workbookViewId="0" topLeftCell="B1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78"/>
      <c r="B2" s="2" t="str">
        <f>+'TOT-1214'!B2</f>
        <v>ANEXO I al Memorándum D.T.E.E. N°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79"/>
    </row>
    <row r="4" spans="1:4" s="14" customFormat="1" ht="11.25">
      <c r="A4" s="12" t="s">
        <v>2</v>
      </c>
      <c r="B4" s="80"/>
      <c r="C4" s="80"/>
      <c r="D4" s="80"/>
    </row>
    <row r="5" spans="1:4" s="14" customFormat="1" ht="11.25">
      <c r="A5" s="12" t="s">
        <v>3</v>
      </c>
      <c r="B5" s="80"/>
      <c r="C5" s="80"/>
      <c r="D5" s="80"/>
    </row>
    <row r="6" s="8" customFormat="1" ht="13.5" thickBot="1"/>
    <row r="7" spans="2:32" s="8" customFormat="1" ht="13.5" thickTop="1">
      <c r="B7" s="81"/>
      <c r="C7" s="82"/>
      <c r="D7" s="82"/>
      <c r="E7" s="82"/>
      <c r="F7" s="82"/>
      <c r="G7" s="83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4"/>
    </row>
    <row r="8" spans="2:32" s="18" customFormat="1" ht="20.25">
      <c r="B8" s="85"/>
      <c r="C8" s="23"/>
      <c r="D8" s="23"/>
      <c r="E8" s="23"/>
      <c r="F8" s="86" t="s">
        <v>23</v>
      </c>
      <c r="G8" s="23"/>
      <c r="H8" s="23"/>
      <c r="I8" s="23"/>
      <c r="J8" s="23"/>
      <c r="P8" s="23"/>
      <c r="Q8" s="23"/>
      <c r="R8" s="87"/>
      <c r="S8" s="8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88"/>
    </row>
    <row r="9" spans="2:32" s="8" customFormat="1" ht="16.5" customHeight="1">
      <c r="B9" s="5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89"/>
    </row>
    <row r="10" spans="2:32" s="239" customFormat="1" ht="33" customHeight="1">
      <c r="B10" s="240"/>
      <c r="C10" s="241"/>
      <c r="D10" s="241"/>
      <c r="E10" s="241"/>
      <c r="F10" s="242" t="s">
        <v>24</v>
      </c>
      <c r="G10" s="241"/>
      <c r="H10" s="241"/>
      <c r="I10" s="241"/>
      <c r="K10" s="241"/>
      <c r="L10" s="241"/>
      <c r="M10" s="241"/>
      <c r="N10" s="241"/>
      <c r="O10" s="241"/>
      <c r="P10" s="241"/>
      <c r="Q10" s="241"/>
      <c r="R10" s="242"/>
      <c r="S10" s="242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3"/>
    </row>
    <row r="11" spans="2:32" s="244" customFormat="1" ht="33" customHeight="1">
      <c r="B11" s="245"/>
      <c r="C11" s="246"/>
      <c r="D11" s="246"/>
      <c r="E11" s="246"/>
      <c r="F11" s="242" t="s">
        <v>51</v>
      </c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8"/>
    </row>
    <row r="12" spans="2:32" s="34" customFormat="1" ht="19.5">
      <c r="B12" s="35" t="str">
        <f>'TOT-1214'!B14</f>
        <v>Desde el 01 al 31 de diciembre de 2014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91"/>
      <c r="Q12" s="9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92"/>
    </row>
    <row r="13" spans="2:32" s="8" customFormat="1" ht="16.5" customHeight="1" thickBot="1">
      <c r="B13" s="53"/>
      <c r="C13" s="11"/>
      <c r="D13" s="11"/>
      <c r="E13" s="11"/>
      <c r="F13" s="11"/>
      <c r="G13" s="75"/>
      <c r="H13" s="75"/>
      <c r="I13" s="11"/>
      <c r="J13" s="11"/>
      <c r="K13" s="11"/>
      <c r="L13" s="9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89"/>
    </row>
    <row r="14" spans="2:32" s="8" customFormat="1" ht="16.5" customHeight="1" thickBot="1" thickTop="1">
      <c r="B14" s="53"/>
      <c r="C14" s="11"/>
      <c r="D14" s="11"/>
      <c r="E14" s="11"/>
      <c r="F14" s="94" t="s">
        <v>26</v>
      </c>
      <c r="G14" s="2507">
        <v>117.179</v>
      </c>
      <c r="H14" s="250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89"/>
    </row>
    <row r="15" spans="2:32" s="8" customFormat="1" ht="16.5" customHeight="1" thickBot="1" thickTop="1">
      <c r="B15" s="53"/>
      <c r="C15" s="11"/>
      <c r="D15" s="11"/>
      <c r="E15" s="11"/>
      <c r="F15" s="94" t="s">
        <v>27</v>
      </c>
      <c r="G15" s="95">
        <v>74.974</v>
      </c>
      <c r="H15" s="96"/>
      <c r="I15" s="11"/>
      <c r="J15" s="11"/>
      <c r="K15" s="11"/>
      <c r="L15" s="97"/>
      <c r="M15" s="9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99"/>
      <c r="Y15" s="99"/>
      <c r="Z15" s="99"/>
      <c r="AA15" s="99"/>
      <c r="AB15" s="99"/>
      <c r="AC15" s="99"/>
      <c r="AD15" s="99"/>
      <c r="AF15" s="89"/>
    </row>
    <row r="16" spans="2:32" s="8" customFormat="1" ht="16.5" customHeight="1" thickBot="1" thickTop="1">
      <c r="B16" s="53"/>
      <c r="C16" s="100">
        <v>3</v>
      </c>
      <c r="D16" s="100">
        <v>4</v>
      </c>
      <c r="E16" s="100">
        <v>5</v>
      </c>
      <c r="F16" s="100">
        <v>6</v>
      </c>
      <c r="G16" s="100">
        <v>7</v>
      </c>
      <c r="H16" s="100">
        <v>8</v>
      </c>
      <c r="I16" s="100">
        <v>9</v>
      </c>
      <c r="J16" s="100">
        <v>10</v>
      </c>
      <c r="K16" s="100">
        <v>11</v>
      </c>
      <c r="L16" s="100">
        <v>12</v>
      </c>
      <c r="M16" s="100">
        <v>13</v>
      </c>
      <c r="N16" s="100">
        <v>14</v>
      </c>
      <c r="O16" s="100">
        <v>15</v>
      </c>
      <c r="P16" s="100">
        <v>16</v>
      </c>
      <c r="Q16" s="100">
        <v>17</v>
      </c>
      <c r="R16" s="100">
        <v>18</v>
      </c>
      <c r="S16" s="100">
        <v>19</v>
      </c>
      <c r="T16" s="100">
        <v>20</v>
      </c>
      <c r="U16" s="100">
        <v>21</v>
      </c>
      <c r="V16" s="100">
        <v>22</v>
      </c>
      <c r="W16" s="100">
        <v>23</v>
      </c>
      <c r="X16" s="100">
        <v>24</v>
      </c>
      <c r="Y16" s="100">
        <v>25</v>
      </c>
      <c r="Z16" s="100">
        <v>26</v>
      </c>
      <c r="AA16" s="100">
        <v>27</v>
      </c>
      <c r="AB16" s="100">
        <v>28</v>
      </c>
      <c r="AC16" s="100">
        <v>29</v>
      </c>
      <c r="AD16" s="100">
        <v>30</v>
      </c>
      <c r="AE16" s="100">
        <v>31</v>
      </c>
      <c r="AF16" s="89"/>
    </row>
    <row r="17" spans="2:32" s="8" customFormat="1" ht="33.75" customHeight="1" thickBot="1" thickTop="1">
      <c r="B17" s="53"/>
      <c r="C17" s="101" t="s">
        <v>28</v>
      </c>
      <c r="D17" s="101" t="s">
        <v>29</v>
      </c>
      <c r="E17" s="101" t="s">
        <v>30</v>
      </c>
      <c r="F17" s="102" t="s">
        <v>5</v>
      </c>
      <c r="G17" s="103" t="s">
        <v>31</v>
      </c>
      <c r="H17" s="104" t="s">
        <v>32</v>
      </c>
      <c r="I17" s="105" t="s">
        <v>33</v>
      </c>
      <c r="J17" s="106" t="s">
        <v>34</v>
      </c>
      <c r="K17" s="107" t="s">
        <v>35</v>
      </c>
      <c r="L17" s="102" t="s">
        <v>36</v>
      </c>
      <c r="M17" s="108" t="s">
        <v>37</v>
      </c>
      <c r="N17" s="109" t="s">
        <v>38</v>
      </c>
      <c r="O17" s="104" t="s">
        <v>39</v>
      </c>
      <c r="P17" s="109" t="s">
        <v>179</v>
      </c>
      <c r="Q17" s="104" t="s">
        <v>40</v>
      </c>
      <c r="R17" s="108" t="s">
        <v>41</v>
      </c>
      <c r="S17" s="102" t="s">
        <v>42</v>
      </c>
      <c r="T17" s="110" t="s">
        <v>43</v>
      </c>
      <c r="U17" s="111" t="s">
        <v>44</v>
      </c>
      <c r="V17" s="112" t="s">
        <v>45</v>
      </c>
      <c r="W17" s="113"/>
      <c r="X17" s="114"/>
      <c r="Y17" s="115" t="s">
        <v>46</v>
      </c>
      <c r="Z17" s="116"/>
      <c r="AA17" s="117"/>
      <c r="AB17" s="118" t="s">
        <v>47</v>
      </c>
      <c r="AC17" s="119" t="s">
        <v>48</v>
      </c>
      <c r="AD17" s="120" t="s">
        <v>49</v>
      </c>
      <c r="AE17" s="120" t="s">
        <v>50</v>
      </c>
      <c r="AF17" s="121"/>
    </row>
    <row r="18" spans="2:32" s="8" customFormat="1" ht="16.5" customHeight="1" thickTop="1">
      <c r="B18" s="53"/>
      <c r="C18" s="122"/>
      <c r="D18" s="122"/>
      <c r="E18" s="122"/>
      <c r="F18" s="123"/>
      <c r="G18" s="123"/>
      <c r="H18" s="124"/>
      <c r="I18" s="125"/>
      <c r="J18" s="126"/>
      <c r="K18" s="127"/>
      <c r="L18" s="128"/>
      <c r="M18" s="128"/>
      <c r="N18" s="125"/>
      <c r="O18" s="125"/>
      <c r="P18" s="125"/>
      <c r="Q18" s="125"/>
      <c r="R18" s="125"/>
      <c r="S18" s="125"/>
      <c r="T18" s="129"/>
      <c r="U18" s="130"/>
      <c r="V18" s="131"/>
      <c r="W18" s="132"/>
      <c r="X18" s="133"/>
      <c r="Y18" s="134"/>
      <c r="Z18" s="135"/>
      <c r="AA18" s="136"/>
      <c r="AB18" s="137"/>
      <c r="AC18" s="138"/>
      <c r="AD18" s="125"/>
      <c r="AE18" s="139"/>
      <c r="AF18" s="89"/>
    </row>
    <row r="19" spans="2:32" s="8" customFormat="1" ht="16.5" customHeight="1">
      <c r="B19" s="53"/>
      <c r="C19" s="249"/>
      <c r="D19" s="249"/>
      <c r="E19" s="249"/>
      <c r="F19" s="184"/>
      <c r="G19" s="185"/>
      <c r="H19" s="186"/>
      <c r="I19" s="185"/>
      <c r="J19" s="162">
        <f aca="true" t="shared" si="0" ref="J19:J39">IF(I19="A",200,IF(I19="B",60,20))</f>
        <v>20</v>
      </c>
      <c r="K19" s="163">
        <f aca="true" t="shared" si="1" ref="K19:K39">IF(G19=500,IF(H19&lt;100,100*$G$14/100,H19*$G$14/100),IF(H19&lt;100,100*$G$15/100,H19*$G$15/100))</f>
        <v>74.974</v>
      </c>
      <c r="L19" s="164"/>
      <c r="M19" s="165"/>
      <c r="N19" s="166">
        <f aca="true" t="shared" si="2" ref="N19:N39">IF(F19="","",(M19-L19)*24)</f>
      </c>
      <c r="O19" s="167">
        <f aca="true" t="shared" si="3" ref="O19:O39">IF(F19="","",ROUND((M19-L19)*24*60,0))</f>
      </c>
      <c r="P19" s="168"/>
      <c r="Q19" s="169">
        <f aca="true" t="shared" si="4" ref="Q19:Q39">IF(F19="","","--")</f>
      </c>
      <c r="R19" s="170">
        <f aca="true" t="shared" si="5" ref="R19:R39">IF(F19="","","NO")</f>
      </c>
      <c r="S19" s="170">
        <f aca="true" t="shared" si="6" ref="S19:S39">IF(F19="","",IF(OR(P19="P",P19="RP"),"--","NO"))</f>
      </c>
      <c r="T19" s="250" t="str">
        <f aca="true" t="shared" si="7" ref="T19:T39">IF(P19="P",K19*J19*ROUND(O19/60,2)*0.01,"--")</f>
        <v>--</v>
      </c>
      <c r="U19" s="251" t="str">
        <f aca="true" t="shared" si="8" ref="U19:U39">IF(P19="RP",K19*J19*ROUND(O19/60,2)*0.01*Q19/100,"--")</f>
        <v>--</v>
      </c>
      <c r="V19" s="252" t="str">
        <f aca="true" t="shared" si="9" ref="V19:V39">IF(AND(P19="F",S19="NO"),K19*J19*IF(R19="SI",1.2,1),"--")</f>
        <v>--</v>
      </c>
      <c r="W19" s="253" t="str">
        <f aca="true" t="shared" si="10" ref="W19:W39">IF(AND(P19="F",O19&gt;=10),K19*J19*IF(R19="SI",1.2,1)*IF(O19&lt;=300,ROUND(O19/60,2),5),"--")</f>
        <v>--</v>
      </c>
      <c r="X19" s="254" t="str">
        <f aca="true" t="shared" si="11" ref="X19:X39">IF(AND(P19="F",O19&gt;300),(ROUND(O19/60,2)-5)*K19*J19*0.1*IF(R19="SI",1.2,1),"--")</f>
        <v>--</v>
      </c>
      <c r="Y19" s="255" t="str">
        <f aca="true" t="shared" si="12" ref="Y19:Y39">IF(AND(P19="R",S19="NO"),K19*J19*Q19/100*IF(R19="SI",1.2,1),"--")</f>
        <v>--</v>
      </c>
      <c r="Z19" s="256" t="str">
        <f aca="true" t="shared" si="13" ref="Z19:Z39">IF(AND(P19="R",O19&gt;=10),K19*J19*Q19/100*IF(R19="SI",1.2,1)*IF(O19&lt;=300,ROUND(O19/60,2),5),"--")</f>
        <v>--</v>
      </c>
      <c r="AA19" s="257" t="str">
        <f aca="true" t="shared" si="14" ref="AA19:AA39">IF(AND(P19="R",O19&gt;300),(ROUND(O19/60,2)-5)*K19*J19*0.1*Q19/100*IF(R19="SI",1.2,1),"--")</f>
        <v>--</v>
      </c>
      <c r="AB19" s="258" t="str">
        <f aca="true" t="shared" si="15" ref="AB19:AB39">IF(P19="RF",ROUND(O19/60,2)*K19*J19*0.1*IF(R19="SI",1.2,1),"--")</f>
        <v>--</v>
      </c>
      <c r="AC19" s="259" t="str">
        <f aca="true" t="shared" si="16" ref="AC19:AC39">IF(P19="RR",ROUND(O19/60,2)*K19*J19*0.1*Q19/100*IF(R19="SI",1.2,1),"--")</f>
        <v>--</v>
      </c>
      <c r="AD19" s="260">
        <f aca="true" t="shared" si="17" ref="AD19:AD39">IF(F19="","","SI")</f>
      </c>
      <c r="AE19" s="182">
        <f aca="true" t="shared" si="18" ref="AE19:AE39">IF(F19="","",SUM(T19:AC19)*IF(AD19="SI",1,2))</f>
      </c>
      <c r="AF19" s="89"/>
    </row>
    <row r="20" spans="2:32" s="8" customFormat="1" ht="16.5" customHeight="1">
      <c r="B20" s="53"/>
      <c r="C20" s="249">
        <v>11</v>
      </c>
      <c r="D20" s="249">
        <v>282214</v>
      </c>
      <c r="E20" s="249">
        <v>2948</v>
      </c>
      <c r="F20" s="184" t="s">
        <v>204</v>
      </c>
      <c r="G20" s="185">
        <v>500</v>
      </c>
      <c r="H20" s="186">
        <v>227</v>
      </c>
      <c r="I20" s="185" t="s">
        <v>193</v>
      </c>
      <c r="J20" s="162">
        <f t="shared" si="0"/>
        <v>20</v>
      </c>
      <c r="K20" s="163">
        <f t="shared" si="1"/>
        <v>265.99633</v>
      </c>
      <c r="L20" s="164">
        <v>41978.77777777778</v>
      </c>
      <c r="M20" s="165">
        <v>41978.80694444444</v>
      </c>
      <c r="N20" s="166">
        <f t="shared" si="2"/>
        <v>0.6999999998370185</v>
      </c>
      <c r="O20" s="167">
        <f t="shared" si="3"/>
        <v>42</v>
      </c>
      <c r="P20" s="168" t="s">
        <v>194</v>
      </c>
      <c r="Q20" s="169" t="str">
        <f t="shared" si="4"/>
        <v>--</v>
      </c>
      <c r="R20" s="170" t="str">
        <f t="shared" si="5"/>
        <v>NO</v>
      </c>
      <c r="S20" s="170" t="str">
        <f t="shared" si="6"/>
        <v>NO</v>
      </c>
      <c r="T20" s="250" t="str">
        <f t="shared" si="7"/>
        <v>--</v>
      </c>
      <c r="U20" s="251" t="str">
        <f t="shared" si="8"/>
        <v>--</v>
      </c>
      <c r="V20" s="252">
        <f t="shared" si="9"/>
        <v>5319.9266</v>
      </c>
      <c r="W20" s="253">
        <f t="shared" si="10"/>
        <v>3723.9486199999997</v>
      </c>
      <c r="X20" s="254" t="str">
        <f t="shared" si="11"/>
        <v>--</v>
      </c>
      <c r="Y20" s="255" t="str">
        <f t="shared" si="12"/>
        <v>--</v>
      </c>
      <c r="Z20" s="256" t="str">
        <f t="shared" si="13"/>
        <v>--</v>
      </c>
      <c r="AA20" s="257" t="str">
        <f t="shared" si="14"/>
        <v>--</v>
      </c>
      <c r="AB20" s="258" t="str">
        <f t="shared" si="15"/>
        <v>--</v>
      </c>
      <c r="AC20" s="259" t="str">
        <f t="shared" si="16"/>
        <v>--</v>
      </c>
      <c r="AD20" s="181" t="s">
        <v>81</v>
      </c>
      <c r="AE20" s="182">
        <f t="shared" si="18"/>
        <v>9043.87522</v>
      </c>
      <c r="AF20" s="183"/>
    </row>
    <row r="21" spans="2:32" s="8" customFormat="1" ht="16.5" customHeight="1">
      <c r="B21" s="53"/>
      <c r="C21" s="140"/>
      <c r="D21" s="140"/>
      <c r="E21" s="140"/>
      <c r="F21" s="184"/>
      <c r="G21" s="185"/>
      <c r="H21" s="186"/>
      <c r="I21" s="185"/>
      <c r="J21" s="162">
        <f t="shared" si="0"/>
        <v>20</v>
      </c>
      <c r="K21" s="163">
        <f t="shared" si="1"/>
        <v>74.974</v>
      </c>
      <c r="L21" s="164"/>
      <c r="M21" s="165"/>
      <c r="N21" s="166">
        <f t="shared" si="2"/>
      </c>
      <c r="O21" s="167">
        <f t="shared" si="3"/>
      </c>
      <c r="P21" s="168"/>
      <c r="Q21" s="169">
        <f t="shared" si="4"/>
      </c>
      <c r="R21" s="170">
        <f t="shared" si="5"/>
      </c>
      <c r="S21" s="170">
        <f t="shared" si="6"/>
      </c>
      <c r="T21" s="250" t="str">
        <f t="shared" si="7"/>
        <v>--</v>
      </c>
      <c r="U21" s="251" t="str">
        <f t="shared" si="8"/>
        <v>--</v>
      </c>
      <c r="V21" s="252" t="str">
        <f t="shared" si="9"/>
        <v>--</v>
      </c>
      <c r="W21" s="253" t="str">
        <f t="shared" si="10"/>
        <v>--</v>
      </c>
      <c r="X21" s="254" t="str">
        <f t="shared" si="11"/>
        <v>--</v>
      </c>
      <c r="Y21" s="255" t="str">
        <f t="shared" si="12"/>
        <v>--</v>
      </c>
      <c r="Z21" s="256" t="str">
        <f t="shared" si="13"/>
        <v>--</v>
      </c>
      <c r="AA21" s="257" t="str">
        <f t="shared" si="14"/>
        <v>--</v>
      </c>
      <c r="AB21" s="258" t="str">
        <f t="shared" si="15"/>
        <v>--</v>
      </c>
      <c r="AC21" s="259" t="str">
        <f t="shared" si="16"/>
        <v>--</v>
      </c>
      <c r="AD21" s="181">
        <f t="shared" si="17"/>
      </c>
      <c r="AE21" s="182">
        <f t="shared" si="18"/>
      </c>
      <c r="AF21" s="183"/>
    </row>
    <row r="22" spans="2:32" s="8" customFormat="1" ht="16.5" customHeight="1">
      <c r="B22" s="53"/>
      <c r="C22" s="159"/>
      <c r="D22" s="159"/>
      <c r="E22" s="159"/>
      <c r="F22" s="184"/>
      <c r="G22" s="185"/>
      <c r="H22" s="186"/>
      <c r="I22" s="185"/>
      <c r="J22" s="162">
        <f t="shared" si="0"/>
        <v>20</v>
      </c>
      <c r="K22" s="163">
        <f t="shared" si="1"/>
        <v>74.974</v>
      </c>
      <c r="L22" s="187"/>
      <c r="M22" s="188"/>
      <c r="N22" s="166">
        <f t="shared" si="2"/>
      </c>
      <c r="O22" s="167">
        <f t="shared" si="3"/>
      </c>
      <c r="P22" s="168"/>
      <c r="Q22" s="169">
        <f t="shared" si="4"/>
      </c>
      <c r="R22" s="170">
        <f t="shared" si="5"/>
      </c>
      <c r="S22" s="170">
        <f t="shared" si="6"/>
      </c>
      <c r="T22" s="250" t="str">
        <f t="shared" si="7"/>
        <v>--</v>
      </c>
      <c r="U22" s="251" t="str">
        <f t="shared" si="8"/>
        <v>--</v>
      </c>
      <c r="V22" s="252" t="str">
        <f t="shared" si="9"/>
        <v>--</v>
      </c>
      <c r="W22" s="253" t="str">
        <f t="shared" si="10"/>
        <v>--</v>
      </c>
      <c r="X22" s="254" t="str">
        <f t="shared" si="11"/>
        <v>--</v>
      </c>
      <c r="Y22" s="255" t="str">
        <f t="shared" si="12"/>
        <v>--</v>
      </c>
      <c r="Z22" s="256" t="str">
        <f t="shared" si="13"/>
        <v>--</v>
      </c>
      <c r="AA22" s="257" t="str">
        <f t="shared" si="14"/>
        <v>--</v>
      </c>
      <c r="AB22" s="258" t="str">
        <f t="shared" si="15"/>
        <v>--</v>
      </c>
      <c r="AC22" s="259" t="str">
        <f t="shared" si="16"/>
        <v>--</v>
      </c>
      <c r="AD22" s="181">
        <f t="shared" si="17"/>
      </c>
      <c r="AE22" s="182">
        <f t="shared" si="18"/>
      </c>
      <c r="AF22" s="183"/>
    </row>
    <row r="23" spans="2:32" s="8" customFormat="1" ht="16.5" customHeight="1">
      <c r="B23" s="53"/>
      <c r="C23" s="140"/>
      <c r="D23" s="140"/>
      <c r="E23" s="140"/>
      <c r="F23" s="184"/>
      <c r="G23" s="185"/>
      <c r="H23" s="186"/>
      <c r="I23" s="185"/>
      <c r="J23" s="162">
        <f t="shared" si="0"/>
        <v>20</v>
      </c>
      <c r="K23" s="163">
        <f t="shared" si="1"/>
        <v>74.974</v>
      </c>
      <c r="L23" s="187"/>
      <c r="M23" s="188"/>
      <c r="N23" s="166">
        <f t="shared" si="2"/>
      </c>
      <c r="O23" s="167">
        <f t="shared" si="3"/>
      </c>
      <c r="P23" s="168"/>
      <c r="Q23" s="169">
        <f t="shared" si="4"/>
      </c>
      <c r="R23" s="170">
        <f t="shared" si="5"/>
      </c>
      <c r="S23" s="170">
        <f t="shared" si="6"/>
      </c>
      <c r="T23" s="250" t="str">
        <f t="shared" si="7"/>
        <v>--</v>
      </c>
      <c r="U23" s="251" t="str">
        <f t="shared" si="8"/>
        <v>--</v>
      </c>
      <c r="V23" s="252" t="str">
        <f t="shared" si="9"/>
        <v>--</v>
      </c>
      <c r="W23" s="253" t="str">
        <f t="shared" si="10"/>
        <v>--</v>
      </c>
      <c r="X23" s="254" t="str">
        <f t="shared" si="11"/>
        <v>--</v>
      </c>
      <c r="Y23" s="255" t="str">
        <f t="shared" si="12"/>
        <v>--</v>
      </c>
      <c r="Z23" s="256" t="str">
        <f t="shared" si="13"/>
        <v>--</v>
      </c>
      <c r="AA23" s="257" t="str">
        <f t="shared" si="14"/>
        <v>--</v>
      </c>
      <c r="AB23" s="258" t="str">
        <f t="shared" si="15"/>
        <v>--</v>
      </c>
      <c r="AC23" s="259" t="str">
        <f t="shared" si="16"/>
        <v>--</v>
      </c>
      <c r="AD23" s="181">
        <f t="shared" si="17"/>
      </c>
      <c r="AE23" s="182">
        <f t="shared" si="18"/>
      </c>
      <c r="AF23" s="183"/>
    </row>
    <row r="24" spans="2:32" s="8" customFormat="1" ht="16.5" customHeight="1">
      <c r="B24" s="53"/>
      <c r="C24" s="159"/>
      <c r="D24" s="159"/>
      <c r="E24" s="159"/>
      <c r="F24" s="159"/>
      <c r="G24" s="160"/>
      <c r="H24" s="161"/>
      <c r="I24" s="160"/>
      <c r="J24" s="162">
        <f t="shared" si="0"/>
        <v>20</v>
      </c>
      <c r="K24" s="163">
        <f t="shared" si="1"/>
        <v>74.974</v>
      </c>
      <c r="L24" s="164"/>
      <c r="M24" s="165"/>
      <c r="N24" s="166">
        <f t="shared" si="2"/>
      </c>
      <c r="O24" s="167">
        <f t="shared" si="3"/>
      </c>
      <c r="P24" s="168"/>
      <c r="Q24" s="169">
        <f t="shared" si="4"/>
      </c>
      <c r="R24" s="170">
        <f t="shared" si="5"/>
      </c>
      <c r="S24" s="170">
        <f t="shared" si="6"/>
      </c>
      <c r="T24" s="250" t="str">
        <f t="shared" si="7"/>
        <v>--</v>
      </c>
      <c r="U24" s="251" t="str">
        <f t="shared" si="8"/>
        <v>--</v>
      </c>
      <c r="V24" s="252" t="str">
        <f t="shared" si="9"/>
        <v>--</v>
      </c>
      <c r="W24" s="253" t="str">
        <f t="shared" si="10"/>
        <v>--</v>
      </c>
      <c r="X24" s="254" t="str">
        <f t="shared" si="11"/>
        <v>--</v>
      </c>
      <c r="Y24" s="255" t="str">
        <f t="shared" si="12"/>
        <v>--</v>
      </c>
      <c r="Z24" s="256" t="str">
        <f t="shared" si="13"/>
        <v>--</v>
      </c>
      <c r="AA24" s="257" t="str">
        <f t="shared" si="14"/>
        <v>--</v>
      </c>
      <c r="AB24" s="258" t="str">
        <f t="shared" si="15"/>
        <v>--</v>
      </c>
      <c r="AC24" s="259" t="str">
        <f t="shared" si="16"/>
        <v>--</v>
      </c>
      <c r="AD24" s="181">
        <f t="shared" si="17"/>
      </c>
      <c r="AE24" s="182">
        <f t="shared" si="18"/>
      </c>
      <c r="AF24" s="183"/>
    </row>
    <row r="25" spans="2:32" s="8" customFormat="1" ht="16.5" customHeight="1">
      <c r="B25" s="53"/>
      <c r="C25" s="140"/>
      <c r="D25" s="140"/>
      <c r="E25" s="140"/>
      <c r="F25" s="159"/>
      <c r="G25" s="160"/>
      <c r="H25" s="161"/>
      <c r="I25" s="160"/>
      <c r="J25" s="162">
        <f t="shared" si="0"/>
        <v>20</v>
      </c>
      <c r="K25" s="163">
        <f t="shared" si="1"/>
        <v>74.974</v>
      </c>
      <c r="L25" s="164"/>
      <c r="M25" s="165"/>
      <c r="N25" s="166">
        <f t="shared" si="2"/>
      </c>
      <c r="O25" s="167">
        <f t="shared" si="3"/>
      </c>
      <c r="P25" s="168"/>
      <c r="Q25" s="169">
        <f t="shared" si="4"/>
      </c>
      <c r="R25" s="170">
        <f t="shared" si="5"/>
      </c>
      <c r="S25" s="170">
        <f t="shared" si="6"/>
      </c>
      <c r="T25" s="250" t="str">
        <f t="shared" si="7"/>
        <v>--</v>
      </c>
      <c r="U25" s="251" t="str">
        <f t="shared" si="8"/>
        <v>--</v>
      </c>
      <c r="V25" s="252" t="str">
        <f t="shared" si="9"/>
        <v>--</v>
      </c>
      <c r="W25" s="253" t="str">
        <f t="shared" si="10"/>
        <v>--</v>
      </c>
      <c r="X25" s="254" t="str">
        <f t="shared" si="11"/>
        <v>--</v>
      </c>
      <c r="Y25" s="255" t="str">
        <f t="shared" si="12"/>
        <v>--</v>
      </c>
      <c r="Z25" s="256" t="str">
        <f t="shared" si="13"/>
        <v>--</v>
      </c>
      <c r="AA25" s="257" t="str">
        <f t="shared" si="14"/>
        <v>--</v>
      </c>
      <c r="AB25" s="258" t="str">
        <f t="shared" si="15"/>
        <v>--</v>
      </c>
      <c r="AC25" s="259" t="str">
        <f t="shared" si="16"/>
        <v>--</v>
      </c>
      <c r="AD25" s="181">
        <f t="shared" si="17"/>
      </c>
      <c r="AE25" s="182">
        <f t="shared" si="18"/>
      </c>
      <c r="AF25" s="183"/>
    </row>
    <row r="26" spans="2:32" s="8" customFormat="1" ht="16.5" customHeight="1">
      <c r="B26" s="53"/>
      <c r="C26" s="159"/>
      <c r="D26" s="159"/>
      <c r="E26" s="159"/>
      <c r="F26" s="189"/>
      <c r="G26" s="190"/>
      <c r="H26" s="191"/>
      <c r="I26" s="190"/>
      <c r="J26" s="162">
        <f t="shared" si="0"/>
        <v>20</v>
      </c>
      <c r="K26" s="163">
        <f t="shared" si="1"/>
        <v>74.974</v>
      </c>
      <c r="L26" s="192"/>
      <c r="M26" s="193"/>
      <c r="N26" s="166">
        <f t="shared" si="2"/>
      </c>
      <c r="O26" s="167">
        <f t="shared" si="3"/>
      </c>
      <c r="P26" s="168"/>
      <c r="Q26" s="169">
        <f t="shared" si="4"/>
      </c>
      <c r="R26" s="170">
        <f t="shared" si="5"/>
      </c>
      <c r="S26" s="170">
        <f t="shared" si="6"/>
      </c>
      <c r="T26" s="250" t="str">
        <f t="shared" si="7"/>
        <v>--</v>
      </c>
      <c r="U26" s="251" t="str">
        <f t="shared" si="8"/>
        <v>--</v>
      </c>
      <c r="V26" s="252" t="str">
        <f t="shared" si="9"/>
        <v>--</v>
      </c>
      <c r="W26" s="253" t="str">
        <f t="shared" si="10"/>
        <v>--</v>
      </c>
      <c r="X26" s="254" t="str">
        <f t="shared" si="11"/>
        <v>--</v>
      </c>
      <c r="Y26" s="255" t="str">
        <f t="shared" si="12"/>
        <v>--</v>
      </c>
      <c r="Z26" s="256" t="str">
        <f t="shared" si="13"/>
        <v>--</v>
      </c>
      <c r="AA26" s="257" t="str">
        <f t="shared" si="14"/>
        <v>--</v>
      </c>
      <c r="AB26" s="258" t="str">
        <f t="shared" si="15"/>
        <v>--</v>
      </c>
      <c r="AC26" s="259" t="str">
        <f t="shared" si="16"/>
        <v>--</v>
      </c>
      <c r="AD26" s="181">
        <f t="shared" si="17"/>
      </c>
      <c r="AE26" s="182">
        <f t="shared" si="18"/>
      </c>
      <c r="AF26" s="183"/>
    </row>
    <row r="27" spans="2:32" s="8" customFormat="1" ht="16.5" customHeight="1">
      <c r="B27" s="53"/>
      <c r="C27" s="140"/>
      <c r="D27" s="140"/>
      <c r="E27" s="140"/>
      <c r="F27" s="189"/>
      <c r="G27" s="190"/>
      <c r="H27" s="191"/>
      <c r="I27" s="190"/>
      <c r="J27" s="162">
        <f t="shared" si="0"/>
        <v>20</v>
      </c>
      <c r="K27" s="163">
        <f t="shared" si="1"/>
        <v>74.974</v>
      </c>
      <c r="L27" s="192"/>
      <c r="M27" s="193"/>
      <c r="N27" s="166">
        <f t="shared" si="2"/>
      </c>
      <c r="O27" s="167">
        <f t="shared" si="3"/>
      </c>
      <c r="P27" s="168"/>
      <c r="Q27" s="169">
        <f t="shared" si="4"/>
      </c>
      <c r="R27" s="170">
        <f t="shared" si="5"/>
      </c>
      <c r="S27" s="170">
        <f t="shared" si="6"/>
      </c>
      <c r="T27" s="250" t="str">
        <f t="shared" si="7"/>
        <v>--</v>
      </c>
      <c r="U27" s="251" t="str">
        <f t="shared" si="8"/>
        <v>--</v>
      </c>
      <c r="V27" s="252" t="str">
        <f t="shared" si="9"/>
        <v>--</v>
      </c>
      <c r="W27" s="253" t="str">
        <f t="shared" si="10"/>
        <v>--</v>
      </c>
      <c r="X27" s="254" t="str">
        <f t="shared" si="11"/>
        <v>--</v>
      </c>
      <c r="Y27" s="255" t="str">
        <f t="shared" si="12"/>
        <v>--</v>
      </c>
      <c r="Z27" s="256" t="str">
        <f t="shared" si="13"/>
        <v>--</v>
      </c>
      <c r="AA27" s="257" t="str">
        <f t="shared" si="14"/>
        <v>--</v>
      </c>
      <c r="AB27" s="258" t="str">
        <f t="shared" si="15"/>
        <v>--</v>
      </c>
      <c r="AC27" s="259" t="str">
        <f t="shared" si="16"/>
        <v>--</v>
      </c>
      <c r="AD27" s="181">
        <f t="shared" si="17"/>
      </c>
      <c r="AE27" s="182">
        <f t="shared" si="18"/>
      </c>
      <c r="AF27" s="183"/>
    </row>
    <row r="28" spans="2:32" s="8" customFormat="1" ht="16.5" customHeight="1">
      <c r="B28" s="53"/>
      <c r="C28" s="159"/>
      <c r="D28" s="159"/>
      <c r="E28" s="159"/>
      <c r="F28" s="189"/>
      <c r="G28" s="190"/>
      <c r="H28" s="191"/>
      <c r="I28" s="190"/>
      <c r="J28" s="162">
        <f t="shared" si="0"/>
        <v>20</v>
      </c>
      <c r="K28" s="163">
        <f t="shared" si="1"/>
        <v>74.974</v>
      </c>
      <c r="L28" s="192"/>
      <c r="M28" s="193"/>
      <c r="N28" s="166">
        <f t="shared" si="2"/>
      </c>
      <c r="O28" s="167">
        <f t="shared" si="3"/>
      </c>
      <c r="P28" s="168"/>
      <c r="Q28" s="169">
        <f t="shared" si="4"/>
      </c>
      <c r="R28" s="170">
        <f t="shared" si="5"/>
      </c>
      <c r="S28" s="170">
        <f t="shared" si="6"/>
      </c>
      <c r="T28" s="250" t="str">
        <f t="shared" si="7"/>
        <v>--</v>
      </c>
      <c r="U28" s="251" t="str">
        <f t="shared" si="8"/>
        <v>--</v>
      </c>
      <c r="V28" s="252" t="str">
        <f t="shared" si="9"/>
        <v>--</v>
      </c>
      <c r="W28" s="253" t="str">
        <f t="shared" si="10"/>
        <v>--</v>
      </c>
      <c r="X28" s="254" t="str">
        <f t="shared" si="11"/>
        <v>--</v>
      </c>
      <c r="Y28" s="255" t="str">
        <f t="shared" si="12"/>
        <v>--</v>
      </c>
      <c r="Z28" s="256" t="str">
        <f t="shared" si="13"/>
        <v>--</v>
      </c>
      <c r="AA28" s="257" t="str">
        <f t="shared" si="14"/>
        <v>--</v>
      </c>
      <c r="AB28" s="258" t="str">
        <f t="shared" si="15"/>
        <v>--</v>
      </c>
      <c r="AC28" s="259" t="str">
        <f t="shared" si="16"/>
        <v>--</v>
      </c>
      <c r="AD28" s="181">
        <f t="shared" si="17"/>
      </c>
      <c r="AE28" s="182">
        <f t="shared" si="18"/>
      </c>
      <c r="AF28" s="183"/>
    </row>
    <row r="29" spans="2:32" s="8" customFormat="1" ht="16.5" customHeight="1">
      <c r="B29" s="53"/>
      <c r="C29" s="140"/>
      <c r="D29" s="140"/>
      <c r="E29" s="140"/>
      <c r="F29" s="189"/>
      <c r="G29" s="190"/>
      <c r="H29" s="191"/>
      <c r="I29" s="190"/>
      <c r="J29" s="162">
        <f t="shared" si="0"/>
        <v>20</v>
      </c>
      <c r="K29" s="163">
        <f t="shared" si="1"/>
        <v>74.974</v>
      </c>
      <c r="L29" s="192"/>
      <c r="M29" s="193"/>
      <c r="N29" s="166">
        <f t="shared" si="2"/>
      </c>
      <c r="O29" s="167">
        <f t="shared" si="3"/>
      </c>
      <c r="P29" s="168"/>
      <c r="Q29" s="169">
        <f t="shared" si="4"/>
      </c>
      <c r="R29" s="170">
        <f t="shared" si="5"/>
      </c>
      <c r="S29" s="170">
        <f t="shared" si="6"/>
      </c>
      <c r="T29" s="250" t="str">
        <f t="shared" si="7"/>
        <v>--</v>
      </c>
      <c r="U29" s="251" t="str">
        <f t="shared" si="8"/>
        <v>--</v>
      </c>
      <c r="V29" s="252" t="str">
        <f t="shared" si="9"/>
        <v>--</v>
      </c>
      <c r="W29" s="253" t="str">
        <f t="shared" si="10"/>
        <v>--</v>
      </c>
      <c r="X29" s="254" t="str">
        <f t="shared" si="11"/>
        <v>--</v>
      </c>
      <c r="Y29" s="255" t="str">
        <f t="shared" si="12"/>
        <v>--</v>
      </c>
      <c r="Z29" s="256" t="str">
        <f t="shared" si="13"/>
        <v>--</v>
      </c>
      <c r="AA29" s="257" t="str">
        <f t="shared" si="14"/>
        <v>--</v>
      </c>
      <c r="AB29" s="258" t="str">
        <f t="shared" si="15"/>
        <v>--</v>
      </c>
      <c r="AC29" s="259" t="str">
        <f t="shared" si="16"/>
        <v>--</v>
      </c>
      <c r="AD29" s="181">
        <f t="shared" si="17"/>
      </c>
      <c r="AE29" s="182">
        <f t="shared" si="18"/>
      </c>
      <c r="AF29" s="183"/>
    </row>
    <row r="30" spans="2:32" s="8" customFormat="1" ht="16.5" customHeight="1">
      <c r="B30" s="53"/>
      <c r="C30" s="159"/>
      <c r="D30" s="159"/>
      <c r="E30" s="159"/>
      <c r="F30" s="189"/>
      <c r="G30" s="190"/>
      <c r="H30" s="191"/>
      <c r="I30" s="190"/>
      <c r="J30" s="162">
        <f t="shared" si="0"/>
        <v>20</v>
      </c>
      <c r="K30" s="163">
        <f t="shared" si="1"/>
        <v>74.974</v>
      </c>
      <c r="L30" s="192"/>
      <c r="M30" s="193"/>
      <c r="N30" s="166">
        <f t="shared" si="2"/>
      </c>
      <c r="O30" s="167">
        <f t="shared" si="3"/>
      </c>
      <c r="P30" s="168"/>
      <c r="Q30" s="169">
        <f t="shared" si="4"/>
      </c>
      <c r="R30" s="170">
        <f t="shared" si="5"/>
      </c>
      <c r="S30" s="170">
        <f t="shared" si="6"/>
      </c>
      <c r="T30" s="250" t="str">
        <f t="shared" si="7"/>
        <v>--</v>
      </c>
      <c r="U30" s="251" t="str">
        <f t="shared" si="8"/>
        <v>--</v>
      </c>
      <c r="V30" s="252" t="str">
        <f t="shared" si="9"/>
        <v>--</v>
      </c>
      <c r="W30" s="253" t="str">
        <f t="shared" si="10"/>
        <v>--</v>
      </c>
      <c r="X30" s="254" t="str">
        <f t="shared" si="11"/>
        <v>--</v>
      </c>
      <c r="Y30" s="255" t="str">
        <f t="shared" si="12"/>
        <v>--</v>
      </c>
      <c r="Z30" s="256" t="str">
        <f t="shared" si="13"/>
        <v>--</v>
      </c>
      <c r="AA30" s="257" t="str">
        <f t="shared" si="14"/>
        <v>--</v>
      </c>
      <c r="AB30" s="258" t="str">
        <f t="shared" si="15"/>
        <v>--</v>
      </c>
      <c r="AC30" s="259" t="str">
        <f t="shared" si="16"/>
        <v>--</v>
      </c>
      <c r="AD30" s="181">
        <f t="shared" si="17"/>
      </c>
      <c r="AE30" s="182">
        <f t="shared" si="18"/>
      </c>
      <c r="AF30" s="183"/>
    </row>
    <row r="31" spans="2:32" s="8" customFormat="1" ht="16.5" customHeight="1">
      <c r="B31" s="53"/>
      <c r="C31" s="140"/>
      <c r="D31" s="140"/>
      <c r="E31" s="140"/>
      <c r="F31" s="189"/>
      <c r="G31" s="190"/>
      <c r="H31" s="191"/>
      <c r="I31" s="190"/>
      <c r="J31" s="162">
        <f t="shared" si="0"/>
        <v>20</v>
      </c>
      <c r="K31" s="163">
        <f t="shared" si="1"/>
        <v>74.974</v>
      </c>
      <c r="L31" s="192"/>
      <c r="M31" s="194"/>
      <c r="N31" s="166">
        <f t="shared" si="2"/>
      </c>
      <c r="O31" s="167">
        <f t="shared" si="3"/>
      </c>
      <c r="P31" s="168"/>
      <c r="Q31" s="169">
        <f t="shared" si="4"/>
      </c>
      <c r="R31" s="170">
        <f t="shared" si="5"/>
      </c>
      <c r="S31" s="170">
        <f t="shared" si="6"/>
      </c>
      <c r="T31" s="250" t="str">
        <f t="shared" si="7"/>
        <v>--</v>
      </c>
      <c r="U31" s="251" t="str">
        <f t="shared" si="8"/>
        <v>--</v>
      </c>
      <c r="V31" s="252" t="str">
        <f t="shared" si="9"/>
        <v>--</v>
      </c>
      <c r="W31" s="253" t="str">
        <f t="shared" si="10"/>
        <v>--</v>
      </c>
      <c r="X31" s="254" t="str">
        <f t="shared" si="11"/>
        <v>--</v>
      </c>
      <c r="Y31" s="255" t="str">
        <f t="shared" si="12"/>
        <v>--</v>
      </c>
      <c r="Z31" s="256" t="str">
        <f t="shared" si="13"/>
        <v>--</v>
      </c>
      <c r="AA31" s="257" t="str">
        <f t="shared" si="14"/>
        <v>--</v>
      </c>
      <c r="AB31" s="258" t="str">
        <f t="shared" si="15"/>
        <v>--</v>
      </c>
      <c r="AC31" s="259" t="str">
        <f t="shared" si="16"/>
        <v>--</v>
      </c>
      <c r="AD31" s="181">
        <f t="shared" si="17"/>
      </c>
      <c r="AE31" s="182">
        <f t="shared" si="18"/>
      </c>
      <c r="AF31" s="183"/>
    </row>
    <row r="32" spans="2:32" s="8" customFormat="1" ht="16.5" customHeight="1">
      <c r="B32" s="53"/>
      <c r="C32" s="159"/>
      <c r="D32" s="159"/>
      <c r="E32" s="159"/>
      <c r="F32" s="189"/>
      <c r="G32" s="190"/>
      <c r="H32" s="191"/>
      <c r="I32" s="190"/>
      <c r="J32" s="162">
        <f t="shared" si="0"/>
        <v>20</v>
      </c>
      <c r="K32" s="163">
        <f t="shared" si="1"/>
        <v>74.974</v>
      </c>
      <c r="L32" s="192"/>
      <c r="M32" s="194"/>
      <c r="N32" s="166">
        <f t="shared" si="2"/>
      </c>
      <c r="O32" s="167">
        <f t="shared" si="3"/>
      </c>
      <c r="P32" s="168"/>
      <c r="Q32" s="169">
        <f t="shared" si="4"/>
      </c>
      <c r="R32" s="170">
        <f t="shared" si="5"/>
      </c>
      <c r="S32" s="170">
        <f t="shared" si="6"/>
      </c>
      <c r="T32" s="250" t="str">
        <f t="shared" si="7"/>
        <v>--</v>
      </c>
      <c r="U32" s="251" t="str">
        <f t="shared" si="8"/>
        <v>--</v>
      </c>
      <c r="V32" s="252" t="str">
        <f t="shared" si="9"/>
        <v>--</v>
      </c>
      <c r="W32" s="253" t="str">
        <f t="shared" si="10"/>
        <v>--</v>
      </c>
      <c r="X32" s="254" t="str">
        <f t="shared" si="11"/>
        <v>--</v>
      </c>
      <c r="Y32" s="255" t="str">
        <f t="shared" si="12"/>
        <v>--</v>
      </c>
      <c r="Z32" s="256" t="str">
        <f t="shared" si="13"/>
        <v>--</v>
      </c>
      <c r="AA32" s="257" t="str">
        <f t="shared" si="14"/>
        <v>--</v>
      </c>
      <c r="AB32" s="258" t="str">
        <f t="shared" si="15"/>
        <v>--</v>
      </c>
      <c r="AC32" s="259" t="str">
        <f t="shared" si="16"/>
        <v>--</v>
      </c>
      <c r="AD32" s="181">
        <f t="shared" si="17"/>
      </c>
      <c r="AE32" s="182">
        <f t="shared" si="18"/>
      </c>
      <c r="AF32" s="183"/>
    </row>
    <row r="33" spans="2:32" s="8" customFormat="1" ht="16.5" customHeight="1">
      <c r="B33" s="53"/>
      <c r="C33" s="140"/>
      <c r="D33" s="140"/>
      <c r="E33" s="140"/>
      <c r="F33" s="189"/>
      <c r="G33" s="190"/>
      <c r="H33" s="191"/>
      <c r="I33" s="190"/>
      <c r="J33" s="162">
        <f t="shared" si="0"/>
        <v>20</v>
      </c>
      <c r="K33" s="163">
        <f t="shared" si="1"/>
        <v>74.974</v>
      </c>
      <c r="L33" s="192"/>
      <c r="M33" s="194"/>
      <c r="N33" s="166">
        <f t="shared" si="2"/>
      </c>
      <c r="O33" s="167">
        <f t="shared" si="3"/>
      </c>
      <c r="P33" s="168"/>
      <c r="Q33" s="169">
        <f t="shared" si="4"/>
      </c>
      <c r="R33" s="170">
        <f t="shared" si="5"/>
      </c>
      <c r="S33" s="170">
        <f t="shared" si="6"/>
      </c>
      <c r="T33" s="250" t="str">
        <f t="shared" si="7"/>
        <v>--</v>
      </c>
      <c r="U33" s="251" t="str">
        <f t="shared" si="8"/>
        <v>--</v>
      </c>
      <c r="V33" s="252" t="str">
        <f t="shared" si="9"/>
        <v>--</v>
      </c>
      <c r="W33" s="253" t="str">
        <f t="shared" si="10"/>
        <v>--</v>
      </c>
      <c r="X33" s="254" t="str">
        <f t="shared" si="11"/>
        <v>--</v>
      </c>
      <c r="Y33" s="255" t="str">
        <f t="shared" si="12"/>
        <v>--</v>
      </c>
      <c r="Z33" s="256" t="str">
        <f t="shared" si="13"/>
        <v>--</v>
      </c>
      <c r="AA33" s="257" t="str">
        <f t="shared" si="14"/>
        <v>--</v>
      </c>
      <c r="AB33" s="258" t="str">
        <f t="shared" si="15"/>
        <v>--</v>
      </c>
      <c r="AC33" s="259" t="str">
        <f t="shared" si="16"/>
        <v>--</v>
      </c>
      <c r="AD33" s="181">
        <f t="shared" si="17"/>
      </c>
      <c r="AE33" s="182">
        <f t="shared" si="18"/>
      </c>
      <c r="AF33" s="183"/>
    </row>
    <row r="34" spans="2:32" s="8" customFormat="1" ht="16.5" customHeight="1">
      <c r="B34" s="53"/>
      <c r="C34" s="159"/>
      <c r="D34" s="159"/>
      <c r="E34" s="159"/>
      <c r="F34" s="189"/>
      <c r="G34" s="190"/>
      <c r="H34" s="191"/>
      <c r="I34" s="190"/>
      <c r="J34" s="162">
        <f t="shared" si="0"/>
        <v>20</v>
      </c>
      <c r="K34" s="163">
        <f t="shared" si="1"/>
        <v>74.974</v>
      </c>
      <c r="L34" s="192"/>
      <c r="M34" s="194"/>
      <c r="N34" s="166">
        <f t="shared" si="2"/>
      </c>
      <c r="O34" s="167">
        <f t="shared" si="3"/>
      </c>
      <c r="P34" s="168"/>
      <c r="Q34" s="169">
        <f t="shared" si="4"/>
      </c>
      <c r="R34" s="170">
        <f t="shared" si="5"/>
      </c>
      <c r="S34" s="170">
        <f t="shared" si="6"/>
      </c>
      <c r="T34" s="250" t="str">
        <f t="shared" si="7"/>
        <v>--</v>
      </c>
      <c r="U34" s="251" t="str">
        <f t="shared" si="8"/>
        <v>--</v>
      </c>
      <c r="V34" s="252" t="str">
        <f t="shared" si="9"/>
        <v>--</v>
      </c>
      <c r="W34" s="253" t="str">
        <f t="shared" si="10"/>
        <v>--</v>
      </c>
      <c r="X34" s="254" t="str">
        <f t="shared" si="11"/>
        <v>--</v>
      </c>
      <c r="Y34" s="255" t="str">
        <f t="shared" si="12"/>
        <v>--</v>
      </c>
      <c r="Z34" s="256" t="str">
        <f t="shared" si="13"/>
        <v>--</v>
      </c>
      <c r="AA34" s="257" t="str">
        <f t="shared" si="14"/>
        <v>--</v>
      </c>
      <c r="AB34" s="258" t="str">
        <f t="shared" si="15"/>
        <v>--</v>
      </c>
      <c r="AC34" s="259" t="str">
        <f t="shared" si="16"/>
        <v>--</v>
      </c>
      <c r="AD34" s="181">
        <f t="shared" si="17"/>
      </c>
      <c r="AE34" s="182">
        <f t="shared" si="18"/>
      </c>
      <c r="AF34" s="183"/>
    </row>
    <row r="35" spans="2:32" s="8" customFormat="1" ht="16.5" customHeight="1">
      <c r="B35" s="53"/>
      <c r="C35" s="140"/>
      <c r="D35" s="140"/>
      <c r="E35" s="140"/>
      <c r="F35" s="189"/>
      <c r="G35" s="190"/>
      <c r="H35" s="191"/>
      <c r="I35" s="190"/>
      <c r="J35" s="162">
        <f t="shared" si="0"/>
        <v>20</v>
      </c>
      <c r="K35" s="163">
        <f t="shared" si="1"/>
        <v>74.974</v>
      </c>
      <c r="L35" s="192"/>
      <c r="M35" s="194"/>
      <c r="N35" s="166">
        <f t="shared" si="2"/>
      </c>
      <c r="O35" s="167">
        <f t="shared" si="3"/>
      </c>
      <c r="P35" s="168"/>
      <c r="Q35" s="169">
        <f t="shared" si="4"/>
      </c>
      <c r="R35" s="170">
        <f t="shared" si="5"/>
      </c>
      <c r="S35" s="170">
        <f t="shared" si="6"/>
      </c>
      <c r="T35" s="250" t="str">
        <f t="shared" si="7"/>
        <v>--</v>
      </c>
      <c r="U35" s="251" t="str">
        <f t="shared" si="8"/>
        <v>--</v>
      </c>
      <c r="V35" s="252" t="str">
        <f t="shared" si="9"/>
        <v>--</v>
      </c>
      <c r="W35" s="253" t="str">
        <f t="shared" si="10"/>
        <v>--</v>
      </c>
      <c r="X35" s="254" t="str">
        <f t="shared" si="11"/>
        <v>--</v>
      </c>
      <c r="Y35" s="255" t="str">
        <f t="shared" si="12"/>
        <v>--</v>
      </c>
      <c r="Z35" s="256" t="str">
        <f t="shared" si="13"/>
        <v>--</v>
      </c>
      <c r="AA35" s="257" t="str">
        <f t="shared" si="14"/>
        <v>--</v>
      </c>
      <c r="AB35" s="258" t="str">
        <f t="shared" si="15"/>
        <v>--</v>
      </c>
      <c r="AC35" s="259" t="str">
        <f t="shared" si="16"/>
        <v>--</v>
      </c>
      <c r="AD35" s="181">
        <f t="shared" si="17"/>
      </c>
      <c r="AE35" s="182">
        <f t="shared" si="18"/>
      </c>
      <c r="AF35" s="183"/>
    </row>
    <row r="36" spans="2:32" s="8" customFormat="1" ht="16.5" customHeight="1">
      <c r="B36" s="53"/>
      <c r="C36" s="159"/>
      <c r="D36" s="159"/>
      <c r="E36" s="159"/>
      <c r="F36" s="189"/>
      <c r="G36" s="190"/>
      <c r="H36" s="191"/>
      <c r="I36" s="190"/>
      <c r="J36" s="162">
        <f t="shared" si="0"/>
        <v>20</v>
      </c>
      <c r="K36" s="163">
        <f t="shared" si="1"/>
        <v>74.974</v>
      </c>
      <c r="L36" s="192"/>
      <c r="M36" s="194"/>
      <c r="N36" s="166">
        <f t="shared" si="2"/>
      </c>
      <c r="O36" s="167">
        <f t="shared" si="3"/>
      </c>
      <c r="P36" s="168"/>
      <c r="Q36" s="169">
        <f t="shared" si="4"/>
      </c>
      <c r="R36" s="170">
        <f t="shared" si="5"/>
      </c>
      <c r="S36" s="170">
        <f t="shared" si="6"/>
      </c>
      <c r="T36" s="250" t="str">
        <f t="shared" si="7"/>
        <v>--</v>
      </c>
      <c r="U36" s="251" t="str">
        <f t="shared" si="8"/>
        <v>--</v>
      </c>
      <c r="V36" s="252" t="str">
        <f t="shared" si="9"/>
        <v>--</v>
      </c>
      <c r="W36" s="253" t="str">
        <f t="shared" si="10"/>
        <v>--</v>
      </c>
      <c r="X36" s="254" t="str">
        <f t="shared" si="11"/>
        <v>--</v>
      </c>
      <c r="Y36" s="255" t="str">
        <f t="shared" si="12"/>
        <v>--</v>
      </c>
      <c r="Z36" s="256" t="str">
        <f t="shared" si="13"/>
        <v>--</v>
      </c>
      <c r="AA36" s="257" t="str">
        <f t="shared" si="14"/>
        <v>--</v>
      </c>
      <c r="AB36" s="258" t="str">
        <f t="shared" si="15"/>
        <v>--</v>
      </c>
      <c r="AC36" s="259" t="str">
        <f t="shared" si="16"/>
        <v>--</v>
      </c>
      <c r="AD36" s="181">
        <f t="shared" si="17"/>
      </c>
      <c r="AE36" s="182">
        <f t="shared" si="18"/>
      </c>
      <c r="AF36" s="183"/>
    </row>
    <row r="37" spans="2:32" s="8" customFormat="1" ht="16.5" customHeight="1">
      <c r="B37" s="53"/>
      <c r="C37" s="140"/>
      <c r="D37" s="140"/>
      <c r="E37" s="140"/>
      <c r="F37" s="189"/>
      <c r="G37" s="190"/>
      <c r="H37" s="191"/>
      <c r="I37" s="190"/>
      <c r="J37" s="162">
        <f t="shared" si="0"/>
        <v>20</v>
      </c>
      <c r="K37" s="163">
        <f t="shared" si="1"/>
        <v>74.974</v>
      </c>
      <c r="L37" s="192"/>
      <c r="M37" s="194"/>
      <c r="N37" s="166">
        <f t="shared" si="2"/>
      </c>
      <c r="O37" s="167">
        <f t="shared" si="3"/>
      </c>
      <c r="P37" s="168"/>
      <c r="Q37" s="169">
        <f t="shared" si="4"/>
      </c>
      <c r="R37" s="170">
        <f t="shared" si="5"/>
      </c>
      <c r="S37" s="170">
        <f t="shared" si="6"/>
      </c>
      <c r="T37" s="250" t="str">
        <f t="shared" si="7"/>
        <v>--</v>
      </c>
      <c r="U37" s="251" t="str">
        <f t="shared" si="8"/>
        <v>--</v>
      </c>
      <c r="V37" s="252" t="str">
        <f t="shared" si="9"/>
        <v>--</v>
      </c>
      <c r="W37" s="253" t="str">
        <f t="shared" si="10"/>
        <v>--</v>
      </c>
      <c r="X37" s="254" t="str">
        <f t="shared" si="11"/>
        <v>--</v>
      </c>
      <c r="Y37" s="255" t="str">
        <f t="shared" si="12"/>
        <v>--</v>
      </c>
      <c r="Z37" s="256" t="str">
        <f t="shared" si="13"/>
        <v>--</v>
      </c>
      <c r="AA37" s="257" t="str">
        <f t="shared" si="14"/>
        <v>--</v>
      </c>
      <c r="AB37" s="258" t="str">
        <f t="shared" si="15"/>
        <v>--</v>
      </c>
      <c r="AC37" s="259" t="str">
        <f t="shared" si="16"/>
        <v>--</v>
      </c>
      <c r="AD37" s="181">
        <f t="shared" si="17"/>
      </c>
      <c r="AE37" s="182">
        <f t="shared" si="18"/>
      </c>
      <c r="AF37" s="183"/>
    </row>
    <row r="38" spans="2:32" s="8" customFormat="1" ht="16.5" customHeight="1">
      <c r="B38" s="53"/>
      <c r="C38" s="159"/>
      <c r="D38" s="159"/>
      <c r="E38" s="159"/>
      <c r="F38" s="189"/>
      <c r="G38" s="190"/>
      <c r="H38" s="191"/>
      <c r="I38" s="190"/>
      <c r="J38" s="162">
        <f t="shared" si="0"/>
        <v>20</v>
      </c>
      <c r="K38" s="163">
        <f t="shared" si="1"/>
        <v>74.974</v>
      </c>
      <c r="L38" s="192"/>
      <c r="M38" s="194"/>
      <c r="N38" s="166">
        <f t="shared" si="2"/>
      </c>
      <c r="O38" s="167">
        <f t="shared" si="3"/>
      </c>
      <c r="P38" s="168"/>
      <c r="Q38" s="169">
        <f t="shared" si="4"/>
      </c>
      <c r="R38" s="170">
        <f t="shared" si="5"/>
      </c>
      <c r="S38" s="170">
        <f t="shared" si="6"/>
      </c>
      <c r="T38" s="250" t="str">
        <f t="shared" si="7"/>
        <v>--</v>
      </c>
      <c r="U38" s="251" t="str">
        <f t="shared" si="8"/>
        <v>--</v>
      </c>
      <c r="V38" s="252" t="str">
        <f t="shared" si="9"/>
        <v>--</v>
      </c>
      <c r="W38" s="253" t="str">
        <f t="shared" si="10"/>
        <v>--</v>
      </c>
      <c r="X38" s="254" t="str">
        <f t="shared" si="11"/>
        <v>--</v>
      </c>
      <c r="Y38" s="255" t="str">
        <f t="shared" si="12"/>
        <v>--</v>
      </c>
      <c r="Z38" s="256" t="str">
        <f t="shared" si="13"/>
        <v>--</v>
      </c>
      <c r="AA38" s="257" t="str">
        <f t="shared" si="14"/>
        <v>--</v>
      </c>
      <c r="AB38" s="258" t="str">
        <f t="shared" si="15"/>
        <v>--</v>
      </c>
      <c r="AC38" s="259" t="str">
        <f t="shared" si="16"/>
        <v>--</v>
      </c>
      <c r="AD38" s="181">
        <f t="shared" si="17"/>
      </c>
      <c r="AE38" s="182">
        <f t="shared" si="18"/>
      </c>
      <c r="AF38" s="183"/>
    </row>
    <row r="39" spans="2:32" s="8" customFormat="1" ht="16.5" customHeight="1">
      <c r="B39" s="53"/>
      <c r="C39" s="140"/>
      <c r="D39" s="140"/>
      <c r="E39" s="140"/>
      <c r="F39" s="189"/>
      <c r="G39" s="190"/>
      <c r="H39" s="191"/>
      <c r="I39" s="190"/>
      <c r="J39" s="162">
        <f t="shared" si="0"/>
        <v>20</v>
      </c>
      <c r="K39" s="163">
        <f t="shared" si="1"/>
        <v>74.974</v>
      </c>
      <c r="L39" s="192"/>
      <c r="M39" s="194"/>
      <c r="N39" s="166">
        <f t="shared" si="2"/>
      </c>
      <c r="O39" s="167">
        <f t="shared" si="3"/>
      </c>
      <c r="P39" s="168"/>
      <c r="Q39" s="169">
        <f t="shared" si="4"/>
      </c>
      <c r="R39" s="170">
        <f t="shared" si="5"/>
      </c>
      <c r="S39" s="170">
        <f t="shared" si="6"/>
      </c>
      <c r="T39" s="250" t="str">
        <f t="shared" si="7"/>
        <v>--</v>
      </c>
      <c r="U39" s="251" t="str">
        <f t="shared" si="8"/>
        <v>--</v>
      </c>
      <c r="V39" s="252" t="str">
        <f t="shared" si="9"/>
        <v>--</v>
      </c>
      <c r="W39" s="253" t="str">
        <f t="shared" si="10"/>
        <v>--</v>
      </c>
      <c r="X39" s="254" t="str">
        <f t="shared" si="11"/>
        <v>--</v>
      </c>
      <c r="Y39" s="255" t="str">
        <f t="shared" si="12"/>
        <v>--</v>
      </c>
      <c r="Z39" s="256" t="str">
        <f t="shared" si="13"/>
        <v>--</v>
      </c>
      <c r="AA39" s="257" t="str">
        <f t="shared" si="14"/>
        <v>--</v>
      </c>
      <c r="AB39" s="258" t="str">
        <f t="shared" si="15"/>
        <v>--</v>
      </c>
      <c r="AC39" s="259" t="str">
        <f t="shared" si="16"/>
        <v>--</v>
      </c>
      <c r="AD39" s="181">
        <f t="shared" si="17"/>
      </c>
      <c r="AE39" s="182">
        <f t="shared" si="18"/>
      </c>
      <c r="AF39" s="183"/>
    </row>
    <row r="40" spans="2:32" s="8" customFormat="1" ht="16.5" customHeight="1" thickBot="1">
      <c r="B40" s="53"/>
      <c r="C40" s="159"/>
      <c r="D40" s="195"/>
      <c r="E40" s="159"/>
      <c r="F40" s="197"/>
      <c r="G40" s="198"/>
      <c r="H40" s="199"/>
      <c r="I40" s="200"/>
      <c r="J40" s="201"/>
      <c r="K40" s="202"/>
      <c r="L40" s="203"/>
      <c r="M40" s="203"/>
      <c r="N40" s="204"/>
      <c r="O40" s="204"/>
      <c r="P40" s="205"/>
      <c r="Q40" s="206"/>
      <c r="R40" s="205"/>
      <c r="S40" s="205"/>
      <c r="T40" s="207"/>
      <c r="U40" s="208"/>
      <c r="V40" s="209"/>
      <c r="W40" s="210"/>
      <c r="X40" s="211"/>
      <c r="Y40" s="212"/>
      <c r="Z40" s="213"/>
      <c r="AA40" s="214"/>
      <c r="AB40" s="215"/>
      <c r="AC40" s="216"/>
      <c r="AD40" s="217"/>
      <c r="AE40" s="218"/>
      <c r="AF40" s="183"/>
    </row>
    <row r="41" spans="2:32" s="8" customFormat="1" ht="16.5" customHeight="1" thickBot="1" thickTop="1">
      <c r="B41" s="53"/>
      <c r="C41" s="219" t="s">
        <v>180</v>
      </c>
      <c r="D41" s="220" t="s">
        <v>308</v>
      </c>
      <c r="E41" s="219"/>
      <c r="F41" s="221"/>
      <c r="G41" s="222"/>
      <c r="H41" s="223"/>
      <c r="I41" s="224"/>
      <c r="J41" s="223"/>
      <c r="K41" s="225"/>
      <c r="L41" s="225"/>
      <c r="M41" s="225"/>
      <c r="N41" s="225"/>
      <c r="O41" s="225"/>
      <c r="P41" s="225"/>
      <c r="Q41" s="226"/>
      <c r="R41" s="225"/>
      <c r="S41" s="225"/>
      <c r="T41" s="227">
        <f aca="true" t="shared" si="19" ref="T41:AC41">SUM(T18:T40)</f>
        <v>0</v>
      </c>
      <c r="U41" s="228">
        <f t="shared" si="19"/>
        <v>0</v>
      </c>
      <c r="V41" s="229">
        <f t="shared" si="19"/>
        <v>5319.9266</v>
      </c>
      <c r="W41" s="229">
        <f t="shared" si="19"/>
        <v>3723.9486199999997</v>
      </c>
      <c r="X41" s="229">
        <f t="shared" si="19"/>
        <v>0</v>
      </c>
      <c r="Y41" s="230">
        <f t="shared" si="19"/>
        <v>0</v>
      </c>
      <c r="Z41" s="230">
        <f t="shared" si="19"/>
        <v>0</v>
      </c>
      <c r="AA41" s="230">
        <f t="shared" si="19"/>
        <v>0</v>
      </c>
      <c r="AB41" s="231">
        <f t="shared" si="19"/>
        <v>0</v>
      </c>
      <c r="AC41" s="232">
        <f t="shared" si="19"/>
        <v>0</v>
      </c>
      <c r="AD41" s="233"/>
      <c r="AE41" s="234">
        <f>ROUND(SUM(AE18:AE40),2)</f>
        <v>9043.88</v>
      </c>
      <c r="AF41" s="183"/>
    </row>
    <row r="42" spans="2:32" s="8" customFormat="1" ht="16.5" customHeight="1" thickBot="1" thickTop="1">
      <c r="B42" s="235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7"/>
    </row>
    <row r="43" spans="2:32" ht="16.5" customHeight="1" thickTop="1">
      <c r="B43" s="238"/>
      <c r="C43" s="238"/>
      <c r="D43" s="238"/>
      <c r="AF43" s="238"/>
    </row>
  </sheetData>
  <sheetProtection password="CC12"/>
  <mergeCells count="1">
    <mergeCell ref="G14:H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1031" customWidth="1"/>
    <col min="3" max="3" width="5.421875" style="1031" customWidth="1"/>
    <col min="4" max="5" width="13.7109375" style="1031" customWidth="1"/>
    <col min="6" max="6" width="45.7109375" style="1031" customWidth="1"/>
    <col min="7" max="8" width="9.7109375" style="1031" customWidth="1"/>
    <col min="9" max="9" width="3.8515625" style="1031" customWidth="1"/>
    <col min="10" max="10" width="3.57421875" style="1031" hidden="1" customWidth="1"/>
    <col min="11" max="11" width="10.00390625" style="1031" hidden="1" customWidth="1"/>
    <col min="12" max="13" width="16.421875" style="1031" customWidth="1"/>
    <col min="14" max="16" width="9.7109375" style="1031" customWidth="1"/>
    <col min="17" max="17" width="8.7109375" style="1031" customWidth="1"/>
    <col min="18" max="18" width="5.421875" style="1031" customWidth="1"/>
    <col min="19" max="19" width="6.00390625" style="1031" customWidth="1"/>
    <col min="20" max="21" width="12.28125" style="1031" hidden="1" customWidth="1"/>
    <col min="22" max="27" width="6.421875" style="1031" hidden="1" customWidth="1"/>
    <col min="28" max="28" width="12.28125" style="1031" hidden="1" customWidth="1"/>
    <col min="29" max="29" width="13.421875" style="1031" hidden="1" customWidth="1"/>
    <col min="30" max="30" width="9.7109375" style="1031" customWidth="1"/>
    <col min="31" max="31" width="15.7109375" style="1031" customWidth="1"/>
    <col min="32" max="32" width="4.140625" style="1031" customWidth="1"/>
    <col min="33" max="33" width="30.421875" style="1031" customWidth="1"/>
    <col min="34" max="34" width="3.140625" style="1031" customWidth="1"/>
    <col min="35" max="35" width="3.57421875" style="1031" customWidth="1"/>
    <col min="36" max="36" width="24.28125" style="1031" customWidth="1"/>
    <col min="37" max="37" width="4.7109375" style="1031" customWidth="1"/>
    <col min="38" max="38" width="7.57421875" style="1031" customWidth="1"/>
    <col min="39" max="40" width="4.140625" style="1031" customWidth="1"/>
    <col min="41" max="41" width="7.140625" style="1031" customWidth="1"/>
    <col min="42" max="42" width="5.28125" style="1031" customWidth="1"/>
    <col min="43" max="43" width="5.421875" style="1031" customWidth="1"/>
    <col min="44" max="44" width="4.7109375" style="1031" customWidth="1"/>
    <col min="45" max="45" width="5.28125" style="1031" customWidth="1"/>
    <col min="46" max="47" width="13.28125" style="1031" customWidth="1"/>
    <col min="48" max="48" width="6.57421875" style="1031" customWidth="1"/>
    <col min="49" max="49" width="6.421875" style="1031" customWidth="1"/>
    <col min="50" max="53" width="11.421875" style="1031" customWidth="1"/>
    <col min="54" max="54" width="12.7109375" style="1031" customWidth="1"/>
    <col min="55" max="57" width="11.421875" style="1031" customWidth="1"/>
    <col min="58" max="58" width="21.00390625" style="1031" customWidth="1"/>
    <col min="59" max="16384" width="11.421875" style="1031" customWidth="1"/>
  </cols>
  <sheetData>
    <row r="1" spans="1:32" s="1030" customFormat="1" ht="26.25">
      <c r="A1" s="1029"/>
      <c r="E1" s="1031"/>
      <c r="G1" s="1031"/>
      <c r="I1" s="1031"/>
      <c r="K1" s="1031"/>
      <c r="M1" s="1031"/>
      <c r="O1" s="1031"/>
      <c r="Q1" s="1031"/>
      <c r="S1" s="1031"/>
      <c r="U1" s="1031"/>
      <c r="W1" s="1031"/>
      <c r="Y1" s="1031"/>
      <c r="AA1" s="1031"/>
      <c r="AF1" s="1032"/>
    </row>
    <row r="2" spans="1:32" s="1030" customFormat="1" ht="26.25">
      <c r="A2" s="1033"/>
      <c r="B2" s="1034" t="str">
        <f>'TOT-1214'!B2</f>
        <v>ANEXO I al Memorándum D.T.E.E. N° 90 /2016</v>
      </c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1034"/>
      <c r="X2" s="1034"/>
      <c r="Y2" s="1034"/>
      <c r="Z2" s="1034"/>
      <c r="AA2" s="1034"/>
      <c r="AB2" s="1034"/>
      <c r="AC2" s="1034"/>
      <c r="AD2" s="1034"/>
      <c r="AE2" s="1034"/>
      <c r="AF2" s="1034"/>
    </row>
    <row r="3" s="1036" customFormat="1" ht="23.25" customHeight="1">
      <c r="A3" s="1035"/>
    </row>
    <row r="4" spans="1:4" s="1039" customFormat="1" ht="11.25">
      <c r="A4" s="1037" t="s">
        <v>2</v>
      </c>
      <c r="B4" s="1038"/>
      <c r="C4" s="1038"/>
      <c r="D4" s="1038"/>
    </row>
    <row r="5" spans="1:4" s="1039" customFormat="1" ht="11.25">
      <c r="A5" s="1037" t="s">
        <v>3</v>
      </c>
      <c r="B5" s="1038"/>
      <c r="C5" s="1038"/>
      <c r="D5" s="1038"/>
    </row>
    <row r="6" s="1036" customFormat="1" ht="13.5" thickBot="1"/>
    <row r="7" spans="2:32" s="1036" customFormat="1" ht="13.5" thickTop="1">
      <c r="B7" s="1040"/>
      <c r="C7" s="1041"/>
      <c r="D7" s="1041"/>
      <c r="E7" s="1041"/>
      <c r="F7" s="1041"/>
      <c r="G7" s="1042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1"/>
      <c r="U7" s="1041"/>
      <c r="V7" s="1041"/>
      <c r="W7" s="1041"/>
      <c r="X7" s="1041"/>
      <c r="Y7" s="1041"/>
      <c r="Z7" s="1041"/>
      <c r="AA7" s="1041"/>
      <c r="AB7" s="1041"/>
      <c r="AC7" s="1041"/>
      <c r="AD7" s="1041"/>
      <c r="AE7" s="1041"/>
      <c r="AF7" s="1043"/>
    </row>
    <row r="8" spans="2:32" s="1044" customFormat="1" ht="20.25">
      <c r="B8" s="1045"/>
      <c r="C8" s="1046"/>
      <c r="D8" s="1046"/>
      <c r="E8" s="1046"/>
      <c r="F8" s="1047" t="s">
        <v>23</v>
      </c>
      <c r="G8" s="1046"/>
      <c r="H8" s="1046"/>
      <c r="I8" s="1046"/>
      <c r="J8" s="1046"/>
      <c r="P8" s="1046"/>
      <c r="Q8" s="1046"/>
      <c r="R8" s="1048"/>
      <c r="S8" s="1048"/>
      <c r="T8" s="1046"/>
      <c r="U8" s="1046"/>
      <c r="V8" s="1046"/>
      <c r="W8" s="1046"/>
      <c r="X8" s="1046"/>
      <c r="Y8" s="1046"/>
      <c r="Z8" s="1046"/>
      <c r="AA8" s="1046"/>
      <c r="AB8" s="1046"/>
      <c r="AC8" s="1046"/>
      <c r="AD8" s="1046"/>
      <c r="AE8" s="1046"/>
      <c r="AF8" s="1049"/>
    </row>
    <row r="9" spans="2:32" s="1036" customFormat="1" ht="16.5" customHeight="1">
      <c r="B9" s="1050"/>
      <c r="C9" s="1051"/>
      <c r="D9" s="1051"/>
      <c r="E9" s="1051"/>
      <c r="F9" s="1051"/>
      <c r="G9" s="1051"/>
      <c r="H9" s="1051"/>
      <c r="I9" s="1051"/>
      <c r="J9" s="1051"/>
      <c r="K9" s="1051"/>
      <c r="L9" s="1051"/>
      <c r="M9" s="1051"/>
      <c r="N9" s="1051"/>
      <c r="O9" s="1051"/>
      <c r="P9" s="1051"/>
      <c r="Q9" s="1051"/>
      <c r="R9" s="1051"/>
      <c r="S9" s="1051"/>
      <c r="T9" s="1051"/>
      <c r="U9" s="1051"/>
      <c r="V9" s="1051"/>
      <c r="W9" s="1051"/>
      <c r="X9" s="1051"/>
      <c r="Y9" s="1051"/>
      <c r="Z9" s="1051"/>
      <c r="AA9" s="1051"/>
      <c r="AB9" s="1051"/>
      <c r="AC9" s="1051"/>
      <c r="AD9" s="1051"/>
      <c r="AE9" s="1051"/>
      <c r="AF9" s="1052"/>
    </row>
    <row r="10" spans="2:32" s="1053" customFormat="1" ht="33" customHeight="1">
      <c r="B10" s="1054"/>
      <c r="C10" s="1055"/>
      <c r="D10" s="1055"/>
      <c r="E10" s="1055"/>
      <c r="F10" s="1056" t="s">
        <v>24</v>
      </c>
      <c r="G10" s="1055"/>
      <c r="H10" s="1055"/>
      <c r="I10" s="1055"/>
      <c r="K10" s="1055"/>
      <c r="L10" s="1055"/>
      <c r="M10" s="1055"/>
      <c r="N10" s="1055"/>
      <c r="O10" s="1055"/>
      <c r="P10" s="1055"/>
      <c r="Q10" s="1055"/>
      <c r="R10" s="1056"/>
      <c r="S10" s="1056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7"/>
    </row>
    <row r="11" spans="2:32" s="1058" customFormat="1" ht="33" customHeight="1">
      <c r="B11" s="1059"/>
      <c r="C11" s="1060"/>
      <c r="D11" s="1060"/>
      <c r="E11" s="1060"/>
      <c r="F11" s="1061" t="s">
        <v>313</v>
      </c>
      <c r="J11" s="1062"/>
      <c r="K11" s="1062"/>
      <c r="L11" s="1062"/>
      <c r="M11" s="1062"/>
      <c r="N11" s="1062"/>
      <c r="O11" s="1062"/>
      <c r="P11" s="1062"/>
      <c r="Q11" s="1062"/>
      <c r="R11" s="1062"/>
      <c r="S11" s="1062"/>
      <c r="T11" s="1060"/>
      <c r="U11" s="1060"/>
      <c r="V11" s="1060"/>
      <c r="W11" s="1060"/>
      <c r="X11" s="1060"/>
      <c r="Y11" s="1060"/>
      <c r="Z11" s="1060"/>
      <c r="AA11" s="1060"/>
      <c r="AB11" s="1060"/>
      <c r="AC11" s="1060"/>
      <c r="AD11" s="1060"/>
      <c r="AE11" s="1060"/>
      <c r="AF11" s="1063"/>
    </row>
    <row r="12" spans="2:32" s="1064" customFormat="1" ht="19.5">
      <c r="B12" s="1065" t="str">
        <f>'TOT-1214'!B14</f>
        <v>Desde el 01 al 31 de diciembre de 2014</v>
      </c>
      <c r="C12" s="1066"/>
      <c r="D12" s="1066"/>
      <c r="E12" s="1066"/>
      <c r="F12" s="1066"/>
      <c r="G12" s="1066"/>
      <c r="H12" s="1066"/>
      <c r="I12" s="1066"/>
      <c r="J12" s="1066"/>
      <c r="K12" s="1066"/>
      <c r="L12" s="1066"/>
      <c r="M12" s="1066"/>
      <c r="N12" s="1066"/>
      <c r="O12" s="1066"/>
      <c r="P12" s="1067"/>
      <c r="Q12" s="1067"/>
      <c r="R12" s="1066"/>
      <c r="S12" s="1066"/>
      <c r="T12" s="1066"/>
      <c r="U12" s="1066"/>
      <c r="V12" s="1066"/>
      <c r="W12" s="1066"/>
      <c r="X12" s="1066"/>
      <c r="Y12" s="1066"/>
      <c r="Z12" s="1066"/>
      <c r="AA12" s="1066"/>
      <c r="AB12" s="1066"/>
      <c r="AC12" s="1066"/>
      <c r="AD12" s="1066"/>
      <c r="AE12" s="1066"/>
      <c r="AF12" s="1068"/>
    </row>
    <row r="13" spans="2:32" s="1036" customFormat="1" ht="16.5" customHeight="1" thickBot="1">
      <c r="B13" s="1050"/>
      <c r="C13" s="1051"/>
      <c r="D13" s="1051"/>
      <c r="E13" s="1051"/>
      <c r="F13" s="1051"/>
      <c r="G13" s="1069"/>
      <c r="H13" s="1069"/>
      <c r="I13" s="1051"/>
      <c r="J13" s="1051"/>
      <c r="K13" s="1051"/>
      <c r="L13" s="1070"/>
      <c r="M13" s="1051"/>
      <c r="N13" s="1051"/>
      <c r="O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2"/>
    </row>
    <row r="14" spans="2:32" s="1036" customFormat="1" ht="16.5" customHeight="1" thickBot="1" thickTop="1">
      <c r="B14" s="1050"/>
      <c r="C14" s="1051"/>
      <c r="D14" s="1051"/>
      <c r="E14" s="1051"/>
      <c r="F14" s="1071" t="s">
        <v>26</v>
      </c>
      <c r="G14" s="1074">
        <f>0.6*434.062</f>
        <v>260.4372</v>
      </c>
      <c r="H14" s="1073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2"/>
    </row>
    <row r="15" spans="2:32" s="1036" customFormat="1" ht="16.5" customHeight="1" thickBot="1" thickTop="1">
      <c r="B15" s="1050"/>
      <c r="C15" s="1051"/>
      <c r="D15" s="1051"/>
      <c r="E15" s="1051"/>
      <c r="F15" s="1071" t="s">
        <v>27</v>
      </c>
      <c r="G15" s="1074" t="s">
        <v>278</v>
      </c>
      <c r="H15" s="1073"/>
      <c r="I15" s="1051"/>
      <c r="J15" s="1051"/>
      <c r="K15" s="1051"/>
      <c r="L15" s="1075"/>
      <c r="M15" s="1076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77"/>
      <c r="Y15" s="1077"/>
      <c r="Z15" s="1077"/>
      <c r="AA15" s="1077"/>
      <c r="AB15" s="1077"/>
      <c r="AC15" s="1077"/>
      <c r="AD15" s="1077"/>
      <c r="AF15" s="1052"/>
    </row>
    <row r="16" spans="2:32" s="1036" customFormat="1" ht="16.5" customHeight="1" thickBot="1" thickTop="1">
      <c r="B16" s="1050"/>
      <c r="C16" s="1078">
        <v>3</v>
      </c>
      <c r="D16" s="1078">
        <v>4</v>
      </c>
      <c r="E16" s="1078">
        <v>5</v>
      </c>
      <c r="F16" s="1078">
        <v>6</v>
      </c>
      <c r="G16" s="1078">
        <v>7</v>
      </c>
      <c r="H16" s="1078">
        <v>8</v>
      </c>
      <c r="I16" s="1078">
        <v>9</v>
      </c>
      <c r="J16" s="1078">
        <v>10</v>
      </c>
      <c r="K16" s="1078">
        <v>11</v>
      </c>
      <c r="L16" s="1078">
        <v>12</v>
      </c>
      <c r="M16" s="1078">
        <v>13</v>
      </c>
      <c r="N16" s="1078">
        <v>14</v>
      </c>
      <c r="O16" s="1078">
        <v>15</v>
      </c>
      <c r="P16" s="1078">
        <v>16</v>
      </c>
      <c r="Q16" s="1078">
        <v>17</v>
      </c>
      <c r="R16" s="1078">
        <v>18</v>
      </c>
      <c r="S16" s="1078">
        <v>19</v>
      </c>
      <c r="T16" s="1078">
        <v>20</v>
      </c>
      <c r="U16" s="1078">
        <v>21</v>
      </c>
      <c r="V16" s="1078">
        <v>22</v>
      </c>
      <c r="W16" s="1078">
        <v>23</v>
      </c>
      <c r="X16" s="1078">
        <v>24</v>
      </c>
      <c r="Y16" s="1078">
        <v>25</v>
      </c>
      <c r="Z16" s="1078">
        <v>26</v>
      </c>
      <c r="AA16" s="1078">
        <v>27</v>
      </c>
      <c r="AB16" s="1078">
        <v>28</v>
      </c>
      <c r="AC16" s="1078">
        <v>29</v>
      </c>
      <c r="AD16" s="1078">
        <v>30</v>
      </c>
      <c r="AE16" s="1078">
        <v>31</v>
      </c>
      <c r="AF16" s="1052"/>
    </row>
    <row r="17" spans="2:32" s="1036" customFormat="1" ht="33.75" customHeight="1" thickBot="1" thickTop="1">
      <c r="B17" s="1050"/>
      <c r="C17" s="1079" t="s">
        <v>28</v>
      </c>
      <c r="D17" s="1079" t="s">
        <v>29</v>
      </c>
      <c r="E17" s="1079" t="s">
        <v>30</v>
      </c>
      <c r="F17" s="1080" t="s">
        <v>5</v>
      </c>
      <c r="G17" s="1081" t="s">
        <v>31</v>
      </c>
      <c r="H17" s="1082" t="s">
        <v>32</v>
      </c>
      <c r="I17" s="1083" t="s">
        <v>33</v>
      </c>
      <c r="J17" s="1084" t="s">
        <v>34</v>
      </c>
      <c r="K17" s="1085" t="s">
        <v>35</v>
      </c>
      <c r="L17" s="1080" t="s">
        <v>36</v>
      </c>
      <c r="M17" s="1086" t="s">
        <v>37</v>
      </c>
      <c r="N17" s="1087" t="s">
        <v>38</v>
      </c>
      <c r="O17" s="1082" t="s">
        <v>39</v>
      </c>
      <c r="P17" s="1087" t="s">
        <v>179</v>
      </c>
      <c r="Q17" s="1082" t="s">
        <v>40</v>
      </c>
      <c r="R17" s="1086" t="s">
        <v>41</v>
      </c>
      <c r="S17" s="1080" t="s">
        <v>42</v>
      </c>
      <c r="T17" s="1088" t="s">
        <v>43</v>
      </c>
      <c r="U17" s="1089" t="s">
        <v>44</v>
      </c>
      <c r="V17" s="1090" t="s">
        <v>45</v>
      </c>
      <c r="W17" s="1091"/>
      <c r="X17" s="1092"/>
      <c r="Y17" s="1093" t="s">
        <v>46</v>
      </c>
      <c r="Z17" s="1094"/>
      <c r="AA17" s="1095"/>
      <c r="AB17" s="1096" t="s">
        <v>47</v>
      </c>
      <c r="AC17" s="1097" t="s">
        <v>48</v>
      </c>
      <c r="AD17" s="1098" t="s">
        <v>49</v>
      </c>
      <c r="AE17" s="1098" t="s">
        <v>50</v>
      </c>
      <c r="AF17" s="1099"/>
    </row>
    <row r="18" spans="2:32" s="1036" customFormat="1" ht="16.5" customHeight="1" thickTop="1">
      <c r="B18" s="1050"/>
      <c r="C18" s="1100"/>
      <c r="D18" s="1100"/>
      <c r="E18" s="1100"/>
      <c r="F18" s="1101"/>
      <c r="G18" s="1101"/>
      <c r="H18" s="1102"/>
      <c r="I18" s="1103"/>
      <c r="J18" s="1104"/>
      <c r="K18" s="1105"/>
      <c r="L18" s="1106"/>
      <c r="M18" s="1106"/>
      <c r="N18" s="1103"/>
      <c r="O18" s="1103"/>
      <c r="P18" s="1103"/>
      <c r="Q18" s="1103"/>
      <c r="R18" s="1103"/>
      <c r="S18" s="1103"/>
      <c r="T18" s="1107"/>
      <c r="U18" s="1108"/>
      <c r="V18" s="1109"/>
      <c r="W18" s="1110"/>
      <c r="X18" s="1111"/>
      <c r="Y18" s="1112"/>
      <c r="Z18" s="1113"/>
      <c r="AA18" s="1114"/>
      <c r="AB18" s="1115"/>
      <c r="AC18" s="1116"/>
      <c r="AD18" s="1103"/>
      <c r="AE18" s="1117"/>
      <c r="AF18" s="1052"/>
    </row>
    <row r="19" spans="2:32" s="1036" customFormat="1" ht="16.5" customHeight="1">
      <c r="B19" s="1050"/>
      <c r="C19" s="1118"/>
      <c r="D19" s="1118"/>
      <c r="E19" s="1118"/>
      <c r="F19" s="1119"/>
      <c r="G19" s="1120"/>
      <c r="H19" s="1121"/>
      <c r="I19" s="1120"/>
      <c r="J19" s="1122">
        <f aca="true" t="shared" si="0" ref="J19:J39">IF(I19="A",200,IF(I19="B",60,20))</f>
        <v>20</v>
      </c>
      <c r="K19" s="1123" t="e">
        <f aca="true" t="shared" si="1" ref="K19:K39">IF(G19=500,IF(H19&lt;100,100*$G$14/100,H19*$G$14/100),IF(H19&lt;100,100*$G$15/100,H19*$G$15/100))</f>
        <v>#VALUE!</v>
      </c>
      <c r="L19" s="1124"/>
      <c r="M19" s="1125"/>
      <c r="N19" s="1126">
        <f>IF(F19="","",(M19-L19)*24)</f>
      </c>
      <c r="O19" s="1127">
        <f>IF(F19="","",ROUND((M19-L19)*24*60,0))</f>
      </c>
      <c r="P19" s="1128"/>
      <c r="Q19" s="1129">
        <f>IF(F19="","","--")</f>
      </c>
      <c r="R19" s="1130">
        <f>IF(F19="","","NO")</f>
      </c>
      <c r="S19" s="1130">
        <f aca="true" t="shared" si="2" ref="S19:S39">IF(F19="","",IF(OR(P19="P",P19="RP"),"--","NO"))</f>
      </c>
      <c r="T19" s="1131" t="str">
        <f aca="true" t="shared" si="3" ref="T19:T39">IF(P19="P",K19*J19*ROUND(O19/60,2)*0.01,"--")</f>
        <v>--</v>
      </c>
      <c r="U19" s="1132" t="str">
        <f aca="true" t="shared" si="4" ref="U19:U39">IF(P19="RP",K19*J19*ROUND(O19/60,2)*0.01*Q19/100,"--")</f>
        <v>--</v>
      </c>
      <c r="V19" s="1133" t="str">
        <f aca="true" t="shared" si="5" ref="V19:V39">IF(AND(P19="F",S19="NO"),K19*J19*IF(R19="SI",1.2,1),"--")</f>
        <v>--</v>
      </c>
      <c r="W19" s="1134" t="str">
        <f aca="true" t="shared" si="6" ref="W19:W39">IF(AND(P19="F",O19&gt;=10),K19*J19*IF(R19="SI",1.2,1)*IF(O19&lt;=300,ROUND(O19/60,2),5),"--")</f>
        <v>--</v>
      </c>
      <c r="X19" s="1135" t="str">
        <f aca="true" t="shared" si="7" ref="X19:X39">IF(AND(P19="F",O19&gt;300),(ROUND(O19/60,2)-5)*K19*J19*0.1*IF(R19="SI",1.2,1),"--")</f>
        <v>--</v>
      </c>
      <c r="Y19" s="1136" t="str">
        <f aca="true" t="shared" si="8" ref="Y19:Y39">IF(AND(P19="R",S19="NO"),K19*J19*Q19/100*IF(R19="SI",1.2,1),"--")</f>
        <v>--</v>
      </c>
      <c r="Z19" s="1137" t="str">
        <f aca="true" t="shared" si="9" ref="Z19:Z39">IF(AND(P19="R",O19&gt;=10),K19*J19*Q19/100*IF(R19="SI",1.2,1)*IF(O19&lt;=300,ROUND(O19/60,2),5),"--")</f>
        <v>--</v>
      </c>
      <c r="AA19" s="1138" t="str">
        <f aca="true" t="shared" si="10" ref="AA19:AA39">IF(AND(P19="R",O19&gt;300),(ROUND(O19/60,2)-5)*K19*J19*0.1*Q19/100*IF(R19="SI",1.2,1),"--")</f>
        <v>--</v>
      </c>
      <c r="AB19" s="1139" t="str">
        <f aca="true" t="shared" si="11" ref="AB19:AB39">IF(P19="RF",ROUND(O19/60,2)*K19*J19*0.1*IF(R19="SI",1.2,1),"--")</f>
        <v>--</v>
      </c>
      <c r="AC19" s="1140" t="str">
        <f aca="true" t="shared" si="12" ref="AC19:AC39">IF(P19="RR",ROUND(O19/60,2)*K19*J19*0.1*Q19/100*IF(R19="SI",1.2,1),"--")</f>
        <v>--</v>
      </c>
      <c r="AD19" s="1141">
        <f>IF(F19="","","SI")</f>
      </c>
      <c r="AE19" s="1142">
        <f>IF(F19="","",SUM(T19:AC19)*IF(AD19="SI",1,2))</f>
      </c>
      <c r="AF19" s="1052"/>
    </row>
    <row r="20" spans="2:32" s="1036" customFormat="1" ht="16.5" customHeight="1">
      <c r="B20" s="1050"/>
      <c r="C20" s="1118">
        <v>12</v>
      </c>
      <c r="D20" s="1146">
        <v>282224</v>
      </c>
      <c r="E20" s="1118">
        <v>2375</v>
      </c>
      <c r="F20" s="1119" t="s">
        <v>285</v>
      </c>
      <c r="G20" s="1120">
        <v>500</v>
      </c>
      <c r="H20" s="1121">
        <v>188.07</v>
      </c>
      <c r="I20" s="1120" t="s">
        <v>193</v>
      </c>
      <c r="J20" s="1122">
        <f t="shared" si="0"/>
        <v>20</v>
      </c>
      <c r="K20" s="1123">
        <f t="shared" si="1"/>
        <v>489.80424204</v>
      </c>
      <c r="L20" s="1124">
        <v>41980.40625</v>
      </c>
      <c r="M20" s="1125">
        <v>41980.78680555556</v>
      </c>
      <c r="N20" s="1126">
        <f>IF(F20="","",(M20-L20)*24)</f>
        <v>9.133333333418705</v>
      </c>
      <c r="O20" s="1127">
        <f>IF(F20="","",ROUND((M20-L20)*24*60,0))</f>
        <v>548</v>
      </c>
      <c r="P20" s="1128" t="s">
        <v>198</v>
      </c>
      <c r="Q20" s="1129" t="str">
        <f>IF(F20="","","--")</f>
        <v>--</v>
      </c>
      <c r="R20" s="1130" t="str">
        <f>IF(F20="","","NO")</f>
        <v>NO</v>
      </c>
      <c r="S20" s="1130" t="str">
        <f t="shared" si="2"/>
        <v>--</v>
      </c>
      <c r="T20" s="1131">
        <f t="shared" si="3"/>
        <v>894.3825459650401</v>
      </c>
      <c r="U20" s="1132" t="str">
        <f t="shared" si="4"/>
        <v>--</v>
      </c>
      <c r="V20" s="1133" t="str">
        <f t="shared" si="5"/>
        <v>--</v>
      </c>
      <c r="W20" s="1134" t="str">
        <f t="shared" si="6"/>
        <v>--</v>
      </c>
      <c r="X20" s="1135" t="str">
        <f t="shared" si="7"/>
        <v>--</v>
      </c>
      <c r="Y20" s="1136" t="str">
        <f t="shared" si="8"/>
        <v>--</v>
      </c>
      <c r="Z20" s="1137" t="str">
        <f t="shared" si="9"/>
        <v>--</v>
      </c>
      <c r="AA20" s="1138" t="str">
        <f t="shared" si="10"/>
        <v>--</v>
      </c>
      <c r="AB20" s="1139" t="str">
        <f t="shared" si="11"/>
        <v>--</v>
      </c>
      <c r="AC20" s="1140" t="str">
        <f t="shared" si="12"/>
        <v>--</v>
      </c>
      <c r="AD20" s="1144" t="str">
        <f>IF(F20="","","SI")</f>
        <v>SI</v>
      </c>
      <c r="AE20" s="1142">
        <f>IF(F20="","",SUM(T20:AC20)*IF(AD20="SI",1,2))</f>
        <v>894.3825459650401</v>
      </c>
      <c r="AF20" s="1145"/>
    </row>
    <row r="21" spans="2:32" s="1036" customFormat="1" ht="16.5" customHeight="1">
      <c r="B21" s="1050"/>
      <c r="C21" s="1118">
        <v>13</v>
      </c>
      <c r="D21" s="1146">
        <v>282551</v>
      </c>
      <c r="E21" s="1118">
        <v>2375</v>
      </c>
      <c r="F21" s="1119" t="s">
        <v>285</v>
      </c>
      <c r="G21" s="1120">
        <v>500</v>
      </c>
      <c r="H21" s="1121">
        <v>188.07</v>
      </c>
      <c r="I21" s="1120" t="s">
        <v>193</v>
      </c>
      <c r="J21" s="1122">
        <f t="shared" si="0"/>
        <v>20</v>
      </c>
      <c r="K21" s="1123">
        <f t="shared" si="1"/>
        <v>489.80424204</v>
      </c>
      <c r="L21" s="1124">
        <v>41981.399305555555</v>
      </c>
      <c r="M21" s="1125">
        <v>41981.78472222222</v>
      </c>
      <c r="N21" s="1126">
        <f>IF(F21="","",(M21-L21)*24)</f>
        <v>9.249999999941792</v>
      </c>
      <c r="O21" s="1127">
        <f>IF(F21="","",ROUND((M21-L21)*24*60,0))</f>
        <v>555</v>
      </c>
      <c r="P21" s="1128" t="s">
        <v>198</v>
      </c>
      <c r="Q21" s="1129" t="str">
        <f>IF(F21="","","--")</f>
        <v>--</v>
      </c>
      <c r="R21" s="1130" t="str">
        <f>IF(F21="","","NO")</f>
        <v>NO</v>
      </c>
      <c r="S21" s="1130" t="str">
        <f t="shared" si="2"/>
        <v>--</v>
      </c>
      <c r="T21" s="1131">
        <f t="shared" si="3"/>
        <v>906.137847774</v>
      </c>
      <c r="U21" s="1132" t="str">
        <f t="shared" si="4"/>
        <v>--</v>
      </c>
      <c r="V21" s="1133" t="str">
        <f t="shared" si="5"/>
        <v>--</v>
      </c>
      <c r="W21" s="1134" t="str">
        <f t="shared" si="6"/>
        <v>--</v>
      </c>
      <c r="X21" s="1135" t="str">
        <f t="shared" si="7"/>
        <v>--</v>
      </c>
      <c r="Y21" s="1136" t="str">
        <f t="shared" si="8"/>
        <v>--</v>
      </c>
      <c r="Z21" s="1137" t="str">
        <f t="shared" si="9"/>
        <v>--</v>
      </c>
      <c r="AA21" s="1138" t="str">
        <f t="shared" si="10"/>
        <v>--</v>
      </c>
      <c r="AB21" s="1139" t="str">
        <f t="shared" si="11"/>
        <v>--</v>
      </c>
      <c r="AC21" s="1140" t="str">
        <f t="shared" si="12"/>
        <v>--</v>
      </c>
      <c r="AD21" s="1144" t="str">
        <f>IF(F21="","","SI")</f>
        <v>SI</v>
      </c>
      <c r="AE21" s="1142">
        <f>IF(F21="","",SUM(T21:AC21)*IF(AD21="SI",1,2))</f>
        <v>906.137847774</v>
      </c>
      <c r="AF21" s="1145"/>
    </row>
    <row r="22" spans="2:32" s="1036" customFormat="1" ht="16.5" customHeight="1">
      <c r="B22" s="1050"/>
      <c r="C22" s="1118"/>
      <c r="D22" s="1146"/>
      <c r="E22" s="1118"/>
      <c r="F22" s="1119"/>
      <c r="G22" s="1120"/>
      <c r="H22" s="1121"/>
      <c r="I22" s="1120"/>
      <c r="J22" s="1122">
        <f t="shared" si="0"/>
        <v>20</v>
      </c>
      <c r="K22" s="1123" t="e">
        <f t="shared" si="1"/>
        <v>#VALUE!</v>
      </c>
      <c r="L22" s="1124"/>
      <c r="M22" s="1125"/>
      <c r="N22" s="1126">
        <f>IF(F22="","",(M22-L22)*24)</f>
      </c>
      <c r="O22" s="1127">
        <f>IF(F22="","",ROUND((M22-L22)*24*60,0))</f>
      </c>
      <c r="P22" s="1128"/>
      <c r="Q22" s="1129">
        <f>IF(F22="","","--")</f>
      </c>
      <c r="R22" s="1130">
        <f>IF(F22="","","NO")</f>
      </c>
      <c r="S22" s="1130">
        <f t="shared" si="2"/>
      </c>
      <c r="T22" s="1131" t="str">
        <f t="shared" si="3"/>
        <v>--</v>
      </c>
      <c r="U22" s="1132" t="str">
        <f t="shared" si="4"/>
        <v>--</v>
      </c>
      <c r="V22" s="1133" t="str">
        <f t="shared" si="5"/>
        <v>--</v>
      </c>
      <c r="W22" s="1134" t="str">
        <f t="shared" si="6"/>
        <v>--</v>
      </c>
      <c r="X22" s="1135" t="str">
        <f t="shared" si="7"/>
        <v>--</v>
      </c>
      <c r="Y22" s="1136" t="str">
        <f t="shared" si="8"/>
        <v>--</v>
      </c>
      <c r="Z22" s="1137" t="str">
        <f t="shared" si="9"/>
        <v>--</v>
      </c>
      <c r="AA22" s="1138" t="str">
        <f t="shared" si="10"/>
        <v>--</v>
      </c>
      <c r="AB22" s="1139" t="str">
        <f t="shared" si="11"/>
        <v>--</v>
      </c>
      <c r="AC22" s="1140" t="str">
        <f t="shared" si="12"/>
        <v>--</v>
      </c>
      <c r="AD22" s="1144">
        <f>IF(F22="","","SI")</f>
      </c>
      <c r="AE22" s="1142">
        <f>IF(F22="","",SUM(T22:AC22)*IF(AD22="SI",1,2))</f>
      </c>
      <c r="AF22" s="1145"/>
    </row>
    <row r="23" spans="2:32" s="1036" customFormat="1" ht="16.5" customHeight="1">
      <c r="B23" s="1050"/>
      <c r="C23" s="1118"/>
      <c r="D23" s="1143"/>
      <c r="E23" s="1118"/>
      <c r="F23" s="1119"/>
      <c r="G23" s="1120"/>
      <c r="H23" s="1121"/>
      <c r="I23" s="1120"/>
      <c r="J23" s="1122">
        <f t="shared" si="0"/>
        <v>20</v>
      </c>
      <c r="K23" s="1123" t="e">
        <f t="shared" si="1"/>
        <v>#VALUE!</v>
      </c>
      <c r="L23" s="1124"/>
      <c r="M23" s="1125"/>
      <c r="N23" s="1126">
        <f>IF(F23="","",(M23-L23)*24)</f>
      </c>
      <c r="O23" s="1127">
        <f>IF(F23="","",ROUND((M23-L23)*24*60,0))</f>
      </c>
      <c r="P23" s="1128"/>
      <c r="Q23" s="1129">
        <f>IF(F23="","","--")</f>
      </c>
      <c r="R23" s="1130">
        <f>IF(F23="","","NO")</f>
      </c>
      <c r="S23" s="1130">
        <f t="shared" si="2"/>
      </c>
      <c r="T23" s="1131" t="str">
        <f t="shared" si="3"/>
        <v>--</v>
      </c>
      <c r="U23" s="1132" t="str">
        <f t="shared" si="4"/>
        <v>--</v>
      </c>
      <c r="V23" s="1133" t="str">
        <f t="shared" si="5"/>
        <v>--</v>
      </c>
      <c r="W23" s="1134" t="str">
        <f t="shared" si="6"/>
        <v>--</v>
      </c>
      <c r="X23" s="1135" t="str">
        <f t="shared" si="7"/>
        <v>--</v>
      </c>
      <c r="Y23" s="1136" t="str">
        <f t="shared" si="8"/>
        <v>--</v>
      </c>
      <c r="Z23" s="1137" t="str">
        <f t="shared" si="9"/>
        <v>--</v>
      </c>
      <c r="AA23" s="1138" t="str">
        <f t="shared" si="10"/>
        <v>--</v>
      </c>
      <c r="AB23" s="1139" t="str">
        <f t="shared" si="11"/>
        <v>--</v>
      </c>
      <c r="AC23" s="1140" t="str">
        <f t="shared" si="12"/>
        <v>--</v>
      </c>
      <c r="AD23" s="1144">
        <f>IF(F23="","","SI")</f>
      </c>
      <c r="AE23" s="1142">
        <f>IF(F23="","",SUM(T23:AC23)*IF(AD23="SI",1,2))</f>
      </c>
      <c r="AF23" s="1145"/>
    </row>
    <row r="24" spans="2:32" s="1036" customFormat="1" ht="16.5" customHeight="1">
      <c r="B24" s="1050"/>
      <c r="C24" s="1118"/>
      <c r="D24" s="1143"/>
      <c r="E24" s="1118"/>
      <c r="F24" s="1119"/>
      <c r="G24" s="1120"/>
      <c r="H24" s="1121"/>
      <c r="I24" s="1120"/>
      <c r="J24" s="1122">
        <f t="shared" si="0"/>
        <v>20</v>
      </c>
      <c r="K24" s="1123" t="e">
        <f t="shared" si="1"/>
        <v>#VALUE!</v>
      </c>
      <c r="L24" s="1124"/>
      <c r="M24" s="1125"/>
      <c r="N24" s="1126"/>
      <c r="O24" s="1127"/>
      <c r="P24" s="1128"/>
      <c r="Q24" s="1129"/>
      <c r="R24" s="1130"/>
      <c r="S24" s="1130">
        <f t="shared" si="2"/>
      </c>
      <c r="T24" s="1131" t="str">
        <f t="shared" si="3"/>
        <v>--</v>
      </c>
      <c r="U24" s="1132" t="str">
        <f t="shared" si="4"/>
        <v>--</v>
      </c>
      <c r="V24" s="1133" t="str">
        <f t="shared" si="5"/>
        <v>--</v>
      </c>
      <c r="W24" s="1134" t="str">
        <f t="shared" si="6"/>
        <v>--</v>
      </c>
      <c r="X24" s="1135" t="str">
        <f t="shared" si="7"/>
        <v>--</v>
      </c>
      <c r="Y24" s="1136" t="str">
        <f t="shared" si="8"/>
        <v>--</v>
      </c>
      <c r="Z24" s="1137" t="str">
        <f t="shared" si="9"/>
        <v>--</v>
      </c>
      <c r="AA24" s="1138" t="str">
        <f t="shared" si="10"/>
        <v>--</v>
      </c>
      <c r="AB24" s="1139" t="str">
        <f t="shared" si="11"/>
        <v>--</v>
      </c>
      <c r="AC24" s="1140" t="str">
        <f t="shared" si="12"/>
        <v>--</v>
      </c>
      <c r="AD24" s="1144"/>
      <c r="AE24" s="1142"/>
      <c r="AF24" s="1145"/>
    </row>
    <row r="25" spans="2:32" s="1036" customFormat="1" ht="16.5" customHeight="1">
      <c r="B25" s="1050"/>
      <c r="C25" s="1146"/>
      <c r="D25" s="1146"/>
      <c r="E25" s="1143"/>
      <c r="F25" s="1119"/>
      <c r="G25" s="1120"/>
      <c r="H25" s="1121"/>
      <c r="I25" s="1120"/>
      <c r="J25" s="1122">
        <f t="shared" si="0"/>
        <v>20</v>
      </c>
      <c r="K25" s="1123" t="e">
        <f t="shared" si="1"/>
        <v>#VALUE!</v>
      </c>
      <c r="L25" s="1124"/>
      <c r="M25" s="1125"/>
      <c r="N25" s="1126"/>
      <c r="O25" s="1127"/>
      <c r="P25" s="1128"/>
      <c r="Q25" s="1129"/>
      <c r="R25" s="1130"/>
      <c r="S25" s="1130">
        <f t="shared" si="2"/>
      </c>
      <c r="T25" s="1131" t="str">
        <f t="shared" si="3"/>
        <v>--</v>
      </c>
      <c r="U25" s="1132" t="str">
        <f t="shared" si="4"/>
        <v>--</v>
      </c>
      <c r="V25" s="1133" t="str">
        <f t="shared" si="5"/>
        <v>--</v>
      </c>
      <c r="W25" s="1134" t="str">
        <f t="shared" si="6"/>
        <v>--</v>
      </c>
      <c r="X25" s="1135" t="str">
        <f t="shared" si="7"/>
        <v>--</v>
      </c>
      <c r="Y25" s="1136" t="str">
        <f t="shared" si="8"/>
        <v>--</v>
      </c>
      <c r="Z25" s="1137" t="str">
        <f t="shared" si="9"/>
        <v>--</v>
      </c>
      <c r="AA25" s="1138" t="str">
        <f t="shared" si="10"/>
        <v>--</v>
      </c>
      <c r="AB25" s="1139" t="str">
        <f t="shared" si="11"/>
        <v>--</v>
      </c>
      <c r="AC25" s="1140" t="str">
        <f t="shared" si="12"/>
        <v>--</v>
      </c>
      <c r="AD25" s="1144"/>
      <c r="AE25" s="1142"/>
      <c r="AF25" s="1145"/>
    </row>
    <row r="26" spans="2:32" s="1036" customFormat="1" ht="16.5" customHeight="1">
      <c r="B26" s="1050"/>
      <c r="C26" s="1143"/>
      <c r="D26" s="1143"/>
      <c r="E26" s="1143"/>
      <c r="F26" s="1147"/>
      <c r="G26" s="1148"/>
      <c r="H26" s="1149"/>
      <c r="I26" s="1148"/>
      <c r="J26" s="1122">
        <f t="shared" si="0"/>
        <v>20</v>
      </c>
      <c r="K26" s="1123" t="e">
        <f t="shared" si="1"/>
        <v>#VALUE!</v>
      </c>
      <c r="L26" s="1150"/>
      <c r="M26" s="1151"/>
      <c r="N26" s="1126">
        <f aca="true" t="shared" si="13" ref="N26:N39">IF(F26="","",(M26-L26)*24)</f>
      </c>
      <c r="O26" s="1127">
        <f aca="true" t="shared" si="14" ref="O26:O39">IF(F26="","",ROUND((M26-L26)*24*60,0))</f>
      </c>
      <c r="P26" s="1128"/>
      <c r="Q26" s="1129">
        <f aca="true" t="shared" si="15" ref="Q26:Q39">IF(F26="","","--")</f>
      </c>
      <c r="R26" s="1130">
        <f aca="true" t="shared" si="16" ref="R26:R39">IF(F26="","","NO")</f>
      </c>
      <c r="S26" s="1130">
        <f t="shared" si="2"/>
      </c>
      <c r="T26" s="1131" t="str">
        <f t="shared" si="3"/>
        <v>--</v>
      </c>
      <c r="U26" s="1132" t="str">
        <f t="shared" si="4"/>
        <v>--</v>
      </c>
      <c r="V26" s="1133" t="str">
        <f t="shared" si="5"/>
        <v>--</v>
      </c>
      <c r="W26" s="1134" t="str">
        <f t="shared" si="6"/>
        <v>--</v>
      </c>
      <c r="X26" s="1135" t="str">
        <f t="shared" si="7"/>
        <v>--</v>
      </c>
      <c r="Y26" s="1136" t="str">
        <f t="shared" si="8"/>
        <v>--</v>
      </c>
      <c r="Z26" s="1137" t="str">
        <f t="shared" si="9"/>
        <v>--</v>
      </c>
      <c r="AA26" s="1138" t="str">
        <f t="shared" si="10"/>
        <v>--</v>
      </c>
      <c r="AB26" s="1139" t="str">
        <f t="shared" si="11"/>
        <v>--</v>
      </c>
      <c r="AC26" s="1140" t="str">
        <f t="shared" si="12"/>
        <v>--</v>
      </c>
      <c r="AD26" s="1144">
        <f aca="true" t="shared" si="17" ref="AD26:AD39">IF(F26="","","SI")</f>
      </c>
      <c r="AE26" s="1142">
        <f aca="true" t="shared" si="18" ref="AE26:AE39">IF(F26="","",SUM(T26:AC26)*IF(AD26="SI",1,2))</f>
      </c>
      <c r="AF26" s="1145"/>
    </row>
    <row r="27" spans="2:32" s="1036" customFormat="1" ht="16.5" customHeight="1">
      <c r="B27" s="1050"/>
      <c r="C27" s="1146"/>
      <c r="D27" s="1146"/>
      <c r="E27" s="1146"/>
      <c r="F27" s="1147"/>
      <c r="G27" s="1148"/>
      <c r="H27" s="1149"/>
      <c r="I27" s="1148"/>
      <c r="J27" s="1122">
        <f t="shared" si="0"/>
        <v>20</v>
      </c>
      <c r="K27" s="1123" t="e">
        <f t="shared" si="1"/>
        <v>#VALUE!</v>
      </c>
      <c r="L27" s="1150"/>
      <c r="M27" s="1151"/>
      <c r="N27" s="1126">
        <f t="shared" si="13"/>
      </c>
      <c r="O27" s="1127">
        <f t="shared" si="14"/>
      </c>
      <c r="P27" s="1128"/>
      <c r="Q27" s="1129">
        <f t="shared" si="15"/>
      </c>
      <c r="R27" s="1130">
        <f t="shared" si="16"/>
      </c>
      <c r="S27" s="1130">
        <f t="shared" si="2"/>
      </c>
      <c r="T27" s="1131" t="str">
        <f t="shared" si="3"/>
        <v>--</v>
      </c>
      <c r="U27" s="1132" t="str">
        <f t="shared" si="4"/>
        <v>--</v>
      </c>
      <c r="V27" s="1133" t="str">
        <f t="shared" si="5"/>
        <v>--</v>
      </c>
      <c r="W27" s="1134" t="str">
        <f t="shared" si="6"/>
        <v>--</v>
      </c>
      <c r="X27" s="1135" t="str">
        <f t="shared" si="7"/>
        <v>--</v>
      </c>
      <c r="Y27" s="1136" t="str">
        <f t="shared" si="8"/>
        <v>--</v>
      </c>
      <c r="Z27" s="1137" t="str">
        <f t="shared" si="9"/>
        <v>--</v>
      </c>
      <c r="AA27" s="1138" t="str">
        <f t="shared" si="10"/>
        <v>--</v>
      </c>
      <c r="AB27" s="1139" t="str">
        <f t="shared" si="11"/>
        <v>--</v>
      </c>
      <c r="AC27" s="1140" t="str">
        <f t="shared" si="12"/>
        <v>--</v>
      </c>
      <c r="AD27" s="1144">
        <f t="shared" si="17"/>
      </c>
      <c r="AE27" s="1142">
        <f t="shared" si="18"/>
      </c>
      <c r="AF27" s="1145"/>
    </row>
    <row r="28" spans="2:32" s="1036" customFormat="1" ht="16.5" customHeight="1">
      <c r="B28" s="1050"/>
      <c r="C28" s="1143"/>
      <c r="D28" s="1143"/>
      <c r="E28" s="1143"/>
      <c r="F28" s="1147"/>
      <c r="G28" s="1148"/>
      <c r="H28" s="1149"/>
      <c r="I28" s="1148"/>
      <c r="J28" s="1122">
        <f t="shared" si="0"/>
        <v>20</v>
      </c>
      <c r="K28" s="1123" t="e">
        <f t="shared" si="1"/>
        <v>#VALUE!</v>
      </c>
      <c r="L28" s="1150"/>
      <c r="M28" s="1151"/>
      <c r="N28" s="1126">
        <f t="shared" si="13"/>
      </c>
      <c r="O28" s="1127">
        <f t="shared" si="14"/>
      </c>
      <c r="P28" s="1128"/>
      <c r="Q28" s="1129">
        <f t="shared" si="15"/>
      </c>
      <c r="R28" s="1130">
        <f t="shared" si="16"/>
      </c>
      <c r="S28" s="1130">
        <f t="shared" si="2"/>
      </c>
      <c r="T28" s="1131" t="str">
        <f t="shared" si="3"/>
        <v>--</v>
      </c>
      <c r="U28" s="1132" t="str">
        <f t="shared" si="4"/>
        <v>--</v>
      </c>
      <c r="V28" s="1133" t="str">
        <f t="shared" si="5"/>
        <v>--</v>
      </c>
      <c r="W28" s="1134" t="str">
        <f t="shared" si="6"/>
        <v>--</v>
      </c>
      <c r="X28" s="1135" t="str">
        <f t="shared" si="7"/>
        <v>--</v>
      </c>
      <c r="Y28" s="1136" t="str">
        <f t="shared" si="8"/>
        <v>--</v>
      </c>
      <c r="Z28" s="1137" t="str">
        <f t="shared" si="9"/>
        <v>--</v>
      </c>
      <c r="AA28" s="1138" t="str">
        <f t="shared" si="10"/>
        <v>--</v>
      </c>
      <c r="AB28" s="1139" t="str">
        <f t="shared" si="11"/>
        <v>--</v>
      </c>
      <c r="AC28" s="1140" t="str">
        <f t="shared" si="12"/>
        <v>--</v>
      </c>
      <c r="AD28" s="1144">
        <f t="shared" si="17"/>
      </c>
      <c r="AE28" s="1142">
        <f t="shared" si="18"/>
      </c>
      <c r="AF28" s="1145"/>
    </row>
    <row r="29" spans="2:32" s="1036" customFormat="1" ht="16.5" customHeight="1">
      <c r="B29" s="1050"/>
      <c r="C29" s="1146"/>
      <c r="D29" s="1146"/>
      <c r="E29" s="1146"/>
      <c r="F29" s="1147"/>
      <c r="G29" s="1148"/>
      <c r="H29" s="1149"/>
      <c r="I29" s="1148"/>
      <c r="J29" s="1122">
        <f t="shared" si="0"/>
        <v>20</v>
      </c>
      <c r="K29" s="1123" t="e">
        <f t="shared" si="1"/>
        <v>#VALUE!</v>
      </c>
      <c r="L29" s="1150"/>
      <c r="M29" s="1151"/>
      <c r="N29" s="1126">
        <f t="shared" si="13"/>
      </c>
      <c r="O29" s="1127">
        <f t="shared" si="14"/>
      </c>
      <c r="P29" s="1128"/>
      <c r="Q29" s="1129">
        <f t="shared" si="15"/>
      </c>
      <c r="R29" s="1130">
        <f t="shared" si="16"/>
      </c>
      <c r="S29" s="1130">
        <f t="shared" si="2"/>
      </c>
      <c r="T29" s="1131" t="str">
        <f t="shared" si="3"/>
        <v>--</v>
      </c>
      <c r="U29" s="1132" t="str">
        <f t="shared" si="4"/>
        <v>--</v>
      </c>
      <c r="V29" s="1133" t="str">
        <f t="shared" si="5"/>
        <v>--</v>
      </c>
      <c r="W29" s="1134" t="str">
        <f t="shared" si="6"/>
        <v>--</v>
      </c>
      <c r="X29" s="1135" t="str">
        <f t="shared" si="7"/>
        <v>--</v>
      </c>
      <c r="Y29" s="1136" t="str">
        <f t="shared" si="8"/>
        <v>--</v>
      </c>
      <c r="Z29" s="1137" t="str">
        <f t="shared" si="9"/>
        <v>--</v>
      </c>
      <c r="AA29" s="1138" t="str">
        <f t="shared" si="10"/>
        <v>--</v>
      </c>
      <c r="AB29" s="1139" t="str">
        <f t="shared" si="11"/>
        <v>--</v>
      </c>
      <c r="AC29" s="1140" t="str">
        <f t="shared" si="12"/>
        <v>--</v>
      </c>
      <c r="AD29" s="1144">
        <f t="shared" si="17"/>
      </c>
      <c r="AE29" s="1142">
        <f t="shared" si="18"/>
      </c>
      <c r="AF29" s="1145"/>
    </row>
    <row r="30" spans="2:32" s="1036" customFormat="1" ht="16.5" customHeight="1">
      <c r="B30" s="1050"/>
      <c r="C30" s="1143"/>
      <c r="D30" s="1143"/>
      <c r="E30" s="1143"/>
      <c r="F30" s="1147"/>
      <c r="G30" s="1148"/>
      <c r="H30" s="1149"/>
      <c r="I30" s="1148"/>
      <c r="J30" s="1122">
        <f t="shared" si="0"/>
        <v>20</v>
      </c>
      <c r="K30" s="1123" t="e">
        <f t="shared" si="1"/>
        <v>#VALUE!</v>
      </c>
      <c r="L30" s="1150"/>
      <c r="M30" s="1151"/>
      <c r="N30" s="1126">
        <f t="shared" si="13"/>
      </c>
      <c r="O30" s="1127">
        <f t="shared" si="14"/>
      </c>
      <c r="P30" s="1128"/>
      <c r="Q30" s="1129">
        <f t="shared" si="15"/>
      </c>
      <c r="R30" s="1130">
        <f t="shared" si="16"/>
      </c>
      <c r="S30" s="1130">
        <f t="shared" si="2"/>
      </c>
      <c r="T30" s="1131" t="str">
        <f t="shared" si="3"/>
        <v>--</v>
      </c>
      <c r="U30" s="1132" t="str">
        <f t="shared" si="4"/>
        <v>--</v>
      </c>
      <c r="V30" s="1133" t="str">
        <f t="shared" si="5"/>
        <v>--</v>
      </c>
      <c r="W30" s="1134" t="str">
        <f t="shared" si="6"/>
        <v>--</v>
      </c>
      <c r="X30" s="1135" t="str">
        <f t="shared" si="7"/>
        <v>--</v>
      </c>
      <c r="Y30" s="1136" t="str">
        <f t="shared" si="8"/>
        <v>--</v>
      </c>
      <c r="Z30" s="1137" t="str">
        <f t="shared" si="9"/>
        <v>--</v>
      </c>
      <c r="AA30" s="1138" t="str">
        <f t="shared" si="10"/>
        <v>--</v>
      </c>
      <c r="AB30" s="1139" t="str">
        <f t="shared" si="11"/>
        <v>--</v>
      </c>
      <c r="AC30" s="1140" t="str">
        <f t="shared" si="12"/>
        <v>--</v>
      </c>
      <c r="AD30" s="1144">
        <f t="shared" si="17"/>
      </c>
      <c r="AE30" s="1142">
        <f t="shared" si="18"/>
      </c>
      <c r="AF30" s="1145"/>
    </row>
    <row r="31" spans="2:32" s="1036" customFormat="1" ht="16.5" customHeight="1">
      <c r="B31" s="1050"/>
      <c r="C31" s="1146"/>
      <c r="D31" s="1146"/>
      <c r="E31" s="1146"/>
      <c r="F31" s="1147"/>
      <c r="G31" s="1148"/>
      <c r="H31" s="1149"/>
      <c r="I31" s="1148"/>
      <c r="J31" s="1122">
        <f t="shared" si="0"/>
        <v>20</v>
      </c>
      <c r="K31" s="1123" t="e">
        <f t="shared" si="1"/>
        <v>#VALUE!</v>
      </c>
      <c r="L31" s="1150"/>
      <c r="M31" s="1152"/>
      <c r="N31" s="1126">
        <f t="shared" si="13"/>
      </c>
      <c r="O31" s="1127">
        <f t="shared" si="14"/>
      </c>
      <c r="P31" s="1128"/>
      <c r="Q31" s="1129">
        <f t="shared" si="15"/>
      </c>
      <c r="R31" s="1130">
        <f t="shared" si="16"/>
      </c>
      <c r="S31" s="1130">
        <f t="shared" si="2"/>
      </c>
      <c r="T31" s="1131" t="str">
        <f t="shared" si="3"/>
        <v>--</v>
      </c>
      <c r="U31" s="1132" t="str">
        <f t="shared" si="4"/>
        <v>--</v>
      </c>
      <c r="V31" s="1133" t="str">
        <f t="shared" si="5"/>
        <v>--</v>
      </c>
      <c r="W31" s="1134" t="str">
        <f t="shared" si="6"/>
        <v>--</v>
      </c>
      <c r="X31" s="1135" t="str">
        <f t="shared" si="7"/>
        <v>--</v>
      </c>
      <c r="Y31" s="1136" t="str">
        <f t="shared" si="8"/>
        <v>--</v>
      </c>
      <c r="Z31" s="1137" t="str">
        <f t="shared" si="9"/>
        <v>--</v>
      </c>
      <c r="AA31" s="1138" t="str">
        <f t="shared" si="10"/>
        <v>--</v>
      </c>
      <c r="AB31" s="1139" t="str">
        <f t="shared" si="11"/>
        <v>--</v>
      </c>
      <c r="AC31" s="1140" t="str">
        <f t="shared" si="12"/>
        <v>--</v>
      </c>
      <c r="AD31" s="1144">
        <f t="shared" si="17"/>
      </c>
      <c r="AE31" s="1142">
        <f t="shared" si="18"/>
      </c>
      <c r="AF31" s="1145"/>
    </row>
    <row r="32" spans="2:32" s="1036" customFormat="1" ht="16.5" customHeight="1">
      <c r="B32" s="1050"/>
      <c r="C32" s="1143"/>
      <c r="D32" s="1143"/>
      <c r="E32" s="1143"/>
      <c r="F32" s="1147"/>
      <c r="G32" s="1148"/>
      <c r="H32" s="1149"/>
      <c r="I32" s="1148"/>
      <c r="J32" s="1122">
        <f t="shared" si="0"/>
        <v>20</v>
      </c>
      <c r="K32" s="1123" t="e">
        <f t="shared" si="1"/>
        <v>#VALUE!</v>
      </c>
      <c r="L32" s="1150"/>
      <c r="M32" s="1152"/>
      <c r="N32" s="1126">
        <f t="shared" si="13"/>
      </c>
      <c r="O32" s="1127">
        <f t="shared" si="14"/>
      </c>
      <c r="P32" s="1128"/>
      <c r="Q32" s="1129">
        <f t="shared" si="15"/>
      </c>
      <c r="R32" s="1130">
        <f t="shared" si="16"/>
      </c>
      <c r="S32" s="1130">
        <f t="shared" si="2"/>
      </c>
      <c r="T32" s="1131" t="str">
        <f t="shared" si="3"/>
        <v>--</v>
      </c>
      <c r="U32" s="1132" t="str">
        <f t="shared" si="4"/>
        <v>--</v>
      </c>
      <c r="V32" s="1133" t="str">
        <f t="shared" si="5"/>
        <v>--</v>
      </c>
      <c r="W32" s="1134" t="str">
        <f t="shared" si="6"/>
        <v>--</v>
      </c>
      <c r="X32" s="1135" t="str">
        <f t="shared" si="7"/>
        <v>--</v>
      </c>
      <c r="Y32" s="1136" t="str">
        <f t="shared" si="8"/>
        <v>--</v>
      </c>
      <c r="Z32" s="1137" t="str">
        <f t="shared" si="9"/>
        <v>--</v>
      </c>
      <c r="AA32" s="1138" t="str">
        <f t="shared" si="10"/>
        <v>--</v>
      </c>
      <c r="AB32" s="1139" t="str">
        <f t="shared" si="11"/>
        <v>--</v>
      </c>
      <c r="AC32" s="1140" t="str">
        <f t="shared" si="12"/>
        <v>--</v>
      </c>
      <c r="AD32" s="1144">
        <f t="shared" si="17"/>
      </c>
      <c r="AE32" s="1142">
        <f t="shared" si="18"/>
      </c>
      <c r="AF32" s="1145"/>
    </row>
    <row r="33" spans="2:32" s="1036" customFormat="1" ht="16.5" customHeight="1">
      <c r="B33" s="1050"/>
      <c r="C33" s="1146"/>
      <c r="D33" s="1146"/>
      <c r="E33" s="1146"/>
      <c r="F33" s="1147"/>
      <c r="G33" s="1148"/>
      <c r="H33" s="1149"/>
      <c r="I33" s="1148"/>
      <c r="J33" s="1122">
        <f t="shared" si="0"/>
        <v>20</v>
      </c>
      <c r="K33" s="1123" t="e">
        <f t="shared" si="1"/>
        <v>#VALUE!</v>
      </c>
      <c r="L33" s="1150"/>
      <c r="M33" s="1152"/>
      <c r="N33" s="1126">
        <f t="shared" si="13"/>
      </c>
      <c r="O33" s="1127">
        <f t="shared" si="14"/>
      </c>
      <c r="P33" s="1128"/>
      <c r="Q33" s="1129">
        <f t="shared" si="15"/>
      </c>
      <c r="R33" s="1130">
        <f t="shared" si="16"/>
      </c>
      <c r="S33" s="1130">
        <f t="shared" si="2"/>
      </c>
      <c r="T33" s="1131" t="str">
        <f t="shared" si="3"/>
        <v>--</v>
      </c>
      <c r="U33" s="1132" t="str">
        <f t="shared" si="4"/>
        <v>--</v>
      </c>
      <c r="V33" s="1133" t="str">
        <f t="shared" si="5"/>
        <v>--</v>
      </c>
      <c r="W33" s="1134" t="str">
        <f t="shared" si="6"/>
        <v>--</v>
      </c>
      <c r="X33" s="1135" t="str">
        <f t="shared" si="7"/>
        <v>--</v>
      </c>
      <c r="Y33" s="1136" t="str">
        <f t="shared" si="8"/>
        <v>--</v>
      </c>
      <c r="Z33" s="1137" t="str">
        <f t="shared" si="9"/>
        <v>--</v>
      </c>
      <c r="AA33" s="1138" t="str">
        <f t="shared" si="10"/>
        <v>--</v>
      </c>
      <c r="AB33" s="1139" t="str">
        <f t="shared" si="11"/>
        <v>--</v>
      </c>
      <c r="AC33" s="1140" t="str">
        <f t="shared" si="12"/>
        <v>--</v>
      </c>
      <c r="AD33" s="1144">
        <f t="shared" si="17"/>
      </c>
      <c r="AE33" s="1142">
        <f t="shared" si="18"/>
      </c>
      <c r="AF33" s="1145"/>
    </row>
    <row r="34" spans="2:32" s="1036" customFormat="1" ht="16.5" customHeight="1">
      <c r="B34" s="1050"/>
      <c r="C34" s="1143"/>
      <c r="D34" s="1143"/>
      <c r="E34" s="1143"/>
      <c r="F34" s="1147"/>
      <c r="G34" s="1148"/>
      <c r="H34" s="1149"/>
      <c r="I34" s="1148"/>
      <c r="J34" s="1122">
        <f t="shared" si="0"/>
        <v>20</v>
      </c>
      <c r="K34" s="1123" t="e">
        <f t="shared" si="1"/>
        <v>#VALUE!</v>
      </c>
      <c r="L34" s="1150"/>
      <c r="M34" s="1152"/>
      <c r="N34" s="1126">
        <f t="shared" si="13"/>
      </c>
      <c r="O34" s="1127">
        <f t="shared" si="14"/>
      </c>
      <c r="P34" s="1128"/>
      <c r="Q34" s="1129">
        <f t="shared" si="15"/>
      </c>
      <c r="R34" s="1130">
        <f t="shared" si="16"/>
      </c>
      <c r="S34" s="1130">
        <f t="shared" si="2"/>
      </c>
      <c r="T34" s="1131" t="str">
        <f t="shared" si="3"/>
        <v>--</v>
      </c>
      <c r="U34" s="1132" t="str">
        <f t="shared" si="4"/>
        <v>--</v>
      </c>
      <c r="V34" s="1133" t="str">
        <f t="shared" si="5"/>
        <v>--</v>
      </c>
      <c r="W34" s="1134" t="str">
        <f t="shared" si="6"/>
        <v>--</v>
      </c>
      <c r="X34" s="1135" t="str">
        <f t="shared" si="7"/>
        <v>--</v>
      </c>
      <c r="Y34" s="1136" t="str">
        <f t="shared" si="8"/>
        <v>--</v>
      </c>
      <c r="Z34" s="1137" t="str">
        <f t="shared" si="9"/>
        <v>--</v>
      </c>
      <c r="AA34" s="1138" t="str">
        <f t="shared" si="10"/>
        <v>--</v>
      </c>
      <c r="AB34" s="1139" t="str">
        <f t="shared" si="11"/>
        <v>--</v>
      </c>
      <c r="AC34" s="1140" t="str">
        <f t="shared" si="12"/>
        <v>--</v>
      </c>
      <c r="AD34" s="1144">
        <f t="shared" si="17"/>
      </c>
      <c r="AE34" s="1142">
        <f t="shared" si="18"/>
      </c>
      <c r="AF34" s="1145"/>
    </row>
    <row r="35" spans="2:32" s="1036" customFormat="1" ht="16.5" customHeight="1">
      <c r="B35" s="1050"/>
      <c r="C35" s="1146"/>
      <c r="D35" s="1146"/>
      <c r="E35" s="1146"/>
      <c r="F35" s="1147"/>
      <c r="G35" s="1148"/>
      <c r="H35" s="1149"/>
      <c r="I35" s="1148"/>
      <c r="J35" s="1122">
        <f t="shared" si="0"/>
        <v>20</v>
      </c>
      <c r="K35" s="1123" t="e">
        <f t="shared" si="1"/>
        <v>#VALUE!</v>
      </c>
      <c r="L35" s="1150"/>
      <c r="M35" s="1152"/>
      <c r="N35" s="1126">
        <f t="shared" si="13"/>
      </c>
      <c r="O35" s="1127">
        <f t="shared" si="14"/>
      </c>
      <c r="P35" s="1128"/>
      <c r="Q35" s="1129">
        <f t="shared" si="15"/>
      </c>
      <c r="R35" s="1130">
        <f t="shared" si="16"/>
      </c>
      <c r="S35" s="1130">
        <f t="shared" si="2"/>
      </c>
      <c r="T35" s="1131" t="str">
        <f t="shared" si="3"/>
        <v>--</v>
      </c>
      <c r="U35" s="1132" t="str">
        <f t="shared" si="4"/>
        <v>--</v>
      </c>
      <c r="V35" s="1133" t="str">
        <f t="shared" si="5"/>
        <v>--</v>
      </c>
      <c r="W35" s="1134" t="str">
        <f t="shared" si="6"/>
        <v>--</v>
      </c>
      <c r="X35" s="1135" t="str">
        <f t="shared" si="7"/>
        <v>--</v>
      </c>
      <c r="Y35" s="1136" t="str">
        <f t="shared" si="8"/>
        <v>--</v>
      </c>
      <c r="Z35" s="1137" t="str">
        <f t="shared" si="9"/>
        <v>--</v>
      </c>
      <c r="AA35" s="1138" t="str">
        <f t="shared" si="10"/>
        <v>--</v>
      </c>
      <c r="AB35" s="1139" t="str">
        <f t="shared" si="11"/>
        <v>--</v>
      </c>
      <c r="AC35" s="1140" t="str">
        <f t="shared" si="12"/>
        <v>--</v>
      </c>
      <c r="AD35" s="1144">
        <f t="shared" si="17"/>
      </c>
      <c r="AE35" s="1142">
        <f t="shared" si="18"/>
      </c>
      <c r="AF35" s="1145"/>
    </row>
    <row r="36" spans="2:32" s="1036" customFormat="1" ht="16.5" customHeight="1">
      <c r="B36" s="1050"/>
      <c r="C36" s="1143"/>
      <c r="D36" s="1143"/>
      <c r="E36" s="1143"/>
      <c r="F36" s="1147"/>
      <c r="G36" s="1148"/>
      <c r="H36" s="1149"/>
      <c r="I36" s="1148"/>
      <c r="J36" s="1122">
        <f t="shared" si="0"/>
        <v>20</v>
      </c>
      <c r="K36" s="1123" t="e">
        <f t="shared" si="1"/>
        <v>#VALUE!</v>
      </c>
      <c r="L36" s="1150"/>
      <c r="M36" s="1152"/>
      <c r="N36" s="1126">
        <f t="shared" si="13"/>
      </c>
      <c r="O36" s="1127">
        <f t="shared" si="14"/>
      </c>
      <c r="P36" s="1128"/>
      <c r="Q36" s="1129">
        <f t="shared" si="15"/>
      </c>
      <c r="R36" s="1130">
        <f t="shared" si="16"/>
      </c>
      <c r="S36" s="1130">
        <f t="shared" si="2"/>
      </c>
      <c r="T36" s="1131" t="str">
        <f t="shared" si="3"/>
        <v>--</v>
      </c>
      <c r="U36" s="1132" t="str">
        <f t="shared" si="4"/>
        <v>--</v>
      </c>
      <c r="V36" s="1133" t="str">
        <f t="shared" si="5"/>
        <v>--</v>
      </c>
      <c r="W36" s="1134" t="str">
        <f t="shared" si="6"/>
        <v>--</v>
      </c>
      <c r="X36" s="1135" t="str">
        <f t="shared" si="7"/>
        <v>--</v>
      </c>
      <c r="Y36" s="1136" t="str">
        <f t="shared" si="8"/>
        <v>--</v>
      </c>
      <c r="Z36" s="1137" t="str">
        <f t="shared" si="9"/>
        <v>--</v>
      </c>
      <c r="AA36" s="1138" t="str">
        <f t="shared" si="10"/>
        <v>--</v>
      </c>
      <c r="AB36" s="1139" t="str">
        <f t="shared" si="11"/>
        <v>--</v>
      </c>
      <c r="AC36" s="1140" t="str">
        <f t="shared" si="12"/>
        <v>--</v>
      </c>
      <c r="AD36" s="1144">
        <f t="shared" si="17"/>
      </c>
      <c r="AE36" s="1142">
        <f t="shared" si="18"/>
      </c>
      <c r="AF36" s="1145"/>
    </row>
    <row r="37" spans="2:32" s="1036" customFormat="1" ht="16.5" customHeight="1">
      <c r="B37" s="1050"/>
      <c r="C37" s="1146"/>
      <c r="D37" s="1146"/>
      <c r="E37" s="1146"/>
      <c r="F37" s="1147"/>
      <c r="G37" s="1148"/>
      <c r="H37" s="1149"/>
      <c r="I37" s="1148"/>
      <c r="J37" s="1122">
        <f t="shared" si="0"/>
        <v>20</v>
      </c>
      <c r="K37" s="1123" t="e">
        <f t="shared" si="1"/>
        <v>#VALUE!</v>
      </c>
      <c r="L37" s="1150"/>
      <c r="M37" s="1152"/>
      <c r="N37" s="1126">
        <f t="shared" si="13"/>
      </c>
      <c r="O37" s="1127">
        <f t="shared" si="14"/>
      </c>
      <c r="P37" s="1128"/>
      <c r="Q37" s="1129">
        <f t="shared" si="15"/>
      </c>
      <c r="R37" s="1130">
        <f t="shared" si="16"/>
      </c>
      <c r="S37" s="1130">
        <f t="shared" si="2"/>
      </c>
      <c r="T37" s="1131" t="str">
        <f t="shared" si="3"/>
        <v>--</v>
      </c>
      <c r="U37" s="1132" t="str">
        <f t="shared" si="4"/>
        <v>--</v>
      </c>
      <c r="V37" s="1133" t="str">
        <f t="shared" si="5"/>
        <v>--</v>
      </c>
      <c r="W37" s="1134" t="str">
        <f t="shared" si="6"/>
        <v>--</v>
      </c>
      <c r="X37" s="1135" t="str">
        <f t="shared" si="7"/>
        <v>--</v>
      </c>
      <c r="Y37" s="1136" t="str">
        <f t="shared" si="8"/>
        <v>--</v>
      </c>
      <c r="Z37" s="1137" t="str">
        <f t="shared" si="9"/>
        <v>--</v>
      </c>
      <c r="AA37" s="1138" t="str">
        <f t="shared" si="10"/>
        <v>--</v>
      </c>
      <c r="AB37" s="1139" t="str">
        <f t="shared" si="11"/>
        <v>--</v>
      </c>
      <c r="AC37" s="1140" t="str">
        <f t="shared" si="12"/>
        <v>--</v>
      </c>
      <c r="AD37" s="1144">
        <f t="shared" si="17"/>
      </c>
      <c r="AE37" s="1142">
        <f t="shared" si="18"/>
      </c>
      <c r="AF37" s="1145"/>
    </row>
    <row r="38" spans="2:32" s="1036" customFormat="1" ht="16.5" customHeight="1">
      <c r="B38" s="1050"/>
      <c r="C38" s="1143"/>
      <c r="D38" s="1143"/>
      <c r="E38" s="1143"/>
      <c r="F38" s="1147"/>
      <c r="G38" s="1148"/>
      <c r="H38" s="1149"/>
      <c r="I38" s="1148"/>
      <c r="J38" s="1122">
        <f t="shared" si="0"/>
        <v>20</v>
      </c>
      <c r="K38" s="1123" t="e">
        <f t="shared" si="1"/>
        <v>#VALUE!</v>
      </c>
      <c r="L38" s="1150"/>
      <c r="M38" s="1152"/>
      <c r="N38" s="1126">
        <f t="shared" si="13"/>
      </c>
      <c r="O38" s="1127">
        <f t="shared" si="14"/>
      </c>
      <c r="P38" s="1128"/>
      <c r="Q38" s="1129">
        <f t="shared" si="15"/>
      </c>
      <c r="R38" s="1130">
        <f t="shared" si="16"/>
      </c>
      <c r="S38" s="1130">
        <f t="shared" si="2"/>
      </c>
      <c r="T38" s="1131" t="str">
        <f t="shared" si="3"/>
        <v>--</v>
      </c>
      <c r="U38" s="1132" t="str">
        <f t="shared" si="4"/>
        <v>--</v>
      </c>
      <c r="V38" s="1133" t="str">
        <f t="shared" si="5"/>
        <v>--</v>
      </c>
      <c r="W38" s="1134" t="str">
        <f t="shared" si="6"/>
        <v>--</v>
      </c>
      <c r="X38" s="1135" t="str">
        <f t="shared" si="7"/>
        <v>--</v>
      </c>
      <c r="Y38" s="1136" t="str">
        <f t="shared" si="8"/>
        <v>--</v>
      </c>
      <c r="Z38" s="1137" t="str">
        <f t="shared" si="9"/>
        <v>--</v>
      </c>
      <c r="AA38" s="1138" t="str">
        <f t="shared" si="10"/>
        <v>--</v>
      </c>
      <c r="AB38" s="1139" t="str">
        <f t="shared" si="11"/>
        <v>--</v>
      </c>
      <c r="AC38" s="1140" t="str">
        <f t="shared" si="12"/>
        <v>--</v>
      </c>
      <c r="AD38" s="1144">
        <f t="shared" si="17"/>
      </c>
      <c r="AE38" s="1142">
        <f t="shared" si="18"/>
      </c>
      <c r="AF38" s="1145"/>
    </row>
    <row r="39" spans="2:32" s="1036" customFormat="1" ht="16.5" customHeight="1">
      <c r="B39" s="1050"/>
      <c r="C39" s="1146"/>
      <c r="D39" s="1146"/>
      <c r="E39" s="1146"/>
      <c r="F39" s="1147"/>
      <c r="G39" s="1148"/>
      <c r="H39" s="1149"/>
      <c r="I39" s="1148"/>
      <c r="J39" s="1122">
        <f t="shared" si="0"/>
        <v>20</v>
      </c>
      <c r="K39" s="1123" t="e">
        <f t="shared" si="1"/>
        <v>#VALUE!</v>
      </c>
      <c r="L39" s="1150"/>
      <c r="M39" s="1152"/>
      <c r="N39" s="1126">
        <f t="shared" si="13"/>
      </c>
      <c r="O39" s="1127">
        <f t="shared" si="14"/>
      </c>
      <c r="P39" s="1128"/>
      <c r="Q39" s="1129">
        <f t="shared" si="15"/>
      </c>
      <c r="R39" s="1130">
        <f t="shared" si="16"/>
      </c>
      <c r="S39" s="1130">
        <f t="shared" si="2"/>
      </c>
      <c r="T39" s="1131" t="str">
        <f t="shared" si="3"/>
        <v>--</v>
      </c>
      <c r="U39" s="1132" t="str">
        <f t="shared" si="4"/>
        <v>--</v>
      </c>
      <c r="V39" s="1133" t="str">
        <f t="shared" si="5"/>
        <v>--</v>
      </c>
      <c r="W39" s="1134" t="str">
        <f t="shared" si="6"/>
        <v>--</v>
      </c>
      <c r="X39" s="1135" t="str">
        <f t="shared" si="7"/>
        <v>--</v>
      </c>
      <c r="Y39" s="1136" t="str">
        <f t="shared" si="8"/>
        <v>--</v>
      </c>
      <c r="Z39" s="1137" t="str">
        <f t="shared" si="9"/>
        <v>--</v>
      </c>
      <c r="AA39" s="1138" t="str">
        <f t="shared" si="10"/>
        <v>--</v>
      </c>
      <c r="AB39" s="1139" t="str">
        <f t="shared" si="11"/>
        <v>--</v>
      </c>
      <c r="AC39" s="1140" t="str">
        <f t="shared" si="12"/>
        <v>--</v>
      </c>
      <c r="AD39" s="1144">
        <f t="shared" si="17"/>
      </c>
      <c r="AE39" s="1142">
        <f t="shared" si="18"/>
      </c>
      <c r="AF39" s="1145"/>
    </row>
    <row r="40" spans="2:32" s="1036" customFormat="1" ht="16.5" customHeight="1" thickBot="1">
      <c r="B40" s="1050"/>
      <c r="C40" s="1143"/>
      <c r="D40" s="1153"/>
      <c r="E40" s="1143"/>
      <c r="F40" s="1154"/>
      <c r="G40" s="1155"/>
      <c r="H40" s="1156"/>
      <c r="I40" s="1157"/>
      <c r="J40" s="1158"/>
      <c r="K40" s="1159"/>
      <c r="L40" s="1160"/>
      <c r="M40" s="1160"/>
      <c r="N40" s="1161"/>
      <c r="O40" s="1161"/>
      <c r="P40" s="1162"/>
      <c r="Q40" s="1163"/>
      <c r="R40" s="1162"/>
      <c r="S40" s="1162"/>
      <c r="T40" s="1164"/>
      <c r="U40" s="1165"/>
      <c r="V40" s="1166"/>
      <c r="W40" s="1167"/>
      <c r="X40" s="1168"/>
      <c r="Y40" s="1169"/>
      <c r="Z40" s="1170"/>
      <c r="AA40" s="1171"/>
      <c r="AB40" s="1172"/>
      <c r="AC40" s="1173"/>
      <c r="AD40" s="1174"/>
      <c r="AE40" s="1175"/>
      <c r="AF40" s="1145"/>
    </row>
    <row r="41" spans="2:32" s="1036" customFormat="1" ht="16.5" customHeight="1" thickBot="1" thickTop="1">
      <c r="B41" s="1050"/>
      <c r="C41" s="1176" t="s">
        <v>280</v>
      </c>
      <c r="D41" s="1177" t="s">
        <v>281</v>
      </c>
      <c r="E41" s="1178"/>
      <c r="F41" s="1179"/>
      <c r="G41" s="1180"/>
      <c r="H41" s="1181"/>
      <c r="I41" s="1182"/>
      <c r="J41" s="1181"/>
      <c r="K41" s="1183"/>
      <c r="L41" s="1183"/>
      <c r="M41" s="1183"/>
      <c r="N41" s="1183"/>
      <c r="O41" s="1183"/>
      <c r="P41" s="1183"/>
      <c r="Q41" s="1184"/>
      <c r="R41" s="1183"/>
      <c r="S41" s="1183"/>
      <c r="T41" s="1185">
        <f aca="true" t="shared" si="19" ref="T41:AC41">SUM(T18:T40)</f>
        <v>1800.5203937390402</v>
      </c>
      <c r="U41" s="1186">
        <f t="shared" si="19"/>
        <v>0</v>
      </c>
      <c r="V41" s="1187">
        <f t="shared" si="19"/>
        <v>0</v>
      </c>
      <c r="W41" s="1187">
        <f t="shared" si="19"/>
        <v>0</v>
      </c>
      <c r="X41" s="1187">
        <f t="shared" si="19"/>
        <v>0</v>
      </c>
      <c r="Y41" s="1188">
        <f t="shared" si="19"/>
        <v>0</v>
      </c>
      <c r="Z41" s="1188">
        <f t="shared" si="19"/>
        <v>0</v>
      </c>
      <c r="AA41" s="1188">
        <f t="shared" si="19"/>
        <v>0</v>
      </c>
      <c r="AB41" s="1189">
        <f t="shared" si="19"/>
        <v>0</v>
      </c>
      <c r="AC41" s="1190">
        <f t="shared" si="19"/>
        <v>0</v>
      </c>
      <c r="AD41" s="1191"/>
      <c r="AE41" s="1192">
        <f>ROUND(SUM(AE18:AE40),2)</f>
        <v>1800.52</v>
      </c>
      <c r="AF41" s="1145"/>
    </row>
    <row r="42" spans="2:32" s="1036" customFormat="1" ht="16.5" customHeight="1" thickBot="1" thickTop="1">
      <c r="B42" s="1193"/>
      <c r="C42" s="1194"/>
      <c r="D42" s="1194"/>
      <c r="E42" s="1194"/>
      <c r="F42" s="1194"/>
      <c r="G42" s="1194"/>
      <c r="H42" s="1194"/>
      <c r="I42" s="1194"/>
      <c r="J42" s="1194"/>
      <c r="K42" s="1194"/>
      <c r="L42" s="1194"/>
      <c r="M42" s="1194"/>
      <c r="N42" s="1194"/>
      <c r="O42" s="1194"/>
      <c r="P42" s="1194"/>
      <c r="Q42" s="1194"/>
      <c r="R42" s="1194"/>
      <c r="S42" s="1194"/>
      <c r="T42" s="1194"/>
      <c r="U42" s="1194"/>
      <c r="V42" s="1194"/>
      <c r="W42" s="1194"/>
      <c r="X42" s="1194"/>
      <c r="Y42" s="1194"/>
      <c r="Z42" s="1194"/>
      <c r="AA42" s="1194"/>
      <c r="AB42" s="1194"/>
      <c r="AC42" s="1194"/>
      <c r="AD42" s="1194"/>
      <c r="AE42" s="1194"/>
      <c r="AF42" s="1195"/>
    </row>
    <row r="43" spans="2:32" ht="16.5" customHeight="1" thickTop="1">
      <c r="B43" s="1196"/>
      <c r="C43" s="1196"/>
      <c r="D43" s="1196"/>
      <c r="AF43" s="1196"/>
    </row>
  </sheetData>
  <sheetProtection password="CC12"/>
  <printOptions/>
  <pageMargins left="0.5511811023622047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zoomScale="70" zoomScaleNormal="70" zoomScalePageLayoutView="0" workbookViewId="0" topLeftCell="B1">
      <selection activeCell="B3" sqref="B3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4" width="13.7109375" style="9" customWidth="1"/>
    <col min="5" max="5" width="13.851562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78"/>
      <c r="B2" s="2" t="str">
        <f>+'TOT-1214'!B2</f>
        <v>ANEXO I al Memorándum D.T.E.E. N° 90 /2016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79"/>
    </row>
    <row r="4" spans="1:4" s="14" customFormat="1" ht="11.25">
      <c r="A4" s="12" t="s">
        <v>2</v>
      </c>
      <c r="B4" s="80"/>
      <c r="C4" s="80"/>
      <c r="D4" s="80"/>
    </row>
    <row r="5" spans="1:4" s="14" customFormat="1" ht="11.25">
      <c r="A5" s="12" t="s">
        <v>3</v>
      </c>
      <c r="B5" s="80"/>
      <c r="C5" s="80"/>
      <c r="D5" s="80"/>
    </row>
    <row r="6" s="8" customFormat="1" ht="13.5" thickBot="1"/>
    <row r="7" spans="2:32" s="8" customFormat="1" ht="13.5" thickTop="1">
      <c r="B7" s="81"/>
      <c r="C7" s="82"/>
      <c r="D7" s="82"/>
      <c r="E7" s="82"/>
      <c r="F7" s="82"/>
      <c r="G7" s="83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4"/>
    </row>
    <row r="8" spans="2:32" s="18" customFormat="1" ht="20.25">
      <c r="B8" s="85"/>
      <c r="C8" s="23"/>
      <c r="D8" s="23"/>
      <c r="E8" s="23"/>
      <c r="F8" s="86" t="s">
        <v>23</v>
      </c>
      <c r="G8" s="23"/>
      <c r="H8" s="23"/>
      <c r="I8" s="23"/>
      <c r="J8" s="23"/>
      <c r="P8" s="23"/>
      <c r="Q8" s="23"/>
      <c r="R8" s="87"/>
      <c r="S8" s="8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88"/>
    </row>
    <row r="9" spans="2:32" s="8" customFormat="1" ht="12.75">
      <c r="B9" s="5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89"/>
    </row>
    <row r="10" spans="2:32" s="18" customFormat="1" ht="20.25">
      <c r="B10" s="85"/>
      <c r="C10" s="23"/>
      <c r="D10" s="23"/>
      <c r="E10" s="23"/>
      <c r="F10" s="87" t="s">
        <v>24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88"/>
    </row>
    <row r="11" spans="2:32" s="8" customFormat="1" ht="12.75">
      <c r="B11" s="5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89"/>
    </row>
    <row r="12" spans="2:32" s="18" customFormat="1" ht="20.25">
      <c r="B12" s="85"/>
      <c r="C12" s="23"/>
      <c r="D12" s="23"/>
      <c r="E12" s="23"/>
      <c r="F12" s="87" t="s">
        <v>314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87"/>
      <c r="S12" s="8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88"/>
    </row>
    <row r="13" spans="2:32" s="8" customFormat="1" ht="12.75">
      <c r="B13" s="53"/>
      <c r="C13" s="11"/>
      <c r="D13" s="11"/>
      <c r="E13" s="11"/>
      <c r="F13" s="11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89"/>
    </row>
    <row r="14" spans="2:32" s="34" customFormat="1" ht="19.5">
      <c r="B14" s="35" t="str">
        <f>'TOT-1214'!B14</f>
        <v>Desde el 01 al 31 de diciembre de 2014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91"/>
      <c r="Q14" s="91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92"/>
    </row>
    <row r="15" spans="2:32" s="8" customFormat="1" ht="16.5" customHeight="1" thickBot="1">
      <c r="B15" s="53"/>
      <c r="C15" s="11"/>
      <c r="D15" s="11"/>
      <c r="E15" s="11"/>
      <c r="F15" s="11"/>
      <c r="G15" s="75"/>
      <c r="H15" s="75"/>
      <c r="I15" s="11"/>
      <c r="J15" s="11"/>
      <c r="K15" s="11"/>
      <c r="L15" s="93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89"/>
    </row>
    <row r="16" spans="2:32" s="8" customFormat="1" ht="16.5" customHeight="1" thickBot="1" thickTop="1">
      <c r="B16" s="53"/>
      <c r="C16" s="11"/>
      <c r="D16" s="11"/>
      <c r="E16" s="11"/>
      <c r="F16" s="94" t="s">
        <v>26</v>
      </c>
      <c r="G16" s="2507">
        <v>434.062</v>
      </c>
      <c r="H16" s="250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89"/>
    </row>
    <row r="17" spans="2:32" s="8" customFormat="1" ht="16.5" customHeight="1" thickBot="1" thickTop="1">
      <c r="B17" s="53"/>
      <c r="C17" s="11"/>
      <c r="D17" s="11"/>
      <c r="E17" s="11"/>
      <c r="F17" s="94" t="s">
        <v>27</v>
      </c>
      <c r="G17" s="95">
        <v>361.726</v>
      </c>
      <c r="H17" s="96"/>
      <c r="I17" s="11"/>
      <c r="J17" s="11"/>
      <c r="K17" s="11"/>
      <c r="L17" s="97"/>
      <c r="M17" s="9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99"/>
      <c r="Y17" s="99"/>
      <c r="Z17" s="99"/>
      <c r="AA17" s="99"/>
      <c r="AB17" s="99"/>
      <c r="AC17" s="99"/>
      <c r="AD17" s="99"/>
      <c r="AF17" s="89"/>
    </row>
    <row r="18" spans="2:32" s="8" customFormat="1" ht="16.5" customHeight="1" thickBot="1" thickTop="1">
      <c r="B18" s="53"/>
      <c r="C18" s="100">
        <v>3</v>
      </c>
      <c r="D18" s="100">
        <v>4</v>
      </c>
      <c r="E18" s="100">
        <v>5</v>
      </c>
      <c r="F18" s="100">
        <v>6</v>
      </c>
      <c r="G18" s="100">
        <v>7</v>
      </c>
      <c r="H18" s="100">
        <v>8</v>
      </c>
      <c r="I18" s="100">
        <v>9</v>
      </c>
      <c r="J18" s="100">
        <v>10</v>
      </c>
      <c r="K18" s="100">
        <v>11</v>
      </c>
      <c r="L18" s="100">
        <v>12</v>
      </c>
      <c r="M18" s="100">
        <v>13</v>
      </c>
      <c r="N18" s="100">
        <v>14</v>
      </c>
      <c r="O18" s="100">
        <v>15</v>
      </c>
      <c r="P18" s="100">
        <v>16</v>
      </c>
      <c r="Q18" s="100">
        <v>17</v>
      </c>
      <c r="R18" s="100">
        <v>18</v>
      </c>
      <c r="S18" s="100">
        <v>19</v>
      </c>
      <c r="T18" s="100">
        <v>20</v>
      </c>
      <c r="U18" s="100">
        <v>21</v>
      </c>
      <c r="V18" s="100">
        <v>22</v>
      </c>
      <c r="W18" s="100">
        <v>23</v>
      </c>
      <c r="X18" s="100">
        <v>24</v>
      </c>
      <c r="Y18" s="100">
        <v>25</v>
      </c>
      <c r="Z18" s="100">
        <v>26</v>
      </c>
      <c r="AA18" s="100">
        <v>27</v>
      </c>
      <c r="AB18" s="100">
        <v>28</v>
      </c>
      <c r="AC18" s="100">
        <v>29</v>
      </c>
      <c r="AD18" s="100">
        <v>30</v>
      </c>
      <c r="AE18" s="100">
        <v>31</v>
      </c>
      <c r="AF18" s="89"/>
    </row>
    <row r="19" spans="2:32" s="8" customFormat="1" ht="33.75" customHeight="1" thickBot="1" thickTop="1">
      <c r="B19" s="53"/>
      <c r="C19" s="101" t="s">
        <v>28</v>
      </c>
      <c r="D19" s="101" t="s">
        <v>29</v>
      </c>
      <c r="E19" s="101" t="s">
        <v>30</v>
      </c>
      <c r="F19" s="102" t="s">
        <v>5</v>
      </c>
      <c r="G19" s="103" t="s">
        <v>31</v>
      </c>
      <c r="H19" s="104" t="s">
        <v>32</v>
      </c>
      <c r="I19" s="105" t="s">
        <v>33</v>
      </c>
      <c r="J19" s="106" t="s">
        <v>34</v>
      </c>
      <c r="K19" s="107" t="s">
        <v>35</v>
      </c>
      <c r="L19" s="102" t="s">
        <v>36</v>
      </c>
      <c r="M19" s="108" t="s">
        <v>37</v>
      </c>
      <c r="N19" s="109" t="s">
        <v>38</v>
      </c>
      <c r="O19" s="104" t="s">
        <v>39</v>
      </c>
      <c r="P19" s="109" t="s">
        <v>179</v>
      </c>
      <c r="Q19" s="104" t="s">
        <v>40</v>
      </c>
      <c r="R19" s="108" t="s">
        <v>41</v>
      </c>
      <c r="S19" s="102" t="s">
        <v>42</v>
      </c>
      <c r="T19" s="110" t="s">
        <v>43</v>
      </c>
      <c r="U19" s="111" t="s">
        <v>44</v>
      </c>
      <c r="V19" s="112" t="s">
        <v>45</v>
      </c>
      <c r="W19" s="113"/>
      <c r="X19" s="114"/>
      <c r="Y19" s="115" t="s">
        <v>46</v>
      </c>
      <c r="Z19" s="116"/>
      <c r="AA19" s="117"/>
      <c r="AB19" s="118" t="s">
        <v>47</v>
      </c>
      <c r="AC19" s="119" t="s">
        <v>48</v>
      </c>
      <c r="AD19" s="120" t="s">
        <v>49</v>
      </c>
      <c r="AE19" s="120" t="s">
        <v>50</v>
      </c>
      <c r="AF19" s="121"/>
    </row>
    <row r="20" spans="2:32" s="8" customFormat="1" ht="16.5" customHeight="1" thickTop="1">
      <c r="B20" s="53"/>
      <c r="C20" s="122"/>
      <c r="D20" s="122"/>
      <c r="E20" s="122"/>
      <c r="F20" s="123"/>
      <c r="G20" s="123"/>
      <c r="H20" s="124"/>
      <c r="I20" s="125"/>
      <c r="J20" s="126"/>
      <c r="K20" s="127"/>
      <c r="L20" s="128"/>
      <c r="M20" s="128"/>
      <c r="N20" s="125"/>
      <c r="O20" s="125"/>
      <c r="P20" s="125"/>
      <c r="Q20" s="125"/>
      <c r="R20" s="125"/>
      <c r="S20" s="125"/>
      <c r="T20" s="129"/>
      <c r="U20" s="130"/>
      <c r="V20" s="131"/>
      <c r="W20" s="132"/>
      <c r="X20" s="133"/>
      <c r="Y20" s="134"/>
      <c r="Z20" s="135"/>
      <c r="AA20" s="136"/>
      <c r="AB20" s="137"/>
      <c r="AC20" s="138"/>
      <c r="AD20" s="125"/>
      <c r="AE20" s="139"/>
      <c r="AF20" s="89"/>
    </row>
    <row r="21" spans="2:32" s="8" customFormat="1" ht="16.5" customHeight="1">
      <c r="B21" s="53"/>
      <c r="C21" s="140"/>
      <c r="D21" s="140"/>
      <c r="E21" s="140"/>
      <c r="F21" s="141"/>
      <c r="G21" s="142"/>
      <c r="H21" s="143"/>
      <c r="I21" s="141"/>
      <c r="J21" s="144"/>
      <c r="K21" s="145"/>
      <c r="L21" s="146"/>
      <c r="M21" s="99"/>
      <c r="N21" s="141"/>
      <c r="O21" s="141"/>
      <c r="P21" s="147"/>
      <c r="Q21" s="141"/>
      <c r="R21" s="141"/>
      <c r="S21" s="141"/>
      <c r="T21" s="148"/>
      <c r="U21" s="149"/>
      <c r="V21" s="150"/>
      <c r="W21" s="151"/>
      <c r="X21" s="152"/>
      <c r="Y21" s="153"/>
      <c r="Z21" s="154"/>
      <c r="AA21" s="155"/>
      <c r="AB21" s="156"/>
      <c r="AC21" s="157"/>
      <c r="AD21" s="141"/>
      <c r="AE21" s="158"/>
      <c r="AF21" s="89"/>
    </row>
    <row r="22" spans="2:32" s="8" customFormat="1" ht="16.5" customHeight="1">
      <c r="B22" s="53"/>
      <c r="C22" s="159">
        <v>14</v>
      </c>
      <c r="D22" s="159">
        <v>283172</v>
      </c>
      <c r="E22" s="159">
        <v>3562</v>
      </c>
      <c r="F22" s="159" t="s">
        <v>205</v>
      </c>
      <c r="G22" s="160">
        <v>500</v>
      </c>
      <c r="H22" s="161">
        <v>254.8000030517578</v>
      </c>
      <c r="I22" s="160" t="s">
        <v>193</v>
      </c>
      <c r="J22" s="162">
        <f aca="true" t="shared" si="0" ref="J22:J41">IF(I22="A",200,IF(I22="B",60,20))</f>
        <v>20</v>
      </c>
      <c r="K22" s="163">
        <f aca="true" t="shared" si="1" ref="K22:K41">IF(G22=500,IF(H22&lt;100,100*$G$16/100,H22*$G$16/100),IF(H22&lt;100,100*$G$17/100,H22*$G$17/100))</f>
        <v>1105.989989246521</v>
      </c>
      <c r="L22" s="164">
        <v>42002.52291666667</v>
      </c>
      <c r="M22" s="165">
        <v>42002.558333333334</v>
      </c>
      <c r="N22" s="166">
        <f aca="true" t="shared" si="2" ref="N22:N41">IF(F22="","",(M22-L22)*24)</f>
        <v>0.8499999999767169</v>
      </c>
      <c r="O22" s="167">
        <f aca="true" t="shared" si="3" ref="O22:O41">IF(F22="","",ROUND((M22-L22)*24*60,0))</f>
        <v>51</v>
      </c>
      <c r="P22" s="168" t="s">
        <v>194</v>
      </c>
      <c r="Q22" s="169" t="str">
        <f aca="true" t="shared" si="4" ref="Q22:Q41">IF(F22="","","--")</f>
        <v>--</v>
      </c>
      <c r="R22" s="170" t="str">
        <f aca="true" t="shared" si="5" ref="R22:R41">IF(F22="","","NO")</f>
        <v>NO</v>
      </c>
      <c r="S22" s="170" t="str">
        <f aca="true" t="shared" si="6" ref="S22:S41">IF(F22="","",IF(OR(P22="P",P22="RP"),"--","NO"))</f>
        <v>NO</v>
      </c>
      <c r="T22" s="250" t="str">
        <f aca="true" t="shared" si="7" ref="T22:T41">IF(P22="P",K22*J22*ROUND(O22/60,2)*0.01,"--")</f>
        <v>--</v>
      </c>
      <c r="U22" s="251" t="str">
        <f aca="true" t="shared" si="8" ref="U22:U41">IF(P22="RP",K22*J22*ROUND(O22/60,2)*0.01*Q22/100,"--")</f>
        <v>--</v>
      </c>
      <c r="V22" s="252">
        <f aca="true" t="shared" si="9" ref="V22:V41">IF(AND(P22="F",S22="NO"),K22*J22*IF(R22="SI",1.2,1),"--")</f>
        <v>22119.79978493042</v>
      </c>
      <c r="W22" s="253">
        <f aca="true" t="shared" si="10" ref="W22:W41">IF(AND(P22="F",O22&gt;=10),K22*J22*IF(R22="SI",1.2,1)*IF(O22&lt;=300,ROUND(O22/60,2),5),"--")</f>
        <v>18801.829817190857</v>
      </c>
      <c r="X22" s="254" t="str">
        <f aca="true" t="shared" si="11" ref="X22:X41">IF(AND(P22="F",O22&gt;300),(ROUND(O22/60,2)-5)*K22*J22*0.1*IF(R22="SI",1.2,1),"--")</f>
        <v>--</v>
      </c>
      <c r="Y22" s="255" t="str">
        <f aca="true" t="shared" si="12" ref="Y22:Y41">IF(AND(P22="R",S22="NO"),K22*J22*Q22/100*IF(R22="SI",1.2,1),"--")</f>
        <v>--</v>
      </c>
      <c r="Z22" s="256" t="str">
        <f aca="true" t="shared" si="13" ref="Z22:Z41">IF(AND(P22="R",O22&gt;=10),K22*J22*Q22/100*IF(R22="SI",1.2,1)*IF(O22&lt;=300,ROUND(O22/60,2),5),"--")</f>
        <v>--</v>
      </c>
      <c r="AA22" s="257" t="str">
        <f aca="true" t="shared" si="14" ref="AA22:AA41">IF(AND(P22="R",O22&gt;300),(ROUND(O22/60,2)-5)*K22*J22*0.1*Q22/100*IF(R22="SI",1.2,1),"--")</f>
        <v>--</v>
      </c>
      <c r="AB22" s="258" t="str">
        <f aca="true" t="shared" si="15" ref="AB22:AB41">IF(P22="RF",ROUND(O22/60,2)*K22*J22*0.1*IF(R22="SI",1.2,1),"--")</f>
        <v>--</v>
      </c>
      <c r="AC22" s="259" t="str">
        <f aca="true" t="shared" si="16" ref="AC22:AC41">IF(P22="RR",ROUND(O22/60,2)*K22*J22*0.1*Q22/100*IF(R22="SI",1.2,1),"--")</f>
        <v>--</v>
      </c>
      <c r="AD22" s="181" t="s">
        <v>81</v>
      </c>
      <c r="AE22" s="182">
        <f aca="true" t="shared" si="17" ref="AE22:AE41">IF(F22="","",SUM(T22:AC22)*IF(AD22="SI",1,2))</f>
        <v>40921.62960212128</v>
      </c>
      <c r="AF22" s="183"/>
    </row>
    <row r="23" spans="2:32" s="8" customFormat="1" ht="16.5" customHeight="1">
      <c r="B23" s="53"/>
      <c r="C23" s="140"/>
      <c r="D23" s="140"/>
      <c r="E23" s="140"/>
      <c r="F23" s="159"/>
      <c r="G23" s="160"/>
      <c r="H23" s="161"/>
      <c r="I23" s="160"/>
      <c r="J23" s="162">
        <f t="shared" si="0"/>
        <v>20</v>
      </c>
      <c r="K23" s="163">
        <f t="shared" si="1"/>
        <v>361.726</v>
      </c>
      <c r="L23" s="164"/>
      <c r="M23" s="165"/>
      <c r="N23" s="166">
        <f t="shared" si="2"/>
      </c>
      <c r="O23" s="167">
        <f t="shared" si="3"/>
      </c>
      <c r="P23" s="168"/>
      <c r="Q23" s="169">
        <f t="shared" si="4"/>
      </c>
      <c r="R23" s="170">
        <f t="shared" si="5"/>
      </c>
      <c r="S23" s="170">
        <f t="shared" si="6"/>
      </c>
      <c r="T23" s="250" t="str">
        <f t="shared" si="7"/>
        <v>--</v>
      </c>
      <c r="U23" s="251" t="str">
        <f t="shared" si="8"/>
        <v>--</v>
      </c>
      <c r="V23" s="252" t="str">
        <f t="shared" si="9"/>
        <v>--</v>
      </c>
      <c r="W23" s="253" t="str">
        <f t="shared" si="10"/>
        <v>--</v>
      </c>
      <c r="X23" s="254" t="str">
        <f t="shared" si="11"/>
        <v>--</v>
      </c>
      <c r="Y23" s="255" t="str">
        <f t="shared" si="12"/>
        <v>--</v>
      </c>
      <c r="Z23" s="256" t="str">
        <f t="shared" si="13"/>
        <v>--</v>
      </c>
      <c r="AA23" s="257" t="str">
        <f t="shared" si="14"/>
        <v>--</v>
      </c>
      <c r="AB23" s="258" t="str">
        <f t="shared" si="15"/>
        <v>--</v>
      </c>
      <c r="AC23" s="259" t="str">
        <f t="shared" si="16"/>
        <v>--</v>
      </c>
      <c r="AD23" s="181">
        <f aca="true" t="shared" si="18" ref="AD23:AD41">IF(F23="","","SI")</f>
      </c>
      <c r="AE23" s="182">
        <f t="shared" si="17"/>
      </c>
      <c r="AF23" s="183"/>
    </row>
    <row r="24" spans="2:32" s="8" customFormat="1" ht="16.5" customHeight="1">
      <c r="B24" s="53"/>
      <c r="C24" s="159"/>
      <c r="D24" s="159"/>
      <c r="E24" s="159"/>
      <c r="F24" s="184"/>
      <c r="G24" s="185"/>
      <c r="H24" s="186"/>
      <c r="I24" s="185"/>
      <c r="J24" s="162">
        <f t="shared" si="0"/>
        <v>20</v>
      </c>
      <c r="K24" s="163">
        <f t="shared" si="1"/>
        <v>361.726</v>
      </c>
      <c r="L24" s="187"/>
      <c r="M24" s="188"/>
      <c r="N24" s="166">
        <f t="shared" si="2"/>
      </c>
      <c r="O24" s="167">
        <f t="shared" si="3"/>
      </c>
      <c r="P24" s="168"/>
      <c r="Q24" s="169">
        <f t="shared" si="4"/>
      </c>
      <c r="R24" s="170">
        <f t="shared" si="5"/>
      </c>
      <c r="S24" s="170">
        <f t="shared" si="6"/>
      </c>
      <c r="T24" s="250" t="str">
        <f t="shared" si="7"/>
        <v>--</v>
      </c>
      <c r="U24" s="251" t="str">
        <f t="shared" si="8"/>
        <v>--</v>
      </c>
      <c r="V24" s="252" t="str">
        <f t="shared" si="9"/>
        <v>--</v>
      </c>
      <c r="W24" s="253" t="str">
        <f t="shared" si="10"/>
        <v>--</v>
      </c>
      <c r="X24" s="254" t="str">
        <f t="shared" si="11"/>
        <v>--</v>
      </c>
      <c r="Y24" s="255" t="str">
        <f t="shared" si="12"/>
        <v>--</v>
      </c>
      <c r="Z24" s="256" t="str">
        <f t="shared" si="13"/>
        <v>--</v>
      </c>
      <c r="AA24" s="257" t="str">
        <f t="shared" si="14"/>
        <v>--</v>
      </c>
      <c r="AB24" s="258" t="str">
        <f t="shared" si="15"/>
        <v>--</v>
      </c>
      <c r="AC24" s="259" t="str">
        <f t="shared" si="16"/>
        <v>--</v>
      </c>
      <c r="AD24" s="181">
        <f t="shared" si="18"/>
      </c>
      <c r="AE24" s="182">
        <f t="shared" si="17"/>
      </c>
      <c r="AF24" s="183"/>
    </row>
    <row r="25" spans="2:32" s="8" customFormat="1" ht="16.5" customHeight="1">
      <c r="B25" s="53"/>
      <c r="C25" s="140"/>
      <c r="D25" s="140"/>
      <c r="E25" s="140"/>
      <c r="F25" s="184"/>
      <c r="G25" s="185"/>
      <c r="H25" s="186"/>
      <c r="I25" s="185"/>
      <c r="J25" s="162">
        <f t="shared" si="0"/>
        <v>20</v>
      </c>
      <c r="K25" s="163">
        <f t="shared" si="1"/>
        <v>361.726</v>
      </c>
      <c r="L25" s="187"/>
      <c r="M25" s="188"/>
      <c r="N25" s="166">
        <f t="shared" si="2"/>
      </c>
      <c r="O25" s="167">
        <f t="shared" si="3"/>
      </c>
      <c r="P25" s="168"/>
      <c r="Q25" s="169">
        <f t="shared" si="4"/>
      </c>
      <c r="R25" s="170">
        <f t="shared" si="5"/>
      </c>
      <c r="S25" s="170">
        <f t="shared" si="6"/>
      </c>
      <c r="T25" s="250" t="str">
        <f t="shared" si="7"/>
        <v>--</v>
      </c>
      <c r="U25" s="251" t="str">
        <f t="shared" si="8"/>
        <v>--</v>
      </c>
      <c r="V25" s="252" t="str">
        <f t="shared" si="9"/>
        <v>--</v>
      </c>
      <c r="W25" s="253" t="str">
        <f t="shared" si="10"/>
        <v>--</v>
      </c>
      <c r="X25" s="254" t="str">
        <f t="shared" si="11"/>
        <v>--</v>
      </c>
      <c r="Y25" s="255" t="str">
        <f t="shared" si="12"/>
        <v>--</v>
      </c>
      <c r="Z25" s="256" t="str">
        <f t="shared" si="13"/>
        <v>--</v>
      </c>
      <c r="AA25" s="257" t="str">
        <f t="shared" si="14"/>
        <v>--</v>
      </c>
      <c r="AB25" s="258" t="str">
        <f t="shared" si="15"/>
        <v>--</v>
      </c>
      <c r="AC25" s="259" t="str">
        <f t="shared" si="16"/>
        <v>--</v>
      </c>
      <c r="AD25" s="181">
        <f t="shared" si="18"/>
      </c>
      <c r="AE25" s="182">
        <f t="shared" si="17"/>
      </c>
      <c r="AF25" s="183"/>
    </row>
    <row r="26" spans="2:32" s="8" customFormat="1" ht="16.5" customHeight="1">
      <c r="B26" s="53"/>
      <c r="C26" s="159"/>
      <c r="D26" s="159"/>
      <c r="E26" s="159"/>
      <c r="F26" s="159"/>
      <c r="G26" s="160"/>
      <c r="H26" s="161"/>
      <c r="I26" s="160"/>
      <c r="J26" s="162">
        <f t="shared" si="0"/>
        <v>20</v>
      </c>
      <c r="K26" s="163">
        <f t="shared" si="1"/>
        <v>361.726</v>
      </c>
      <c r="L26" s="164"/>
      <c r="M26" s="165"/>
      <c r="N26" s="166">
        <f t="shared" si="2"/>
      </c>
      <c r="O26" s="167">
        <f t="shared" si="3"/>
      </c>
      <c r="P26" s="168"/>
      <c r="Q26" s="169">
        <f t="shared" si="4"/>
      </c>
      <c r="R26" s="170">
        <f t="shared" si="5"/>
      </c>
      <c r="S26" s="170">
        <f t="shared" si="6"/>
      </c>
      <c r="T26" s="250" t="str">
        <f t="shared" si="7"/>
        <v>--</v>
      </c>
      <c r="U26" s="251" t="str">
        <f t="shared" si="8"/>
        <v>--</v>
      </c>
      <c r="V26" s="252" t="str">
        <f t="shared" si="9"/>
        <v>--</v>
      </c>
      <c r="W26" s="253" t="str">
        <f t="shared" si="10"/>
        <v>--</v>
      </c>
      <c r="X26" s="254" t="str">
        <f t="shared" si="11"/>
        <v>--</v>
      </c>
      <c r="Y26" s="255" t="str">
        <f t="shared" si="12"/>
        <v>--</v>
      </c>
      <c r="Z26" s="256" t="str">
        <f t="shared" si="13"/>
        <v>--</v>
      </c>
      <c r="AA26" s="257" t="str">
        <f t="shared" si="14"/>
        <v>--</v>
      </c>
      <c r="AB26" s="258" t="str">
        <f t="shared" si="15"/>
        <v>--</v>
      </c>
      <c r="AC26" s="259" t="str">
        <f t="shared" si="16"/>
        <v>--</v>
      </c>
      <c r="AD26" s="181">
        <f t="shared" si="18"/>
      </c>
      <c r="AE26" s="182">
        <f t="shared" si="17"/>
      </c>
      <c r="AF26" s="183"/>
    </row>
    <row r="27" spans="2:32" s="8" customFormat="1" ht="16.5" customHeight="1">
      <c r="B27" s="53"/>
      <c r="C27" s="140"/>
      <c r="D27" s="140"/>
      <c r="E27" s="140"/>
      <c r="F27" s="159"/>
      <c r="G27" s="160"/>
      <c r="H27" s="161"/>
      <c r="I27" s="160"/>
      <c r="J27" s="162">
        <f t="shared" si="0"/>
        <v>20</v>
      </c>
      <c r="K27" s="163">
        <f t="shared" si="1"/>
        <v>361.726</v>
      </c>
      <c r="L27" s="164"/>
      <c r="M27" s="165"/>
      <c r="N27" s="166">
        <f t="shared" si="2"/>
      </c>
      <c r="O27" s="167">
        <f t="shared" si="3"/>
      </c>
      <c r="P27" s="168"/>
      <c r="Q27" s="169">
        <f t="shared" si="4"/>
      </c>
      <c r="R27" s="170">
        <f t="shared" si="5"/>
      </c>
      <c r="S27" s="170">
        <f t="shared" si="6"/>
      </c>
      <c r="T27" s="250" t="str">
        <f t="shared" si="7"/>
        <v>--</v>
      </c>
      <c r="U27" s="251" t="str">
        <f t="shared" si="8"/>
        <v>--</v>
      </c>
      <c r="V27" s="252" t="str">
        <f t="shared" si="9"/>
        <v>--</v>
      </c>
      <c r="W27" s="253" t="str">
        <f t="shared" si="10"/>
        <v>--</v>
      </c>
      <c r="X27" s="254" t="str">
        <f t="shared" si="11"/>
        <v>--</v>
      </c>
      <c r="Y27" s="255" t="str">
        <f t="shared" si="12"/>
        <v>--</v>
      </c>
      <c r="Z27" s="256" t="str">
        <f t="shared" si="13"/>
        <v>--</v>
      </c>
      <c r="AA27" s="257" t="str">
        <f t="shared" si="14"/>
        <v>--</v>
      </c>
      <c r="AB27" s="258" t="str">
        <f t="shared" si="15"/>
        <v>--</v>
      </c>
      <c r="AC27" s="259" t="str">
        <f t="shared" si="16"/>
        <v>--</v>
      </c>
      <c r="AD27" s="181">
        <f t="shared" si="18"/>
      </c>
      <c r="AE27" s="182">
        <f t="shared" si="17"/>
      </c>
      <c r="AF27" s="183"/>
    </row>
    <row r="28" spans="2:32" s="8" customFormat="1" ht="16.5" customHeight="1">
      <c r="B28" s="53"/>
      <c r="C28" s="159"/>
      <c r="D28" s="159"/>
      <c r="E28" s="159"/>
      <c r="F28" s="189"/>
      <c r="G28" s="190"/>
      <c r="H28" s="191"/>
      <c r="I28" s="190"/>
      <c r="J28" s="162">
        <f t="shared" si="0"/>
        <v>20</v>
      </c>
      <c r="K28" s="163">
        <f t="shared" si="1"/>
        <v>361.726</v>
      </c>
      <c r="L28" s="192"/>
      <c r="M28" s="193"/>
      <c r="N28" s="166">
        <f t="shared" si="2"/>
      </c>
      <c r="O28" s="167">
        <f t="shared" si="3"/>
      </c>
      <c r="P28" s="168"/>
      <c r="Q28" s="169">
        <f t="shared" si="4"/>
      </c>
      <c r="R28" s="170">
        <f t="shared" si="5"/>
      </c>
      <c r="S28" s="170">
        <f t="shared" si="6"/>
      </c>
      <c r="T28" s="250" t="str">
        <f t="shared" si="7"/>
        <v>--</v>
      </c>
      <c r="U28" s="251" t="str">
        <f t="shared" si="8"/>
        <v>--</v>
      </c>
      <c r="V28" s="252" t="str">
        <f t="shared" si="9"/>
        <v>--</v>
      </c>
      <c r="W28" s="253" t="str">
        <f t="shared" si="10"/>
        <v>--</v>
      </c>
      <c r="X28" s="254" t="str">
        <f t="shared" si="11"/>
        <v>--</v>
      </c>
      <c r="Y28" s="255" t="str">
        <f t="shared" si="12"/>
        <v>--</v>
      </c>
      <c r="Z28" s="256" t="str">
        <f t="shared" si="13"/>
        <v>--</v>
      </c>
      <c r="AA28" s="257" t="str">
        <f t="shared" si="14"/>
        <v>--</v>
      </c>
      <c r="AB28" s="258" t="str">
        <f t="shared" si="15"/>
        <v>--</v>
      </c>
      <c r="AC28" s="259" t="str">
        <f t="shared" si="16"/>
        <v>--</v>
      </c>
      <c r="AD28" s="181">
        <f t="shared" si="18"/>
      </c>
      <c r="AE28" s="182">
        <f t="shared" si="17"/>
      </c>
      <c r="AF28" s="183"/>
    </row>
    <row r="29" spans="2:32" s="8" customFormat="1" ht="16.5" customHeight="1">
      <c r="B29" s="53"/>
      <c r="C29" s="140"/>
      <c r="D29" s="140"/>
      <c r="E29" s="140"/>
      <c r="F29" s="189"/>
      <c r="G29" s="190"/>
      <c r="H29" s="191"/>
      <c r="I29" s="190"/>
      <c r="J29" s="162">
        <f t="shared" si="0"/>
        <v>20</v>
      </c>
      <c r="K29" s="163">
        <f t="shared" si="1"/>
        <v>361.726</v>
      </c>
      <c r="L29" s="192"/>
      <c r="M29" s="193"/>
      <c r="N29" s="166">
        <f t="shared" si="2"/>
      </c>
      <c r="O29" s="167">
        <f t="shared" si="3"/>
      </c>
      <c r="P29" s="168"/>
      <c r="Q29" s="169">
        <f t="shared" si="4"/>
      </c>
      <c r="R29" s="170">
        <f t="shared" si="5"/>
      </c>
      <c r="S29" s="170">
        <f t="shared" si="6"/>
      </c>
      <c r="T29" s="250" t="str">
        <f t="shared" si="7"/>
        <v>--</v>
      </c>
      <c r="U29" s="251" t="str">
        <f t="shared" si="8"/>
        <v>--</v>
      </c>
      <c r="V29" s="252" t="str">
        <f t="shared" si="9"/>
        <v>--</v>
      </c>
      <c r="W29" s="253" t="str">
        <f t="shared" si="10"/>
        <v>--</v>
      </c>
      <c r="X29" s="254" t="str">
        <f t="shared" si="11"/>
        <v>--</v>
      </c>
      <c r="Y29" s="255" t="str">
        <f t="shared" si="12"/>
        <v>--</v>
      </c>
      <c r="Z29" s="256" t="str">
        <f t="shared" si="13"/>
        <v>--</v>
      </c>
      <c r="AA29" s="257" t="str">
        <f t="shared" si="14"/>
        <v>--</v>
      </c>
      <c r="AB29" s="258" t="str">
        <f t="shared" si="15"/>
        <v>--</v>
      </c>
      <c r="AC29" s="259" t="str">
        <f t="shared" si="16"/>
        <v>--</v>
      </c>
      <c r="AD29" s="181">
        <f t="shared" si="18"/>
      </c>
      <c r="AE29" s="182">
        <f t="shared" si="17"/>
      </c>
      <c r="AF29" s="183"/>
    </row>
    <row r="30" spans="2:32" s="8" customFormat="1" ht="16.5" customHeight="1">
      <c r="B30" s="53"/>
      <c r="C30" s="159"/>
      <c r="D30" s="159"/>
      <c r="E30" s="159"/>
      <c r="F30" s="189"/>
      <c r="G30" s="190"/>
      <c r="H30" s="191"/>
      <c r="I30" s="190"/>
      <c r="J30" s="162">
        <f t="shared" si="0"/>
        <v>20</v>
      </c>
      <c r="K30" s="163">
        <f t="shared" si="1"/>
        <v>361.726</v>
      </c>
      <c r="L30" s="192"/>
      <c r="M30" s="193"/>
      <c r="N30" s="166">
        <f t="shared" si="2"/>
      </c>
      <c r="O30" s="167">
        <f t="shared" si="3"/>
      </c>
      <c r="P30" s="168"/>
      <c r="Q30" s="169">
        <f t="shared" si="4"/>
      </c>
      <c r="R30" s="170">
        <f t="shared" si="5"/>
      </c>
      <c r="S30" s="170">
        <f t="shared" si="6"/>
      </c>
      <c r="T30" s="250" t="str">
        <f t="shared" si="7"/>
        <v>--</v>
      </c>
      <c r="U30" s="251" t="str">
        <f t="shared" si="8"/>
        <v>--</v>
      </c>
      <c r="V30" s="252" t="str">
        <f t="shared" si="9"/>
        <v>--</v>
      </c>
      <c r="W30" s="253" t="str">
        <f t="shared" si="10"/>
        <v>--</v>
      </c>
      <c r="X30" s="254" t="str">
        <f t="shared" si="11"/>
        <v>--</v>
      </c>
      <c r="Y30" s="255" t="str">
        <f t="shared" si="12"/>
        <v>--</v>
      </c>
      <c r="Z30" s="256" t="str">
        <f t="shared" si="13"/>
        <v>--</v>
      </c>
      <c r="AA30" s="257" t="str">
        <f t="shared" si="14"/>
        <v>--</v>
      </c>
      <c r="AB30" s="258" t="str">
        <f t="shared" si="15"/>
        <v>--</v>
      </c>
      <c r="AC30" s="259" t="str">
        <f t="shared" si="16"/>
        <v>--</v>
      </c>
      <c r="AD30" s="181">
        <f t="shared" si="18"/>
      </c>
      <c r="AE30" s="182">
        <f t="shared" si="17"/>
      </c>
      <c r="AF30" s="183"/>
    </row>
    <row r="31" spans="2:32" s="8" customFormat="1" ht="16.5" customHeight="1">
      <c r="B31" s="53"/>
      <c r="C31" s="140"/>
      <c r="D31" s="140"/>
      <c r="E31" s="140"/>
      <c r="F31" s="189"/>
      <c r="G31" s="190"/>
      <c r="H31" s="191"/>
      <c r="I31" s="190"/>
      <c r="J31" s="162">
        <f t="shared" si="0"/>
        <v>20</v>
      </c>
      <c r="K31" s="163">
        <f t="shared" si="1"/>
        <v>361.726</v>
      </c>
      <c r="L31" s="192"/>
      <c r="M31" s="193"/>
      <c r="N31" s="166">
        <f t="shared" si="2"/>
      </c>
      <c r="O31" s="167">
        <f t="shared" si="3"/>
      </c>
      <c r="P31" s="168"/>
      <c r="Q31" s="169">
        <f t="shared" si="4"/>
      </c>
      <c r="R31" s="170">
        <f t="shared" si="5"/>
      </c>
      <c r="S31" s="170">
        <f t="shared" si="6"/>
      </c>
      <c r="T31" s="250" t="str">
        <f t="shared" si="7"/>
        <v>--</v>
      </c>
      <c r="U31" s="251" t="str">
        <f t="shared" si="8"/>
        <v>--</v>
      </c>
      <c r="V31" s="252" t="str">
        <f t="shared" si="9"/>
        <v>--</v>
      </c>
      <c r="W31" s="253" t="str">
        <f t="shared" si="10"/>
        <v>--</v>
      </c>
      <c r="X31" s="254" t="str">
        <f t="shared" si="11"/>
        <v>--</v>
      </c>
      <c r="Y31" s="255" t="str">
        <f t="shared" si="12"/>
        <v>--</v>
      </c>
      <c r="Z31" s="256" t="str">
        <f t="shared" si="13"/>
        <v>--</v>
      </c>
      <c r="AA31" s="257" t="str">
        <f t="shared" si="14"/>
        <v>--</v>
      </c>
      <c r="AB31" s="258" t="str">
        <f t="shared" si="15"/>
        <v>--</v>
      </c>
      <c r="AC31" s="259" t="str">
        <f t="shared" si="16"/>
        <v>--</v>
      </c>
      <c r="AD31" s="181">
        <f t="shared" si="18"/>
      </c>
      <c r="AE31" s="182">
        <f t="shared" si="17"/>
      </c>
      <c r="AF31" s="183"/>
    </row>
    <row r="32" spans="2:32" s="8" customFormat="1" ht="16.5" customHeight="1">
      <c r="B32" s="53"/>
      <c r="C32" s="159"/>
      <c r="D32" s="159"/>
      <c r="E32" s="159"/>
      <c r="F32" s="189"/>
      <c r="G32" s="190"/>
      <c r="H32" s="191"/>
      <c r="I32" s="190"/>
      <c r="J32" s="162">
        <f t="shared" si="0"/>
        <v>20</v>
      </c>
      <c r="K32" s="163">
        <f t="shared" si="1"/>
        <v>361.726</v>
      </c>
      <c r="L32" s="192"/>
      <c r="M32" s="193"/>
      <c r="N32" s="166">
        <f t="shared" si="2"/>
      </c>
      <c r="O32" s="167">
        <f t="shared" si="3"/>
      </c>
      <c r="P32" s="168"/>
      <c r="Q32" s="169">
        <f t="shared" si="4"/>
      </c>
      <c r="R32" s="170">
        <f t="shared" si="5"/>
      </c>
      <c r="S32" s="170">
        <f t="shared" si="6"/>
      </c>
      <c r="T32" s="250" t="str">
        <f t="shared" si="7"/>
        <v>--</v>
      </c>
      <c r="U32" s="251" t="str">
        <f t="shared" si="8"/>
        <v>--</v>
      </c>
      <c r="V32" s="252" t="str">
        <f t="shared" si="9"/>
        <v>--</v>
      </c>
      <c r="W32" s="253" t="str">
        <f t="shared" si="10"/>
        <v>--</v>
      </c>
      <c r="X32" s="254" t="str">
        <f t="shared" si="11"/>
        <v>--</v>
      </c>
      <c r="Y32" s="255" t="str">
        <f t="shared" si="12"/>
        <v>--</v>
      </c>
      <c r="Z32" s="256" t="str">
        <f t="shared" si="13"/>
        <v>--</v>
      </c>
      <c r="AA32" s="257" t="str">
        <f t="shared" si="14"/>
        <v>--</v>
      </c>
      <c r="AB32" s="258" t="str">
        <f t="shared" si="15"/>
        <v>--</v>
      </c>
      <c r="AC32" s="259" t="str">
        <f t="shared" si="16"/>
        <v>--</v>
      </c>
      <c r="AD32" s="181">
        <f t="shared" si="18"/>
      </c>
      <c r="AE32" s="182">
        <f t="shared" si="17"/>
      </c>
      <c r="AF32" s="183"/>
    </row>
    <row r="33" spans="2:32" s="8" customFormat="1" ht="16.5" customHeight="1">
      <c r="B33" s="53"/>
      <c r="C33" s="140"/>
      <c r="D33" s="140"/>
      <c r="E33" s="140"/>
      <c r="F33" s="189"/>
      <c r="G33" s="190"/>
      <c r="H33" s="191"/>
      <c r="I33" s="190"/>
      <c r="J33" s="162">
        <f t="shared" si="0"/>
        <v>20</v>
      </c>
      <c r="K33" s="163">
        <f t="shared" si="1"/>
        <v>361.726</v>
      </c>
      <c r="L33" s="192"/>
      <c r="M33" s="194"/>
      <c r="N33" s="166">
        <f t="shared" si="2"/>
      </c>
      <c r="O33" s="167">
        <f t="shared" si="3"/>
      </c>
      <c r="P33" s="168"/>
      <c r="Q33" s="169">
        <f t="shared" si="4"/>
      </c>
      <c r="R33" s="170">
        <f t="shared" si="5"/>
      </c>
      <c r="S33" s="170">
        <f t="shared" si="6"/>
      </c>
      <c r="T33" s="250" t="str">
        <f t="shared" si="7"/>
        <v>--</v>
      </c>
      <c r="U33" s="251" t="str">
        <f t="shared" si="8"/>
        <v>--</v>
      </c>
      <c r="V33" s="252" t="str">
        <f t="shared" si="9"/>
        <v>--</v>
      </c>
      <c r="W33" s="253" t="str">
        <f t="shared" si="10"/>
        <v>--</v>
      </c>
      <c r="X33" s="254" t="str">
        <f t="shared" si="11"/>
        <v>--</v>
      </c>
      <c r="Y33" s="255" t="str">
        <f t="shared" si="12"/>
        <v>--</v>
      </c>
      <c r="Z33" s="256" t="str">
        <f t="shared" si="13"/>
        <v>--</v>
      </c>
      <c r="AA33" s="257" t="str">
        <f t="shared" si="14"/>
        <v>--</v>
      </c>
      <c r="AB33" s="258" t="str">
        <f t="shared" si="15"/>
        <v>--</v>
      </c>
      <c r="AC33" s="259" t="str">
        <f t="shared" si="16"/>
        <v>--</v>
      </c>
      <c r="AD33" s="181">
        <f t="shared" si="18"/>
      </c>
      <c r="AE33" s="182">
        <f t="shared" si="17"/>
      </c>
      <c r="AF33" s="183"/>
    </row>
    <row r="34" spans="2:32" s="8" customFormat="1" ht="16.5" customHeight="1">
      <c r="B34" s="53"/>
      <c r="C34" s="159"/>
      <c r="D34" s="159"/>
      <c r="E34" s="159"/>
      <c r="F34" s="189"/>
      <c r="G34" s="190"/>
      <c r="H34" s="191"/>
      <c r="I34" s="190"/>
      <c r="J34" s="162">
        <f t="shared" si="0"/>
        <v>20</v>
      </c>
      <c r="K34" s="163">
        <f t="shared" si="1"/>
        <v>361.726</v>
      </c>
      <c r="L34" s="192"/>
      <c r="M34" s="194"/>
      <c r="N34" s="166">
        <f t="shared" si="2"/>
      </c>
      <c r="O34" s="167">
        <f t="shared" si="3"/>
      </c>
      <c r="P34" s="168"/>
      <c r="Q34" s="169">
        <f t="shared" si="4"/>
      </c>
      <c r="R34" s="170">
        <f t="shared" si="5"/>
      </c>
      <c r="S34" s="170">
        <f t="shared" si="6"/>
      </c>
      <c r="T34" s="250" t="str">
        <f t="shared" si="7"/>
        <v>--</v>
      </c>
      <c r="U34" s="251" t="str">
        <f t="shared" si="8"/>
        <v>--</v>
      </c>
      <c r="V34" s="252" t="str">
        <f t="shared" si="9"/>
        <v>--</v>
      </c>
      <c r="W34" s="253" t="str">
        <f t="shared" si="10"/>
        <v>--</v>
      </c>
      <c r="X34" s="254" t="str">
        <f t="shared" si="11"/>
        <v>--</v>
      </c>
      <c r="Y34" s="255" t="str">
        <f t="shared" si="12"/>
        <v>--</v>
      </c>
      <c r="Z34" s="256" t="str">
        <f t="shared" si="13"/>
        <v>--</v>
      </c>
      <c r="AA34" s="257" t="str">
        <f t="shared" si="14"/>
        <v>--</v>
      </c>
      <c r="AB34" s="258" t="str">
        <f t="shared" si="15"/>
        <v>--</v>
      </c>
      <c r="AC34" s="259" t="str">
        <f t="shared" si="16"/>
        <v>--</v>
      </c>
      <c r="AD34" s="181">
        <f t="shared" si="18"/>
      </c>
      <c r="AE34" s="182">
        <f t="shared" si="17"/>
      </c>
      <c r="AF34" s="183"/>
    </row>
    <row r="35" spans="2:32" s="8" customFormat="1" ht="16.5" customHeight="1">
      <c r="B35" s="53"/>
      <c r="C35" s="140"/>
      <c r="D35" s="140"/>
      <c r="E35" s="140"/>
      <c r="F35" s="189"/>
      <c r="G35" s="190"/>
      <c r="H35" s="191"/>
      <c r="I35" s="190"/>
      <c r="J35" s="162">
        <f t="shared" si="0"/>
        <v>20</v>
      </c>
      <c r="K35" s="163">
        <f t="shared" si="1"/>
        <v>361.726</v>
      </c>
      <c r="L35" s="192"/>
      <c r="M35" s="194"/>
      <c r="N35" s="166">
        <f t="shared" si="2"/>
      </c>
      <c r="O35" s="167">
        <f t="shared" si="3"/>
      </c>
      <c r="P35" s="168"/>
      <c r="Q35" s="169">
        <f t="shared" si="4"/>
      </c>
      <c r="R35" s="170">
        <f t="shared" si="5"/>
      </c>
      <c r="S35" s="170">
        <f t="shared" si="6"/>
      </c>
      <c r="T35" s="250" t="str">
        <f t="shared" si="7"/>
        <v>--</v>
      </c>
      <c r="U35" s="251" t="str">
        <f t="shared" si="8"/>
        <v>--</v>
      </c>
      <c r="V35" s="252" t="str">
        <f t="shared" si="9"/>
        <v>--</v>
      </c>
      <c r="W35" s="253" t="str">
        <f t="shared" si="10"/>
        <v>--</v>
      </c>
      <c r="X35" s="254" t="str">
        <f t="shared" si="11"/>
        <v>--</v>
      </c>
      <c r="Y35" s="255" t="str">
        <f t="shared" si="12"/>
        <v>--</v>
      </c>
      <c r="Z35" s="256" t="str">
        <f t="shared" si="13"/>
        <v>--</v>
      </c>
      <c r="AA35" s="257" t="str">
        <f t="shared" si="14"/>
        <v>--</v>
      </c>
      <c r="AB35" s="258" t="str">
        <f t="shared" si="15"/>
        <v>--</v>
      </c>
      <c r="AC35" s="259" t="str">
        <f t="shared" si="16"/>
        <v>--</v>
      </c>
      <c r="AD35" s="181">
        <f t="shared" si="18"/>
      </c>
      <c r="AE35" s="182">
        <f t="shared" si="17"/>
      </c>
      <c r="AF35" s="183"/>
    </row>
    <row r="36" spans="2:32" s="8" customFormat="1" ht="16.5" customHeight="1">
      <c r="B36" s="53"/>
      <c r="C36" s="159"/>
      <c r="D36" s="159"/>
      <c r="E36" s="159"/>
      <c r="F36" s="189"/>
      <c r="G36" s="190"/>
      <c r="H36" s="191"/>
      <c r="I36" s="190"/>
      <c r="J36" s="162">
        <f t="shared" si="0"/>
        <v>20</v>
      </c>
      <c r="K36" s="163">
        <f t="shared" si="1"/>
        <v>361.726</v>
      </c>
      <c r="L36" s="192"/>
      <c r="M36" s="194"/>
      <c r="N36" s="166">
        <f t="shared" si="2"/>
      </c>
      <c r="O36" s="167">
        <f t="shared" si="3"/>
      </c>
      <c r="P36" s="168"/>
      <c r="Q36" s="169">
        <f t="shared" si="4"/>
      </c>
      <c r="R36" s="170">
        <f t="shared" si="5"/>
      </c>
      <c r="S36" s="170">
        <f t="shared" si="6"/>
      </c>
      <c r="T36" s="250" t="str">
        <f t="shared" si="7"/>
        <v>--</v>
      </c>
      <c r="U36" s="251" t="str">
        <f t="shared" si="8"/>
        <v>--</v>
      </c>
      <c r="V36" s="252" t="str">
        <f t="shared" si="9"/>
        <v>--</v>
      </c>
      <c r="W36" s="253" t="str">
        <f t="shared" si="10"/>
        <v>--</v>
      </c>
      <c r="X36" s="254" t="str">
        <f t="shared" si="11"/>
        <v>--</v>
      </c>
      <c r="Y36" s="255" t="str">
        <f t="shared" si="12"/>
        <v>--</v>
      </c>
      <c r="Z36" s="256" t="str">
        <f t="shared" si="13"/>
        <v>--</v>
      </c>
      <c r="AA36" s="257" t="str">
        <f t="shared" si="14"/>
        <v>--</v>
      </c>
      <c r="AB36" s="258" t="str">
        <f t="shared" si="15"/>
        <v>--</v>
      </c>
      <c r="AC36" s="259" t="str">
        <f t="shared" si="16"/>
        <v>--</v>
      </c>
      <c r="AD36" s="181">
        <f t="shared" si="18"/>
      </c>
      <c r="AE36" s="182">
        <f t="shared" si="17"/>
      </c>
      <c r="AF36" s="183"/>
    </row>
    <row r="37" spans="2:32" s="8" customFormat="1" ht="16.5" customHeight="1">
      <c r="B37" s="53"/>
      <c r="C37" s="140"/>
      <c r="D37" s="140"/>
      <c r="E37" s="140"/>
      <c r="F37" s="189"/>
      <c r="G37" s="190"/>
      <c r="H37" s="191"/>
      <c r="I37" s="190"/>
      <c r="J37" s="162">
        <f t="shared" si="0"/>
        <v>20</v>
      </c>
      <c r="K37" s="163">
        <f t="shared" si="1"/>
        <v>361.726</v>
      </c>
      <c r="L37" s="192"/>
      <c r="M37" s="194"/>
      <c r="N37" s="166">
        <f t="shared" si="2"/>
      </c>
      <c r="O37" s="167">
        <f t="shared" si="3"/>
      </c>
      <c r="P37" s="168"/>
      <c r="Q37" s="169">
        <f t="shared" si="4"/>
      </c>
      <c r="R37" s="170">
        <f t="shared" si="5"/>
      </c>
      <c r="S37" s="170">
        <f t="shared" si="6"/>
      </c>
      <c r="T37" s="250" t="str">
        <f t="shared" si="7"/>
        <v>--</v>
      </c>
      <c r="U37" s="251" t="str">
        <f t="shared" si="8"/>
        <v>--</v>
      </c>
      <c r="V37" s="252" t="str">
        <f t="shared" si="9"/>
        <v>--</v>
      </c>
      <c r="W37" s="253" t="str">
        <f t="shared" si="10"/>
        <v>--</v>
      </c>
      <c r="X37" s="254" t="str">
        <f t="shared" si="11"/>
        <v>--</v>
      </c>
      <c r="Y37" s="255" t="str">
        <f t="shared" si="12"/>
        <v>--</v>
      </c>
      <c r="Z37" s="256" t="str">
        <f t="shared" si="13"/>
        <v>--</v>
      </c>
      <c r="AA37" s="257" t="str">
        <f t="shared" si="14"/>
        <v>--</v>
      </c>
      <c r="AB37" s="258" t="str">
        <f t="shared" si="15"/>
        <v>--</v>
      </c>
      <c r="AC37" s="259" t="str">
        <f t="shared" si="16"/>
        <v>--</v>
      </c>
      <c r="AD37" s="181">
        <f t="shared" si="18"/>
      </c>
      <c r="AE37" s="182">
        <f t="shared" si="17"/>
      </c>
      <c r="AF37" s="183"/>
    </row>
    <row r="38" spans="2:32" s="8" customFormat="1" ht="16.5" customHeight="1">
      <c r="B38" s="53"/>
      <c r="C38" s="159"/>
      <c r="D38" s="159"/>
      <c r="E38" s="159"/>
      <c r="F38" s="189"/>
      <c r="G38" s="190"/>
      <c r="H38" s="191"/>
      <c r="I38" s="190"/>
      <c r="J38" s="162">
        <f t="shared" si="0"/>
        <v>20</v>
      </c>
      <c r="K38" s="163">
        <f t="shared" si="1"/>
        <v>361.726</v>
      </c>
      <c r="L38" s="192"/>
      <c r="M38" s="194"/>
      <c r="N38" s="166">
        <f t="shared" si="2"/>
      </c>
      <c r="O38" s="167">
        <f t="shared" si="3"/>
      </c>
      <c r="P38" s="168"/>
      <c r="Q38" s="169">
        <f t="shared" si="4"/>
      </c>
      <c r="R38" s="170">
        <f t="shared" si="5"/>
      </c>
      <c r="S38" s="170">
        <f t="shared" si="6"/>
      </c>
      <c r="T38" s="250" t="str">
        <f t="shared" si="7"/>
        <v>--</v>
      </c>
      <c r="U38" s="251" t="str">
        <f t="shared" si="8"/>
        <v>--</v>
      </c>
      <c r="V38" s="252" t="str">
        <f t="shared" si="9"/>
        <v>--</v>
      </c>
      <c r="W38" s="253" t="str">
        <f t="shared" si="10"/>
        <v>--</v>
      </c>
      <c r="X38" s="254" t="str">
        <f t="shared" si="11"/>
        <v>--</v>
      </c>
      <c r="Y38" s="255" t="str">
        <f t="shared" si="12"/>
        <v>--</v>
      </c>
      <c r="Z38" s="256" t="str">
        <f t="shared" si="13"/>
        <v>--</v>
      </c>
      <c r="AA38" s="257" t="str">
        <f t="shared" si="14"/>
        <v>--</v>
      </c>
      <c r="AB38" s="258" t="str">
        <f t="shared" si="15"/>
        <v>--</v>
      </c>
      <c r="AC38" s="259" t="str">
        <f t="shared" si="16"/>
        <v>--</v>
      </c>
      <c r="AD38" s="181">
        <f t="shared" si="18"/>
      </c>
      <c r="AE38" s="182">
        <f t="shared" si="17"/>
      </c>
      <c r="AF38" s="183"/>
    </row>
    <row r="39" spans="2:32" s="8" customFormat="1" ht="16.5" customHeight="1">
      <c r="B39" s="53"/>
      <c r="C39" s="140"/>
      <c r="D39" s="140"/>
      <c r="E39" s="140"/>
      <c r="F39" s="189"/>
      <c r="G39" s="190"/>
      <c r="H39" s="191"/>
      <c r="I39" s="190"/>
      <c r="J39" s="162">
        <f t="shared" si="0"/>
        <v>20</v>
      </c>
      <c r="K39" s="163">
        <f t="shared" si="1"/>
        <v>361.726</v>
      </c>
      <c r="L39" s="192"/>
      <c r="M39" s="194"/>
      <c r="N39" s="166">
        <f t="shared" si="2"/>
      </c>
      <c r="O39" s="167">
        <f t="shared" si="3"/>
      </c>
      <c r="P39" s="168"/>
      <c r="Q39" s="169">
        <f t="shared" si="4"/>
      </c>
      <c r="R39" s="170">
        <f t="shared" si="5"/>
      </c>
      <c r="S39" s="170">
        <f t="shared" si="6"/>
      </c>
      <c r="T39" s="250" t="str">
        <f t="shared" si="7"/>
        <v>--</v>
      </c>
      <c r="U39" s="251" t="str">
        <f t="shared" si="8"/>
        <v>--</v>
      </c>
      <c r="V39" s="252" t="str">
        <f t="shared" si="9"/>
        <v>--</v>
      </c>
      <c r="W39" s="253" t="str">
        <f t="shared" si="10"/>
        <v>--</v>
      </c>
      <c r="X39" s="254" t="str">
        <f t="shared" si="11"/>
        <v>--</v>
      </c>
      <c r="Y39" s="255" t="str">
        <f t="shared" si="12"/>
        <v>--</v>
      </c>
      <c r="Z39" s="256" t="str">
        <f t="shared" si="13"/>
        <v>--</v>
      </c>
      <c r="AA39" s="257" t="str">
        <f t="shared" si="14"/>
        <v>--</v>
      </c>
      <c r="AB39" s="258" t="str">
        <f t="shared" si="15"/>
        <v>--</v>
      </c>
      <c r="AC39" s="259" t="str">
        <f t="shared" si="16"/>
        <v>--</v>
      </c>
      <c r="AD39" s="181">
        <f t="shared" si="18"/>
      </c>
      <c r="AE39" s="182">
        <f t="shared" si="17"/>
      </c>
      <c r="AF39" s="183"/>
    </row>
    <row r="40" spans="2:32" s="8" customFormat="1" ht="16.5" customHeight="1">
      <c r="B40" s="53"/>
      <c r="C40" s="159"/>
      <c r="D40" s="159"/>
      <c r="E40" s="159"/>
      <c r="F40" s="189"/>
      <c r="G40" s="190"/>
      <c r="H40" s="191"/>
      <c r="I40" s="190"/>
      <c r="J40" s="162">
        <f t="shared" si="0"/>
        <v>20</v>
      </c>
      <c r="K40" s="163">
        <f t="shared" si="1"/>
        <v>361.726</v>
      </c>
      <c r="L40" s="192"/>
      <c r="M40" s="194"/>
      <c r="N40" s="166">
        <f t="shared" si="2"/>
      </c>
      <c r="O40" s="167">
        <f t="shared" si="3"/>
      </c>
      <c r="P40" s="168"/>
      <c r="Q40" s="169">
        <f t="shared" si="4"/>
      </c>
      <c r="R40" s="170">
        <f t="shared" si="5"/>
      </c>
      <c r="S40" s="170">
        <f t="shared" si="6"/>
      </c>
      <c r="T40" s="250" t="str">
        <f t="shared" si="7"/>
        <v>--</v>
      </c>
      <c r="U40" s="251" t="str">
        <f t="shared" si="8"/>
        <v>--</v>
      </c>
      <c r="V40" s="252" t="str">
        <f t="shared" si="9"/>
        <v>--</v>
      </c>
      <c r="W40" s="253" t="str">
        <f t="shared" si="10"/>
        <v>--</v>
      </c>
      <c r="X40" s="254" t="str">
        <f t="shared" si="11"/>
        <v>--</v>
      </c>
      <c r="Y40" s="255" t="str">
        <f t="shared" si="12"/>
        <v>--</v>
      </c>
      <c r="Z40" s="256" t="str">
        <f t="shared" si="13"/>
        <v>--</v>
      </c>
      <c r="AA40" s="257" t="str">
        <f t="shared" si="14"/>
        <v>--</v>
      </c>
      <c r="AB40" s="258" t="str">
        <f t="shared" si="15"/>
        <v>--</v>
      </c>
      <c r="AC40" s="259" t="str">
        <f t="shared" si="16"/>
        <v>--</v>
      </c>
      <c r="AD40" s="181">
        <f t="shared" si="18"/>
      </c>
      <c r="AE40" s="182">
        <f t="shared" si="17"/>
      </c>
      <c r="AF40" s="183"/>
    </row>
    <row r="41" spans="2:32" s="8" customFormat="1" ht="16.5" customHeight="1">
      <c r="B41" s="53"/>
      <c r="C41" s="140"/>
      <c r="D41" s="140"/>
      <c r="E41" s="140"/>
      <c r="F41" s="189"/>
      <c r="G41" s="190"/>
      <c r="H41" s="191"/>
      <c r="I41" s="190"/>
      <c r="J41" s="162">
        <f t="shared" si="0"/>
        <v>20</v>
      </c>
      <c r="K41" s="163">
        <f t="shared" si="1"/>
        <v>361.726</v>
      </c>
      <c r="L41" s="192"/>
      <c r="M41" s="194"/>
      <c r="N41" s="166">
        <f t="shared" si="2"/>
      </c>
      <c r="O41" s="167">
        <f t="shared" si="3"/>
      </c>
      <c r="P41" s="168"/>
      <c r="Q41" s="169">
        <f t="shared" si="4"/>
      </c>
      <c r="R41" s="170">
        <f t="shared" si="5"/>
      </c>
      <c r="S41" s="170">
        <f t="shared" si="6"/>
      </c>
      <c r="T41" s="250" t="str">
        <f t="shared" si="7"/>
        <v>--</v>
      </c>
      <c r="U41" s="251" t="str">
        <f t="shared" si="8"/>
        <v>--</v>
      </c>
      <c r="V41" s="252" t="str">
        <f t="shared" si="9"/>
        <v>--</v>
      </c>
      <c r="W41" s="253" t="str">
        <f t="shared" si="10"/>
        <v>--</v>
      </c>
      <c r="X41" s="254" t="str">
        <f t="shared" si="11"/>
        <v>--</v>
      </c>
      <c r="Y41" s="255" t="str">
        <f t="shared" si="12"/>
        <v>--</v>
      </c>
      <c r="Z41" s="256" t="str">
        <f t="shared" si="13"/>
        <v>--</v>
      </c>
      <c r="AA41" s="257" t="str">
        <f t="shared" si="14"/>
        <v>--</v>
      </c>
      <c r="AB41" s="258" t="str">
        <f t="shared" si="15"/>
        <v>--</v>
      </c>
      <c r="AC41" s="259" t="str">
        <f t="shared" si="16"/>
        <v>--</v>
      </c>
      <c r="AD41" s="181">
        <f t="shared" si="18"/>
      </c>
      <c r="AE41" s="182">
        <f t="shared" si="17"/>
      </c>
      <c r="AF41" s="183"/>
    </row>
    <row r="42" spans="2:32" s="8" customFormat="1" ht="16.5" customHeight="1" thickBot="1">
      <c r="B42" s="53"/>
      <c r="C42" s="159"/>
      <c r="D42" s="159"/>
      <c r="E42" s="159"/>
      <c r="F42" s="197"/>
      <c r="G42" s="198"/>
      <c r="H42" s="199"/>
      <c r="I42" s="200"/>
      <c r="J42" s="201"/>
      <c r="K42" s="202"/>
      <c r="L42" s="203"/>
      <c r="M42" s="203"/>
      <c r="N42" s="204"/>
      <c r="O42" s="204"/>
      <c r="P42" s="205"/>
      <c r="Q42" s="206"/>
      <c r="R42" s="205"/>
      <c r="S42" s="205"/>
      <c r="T42" s="207"/>
      <c r="U42" s="208"/>
      <c r="V42" s="209"/>
      <c r="W42" s="210"/>
      <c r="X42" s="211"/>
      <c r="Y42" s="212"/>
      <c r="Z42" s="213"/>
      <c r="AA42" s="214"/>
      <c r="AB42" s="215"/>
      <c r="AC42" s="216"/>
      <c r="AD42" s="217"/>
      <c r="AE42" s="218"/>
      <c r="AF42" s="183"/>
    </row>
    <row r="43" spans="2:32" s="8" customFormat="1" ht="16.5" customHeight="1" thickBot="1" thickTop="1">
      <c r="B43" s="53"/>
      <c r="C43" s="219" t="s">
        <v>180</v>
      </c>
      <c r="D43" s="220" t="s">
        <v>308</v>
      </c>
      <c r="E43" s="219"/>
      <c r="F43" s="221"/>
      <c r="G43" s="222"/>
      <c r="H43" s="223"/>
      <c r="I43" s="224"/>
      <c r="J43" s="223"/>
      <c r="K43" s="225"/>
      <c r="L43" s="225"/>
      <c r="M43" s="225"/>
      <c r="N43" s="225"/>
      <c r="O43" s="225"/>
      <c r="P43" s="225"/>
      <c r="Q43" s="226"/>
      <c r="R43" s="225"/>
      <c r="S43" s="225"/>
      <c r="T43" s="227">
        <f aca="true" t="shared" si="19" ref="T43:AC43">SUM(T20:T42)</f>
        <v>0</v>
      </c>
      <c r="U43" s="228">
        <f t="shared" si="19"/>
        <v>0</v>
      </c>
      <c r="V43" s="229">
        <f t="shared" si="19"/>
        <v>22119.79978493042</v>
      </c>
      <c r="W43" s="229">
        <f t="shared" si="19"/>
        <v>18801.829817190857</v>
      </c>
      <c r="X43" s="229">
        <f t="shared" si="19"/>
        <v>0</v>
      </c>
      <c r="Y43" s="230">
        <f t="shared" si="19"/>
        <v>0</v>
      </c>
      <c r="Z43" s="230">
        <f t="shared" si="19"/>
        <v>0</v>
      </c>
      <c r="AA43" s="230">
        <f t="shared" si="19"/>
        <v>0</v>
      </c>
      <c r="AB43" s="231">
        <f t="shared" si="19"/>
        <v>0</v>
      </c>
      <c r="AC43" s="232">
        <f t="shared" si="19"/>
        <v>0</v>
      </c>
      <c r="AD43" s="233"/>
      <c r="AE43" s="234">
        <f>ROUND(SUM(AE20:AE42),2)</f>
        <v>40921.63</v>
      </c>
      <c r="AF43" s="183"/>
    </row>
    <row r="44" spans="2:32" s="8" customFormat="1" ht="16.5" customHeight="1" thickBot="1" thickTop="1"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7"/>
    </row>
    <row r="45" spans="2:32" ht="16.5" customHeight="1" thickTop="1">
      <c r="B45" s="238"/>
      <c r="C45" s="238"/>
      <c r="D45" s="238"/>
      <c r="AF45" s="238"/>
    </row>
  </sheetData>
  <sheetProtection password="CC12"/>
  <mergeCells count="1">
    <mergeCell ref="G16:H1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1031" customWidth="1"/>
    <col min="3" max="3" width="5.421875" style="1031" customWidth="1"/>
    <col min="4" max="5" width="13.7109375" style="1031" customWidth="1"/>
    <col min="6" max="6" width="45.7109375" style="1031" customWidth="1"/>
    <col min="7" max="8" width="9.7109375" style="1031" customWidth="1"/>
    <col min="9" max="9" width="3.8515625" style="1031" customWidth="1"/>
    <col min="10" max="10" width="3.57421875" style="1031" hidden="1" customWidth="1"/>
    <col min="11" max="11" width="10.00390625" style="1031" hidden="1" customWidth="1"/>
    <col min="12" max="13" width="16.421875" style="1031" customWidth="1"/>
    <col min="14" max="16" width="9.7109375" style="1031" customWidth="1"/>
    <col min="17" max="17" width="8.7109375" style="1031" customWidth="1"/>
    <col min="18" max="18" width="5.421875" style="1031" customWidth="1"/>
    <col min="19" max="19" width="6.00390625" style="1031" customWidth="1"/>
    <col min="20" max="21" width="12.28125" style="1031" hidden="1" customWidth="1"/>
    <col min="22" max="22" width="11.7109375" style="1031" hidden="1" customWidth="1"/>
    <col min="23" max="23" width="12.57421875" style="1031" hidden="1" customWidth="1"/>
    <col min="24" max="27" width="6.421875" style="1031" hidden="1" customWidth="1"/>
    <col min="28" max="28" width="12.28125" style="1031" hidden="1" customWidth="1"/>
    <col min="29" max="29" width="13.421875" style="1031" hidden="1" customWidth="1"/>
    <col min="30" max="30" width="9.7109375" style="1031" customWidth="1"/>
    <col min="31" max="31" width="15.7109375" style="1031" customWidth="1"/>
    <col min="32" max="32" width="4.140625" style="1031" customWidth="1"/>
    <col min="33" max="33" width="30.421875" style="1031" customWidth="1"/>
    <col min="34" max="34" width="3.140625" style="1031" customWidth="1"/>
    <col min="35" max="35" width="3.57421875" style="1031" customWidth="1"/>
    <col min="36" max="36" width="24.28125" style="1031" customWidth="1"/>
    <col min="37" max="37" width="4.7109375" style="1031" customWidth="1"/>
    <col min="38" max="38" width="7.57421875" style="1031" customWidth="1"/>
    <col min="39" max="40" width="4.140625" style="1031" customWidth="1"/>
    <col min="41" max="41" width="7.140625" style="1031" customWidth="1"/>
    <col min="42" max="42" width="5.28125" style="1031" customWidth="1"/>
    <col min="43" max="43" width="5.421875" style="1031" customWidth="1"/>
    <col min="44" max="44" width="4.7109375" style="1031" customWidth="1"/>
    <col min="45" max="45" width="5.28125" style="1031" customWidth="1"/>
    <col min="46" max="47" width="13.28125" style="1031" customWidth="1"/>
    <col min="48" max="48" width="6.57421875" style="1031" customWidth="1"/>
    <col min="49" max="49" width="6.421875" style="1031" customWidth="1"/>
    <col min="50" max="53" width="11.421875" style="1031" customWidth="1"/>
    <col min="54" max="54" width="12.7109375" style="1031" customWidth="1"/>
    <col min="55" max="57" width="11.421875" style="1031" customWidth="1"/>
    <col min="58" max="58" width="21.00390625" style="1031" customWidth="1"/>
    <col min="59" max="16384" width="11.421875" style="1031" customWidth="1"/>
  </cols>
  <sheetData>
    <row r="1" spans="1:32" s="1030" customFormat="1" ht="26.25">
      <c r="A1" s="1029"/>
      <c r="E1" s="1031"/>
      <c r="G1" s="1031"/>
      <c r="I1" s="1031"/>
      <c r="K1" s="1031"/>
      <c r="M1" s="1031"/>
      <c r="O1" s="1031"/>
      <c r="Q1" s="1031"/>
      <c r="S1" s="1031"/>
      <c r="U1" s="1031"/>
      <c r="W1" s="1031"/>
      <c r="Y1" s="1031"/>
      <c r="AA1" s="1031"/>
      <c r="AF1" s="1032"/>
    </row>
    <row r="2" spans="1:32" s="1030" customFormat="1" ht="26.25">
      <c r="A2" s="1033"/>
      <c r="B2" s="1034" t="str">
        <f>'TOT-1214'!B2</f>
        <v>ANEXO I al Memorándum D.T.E.E. N° 90 /2016</v>
      </c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1034"/>
      <c r="X2" s="1034"/>
      <c r="Y2" s="1034"/>
      <c r="Z2" s="1034"/>
      <c r="AA2" s="1034"/>
      <c r="AB2" s="1034"/>
      <c r="AC2" s="1034"/>
      <c r="AD2" s="1034"/>
      <c r="AE2" s="1034"/>
      <c r="AF2" s="1034"/>
    </row>
    <row r="3" s="1036" customFormat="1" ht="23.25" customHeight="1">
      <c r="A3" s="1035"/>
    </row>
    <row r="4" spans="1:4" s="1039" customFormat="1" ht="11.25">
      <c r="A4" s="1037" t="s">
        <v>2</v>
      </c>
      <c r="B4" s="1038"/>
      <c r="C4" s="1038"/>
      <c r="D4" s="1038"/>
    </row>
    <row r="5" spans="1:4" s="1039" customFormat="1" ht="11.25">
      <c r="A5" s="1037" t="s">
        <v>3</v>
      </c>
      <c r="B5" s="1038"/>
      <c r="C5" s="1038"/>
      <c r="D5" s="1038"/>
    </row>
    <row r="6" s="1036" customFormat="1" ht="13.5" thickBot="1"/>
    <row r="7" spans="2:32" s="1036" customFormat="1" ht="13.5" thickTop="1">
      <c r="B7" s="1040"/>
      <c r="C7" s="1041"/>
      <c r="D7" s="1041"/>
      <c r="E7" s="1041"/>
      <c r="F7" s="1041"/>
      <c r="G7" s="1042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1"/>
      <c r="U7" s="1041"/>
      <c r="V7" s="1041"/>
      <c r="W7" s="1041"/>
      <c r="X7" s="1041"/>
      <c r="Y7" s="1041"/>
      <c r="Z7" s="1041"/>
      <c r="AA7" s="1041"/>
      <c r="AB7" s="1041"/>
      <c r="AC7" s="1041"/>
      <c r="AD7" s="1041"/>
      <c r="AE7" s="1041"/>
      <c r="AF7" s="1043"/>
    </row>
    <row r="8" spans="2:32" s="1044" customFormat="1" ht="20.25">
      <c r="B8" s="1045"/>
      <c r="C8" s="1046"/>
      <c r="D8" s="1046"/>
      <c r="E8" s="1046"/>
      <c r="F8" s="1047" t="s">
        <v>23</v>
      </c>
      <c r="G8" s="1046"/>
      <c r="H8" s="1046"/>
      <c r="I8" s="1046"/>
      <c r="J8" s="1046"/>
      <c r="P8" s="1046"/>
      <c r="Q8" s="1046"/>
      <c r="R8" s="1048"/>
      <c r="S8" s="1048"/>
      <c r="T8" s="1046"/>
      <c r="U8" s="1046"/>
      <c r="V8" s="1046"/>
      <c r="W8" s="1046"/>
      <c r="X8" s="1046"/>
      <c r="Y8" s="1046"/>
      <c r="Z8" s="1046"/>
      <c r="AA8" s="1046"/>
      <c r="AB8" s="1046"/>
      <c r="AC8" s="1046"/>
      <c r="AD8" s="1046"/>
      <c r="AE8" s="1046"/>
      <c r="AF8" s="1049"/>
    </row>
    <row r="9" spans="2:32" s="1036" customFormat="1" ht="16.5" customHeight="1">
      <c r="B9" s="1050"/>
      <c r="C9" s="1051"/>
      <c r="D9" s="1051"/>
      <c r="E9" s="1051"/>
      <c r="F9" s="1051"/>
      <c r="G9" s="1051"/>
      <c r="H9" s="1051"/>
      <c r="I9" s="1051"/>
      <c r="J9" s="1051"/>
      <c r="K9" s="1051"/>
      <c r="L9" s="1051"/>
      <c r="M9" s="1051"/>
      <c r="N9" s="1051"/>
      <c r="O9" s="1051"/>
      <c r="P9" s="1051"/>
      <c r="Q9" s="1051"/>
      <c r="R9" s="1051"/>
      <c r="S9" s="1051"/>
      <c r="T9" s="1051"/>
      <c r="U9" s="1051"/>
      <c r="V9" s="1051"/>
      <c r="W9" s="1051"/>
      <c r="X9" s="1051"/>
      <c r="Y9" s="1051"/>
      <c r="Z9" s="1051"/>
      <c r="AA9" s="1051"/>
      <c r="AB9" s="1051"/>
      <c r="AC9" s="1051"/>
      <c r="AD9" s="1051"/>
      <c r="AE9" s="1051"/>
      <c r="AF9" s="1052"/>
    </row>
    <row r="10" spans="2:32" s="1053" customFormat="1" ht="33" customHeight="1">
      <c r="B10" s="1054"/>
      <c r="C10" s="1055"/>
      <c r="D10" s="1055"/>
      <c r="E10" s="1055"/>
      <c r="F10" s="1056" t="s">
        <v>24</v>
      </c>
      <c r="G10" s="1055"/>
      <c r="H10" s="1055"/>
      <c r="I10" s="1055"/>
      <c r="K10" s="1055"/>
      <c r="L10" s="1055"/>
      <c r="M10" s="1055"/>
      <c r="N10" s="1055"/>
      <c r="O10" s="1055"/>
      <c r="P10" s="1055"/>
      <c r="Q10" s="1055"/>
      <c r="R10" s="1056"/>
      <c r="S10" s="1056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7"/>
    </row>
    <row r="11" spans="2:32" s="1058" customFormat="1" ht="33" customHeight="1">
      <c r="B11" s="1059"/>
      <c r="C11" s="1060"/>
      <c r="D11" s="1060"/>
      <c r="E11" s="1060"/>
      <c r="F11" s="1061" t="s">
        <v>315</v>
      </c>
      <c r="J11" s="1062"/>
      <c r="K11" s="1062"/>
      <c r="L11" s="1062"/>
      <c r="M11" s="1062"/>
      <c r="N11" s="1062"/>
      <c r="O11" s="1062"/>
      <c r="P11" s="1062"/>
      <c r="Q11" s="1062"/>
      <c r="R11" s="1062"/>
      <c r="S11" s="1062"/>
      <c r="T11" s="1060"/>
      <c r="U11" s="1060"/>
      <c r="V11" s="1060"/>
      <c r="W11" s="1060"/>
      <c r="X11" s="1060"/>
      <c r="Y11" s="1060"/>
      <c r="Z11" s="1060"/>
      <c r="AA11" s="1060"/>
      <c r="AB11" s="1060"/>
      <c r="AC11" s="1060"/>
      <c r="AD11" s="1060"/>
      <c r="AE11" s="1060"/>
      <c r="AF11" s="1063"/>
    </row>
    <row r="12" spans="2:32" s="1064" customFormat="1" ht="19.5">
      <c r="B12" s="1065" t="str">
        <f>'TOT-1214'!B14</f>
        <v>Desde el 01 al 31 de diciembre de 2014</v>
      </c>
      <c r="C12" s="1066"/>
      <c r="D12" s="1066"/>
      <c r="E12" s="1066"/>
      <c r="F12" s="1066"/>
      <c r="G12" s="1066"/>
      <c r="H12" s="1066"/>
      <c r="I12" s="1066"/>
      <c r="J12" s="1066"/>
      <c r="K12" s="1066"/>
      <c r="L12" s="1066"/>
      <c r="M12" s="1066"/>
      <c r="N12" s="1066"/>
      <c r="O12" s="1066"/>
      <c r="P12" s="1067"/>
      <c r="Q12" s="1067"/>
      <c r="R12" s="1066"/>
      <c r="S12" s="1066"/>
      <c r="T12" s="1066"/>
      <c r="U12" s="1066"/>
      <c r="V12" s="1066"/>
      <c r="W12" s="1066"/>
      <c r="X12" s="1066"/>
      <c r="Y12" s="1066"/>
      <c r="Z12" s="1066"/>
      <c r="AA12" s="1066"/>
      <c r="AB12" s="1066"/>
      <c r="AC12" s="1066"/>
      <c r="AD12" s="1066"/>
      <c r="AE12" s="1066"/>
      <c r="AF12" s="1068"/>
    </row>
    <row r="13" spans="2:32" s="1036" customFormat="1" ht="16.5" customHeight="1" thickBot="1">
      <c r="B13" s="1050"/>
      <c r="C13" s="1051"/>
      <c r="D13" s="1051"/>
      <c r="E13" s="1051"/>
      <c r="F13" s="1051"/>
      <c r="G13" s="1069"/>
      <c r="H13" s="1069"/>
      <c r="I13" s="1051"/>
      <c r="J13" s="1051"/>
      <c r="K13" s="1051"/>
      <c r="L13" s="1070"/>
      <c r="M13" s="1051"/>
      <c r="N13" s="1051"/>
      <c r="O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2"/>
    </row>
    <row r="14" spans="2:32" s="1036" customFormat="1" ht="16.5" customHeight="1" thickBot="1" thickTop="1">
      <c r="B14" s="1050"/>
      <c r="C14" s="1051"/>
      <c r="D14" s="1051"/>
      <c r="E14" s="1051"/>
      <c r="F14" s="1071" t="s">
        <v>26</v>
      </c>
      <c r="G14" s="1072">
        <f>0.6*434.062</f>
        <v>260.4372</v>
      </c>
      <c r="H14" s="1073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2"/>
    </row>
    <row r="15" spans="2:32" s="1036" customFormat="1" ht="16.5" customHeight="1" thickBot="1" thickTop="1">
      <c r="B15" s="1050"/>
      <c r="C15" s="1051"/>
      <c r="D15" s="1051"/>
      <c r="E15" s="1051"/>
      <c r="F15" s="1071" t="s">
        <v>27</v>
      </c>
      <c r="G15" s="1074" t="s">
        <v>278</v>
      </c>
      <c r="H15" s="1073"/>
      <c r="I15" s="1051"/>
      <c r="J15" s="1051"/>
      <c r="K15" s="1051"/>
      <c r="L15" s="1075"/>
      <c r="M15" s="1076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77"/>
      <c r="Y15" s="1077"/>
      <c r="Z15" s="1077"/>
      <c r="AA15" s="1077"/>
      <c r="AB15" s="1077"/>
      <c r="AC15" s="1077"/>
      <c r="AD15" s="1077"/>
      <c r="AF15" s="1052"/>
    </row>
    <row r="16" spans="2:32" s="1036" customFormat="1" ht="16.5" customHeight="1" thickBot="1" thickTop="1">
      <c r="B16" s="1050"/>
      <c r="C16" s="1078">
        <v>3</v>
      </c>
      <c r="D16" s="1078">
        <v>4</v>
      </c>
      <c r="E16" s="1078">
        <v>5</v>
      </c>
      <c r="F16" s="1078">
        <v>6</v>
      </c>
      <c r="G16" s="1078">
        <v>7</v>
      </c>
      <c r="H16" s="1078">
        <v>8</v>
      </c>
      <c r="I16" s="1078">
        <v>9</v>
      </c>
      <c r="J16" s="1078">
        <v>10</v>
      </c>
      <c r="K16" s="1078">
        <v>11</v>
      </c>
      <c r="L16" s="1078">
        <v>12</v>
      </c>
      <c r="M16" s="1078">
        <v>13</v>
      </c>
      <c r="N16" s="1078">
        <v>14</v>
      </c>
      <c r="O16" s="1078">
        <v>15</v>
      </c>
      <c r="P16" s="1078">
        <v>16</v>
      </c>
      <c r="Q16" s="1078">
        <v>17</v>
      </c>
      <c r="R16" s="1078">
        <v>18</v>
      </c>
      <c r="S16" s="1078">
        <v>19</v>
      </c>
      <c r="T16" s="1078">
        <v>20</v>
      </c>
      <c r="U16" s="1078">
        <v>21</v>
      </c>
      <c r="V16" s="1078">
        <v>22</v>
      </c>
      <c r="W16" s="1078">
        <v>23</v>
      </c>
      <c r="X16" s="1078">
        <v>24</v>
      </c>
      <c r="Y16" s="1078">
        <v>25</v>
      </c>
      <c r="Z16" s="1078">
        <v>26</v>
      </c>
      <c r="AA16" s="1078">
        <v>27</v>
      </c>
      <c r="AB16" s="1078">
        <v>28</v>
      </c>
      <c r="AC16" s="1078">
        <v>29</v>
      </c>
      <c r="AD16" s="1078">
        <v>30</v>
      </c>
      <c r="AE16" s="1078">
        <v>31</v>
      </c>
      <c r="AF16" s="1052"/>
    </row>
    <row r="17" spans="2:32" s="1036" customFormat="1" ht="33.75" customHeight="1" thickBot="1" thickTop="1">
      <c r="B17" s="1050"/>
      <c r="C17" s="1079" t="s">
        <v>28</v>
      </c>
      <c r="D17" s="1079" t="s">
        <v>29</v>
      </c>
      <c r="E17" s="1079" t="s">
        <v>30</v>
      </c>
      <c r="F17" s="1080" t="s">
        <v>5</v>
      </c>
      <c r="G17" s="1081" t="s">
        <v>31</v>
      </c>
      <c r="H17" s="1082" t="s">
        <v>32</v>
      </c>
      <c r="I17" s="1083" t="s">
        <v>33</v>
      </c>
      <c r="J17" s="1084" t="s">
        <v>34</v>
      </c>
      <c r="K17" s="1085" t="s">
        <v>35</v>
      </c>
      <c r="L17" s="1080" t="s">
        <v>36</v>
      </c>
      <c r="M17" s="1086" t="s">
        <v>37</v>
      </c>
      <c r="N17" s="1087" t="s">
        <v>38</v>
      </c>
      <c r="O17" s="1082" t="s">
        <v>39</v>
      </c>
      <c r="P17" s="1087" t="s">
        <v>179</v>
      </c>
      <c r="Q17" s="1082" t="s">
        <v>40</v>
      </c>
      <c r="R17" s="1086" t="s">
        <v>41</v>
      </c>
      <c r="S17" s="1080" t="s">
        <v>42</v>
      </c>
      <c r="T17" s="1088" t="s">
        <v>43</v>
      </c>
      <c r="U17" s="1089" t="s">
        <v>44</v>
      </c>
      <c r="V17" s="1090" t="s">
        <v>45</v>
      </c>
      <c r="W17" s="1091"/>
      <c r="X17" s="1092"/>
      <c r="Y17" s="1093" t="s">
        <v>46</v>
      </c>
      <c r="Z17" s="1094"/>
      <c r="AA17" s="1095"/>
      <c r="AB17" s="1096" t="s">
        <v>47</v>
      </c>
      <c r="AC17" s="1097" t="s">
        <v>48</v>
      </c>
      <c r="AD17" s="1098" t="s">
        <v>49</v>
      </c>
      <c r="AE17" s="1098" t="s">
        <v>50</v>
      </c>
      <c r="AF17" s="1099"/>
    </row>
    <row r="18" spans="2:32" s="1036" customFormat="1" ht="16.5" customHeight="1" thickTop="1">
      <c r="B18" s="1050"/>
      <c r="C18" s="1100"/>
      <c r="D18" s="1100"/>
      <c r="E18" s="1100"/>
      <c r="F18" s="1101"/>
      <c r="G18" s="1101"/>
      <c r="H18" s="1102"/>
      <c r="I18" s="1103"/>
      <c r="J18" s="1104"/>
      <c r="K18" s="1105"/>
      <c r="L18" s="1106"/>
      <c r="M18" s="1106"/>
      <c r="N18" s="1103"/>
      <c r="O18" s="1103"/>
      <c r="P18" s="1103"/>
      <c r="Q18" s="1103"/>
      <c r="R18" s="1103"/>
      <c r="S18" s="1103"/>
      <c r="T18" s="1107"/>
      <c r="U18" s="1108"/>
      <c r="V18" s="1109"/>
      <c r="W18" s="1110"/>
      <c r="X18" s="1111"/>
      <c r="Y18" s="1112"/>
      <c r="Z18" s="1113"/>
      <c r="AA18" s="1114"/>
      <c r="AB18" s="1115"/>
      <c r="AC18" s="1116"/>
      <c r="AD18" s="1103"/>
      <c r="AE18" s="1117"/>
      <c r="AF18" s="1052"/>
    </row>
    <row r="19" spans="2:32" s="1036" customFormat="1" ht="16.5" customHeight="1">
      <c r="B19" s="1050"/>
      <c r="C19" s="1118"/>
      <c r="D19" s="1118"/>
      <c r="E19" s="1118"/>
      <c r="F19" s="1119"/>
      <c r="G19" s="1120"/>
      <c r="H19" s="1121"/>
      <c r="I19" s="1120"/>
      <c r="J19" s="1122">
        <f>IF(I19="A",200,IF(I19="B",60,20))</f>
        <v>20</v>
      </c>
      <c r="K19" s="1123" t="e">
        <f>IF(G19=500,IF(H19&lt;100,100*$G$14/100,H19*$G$14/100),IF(H19&lt;100,100*$G$15/100,H19*$G$15/100))</f>
        <v>#VALUE!</v>
      </c>
      <c r="L19" s="1124"/>
      <c r="M19" s="1125"/>
      <c r="N19" s="1126">
        <f>IF(F19="","",(M19-L19)*24)</f>
      </c>
      <c r="O19" s="1127">
        <f>IF(F19="","",ROUND((M19-L19)*24*60,0))</f>
      </c>
      <c r="P19" s="1128"/>
      <c r="Q19" s="1129">
        <f>IF(F19="","","--")</f>
      </c>
      <c r="R19" s="1130">
        <f>IF(F19="","","NO")</f>
      </c>
      <c r="S19" s="1130">
        <f aca="true" t="shared" si="0" ref="S19:S39">IF(F19="","",IF(OR(P19="P",P19="RP"),"--","NO"))</f>
      </c>
      <c r="T19" s="1131" t="str">
        <f>IF(P19="P",K19*J19*ROUND(O19/60,2)*0.01,"--")</f>
        <v>--</v>
      </c>
      <c r="U19" s="1132" t="str">
        <f>IF(P19="RP",K19*J19*ROUND(O19/60,2)*0.01*Q19/100,"--")</f>
        <v>--</v>
      </c>
      <c r="V19" s="1133" t="str">
        <f>IF(AND(P19="F",S19="NO"),K19*J19*IF(R19="SI",1.2,1),"--")</f>
        <v>--</v>
      </c>
      <c r="W19" s="1134" t="str">
        <f>IF(AND(P19="F",O19&gt;=10),K19*J19*IF(R19="SI",1.2,1)*IF(O19&lt;=300,ROUND(O19/60,2),5),"--")</f>
        <v>--</v>
      </c>
      <c r="X19" s="1135" t="str">
        <f>IF(AND(P19="F",O19&gt;300),(ROUND(O19/60,2)-5)*K19*J19*0.1*IF(R19="SI",1.2,1),"--")</f>
        <v>--</v>
      </c>
      <c r="Y19" s="1136" t="str">
        <f>IF(AND(P19="R",S19="NO"),K19*J19*Q19/100*IF(R19="SI",1.2,1),"--")</f>
        <v>--</v>
      </c>
      <c r="Z19" s="1137" t="str">
        <f>IF(AND(P19="R",O19&gt;=10),K19*J19*Q19/100*IF(R19="SI",1.2,1)*IF(O19&lt;=300,ROUND(O19/60,2),5),"--")</f>
        <v>--</v>
      </c>
      <c r="AA19" s="1138" t="str">
        <f>IF(AND(P19="R",O19&gt;300),(ROUND(O19/60,2)-5)*K19*J19*0.1*Q19/100*IF(R19="SI",1.2,1),"--")</f>
        <v>--</v>
      </c>
      <c r="AB19" s="1139" t="str">
        <f>IF(P19="RF",ROUND(O19/60,2)*K19*J19*0.1*IF(R19="SI",1.2,1),"--")</f>
        <v>--</v>
      </c>
      <c r="AC19" s="1140" t="str">
        <f>IF(P19="RR",ROUND(O19/60,2)*K19*J19*0.1*Q19/100*IF(R19="SI",1.2,1),"--")</f>
        <v>--</v>
      </c>
      <c r="AD19" s="1141">
        <f>IF(F19="","","SI")</f>
      </c>
      <c r="AE19" s="1142">
        <f>IF(F19="","",SUM(T19:AC19)*IF(AD19="SI",1,2))</f>
      </c>
      <c r="AF19" s="1052"/>
    </row>
    <row r="20" spans="2:32" s="1036" customFormat="1" ht="16.5" customHeight="1">
      <c r="B20" s="1050"/>
      <c r="C20" s="1118"/>
      <c r="D20" s="1143"/>
      <c r="E20" s="1118"/>
      <c r="F20" s="1119"/>
      <c r="G20" s="1120"/>
      <c r="H20" s="1121"/>
      <c r="I20" s="1120"/>
      <c r="J20" s="1122"/>
      <c r="K20" s="1123"/>
      <c r="L20" s="1124"/>
      <c r="M20" s="1125"/>
      <c r="N20" s="1126"/>
      <c r="O20" s="1127"/>
      <c r="P20" s="1128"/>
      <c r="Q20" s="1129"/>
      <c r="R20" s="1130"/>
      <c r="S20" s="1130"/>
      <c r="T20" s="1131"/>
      <c r="U20" s="1132"/>
      <c r="V20" s="1133"/>
      <c r="W20" s="1134"/>
      <c r="X20" s="1135"/>
      <c r="Y20" s="1136"/>
      <c r="Z20" s="1137"/>
      <c r="AA20" s="1138"/>
      <c r="AB20" s="1139"/>
      <c r="AC20" s="1140"/>
      <c r="AD20" s="1144"/>
      <c r="AE20" s="1142"/>
      <c r="AF20" s="1145"/>
    </row>
    <row r="21" spans="2:32" s="1036" customFormat="1" ht="16.5" customHeight="1">
      <c r="B21" s="1050"/>
      <c r="C21" s="1118">
        <v>16</v>
      </c>
      <c r="D21" s="1143">
        <v>282218</v>
      </c>
      <c r="E21" s="1118">
        <v>5039</v>
      </c>
      <c r="F21" s="1119" t="s">
        <v>282</v>
      </c>
      <c r="G21" s="1120">
        <v>500</v>
      </c>
      <c r="H21" s="1121">
        <v>285</v>
      </c>
      <c r="I21" s="1120" t="s">
        <v>193</v>
      </c>
      <c r="J21" s="1122">
        <f>IF(I21="A",200,IF(I21="B",60,20))</f>
        <v>20</v>
      </c>
      <c r="K21" s="1123">
        <f>IF(G21=500,IF(H21&lt;100,100*$G$14/100,H21*$G$14/100),IF(H21&lt;100,100*$G$15/100,H21*$G$15/100))</f>
        <v>742.24602</v>
      </c>
      <c r="L21" s="1124">
        <v>41991.104166666664</v>
      </c>
      <c r="M21" s="1125">
        <v>41991.274305555555</v>
      </c>
      <c r="N21" s="1126">
        <f>IF(F21="","",(M21-L21)*24)</f>
        <v>4.083333333372138</v>
      </c>
      <c r="O21" s="1127">
        <f>IF(F21="","",ROUND((M21-L21)*24*60,0))</f>
        <v>245</v>
      </c>
      <c r="P21" s="1128" t="s">
        <v>198</v>
      </c>
      <c r="Q21" s="1129" t="str">
        <f>IF(F21="","","--")</f>
        <v>--</v>
      </c>
      <c r="R21" s="1130" t="str">
        <f>IF(F21="","","NO")</f>
        <v>NO</v>
      </c>
      <c r="S21" s="1130" t="str">
        <f>IF(F21="","",IF(OR(P21="P",P21="RP"),"--","NO"))</f>
        <v>--</v>
      </c>
      <c r="T21" s="1131">
        <f>IF(P21="P",K21*J21*ROUND(O21/60,2)*0.01,"--")</f>
        <v>605.6727523200001</v>
      </c>
      <c r="U21" s="1132" t="str">
        <f>IF(P21="RP",K21*J21*ROUND(O21/60,2)*0.01*Q21/100,"--")</f>
        <v>--</v>
      </c>
      <c r="V21" s="1133" t="str">
        <f>IF(AND(P21="F",S21="NO"),K21*J21*IF(R21="SI",1.2,1),"--")</f>
        <v>--</v>
      </c>
      <c r="W21" s="1134" t="str">
        <f>IF(AND(P21="F",O21&gt;=10),K21*J21*IF(R21="SI",1.2,1)*IF(O21&lt;=300,ROUND(O21/60,2),5),"--")</f>
        <v>--</v>
      </c>
      <c r="X21" s="1135" t="str">
        <f>IF(AND(P21="F",O21&gt;300),(ROUND(O21/60,2)-5)*K21*J21*0.1*IF(R21="SI",1.2,1),"--")</f>
        <v>--</v>
      </c>
      <c r="Y21" s="1136" t="str">
        <f>IF(AND(P21="R",S21="NO"),K21*J21*Q21/100*IF(R21="SI",1.2,1),"--")</f>
        <v>--</v>
      </c>
      <c r="Z21" s="1137" t="str">
        <f>IF(AND(P21="R",O21&gt;=10),K21*J21*Q21/100*IF(R21="SI",1.2,1)*IF(O21&lt;=300,ROUND(O21/60,2),5),"--")</f>
        <v>--</v>
      </c>
      <c r="AA21" s="1138" t="str">
        <f>IF(AND(P21="R",O21&gt;300),(ROUND(O21/60,2)-5)*K21*J21*0.1*Q21/100*IF(R21="SI",1.2,1),"--")</f>
        <v>--</v>
      </c>
      <c r="AB21" s="1139" t="str">
        <f>IF(P21="RF",ROUND(O21/60,2)*K21*J21*0.1*IF(R21="SI",1.2,1),"--")</f>
        <v>--</v>
      </c>
      <c r="AC21" s="1140" t="str">
        <f>IF(P21="RR",ROUND(O21/60,2)*K21*J21*0.1*Q21/100*IF(R21="SI",1.2,1),"--")</f>
        <v>--</v>
      </c>
      <c r="AD21" s="1144" t="str">
        <f>IF(F21="","","SI")</f>
        <v>SI</v>
      </c>
      <c r="AE21" s="1142">
        <f>IF(F21="","",SUM(T21:AC21)*IF(AD21="SI",1,2))</f>
        <v>605.6727523200001</v>
      </c>
      <c r="AF21" s="1145"/>
    </row>
    <row r="22" spans="2:32" s="1036" customFormat="1" ht="16.5" customHeight="1">
      <c r="B22" s="1050"/>
      <c r="C22" s="1118"/>
      <c r="D22" s="1143"/>
      <c r="E22" s="1118"/>
      <c r="F22" s="1119"/>
      <c r="G22" s="1120"/>
      <c r="H22" s="1121"/>
      <c r="I22" s="1120"/>
      <c r="J22" s="1122"/>
      <c r="K22" s="1123"/>
      <c r="L22" s="1124"/>
      <c r="M22" s="1125"/>
      <c r="N22" s="1126"/>
      <c r="O22" s="1127"/>
      <c r="P22" s="1128"/>
      <c r="Q22" s="1129"/>
      <c r="R22" s="1130"/>
      <c r="S22" s="1130">
        <f t="shared" si="0"/>
      </c>
      <c r="T22" s="1131"/>
      <c r="U22" s="1132"/>
      <c r="V22" s="1133"/>
      <c r="W22" s="1134"/>
      <c r="X22" s="1135"/>
      <c r="Y22" s="1136"/>
      <c r="Z22" s="1137"/>
      <c r="AA22" s="1138"/>
      <c r="AB22" s="1139"/>
      <c r="AC22" s="1140"/>
      <c r="AD22" s="1144"/>
      <c r="AE22" s="1142"/>
      <c r="AF22" s="1145"/>
    </row>
    <row r="23" spans="2:32" s="1036" customFormat="1" ht="16.5" customHeight="1">
      <c r="B23" s="1050"/>
      <c r="C23" s="1118"/>
      <c r="D23" s="1143"/>
      <c r="E23" s="1118"/>
      <c r="F23" s="1119"/>
      <c r="G23" s="1120"/>
      <c r="H23" s="1121"/>
      <c r="I23" s="1120"/>
      <c r="J23" s="1122"/>
      <c r="K23" s="1123"/>
      <c r="L23" s="1124"/>
      <c r="M23" s="1125"/>
      <c r="N23" s="1126"/>
      <c r="O23" s="1127"/>
      <c r="P23" s="1128"/>
      <c r="Q23" s="1129"/>
      <c r="R23" s="1130"/>
      <c r="S23" s="1130">
        <f t="shared" si="0"/>
      </c>
      <c r="T23" s="1131"/>
      <c r="U23" s="1132"/>
      <c r="V23" s="1133"/>
      <c r="W23" s="1134"/>
      <c r="X23" s="1135"/>
      <c r="Y23" s="1136"/>
      <c r="Z23" s="1137"/>
      <c r="AA23" s="1138"/>
      <c r="AB23" s="1139"/>
      <c r="AC23" s="1140"/>
      <c r="AD23" s="1144"/>
      <c r="AE23" s="1142"/>
      <c r="AF23" s="1145"/>
    </row>
    <row r="24" spans="2:32" s="1036" customFormat="1" ht="16.5" customHeight="1">
      <c r="B24" s="1050"/>
      <c r="C24" s="1118"/>
      <c r="D24" s="1143"/>
      <c r="E24" s="1118"/>
      <c r="F24" s="1119"/>
      <c r="G24" s="1120"/>
      <c r="H24" s="1121"/>
      <c r="I24" s="1120"/>
      <c r="J24" s="1122"/>
      <c r="K24" s="1123"/>
      <c r="L24" s="1124"/>
      <c r="M24" s="1125"/>
      <c r="N24" s="1126"/>
      <c r="O24" s="1127"/>
      <c r="P24" s="1128"/>
      <c r="Q24" s="1129"/>
      <c r="R24" s="1130"/>
      <c r="S24" s="1130">
        <f t="shared" si="0"/>
      </c>
      <c r="T24" s="1131"/>
      <c r="U24" s="1132"/>
      <c r="V24" s="1133"/>
      <c r="W24" s="1134"/>
      <c r="X24" s="1135"/>
      <c r="Y24" s="1136"/>
      <c r="Z24" s="1137"/>
      <c r="AA24" s="1138"/>
      <c r="AB24" s="1139"/>
      <c r="AC24" s="1140"/>
      <c r="AD24" s="1144"/>
      <c r="AE24" s="1142"/>
      <c r="AF24" s="1145"/>
    </row>
    <row r="25" spans="2:32" s="1036" customFormat="1" ht="16.5" customHeight="1">
      <c r="B25" s="1050"/>
      <c r="C25" s="1146"/>
      <c r="D25" s="1146"/>
      <c r="E25" s="1143"/>
      <c r="F25" s="1119"/>
      <c r="G25" s="1120"/>
      <c r="H25" s="1121"/>
      <c r="I25" s="1120"/>
      <c r="J25" s="1122"/>
      <c r="K25" s="1123"/>
      <c r="L25" s="1124"/>
      <c r="M25" s="1125"/>
      <c r="N25" s="1126"/>
      <c r="O25" s="1127"/>
      <c r="P25" s="1128"/>
      <c r="Q25" s="1129"/>
      <c r="R25" s="1130"/>
      <c r="S25" s="1130">
        <f t="shared" si="0"/>
      </c>
      <c r="T25" s="1131"/>
      <c r="U25" s="1132"/>
      <c r="V25" s="1133"/>
      <c r="W25" s="1134"/>
      <c r="X25" s="1135"/>
      <c r="Y25" s="1136"/>
      <c r="Z25" s="1137"/>
      <c r="AA25" s="1138"/>
      <c r="AB25" s="1139"/>
      <c r="AC25" s="1140"/>
      <c r="AD25" s="1144"/>
      <c r="AE25" s="1142"/>
      <c r="AF25" s="1145"/>
    </row>
    <row r="26" spans="2:32" s="1036" customFormat="1" ht="16.5" customHeight="1">
      <c r="B26" s="1050"/>
      <c r="C26" s="1143"/>
      <c r="D26" s="1143"/>
      <c r="E26" s="1143"/>
      <c r="F26" s="1147"/>
      <c r="G26" s="1148"/>
      <c r="H26" s="1149"/>
      <c r="I26" s="1148"/>
      <c r="J26" s="1122">
        <f aca="true" t="shared" si="1" ref="J26:J39">IF(I26="A",200,IF(I26="B",60,20))</f>
        <v>20</v>
      </c>
      <c r="K26" s="1123" t="e">
        <f aca="true" t="shared" si="2" ref="K26:K39">IF(G26=500,IF(H26&lt;100,100*$G$14/100,H26*$G$14/100),IF(H26&lt;100,100*$G$15/100,H26*$G$15/100))</f>
        <v>#VALUE!</v>
      </c>
      <c r="L26" s="1150"/>
      <c r="M26" s="1151"/>
      <c r="N26" s="1126">
        <f aca="true" t="shared" si="3" ref="N26:N39">IF(F26="","",(M26-L26)*24)</f>
      </c>
      <c r="O26" s="1127">
        <f aca="true" t="shared" si="4" ref="O26:O39">IF(F26="","",ROUND((M26-L26)*24*60,0))</f>
      </c>
      <c r="P26" s="1128"/>
      <c r="Q26" s="1129">
        <f aca="true" t="shared" si="5" ref="Q26:Q39">IF(F26="","","--")</f>
      </c>
      <c r="R26" s="1130">
        <f aca="true" t="shared" si="6" ref="R26:R39">IF(F26="","","NO")</f>
      </c>
      <c r="S26" s="1130">
        <f t="shared" si="0"/>
      </c>
      <c r="T26" s="1131" t="str">
        <f aca="true" t="shared" si="7" ref="T26:T39">IF(P26="P",K26*J26*ROUND(O26/60,2)*0.01,"--")</f>
        <v>--</v>
      </c>
      <c r="U26" s="1132" t="str">
        <f aca="true" t="shared" si="8" ref="U26:U39">IF(P26="RP",K26*J26*ROUND(O26/60,2)*0.01*Q26/100,"--")</f>
        <v>--</v>
      </c>
      <c r="V26" s="1133" t="str">
        <f aca="true" t="shared" si="9" ref="V26:V39">IF(AND(P26="F",S26="NO"),K26*J26*IF(R26="SI",1.2,1),"--")</f>
        <v>--</v>
      </c>
      <c r="W26" s="1134" t="str">
        <f aca="true" t="shared" si="10" ref="W26:W39">IF(AND(P26="F",O26&gt;=10),K26*J26*IF(R26="SI",1.2,1)*IF(O26&lt;=300,ROUND(O26/60,2),5),"--")</f>
        <v>--</v>
      </c>
      <c r="X26" s="1135" t="str">
        <f aca="true" t="shared" si="11" ref="X26:X39">IF(AND(P26="F",O26&gt;300),(ROUND(O26/60,2)-5)*K26*J26*0.1*IF(R26="SI",1.2,1),"--")</f>
        <v>--</v>
      </c>
      <c r="Y26" s="1136" t="str">
        <f aca="true" t="shared" si="12" ref="Y26:Y39">IF(AND(P26="R",S26="NO"),K26*J26*Q26/100*IF(R26="SI",1.2,1),"--")</f>
        <v>--</v>
      </c>
      <c r="Z26" s="1137" t="str">
        <f aca="true" t="shared" si="13" ref="Z26:Z39">IF(AND(P26="R",O26&gt;=10),K26*J26*Q26/100*IF(R26="SI",1.2,1)*IF(O26&lt;=300,ROUND(O26/60,2),5),"--")</f>
        <v>--</v>
      </c>
      <c r="AA26" s="1138" t="str">
        <f aca="true" t="shared" si="14" ref="AA26:AA39">IF(AND(P26="R",O26&gt;300),(ROUND(O26/60,2)-5)*K26*J26*0.1*Q26/100*IF(R26="SI",1.2,1),"--")</f>
        <v>--</v>
      </c>
      <c r="AB26" s="1139" t="str">
        <f aca="true" t="shared" si="15" ref="AB26:AB39">IF(P26="RF",ROUND(O26/60,2)*K26*J26*0.1*IF(R26="SI",1.2,1),"--")</f>
        <v>--</v>
      </c>
      <c r="AC26" s="1140" t="str">
        <f aca="true" t="shared" si="16" ref="AC26:AC39">IF(P26="RR",ROUND(O26/60,2)*K26*J26*0.1*Q26/100*IF(R26="SI",1.2,1),"--")</f>
        <v>--</v>
      </c>
      <c r="AD26" s="1144">
        <f aca="true" t="shared" si="17" ref="AD26:AD39">IF(F26="","","SI")</f>
      </c>
      <c r="AE26" s="1142">
        <f aca="true" t="shared" si="18" ref="AE26:AE39">IF(F26="","",SUM(T26:AC26)*IF(AD26="SI",1,2))</f>
      </c>
      <c r="AF26" s="1145"/>
    </row>
    <row r="27" spans="2:32" s="1036" customFormat="1" ht="16.5" customHeight="1">
      <c r="B27" s="1050"/>
      <c r="C27" s="1146"/>
      <c r="D27" s="1146"/>
      <c r="E27" s="1146"/>
      <c r="F27" s="1147"/>
      <c r="G27" s="1148"/>
      <c r="H27" s="1149"/>
      <c r="I27" s="1148"/>
      <c r="J27" s="1122">
        <f t="shared" si="1"/>
        <v>20</v>
      </c>
      <c r="K27" s="1123" t="e">
        <f t="shared" si="2"/>
        <v>#VALUE!</v>
      </c>
      <c r="L27" s="1150"/>
      <c r="M27" s="1151"/>
      <c r="N27" s="1126">
        <f t="shared" si="3"/>
      </c>
      <c r="O27" s="1127">
        <f t="shared" si="4"/>
      </c>
      <c r="P27" s="1128"/>
      <c r="Q27" s="1129">
        <f t="shared" si="5"/>
      </c>
      <c r="R27" s="1130">
        <f t="shared" si="6"/>
      </c>
      <c r="S27" s="1130">
        <f t="shared" si="0"/>
      </c>
      <c r="T27" s="1131" t="str">
        <f t="shared" si="7"/>
        <v>--</v>
      </c>
      <c r="U27" s="1132" t="str">
        <f t="shared" si="8"/>
        <v>--</v>
      </c>
      <c r="V27" s="1133" t="str">
        <f t="shared" si="9"/>
        <v>--</v>
      </c>
      <c r="W27" s="1134" t="str">
        <f t="shared" si="10"/>
        <v>--</v>
      </c>
      <c r="X27" s="1135" t="str">
        <f t="shared" si="11"/>
        <v>--</v>
      </c>
      <c r="Y27" s="1136" t="str">
        <f t="shared" si="12"/>
        <v>--</v>
      </c>
      <c r="Z27" s="1137" t="str">
        <f t="shared" si="13"/>
        <v>--</v>
      </c>
      <c r="AA27" s="1138" t="str">
        <f t="shared" si="14"/>
        <v>--</v>
      </c>
      <c r="AB27" s="1139" t="str">
        <f t="shared" si="15"/>
        <v>--</v>
      </c>
      <c r="AC27" s="1140" t="str">
        <f t="shared" si="16"/>
        <v>--</v>
      </c>
      <c r="AD27" s="1144">
        <f t="shared" si="17"/>
      </c>
      <c r="AE27" s="1142">
        <f t="shared" si="18"/>
      </c>
      <c r="AF27" s="1145"/>
    </row>
    <row r="28" spans="2:32" s="1036" customFormat="1" ht="16.5" customHeight="1">
      <c r="B28" s="1050"/>
      <c r="C28" s="1143"/>
      <c r="D28" s="1143"/>
      <c r="E28" s="1143"/>
      <c r="F28" s="1147"/>
      <c r="G28" s="1148"/>
      <c r="H28" s="1149"/>
      <c r="I28" s="1148"/>
      <c r="J28" s="1122">
        <f t="shared" si="1"/>
        <v>20</v>
      </c>
      <c r="K28" s="1123" t="e">
        <f t="shared" si="2"/>
        <v>#VALUE!</v>
      </c>
      <c r="L28" s="1150"/>
      <c r="M28" s="1151"/>
      <c r="N28" s="1126">
        <f t="shared" si="3"/>
      </c>
      <c r="O28" s="1127">
        <f t="shared" si="4"/>
      </c>
      <c r="P28" s="1128"/>
      <c r="Q28" s="1129">
        <f t="shared" si="5"/>
      </c>
      <c r="R28" s="1130">
        <f t="shared" si="6"/>
      </c>
      <c r="S28" s="1130">
        <f t="shared" si="0"/>
      </c>
      <c r="T28" s="1131" t="str">
        <f t="shared" si="7"/>
        <v>--</v>
      </c>
      <c r="U28" s="1132" t="str">
        <f t="shared" si="8"/>
        <v>--</v>
      </c>
      <c r="V28" s="1133" t="str">
        <f t="shared" si="9"/>
        <v>--</v>
      </c>
      <c r="W28" s="1134" t="str">
        <f t="shared" si="10"/>
        <v>--</v>
      </c>
      <c r="X28" s="1135" t="str">
        <f t="shared" si="11"/>
        <v>--</v>
      </c>
      <c r="Y28" s="1136" t="str">
        <f t="shared" si="12"/>
        <v>--</v>
      </c>
      <c r="Z28" s="1137" t="str">
        <f t="shared" si="13"/>
        <v>--</v>
      </c>
      <c r="AA28" s="1138" t="str">
        <f t="shared" si="14"/>
        <v>--</v>
      </c>
      <c r="AB28" s="1139" t="str">
        <f t="shared" si="15"/>
        <v>--</v>
      </c>
      <c r="AC28" s="1140" t="str">
        <f t="shared" si="16"/>
        <v>--</v>
      </c>
      <c r="AD28" s="1144">
        <f t="shared" si="17"/>
      </c>
      <c r="AE28" s="1142">
        <f t="shared" si="18"/>
      </c>
      <c r="AF28" s="1145"/>
    </row>
    <row r="29" spans="2:32" s="1036" customFormat="1" ht="16.5" customHeight="1">
      <c r="B29" s="1050"/>
      <c r="C29" s="1146"/>
      <c r="D29" s="1146"/>
      <c r="E29" s="1146"/>
      <c r="F29" s="1147"/>
      <c r="G29" s="1148"/>
      <c r="H29" s="1149"/>
      <c r="I29" s="1148"/>
      <c r="J29" s="1122">
        <f t="shared" si="1"/>
        <v>20</v>
      </c>
      <c r="K29" s="1123" t="e">
        <f t="shared" si="2"/>
        <v>#VALUE!</v>
      </c>
      <c r="L29" s="1150"/>
      <c r="M29" s="1151"/>
      <c r="N29" s="1126">
        <f t="shared" si="3"/>
      </c>
      <c r="O29" s="1127">
        <f t="shared" si="4"/>
      </c>
      <c r="P29" s="1128"/>
      <c r="Q29" s="1129">
        <f t="shared" si="5"/>
      </c>
      <c r="R29" s="1130">
        <f t="shared" si="6"/>
      </c>
      <c r="S29" s="1130">
        <f t="shared" si="0"/>
      </c>
      <c r="T29" s="1131" t="str">
        <f t="shared" si="7"/>
        <v>--</v>
      </c>
      <c r="U29" s="1132" t="str">
        <f t="shared" si="8"/>
        <v>--</v>
      </c>
      <c r="V29" s="1133" t="str">
        <f t="shared" si="9"/>
        <v>--</v>
      </c>
      <c r="W29" s="1134" t="str">
        <f t="shared" si="10"/>
        <v>--</v>
      </c>
      <c r="X29" s="1135" t="str">
        <f t="shared" si="11"/>
        <v>--</v>
      </c>
      <c r="Y29" s="1136" t="str">
        <f t="shared" si="12"/>
        <v>--</v>
      </c>
      <c r="Z29" s="1137" t="str">
        <f t="shared" si="13"/>
        <v>--</v>
      </c>
      <c r="AA29" s="1138" t="str">
        <f t="shared" si="14"/>
        <v>--</v>
      </c>
      <c r="AB29" s="1139" t="str">
        <f t="shared" si="15"/>
        <v>--</v>
      </c>
      <c r="AC29" s="1140" t="str">
        <f t="shared" si="16"/>
        <v>--</v>
      </c>
      <c r="AD29" s="1144">
        <f t="shared" si="17"/>
      </c>
      <c r="AE29" s="1142">
        <f t="shared" si="18"/>
      </c>
      <c r="AF29" s="1145"/>
    </row>
    <row r="30" spans="2:32" s="1036" customFormat="1" ht="16.5" customHeight="1">
      <c r="B30" s="1050"/>
      <c r="C30" s="1143"/>
      <c r="D30" s="1143"/>
      <c r="E30" s="1143"/>
      <c r="F30" s="1147"/>
      <c r="G30" s="1148"/>
      <c r="H30" s="1149"/>
      <c r="I30" s="1148"/>
      <c r="J30" s="1122">
        <f t="shared" si="1"/>
        <v>20</v>
      </c>
      <c r="K30" s="1123" t="e">
        <f t="shared" si="2"/>
        <v>#VALUE!</v>
      </c>
      <c r="L30" s="1150"/>
      <c r="M30" s="1151"/>
      <c r="N30" s="1126">
        <f t="shared" si="3"/>
      </c>
      <c r="O30" s="1127">
        <f t="shared" si="4"/>
      </c>
      <c r="P30" s="1128"/>
      <c r="Q30" s="1129">
        <f t="shared" si="5"/>
      </c>
      <c r="R30" s="1130">
        <f t="shared" si="6"/>
      </c>
      <c r="S30" s="1130">
        <f t="shared" si="0"/>
      </c>
      <c r="T30" s="1131" t="str">
        <f t="shared" si="7"/>
        <v>--</v>
      </c>
      <c r="U30" s="1132" t="str">
        <f t="shared" si="8"/>
        <v>--</v>
      </c>
      <c r="V30" s="1133" t="str">
        <f t="shared" si="9"/>
        <v>--</v>
      </c>
      <c r="W30" s="1134" t="str">
        <f t="shared" si="10"/>
        <v>--</v>
      </c>
      <c r="X30" s="1135" t="str">
        <f t="shared" si="11"/>
        <v>--</v>
      </c>
      <c r="Y30" s="1136" t="str">
        <f t="shared" si="12"/>
        <v>--</v>
      </c>
      <c r="Z30" s="1137" t="str">
        <f t="shared" si="13"/>
        <v>--</v>
      </c>
      <c r="AA30" s="1138" t="str">
        <f t="shared" si="14"/>
        <v>--</v>
      </c>
      <c r="AB30" s="1139" t="str">
        <f t="shared" si="15"/>
        <v>--</v>
      </c>
      <c r="AC30" s="1140" t="str">
        <f t="shared" si="16"/>
        <v>--</v>
      </c>
      <c r="AD30" s="1144">
        <f t="shared" si="17"/>
      </c>
      <c r="AE30" s="1142">
        <f t="shared" si="18"/>
      </c>
      <c r="AF30" s="1145"/>
    </row>
    <row r="31" spans="2:32" s="1036" customFormat="1" ht="16.5" customHeight="1">
      <c r="B31" s="1050"/>
      <c r="C31" s="1146"/>
      <c r="D31" s="1146"/>
      <c r="E31" s="1146"/>
      <c r="F31" s="1147"/>
      <c r="G31" s="1148"/>
      <c r="H31" s="1149"/>
      <c r="I31" s="1148"/>
      <c r="J31" s="1122">
        <f t="shared" si="1"/>
        <v>20</v>
      </c>
      <c r="K31" s="1123" t="e">
        <f t="shared" si="2"/>
        <v>#VALUE!</v>
      </c>
      <c r="L31" s="1150"/>
      <c r="M31" s="1152"/>
      <c r="N31" s="1126">
        <f t="shared" si="3"/>
      </c>
      <c r="O31" s="1127">
        <f t="shared" si="4"/>
      </c>
      <c r="P31" s="1128"/>
      <c r="Q31" s="1129">
        <f t="shared" si="5"/>
      </c>
      <c r="R31" s="1130">
        <f t="shared" si="6"/>
      </c>
      <c r="S31" s="1130">
        <f t="shared" si="0"/>
      </c>
      <c r="T31" s="1131" t="str">
        <f t="shared" si="7"/>
        <v>--</v>
      </c>
      <c r="U31" s="1132" t="str">
        <f t="shared" si="8"/>
        <v>--</v>
      </c>
      <c r="V31" s="1133" t="str">
        <f t="shared" si="9"/>
        <v>--</v>
      </c>
      <c r="W31" s="1134" t="str">
        <f t="shared" si="10"/>
        <v>--</v>
      </c>
      <c r="X31" s="1135" t="str">
        <f t="shared" si="11"/>
        <v>--</v>
      </c>
      <c r="Y31" s="1136" t="str">
        <f t="shared" si="12"/>
        <v>--</v>
      </c>
      <c r="Z31" s="1137" t="str">
        <f t="shared" si="13"/>
        <v>--</v>
      </c>
      <c r="AA31" s="1138" t="str">
        <f t="shared" si="14"/>
        <v>--</v>
      </c>
      <c r="AB31" s="1139" t="str">
        <f t="shared" si="15"/>
        <v>--</v>
      </c>
      <c r="AC31" s="1140" t="str">
        <f t="shared" si="16"/>
        <v>--</v>
      </c>
      <c r="AD31" s="1144">
        <f t="shared" si="17"/>
      </c>
      <c r="AE31" s="1142">
        <f t="shared" si="18"/>
      </c>
      <c r="AF31" s="1145"/>
    </row>
    <row r="32" spans="2:32" s="1036" customFormat="1" ht="16.5" customHeight="1">
      <c r="B32" s="1050"/>
      <c r="C32" s="1143"/>
      <c r="D32" s="1143"/>
      <c r="E32" s="1143"/>
      <c r="F32" s="1147"/>
      <c r="G32" s="1148"/>
      <c r="H32" s="1149"/>
      <c r="I32" s="1148"/>
      <c r="J32" s="1122">
        <f t="shared" si="1"/>
        <v>20</v>
      </c>
      <c r="K32" s="1123" t="e">
        <f t="shared" si="2"/>
        <v>#VALUE!</v>
      </c>
      <c r="L32" s="1150"/>
      <c r="M32" s="1152"/>
      <c r="N32" s="1126">
        <f t="shared" si="3"/>
      </c>
      <c r="O32" s="1127">
        <f t="shared" si="4"/>
      </c>
      <c r="P32" s="1128"/>
      <c r="Q32" s="1129">
        <f t="shared" si="5"/>
      </c>
      <c r="R32" s="1130">
        <f t="shared" si="6"/>
      </c>
      <c r="S32" s="1130">
        <f t="shared" si="0"/>
      </c>
      <c r="T32" s="1131" t="str">
        <f t="shared" si="7"/>
        <v>--</v>
      </c>
      <c r="U32" s="1132" t="str">
        <f t="shared" si="8"/>
        <v>--</v>
      </c>
      <c r="V32" s="1133" t="str">
        <f t="shared" si="9"/>
        <v>--</v>
      </c>
      <c r="W32" s="1134" t="str">
        <f t="shared" si="10"/>
        <v>--</v>
      </c>
      <c r="X32" s="1135" t="str">
        <f t="shared" si="11"/>
        <v>--</v>
      </c>
      <c r="Y32" s="1136" t="str">
        <f t="shared" si="12"/>
        <v>--</v>
      </c>
      <c r="Z32" s="1137" t="str">
        <f t="shared" si="13"/>
        <v>--</v>
      </c>
      <c r="AA32" s="1138" t="str">
        <f t="shared" si="14"/>
        <v>--</v>
      </c>
      <c r="AB32" s="1139" t="str">
        <f t="shared" si="15"/>
        <v>--</v>
      </c>
      <c r="AC32" s="1140" t="str">
        <f t="shared" si="16"/>
        <v>--</v>
      </c>
      <c r="AD32" s="1144">
        <f t="shared" si="17"/>
      </c>
      <c r="AE32" s="1142">
        <f t="shared" si="18"/>
      </c>
      <c r="AF32" s="1145"/>
    </row>
    <row r="33" spans="2:32" s="1036" customFormat="1" ht="16.5" customHeight="1">
      <c r="B33" s="1050"/>
      <c r="C33" s="1146"/>
      <c r="D33" s="1146"/>
      <c r="E33" s="1146"/>
      <c r="F33" s="1147"/>
      <c r="G33" s="1148"/>
      <c r="H33" s="1149"/>
      <c r="I33" s="1148"/>
      <c r="J33" s="1122">
        <f t="shared" si="1"/>
        <v>20</v>
      </c>
      <c r="K33" s="1123" t="e">
        <f t="shared" si="2"/>
        <v>#VALUE!</v>
      </c>
      <c r="L33" s="1150"/>
      <c r="M33" s="1152"/>
      <c r="N33" s="1126">
        <f t="shared" si="3"/>
      </c>
      <c r="O33" s="1127">
        <f t="shared" si="4"/>
      </c>
      <c r="P33" s="1128"/>
      <c r="Q33" s="1129">
        <f t="shared" si="5"/>
      </c>
      <c r="R33" s="1130">
        <f t="shared" si="6"/>
      </c>
      <c r="S33" s="1130">
        <f t="shared" si="0"/>
      </c>
      <c r="T33" s="1131" t="str">
        <f t="shared" si="7"/>
        <v>--</v>
      </c>
      <c r="U33" s="1132" t="str">
        <f t="shared" si="8"/>
        <v>--</v>
      </c>
      <c r="V33" s="1133" t="str">
        <f t="shared" si="9"/>
        <v>--</v>
      </c>
      <c r="W33" s="1134" t="str">
        <f t="shared" si="10"/>
        <v>--</v>
      </c>
      <c r="X33" s="1135" t="str">
        <f t="shared" si="11"/>
        <v>--</v>
      </c>
      <c r="Y33" s="1136" t="str">
        <f t="shared" si="12"/>
        <v>--</v>
      </c>
      <c r="Z33" s="1137" t="str">
        <f t="shared" si="13"/>
        <v>--</v>
      </c>
      <c r="AA33" s="1138" t="str">
        <f t="shared" si="14"/>
        <v>--</v>
      </c>
      <c r="AB33" s="1139" t="str">
        <f t="shared" si="15"/>
        <v>--</v>
      </c>
      <c r="AC33" s="1140" t="str">
        <f t="shared" si="16"/>
        <v>--</v>
      </c>
      <c r="AD33" s="1144">
        <f t="shared" si="17"/>
      </c>
      <c r="AE33" s="1142">
        <f t="shared" si="18"/>
      </c>
      <c r="AF33" s="1145"/>
    </row>
    <row r="34" spans="2:32" s="1036" customFormat="1" ht="16.5" customHeight="1">
      <c r="B34" s="1050"/>
      <c r="C34" s="1143"/>
      <c r="D34" s="1143"/>
      <c r="E34" s="1143"/>
      <c r="F34" s="1147"/>
      <c r="G34" s="1148"/>
      <c r="H34" s="1149"/>
      <c r="I34" s="1148"/>
      <c r="J34" s="1122">
        <f t="shared" si="1"/>
        <v>20</v>
      </c>
      <c r="K34" s="1123" t="e">
        <f t="shared" si="2"/>
        <v>#VALUE!</v>
      </c>
      <c r="L34" s="1150"/>
      <c r="M34" s="1152"/>
      <c r="N34" s="1126">
        <f t="shared" si="3"/>
      </c>
      <c r="O34" s="1127">
        <f t="shared" si="4"/>
      </c>
      <c r="P34" s="1128"/>
      <c r="Q34" s="1129">
        <f t="shared" si="5"/>
      </c>
      <c r="R34" s="1130">
        <f t="shared" si="6"/>
      </c>
      <c r="S34" s="1130">
        <f t="shared" si="0"/>
      </c>
      <c r="T34" s="1131" t="str">
        <f t="shared" si="7"/>
        <v>--</v>
      </c>
      <c r="U34" s="1132" t="str">
        <f t="shared" si="8"/>
        <v>--</v>
      </c>
      <c r="V34" s="1133" t="str">
        <f t="shared" si="9"/>
        <v>--</v>
      </c>
      <c r="W34" s="1134" t="str">
        <f t="shared" si="10"/>
        <v>--</v>
      </c>
      <c r="X34" s="1135" t="str">
        <f t="shared" si="11"/>
        <v>--</v>
      </c>
      <c r="Y34" s="1136" t="str">
        <f t="shared" si="12"/>
        <v>--</v>
      </c>
      <c r="Z34" s="1137" t="str">
        <f t="shared" si="13"/>
        <v>--</v>
      </c>
      <c r="AA34" s="1138" t="str">
        <f t="shared" si="14"/>
        <v>--</v>
      </c>
      <c r="AB34" s="1139" t="str">
        <f t="shared" si="15"/>
        <v>--</v>
      </c>
      <c r="AC34" s="1140" t="str">
        <f t="shared" si="16"/>
        <v>--</v>
      </c>
      <c r="AD34" s="1144">
        <f t="shared" si="17"/>
      </c>
      <c r="AE34" s="1142">
        <f t="shared" si="18"/>
      </c>
      <c r="AF34" s="1145"/>
    </row>
    <row r="35" spans="2:32" s="1036" customFormat="1" ht="16.5" customHeight="1">
      <c r="B35" s="1050"/>
      <c r="C35" s="1146"/>
      <c r="D35" s="1146"/>
      <c r="E35" s="1146"/>
      <c r="F35" s="1147"/>
      <c r="G35" s="1148"/>
      <c r="H35" s="1149"/>
      <c r="I35" s="1148"/>
      <c r="J35" s="1122">
        <f t="shared" si="1"/>
        <v>20</v>
      </c>
      <c r="K35" s="1123" t="e">
        <f t="shared" si="2"/>
        <v>#VALUE!</v>
      </c>
      <c r="L35" s="1150"/>
      <c r="M35" s="1152"/>
      <c r="N35" s="1126">
        <f t="shared" si="3"/>
      </c>
      <c r="O35" s="1127">
        <f t="shared" si="4"/>
      </c>
      <c r="P35" s="1128"/>
      <c r="Q35" s="1129">
        <f t="shared" si="5"/>
      </c>
      <c r="R35" s="1130">
        <f t="shared" si="6"/>
      </c>
      <c r="S35" s="1130">
        <f t="shared" si="0"/>
      </c>
      <c r="T35" s="1131" t="str">
        <f t="shared" si="7"/>
        <v>--</v>
      </c>
      <c r="U35" s="1132" t="str">
        <f t="shared" si="8"/>
        <v>--</v>
      </c>
      <c r="V35" s="1133" t="str">
        <f t="shared" si="9"/>
        <v>--</v>
      </c>
      <c r="W35" s="1134" t="str">
        <f t="shared" si="10"/>
        <v>--</v>
      </c>
      <c r="X35" s="1135" t="str">
        <f t="shared" si="11"/>
        <v>--</v>
      </c>
      <c r="Y35" s="1136" t="str">
        <f t="shared" si="12"/>
        <v>--</v>
      </c>
      <c r="Z35" s="1137" t="str">
        <f t="shared" si="13"/>
        <v>--</v>
      </c>
      <c r="AA35" s="1138" t="str">
        <f t="shared" si="14"/>
        <v>--</v>
      </c>
      <c r="AB35" s="1139" t="str">
        <f t="shared" si="15"/>
        <v>--</v>
      </c>
      <c r="AC35" s="1140" t="str">
        <f t="shared" si="16"/>
        <v>--</v>
      </c>
      <c r="AD35" s="1144">
        <f t="shared" si="17"/>
      </c>
      <c r="AE35" s="1142">
        <f t="shared" si="18"/>
      </c>
      <c r="AF35" s="1145"/>
    </row>
    <row r="36" spans="2:32" s="1036" customFormat="1" ht="16.5" customHeight="1">
      <c r="B36" s="1050"/>
      <c r="C36" s="1143"/>
      <c r="D36" s="1143"/>
      <c r="E36" s="1143"/>
      <c r="F36" s="1147"/>
      <c r="G36" s="1148"/>
      <c r="H36" s="1149"/>
      <c r="I36" s="1148"/>
      <c r="J36" s="1122">
        <f t="shared" si="1"/>
        <v>20</v>
      </c>
      <c r="K36" s="1123" t="e">
        <f t="shared" si="2"/>
        <v>#VALUE!</v>
      </c>
      <c r="L36" s="1150"/>
      <c r="M36" s="1152"/>
      <c r="N36" s="1126">
        <f t="shared" si="3"/>
      </c>
      <c r="O36" s="1127">
        <f t="shared" si="4"/>
      </c>
      <c r="P36" s="1128"/>
      <c r="Q36" s="1129">
        <f t="shared" si="5"/>
      </c>
      <c r="R36" s="1130">
        <f t="shared" si="6"/>
      </c>
      <c r="S36" s="1130">
        <f t="shared" si="0"/>
      </c>
      <c r="T36" s="1131" t="str">
        <f t="shared" si="7"/>
        <v>--</v>
      </c>
      <c r="U36" s="1132" t="str">
        <f t="shared" si="8"/>
        <v>--</v>
      </c>
      <c r="V36" s="1133" t="str">
        <f t="shared" si="9"/>
        <v>--</v>
      </c>
      <c r="W36" s="1134" t="str">
        <f t="shared" si="10"/>
        <v>--</v>
      </c>
      <c r="X36" s="1135" t="str">
        <f t="shared" si="11"/>
        <v>--</v>
      </c>
      <c r="Y36" s="1136" t="str">
        <f t="shared" si="12"/>
        <v>--</v>
      </c>
      <c r="Z36" s="1137" t="str">
        <f t="shared" si="13"/>
        <v>--</v>
      </c>
      <c r="AA36" s="1138" t="str">
        <f t="shared" si="14"/>
        <v>--</v>
      </c>
      <c r="AB36" s="1139" t="str">
        <f t="shared" si="15"/>
        <v>--</v>
      </c>
      <c r="AC36" s="1140" t="str">
        <f t="shared" si="16"/>
        <v>--</v>
      </c>
      <c r="AD36" s="1144">
        <f t="shared" si="17"/>
      </c>
      <c r="AE36" s="1142">
        <f t="shared" si="18"/>
      </c>
      <c r="AF36" s="1145"/>
    </row>
    <row r="37" spans="2:32" s="1036" customFormat="1" ht="16.5" customHeight="1">
      <c r="B37" s="1050"/>
      <c r="C37" s="1146"/>
      <c r="D37" s="1146"/>
      <c r="E37" s="1146"/>
      <c r="F37" s="1147"/>
      <c r="G37" s="1148"/>
      <c r="H37" s="1149"/>
      <c r="I37" s="1148"/>
      <c r="J37" s="1122">
        <f t="shared" si="1"/>
        <v>20</v>
      </c>
      <c r="K37" s="1123" t="e">
        <f t="shared" si="2"/>
        <v>#VALUE!</v>
      </c>
      <c r="L37" s="1150"/>
      <c r="M37" s="1152"/>
      <c r="N37" s="1126">
        <f t="shared" si="3"/>
      </c>
      <c r="O37" s="1127">
        <f t="shared" si="4"/>
      </c>
      <c r="P37" s="1128"/>
      <c r="Q37" s="1129">
        <f t="shared" si="5"/>
      </c>
      <c r="R37" s="1130">
        <f t="shared" si="6"/>
      </c>
      <c r="S37" s="1130">
        <f t="shared" si="0"/>
      </c>
      <c r="T37" s="1131" t="str">
        <f t="shared" si="7"/>
        <v>--</v>
      </c>
      <c r="U37" s="1132" t="str">
        <f t="shared" si="8"/>
        <v>--</v>
      </c>
      <c r="V37" s="1133" t="str">
        <f t="shared" si="9"/>
        <v>--</v>
      </c>
      <c r="W37" s="1134" t="str">
        <f t="shared" si="10"/>
        <v>--</v>
      </c>
      <c r="X37" s="1135" t="str">
        <f t="shared" si="11"/>
        <v>--</v>
      </c>
      <c r="Y37" s="1136" t="str">
        <f t="shared" si="12"/>
        <v>--</v>
      </c>
      <c r="Z37" s="1137" t="str">
        <f t="shared" si="13"/>
        <v>--</v>
      </c>
      <c r="AA37" s="1138" t="str">
        <f t="shared" si="14"/>
        <v>--</v>
      </c>
      <c r="AB37" s="1139" t="str">
        <f t="shared" si="15"/>
        <v>--</v>
      </c>
      <c r="AC37" s="1140" t="str">
        <f t="shared" si="16"/>
        <v>--</v>
      </c>
      <c r="AD37" s="1144">
        <f t="shared" si="17"/>
      </c>
      <c r="AE37" s="1142">
        <f t="shared" si="18"/>
      </c>
      <c r="AF37" s="1145"/>
    </row>
    <row r="38" spans="2:32" s="1036" customFormat="1" ht="16.5" customHeight="1">
      <c r="B38" s="1050"/>
      <c r="C38" s="1143"/>
      <c r="D38" s="1143"/>
      <c r="E38" s="1143"/>
      <c r="F38" s="1147"/>
      <c r="G38" s="1148"/>
      <c r="H38" s="1149"/>
      <c r="I38" s="1148"/>
      <c r="J38" s="1122">
        <f t="shared" si="1"/>
        <v>20</v>
      </c>
      <c r="K38" s="1123" t="e">
        <f t="shared" si="2"/>
        <v>#VALUE!</v>
      </c>
      <c r="L38" s="1150"/>
      <c r="M38" s="1152"/>
      <c r="N38" s="1126">
        <f t="shared" si="3"/>
      </c>
      <c r="O38" s="1127">
        <f t="shared" si="4"/>
      </c>
      <c r="P38" s="1128"/>
      <c r="Q38" s="1129">
        <f t="shared" si="5"/>
      </c>
      <c r="R38" s="1130">
        <f t="shared" si="6"/>
      </c>
      <c r="S38" s="1130">
        <f t="shared" si="0"/>
      </c>
      <c r="T38" s="1131" t="str">
        <f t="shared" si="7"/>
        <v>--</v>
      </c>
      <c r="U38" s="1132" t="str">
        <f t="shared" si="8"/>
        <v>--</v>
      </c>
      <c r="V38" s="1133" t="str">
        <f t="shared" si="9"/>
        <v>--</v>
      </c>
      <c r="W38" s="1134" t="str">
        <f t="shared" si="10"/>
        <v>--</v>
      </c>
      <c r="X38" s="1135" t="str">
        <f t="shared" si="11"/>
        <v>--</v>
      </c>
      <c r="Y38" s="1136" t="str">
        <f t="shared" si="12"/>
        <v>--</v>
      </c>
      <c r="Z38" s="1137" t="str">
        <f t="shared" si="13"/>
        <v>--</v>
      </c>
      <c r="AA38" s="1138" t="str">
        <f t="shared" si="14"/>
        <v>--</v>
      </c>
      <c r="AB38" s="1139" t="str">
        <f t="shared" si="15"/>
        <v>--</v>
      </c>
      <c r="AC38" s="1140" t="str">
        <f t="shared" si="16"/>
        <v>--</v>
      </c>
      <c r="AD38" s="1144">
        <f t="shared" si="17"/>
      </c>
      <c r="AE38" s="1142">
        <f t="shared" si="18"/>
      </c>
      <c r="AF38" s="1145"/>
    </row>
    <row r="39" spans="2:32" s="1036" customFormat="1" ht="16.5" customHeight="1">
      <c r="B39" s="1050"/>
      <c r="C39" s="1146"/>
      <c r="D39" s="1146"/>
      <c r="E39" s="1146"/>
      <c r="F39" s="1147"/>
      <c r="G39" s="1148"/>
      <c r="H39" s="1149"/>
      <c r="I39" s="1148"/>
      <c r="J39" s="1122">
        <f t="shared" si="1"/>
        <v>20</v>
      </c>
      <c r="K39" s="1123" t="e">
        <f t="shared" si="2"/>
        <v>#VALUE!</v>
      </c>
      <c r="L39" s="1150"/>
      <c r="M39" s="1152"/>
      <c r="N39" s="1126">
        <f t="shared" si="3"/>
      </c>
      <c r="O39" s="1127">
        <f t="shared" si="4"/>
      </c>
      <c r="P39" s="1128"/>
      <c r="Q39" s="1129">
        <f t="shared" si="5"/>
      </c>
      <c r="R39" s="1130">
        <f t="shared" si="6"/>
      </c>
      <c r="S39" s="1130">
        <f t="shared" si="0"/>
      </c>
      <c r="T39" s="1131" t="str">
        <f t="shared" si="7"/>
        <v>--</v>
      </c>
      <c r="U39" s="1132" t="str">
        <f t="shared" si="8"/>
        <v>--</v>
      </c>
      <c r="V39" s="1133" t="str">
        <f t="shared" si="9"/>
        <v>--</v>
      </c>
      <c r="W39" s="1134" t="str">
        <f t="shared" si="10"/>
        <v>--</v>
      </c>
      <c r="X39" s="1135" t="str">
        <f t="shared" si="11"/>
        <v>--</v>
      </c>
      <c r="Y39" s="1136" t="str">
        <f t="shared" si="12"/>
        <v>--</v>
      </c>
      <c r="Z39" s="1137" t="str">
        <f t="shared" si="13"/>
        <v>--</v>
      </c>
      <c r="AA39" s="1138" t="str">
        <f t="shared" si="14"/>
        <v>--</v>
      </c>
      <c r="AB39" s="1139" t="str">
        <f t="shared" si="15"/>
        <v>--</v>
      </c>
      <c r="AC39" s="1140" t="str">
        <f t="shared" si="16"/>
        <v>--</v>
      </c>
      <c r="AD39" s="1144">
        <f t="shared" si="17"/>
      </c>
      <c r="AE39" s="1142">
        <f t="shared" si="18"/>
      </c>
      <c r="AF39" s="1145"/>
    </row>
    <row r="40" spans="2:32" s="1036" customFormat="1" ht="16.5" customHeight="1" thickBot="1">
      <c r="B40" s="1050"/>
      <c r="C40" s="1143"/>
      <c r="D40" s="1153"/>
      <c r="E40" s="1143"/>
      <c r="F40" s="1154"/>
      <c r="G40" s="1155"/>
      <c r="H40" s="1156"/>
      <c r="I40" s="1157"/>
      <c r="J40" s="1158"/>
      <c r="K40" s="1159"/>
      <c r="L40" s="1160"/>
      <c r="M40" s="1160"/>
      <c r="N40" s="1161"/>
      <c r="O40" s="1161"/>
      <c r="P40" s="1162"/>
      <c r="Q40" s="1163"/>
      <c r="R40" s="1162"/>
      <c r="S40" s="1162"/>
      <c r="T40" s="1164"/>
      <c r="U40" s="1165"/>
      <c r="V40" s="1166"/>
      <c r="W40" s="1167"/>
      <c r="X40" s="1168"/>
      <c r="Y40" s="1169"/>
      <c r="Z40" s="1170"/>
      <c r="AA40" s="1171"/>
      <c r="AB40" s="1172"/>
      <c r="AC40" s="1173"/>
      <c r="AD40" s="1174"/>
      <c r="AE40" s="1175"/>
      <c r="AF40" s="1145"/>
    </row>
    <row r="41" spans="2:32" s="1036" customFormat="1" ht="16.5" customHeight="1" thickBot="1" thickTop="1">
      <c r="B41" s="1050"/>
      <c r="C41" s="1176" t="s">
        <v>280</v>
      </c>
      <c r="D41" s="1177" t="s">
        <v>281</v>
      </c>
      <c r="E41" s="1178"/>
      <c r="F41" s="1179"/>
      <c r="G41" s="1180"/>
      <c r="H41" s="1181"/>
      <c r="I41" s="1182"/>
      <c r="J41" s="1181"/>
      <c r="K41" s="1183"/>
      <c r="L41" s="1183"/>
      <c r="M41" s="1183"/>
      <c r="N41" s="1183"/>
      <c r="O41" s="1183"/>
      <c r="P41" s="1183"/>
      <c r="Q41" s="1184"/>
      <c r="R41" s="1183"/>
      <c r="S41" s="1183"/>
      <c r="T41" s="1185">
        <f aca="true" t="shared" si="19" ref="T41:AC41">SUM(T18:T40)</f>
        <v>605.6727523200001</v>
      </c>
      <c r="U41" s="1186">
        <f t="shared" si="19"/>
        <v>0</v>
      </c>
      <c r="V41" s="1187">
        <f t="shared" si="19"/>
        <v>0</v>
      </c>
      <c r="W41" s="1187">
        <f t="shared" si="19"/>
        <v>0</v>
      </c>
      <c r="X41" s="1187">
        <f t="shared" si="19"/>
        <v>0</v>
      </c>
      <c r="Y41" s="1188">
        <f t="shared" si="19"/>
        <v>0</v>
      </c>
      <c r="Z41" s="1188">
        <f t="shared" si="19"/>
        <v>0</v>
      </c>
      <c r="AA41" s="1188">
        <f t="shared" si="19"/>
        <v>0</v>
      </c>
      <c r="AB41" s="1189">
        <f t="shared" si="19"/>
        <v>0</v>
      </c>
      <c r="AC41" s="1190">
        <f t="shared" si="19"/>
        <v>0</v>
      </c>
      <c r="AD41" s="1191"/>
      <c r="AE41" s="1192">
        <f>ROUND(SUM(AE18:AE40),2)</f>
        <v>605.67</v>
      </c>
      <c r="AF41" s="1145"/>
    </row>
    <row r="42" spans="2:32" s="1036" customFormat="1" ht="16.5" customHeight="1" thickBot="1" thickTop="1">
      <c r="B42" s="1193"/>
      <c r="C42" s="1194"/>
      <c r="D42" s="1194"/>
      <c r="E42" s="1194"/>
      <c r="F42" s="1194"/>
      <c r="G42" s="1194"/>
      <c r="H42" s="1194"/>
      <c r="I42" s="1194"/>
      <c r="J42" s="1194"/>
      <c r="K42" s="1194"/>
      <c r="L42" s="1194"/>
      <c r="M42" s="1194"/>
      <c r="N42" s="1194"/>
      <c r="O42" s="1194"/>
      <c r="P42" s="1194"/>
      <c r="Q42" s="1194"/>
      <c r="R42" s="1194"/>
      <c r="S42" s="1194"/>
      <c r="T42" s="1194"/>
      <c r="U42" s="1194"/>
      <c r="V42" s="1194"/>
      <c r="W42" s="1194"/>
      <c r="X42" s="1194"/>
      <c r="Y42" s="1194"/>
      <c r="Z42" s="1194"/>
      <c r="AA42" s="1194"/>
      <c r="AB42" s="1194"/>
      <c r="AC42" s="1194"/>
      <c r="AD42" s="1194"/>
      <c r="AE42" s="1194"/>
      <c r="AF42" s="1195"/>
    </row>
    <row r="43" spans="2:32" ht="16.5" customHeight="1" thickTop="1">
      <c r="B43" s="1196"/>
      <c r="C43" s="1196"/>
      <c r="D43" s="1196"/>
      <c r="AF43" s="1196"/>
    </row>
  </sheetData>
  <sheetProtection password="CC12"/>
  <printOptions/>
  <pageMargins left="0.5511811023622047" right="0.58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="60" zoomScaleNormal="60" zoomScalePageLayoutView="0" workbookViewId="0" topLeftCell="B1">
      <selection activeCell="B3" sqref="B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9.8515625" style="0" customWidth="1"/>
    <col min="5" max="5" width="45.7109375" style="0" customWidth="1"/>
    <col min="6" max="7" width="9.7109375" style="0" customWidth="1"/>
    <col min="8" max="8" width="3.7109375" style="0" customWidth="1"/>
    <col min="9" max="9" width="4.421875" style="0" hidden="1" customWidth="1"/>
    <col min="10" max="10" width="10.57421875" style="0" hidden="1" customWidth="1"/>
    <col min="11" max="12" width="15.7109375" style="0" customWidth="1"/>
    <col min="13" max="15" width="9.7109375" style="0" customWidth="1"/>
    <col min="16" max="16" width="8.7109375" style="0" customWidth="1"/>
    <col min="17" max="17" width="5.421875" style="0" customWidth="1"/>
    <col min="18" max="18" width="5.8515625" style="0" customWidth="1"/>
    <col min="19" max="20" width="12.28125" style="0" hidden="1" customWidth="1"/>
    <col min="21" max="21" width="6.421875" style="0" hidden="1" customWidth="1"/>
    <col min="22" max="22" width="11.00390625" style="0" hidden="1" customWidth="1"/>
    <col min="23" max="26" width="5.7109375" style="0" hidden="1" customWidth="1"/>
    <col min="27" max="27" width="12.28125" style="0" hidden="1" customWidth="1"/>
    <col min="28" max="28" width="13.421875" style="0" hidden="1" customWidth="1"/>
    <col min="29" max="29" width="9.7109375" style="0" customWidth="1"/>
    <col min="30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2248" customFormat="1" ht="26.25">
      <c r="A1"/>
      <c r="C1"/>
      <c r="D1"/>
      <c r="F1"/>
      <c r="H1"/>
      <c r="J1"/>
      <c r="L1"/>
      <c r="N1"/>
      <c r="P1"/>
      <c r="R1"/>
      <c r="T1"/>
      <c r="V1"/>
      <c r="X1"/>
      <c r="Z1"/>
      <c r="AE1" s="2249"/>
    </row>
    <row r="2" spans="1:31" s="2248" customFormat="1" ht="26.25">
      <c r="A2" s="2250"/>
      <c r="B2" s="2251" t="str">
        <f>+'TOT-1214'!B2</f>
        <v>ANEXO I al Memorándum D.T.E.E. N° 90 /2016</v>
      </c>
      <c r="C2" s="2251"/>
      <c r="D2" s="2251"/>
      <c r="E2" s="2251"/>
      <c r="F2" s="2251"/>
      <c r="G2" s="2251"/>
      <c r="H2" s="2251"/>
      <c r="I2" s="2251"/>
      <c r="J2" s="2251"/>
      <c r="K2" s="2251"/>
      <c r="L2" s="2251"/>
      <c r="M2" s="2251"/>
      <c r="N2" s="2251"/>
      <c r="O2" s="2251"/>
      <c r="P2" s="2251"/>
      <c r="Q2" s="2251"/>
      <c r="R2" s="2251"/>
      <c r="S2" s="2251"/>
      <c r="T2" s="2251"/>
      <c r="U2" s="2251"/>
      <c r="V2" s="2251"/>
      <c r="W2" s="2251"/>
      <c r="X2" s="2251"/>
      <c r="Y2" s="2251"/>
      <c r="Z2" s="2251"/>
      <c r="AA2" s="2251"/>
      <c r="AB2" s="2251"/>
      <c r="AC2" s="2251"/>
      <c r="AD2" s="2251"/>
      <c r="AE2" s="2251"/>
    </row>
    <row r="3" s="2253" customFormat="1" ht="12.75">
      <c r="A3" s="2252"/>
    </row>
    <row r="4" spans="1:2" s="2256" customFormat="1" ht="11.25">
      <c r="A4" s="2254" t="s">
        <v>2</v>
      </c>
      <c r="B4" s="2255"/>
    </row>
    <row r="5" spans="1:2" s="2256" customFormat="1" ht="11.25">
      <c r="A5" s="2254" t="s">
        <v>3</v>
      </c>
      <c r="B5" s="2255"/>
    </row>
    <row r="6" spans="1:2" s="2256" customFormat="1" ht="11.25">
      <c r="A6" s="2254"/>
      <c r="B6" s="2255"/>
    </row>
    <row r="7" spans="1:2" s="2256" customFormat="1" ht="124.5" customHeight="1">
      <c r="A7" s="2254"/>
      <c r="B7" s="2255"/>
    </row>
    <row r="8" spans="1:2" s="2256" customFormat="1" ht="11.25">
      <c r="A8" s="2254"/>
      <c r="B8" s="2255"/>
    </row>
    <row r="9" s="2253" customFormat="1" ht="13.5" thickBot="1"/>
    <row r="10" spans="2:31" s="2253" customFormat="1" ht="13.5" thickTop="1">
      <c r="B10" s="2257"/>
      <c r="C10" s="2258"/>
      <c r="D10" s="2258"/>
      <c r="E10" s="2258"/>
      <c r="F10" s="2259"/>
      <c r="G10" s="2258"/>
      <c r="H10" s="2258"/>
      <c r="I10" s="2258"/>
      <c r="J10" s="2258"/>
      <c r="K10" s="2258"/>
      <c r="L10" s="2258"/>
      <c r="M10" s="2258"/>
      <c r="N10" s="2258"/>
      <c r="O10" s="2258"/>
      <c r="P10" s="2258"/>
      <c r="Q10" s="2258"/>
      <c r="R10" s="2258"/>
      <c r="S10" s="2258"/>
      <c r="T10" s="2258"/>
      <c r="U10" s="2258"/>
      <c r="V10" s="2258"/>
      <c r="W10" s="2258"/>
      <c r="X10" s="2258"/>
      <c r="Y10" s="2258"/>
      <c r="Z10" s="2258"/>
      <c r="AA10" s="2258"/>
      <c r="AB10" s="2258"/>
      <c r="AC10" s="2258"/>
      <c r="AD10" s="2258"/>
      <c r="AE10" s="2260"/>
    </row>
    <row r="11" spans="2:31" s="2261" customFormat="1" ht="20.25">
      <c r="B11" s="2262"/>
      <c r="C11" s="2263"/>
      <c r="D11" s="2263"/>
      <c r="E11" s="2264" t="s">
        <v>23</v>
      </c>
      <c r="F11" s="2263"/>
      <c r="G11" s="2263"/>
      <c r="H11" s="2263"/>
      <c r="I11" s="2263"/>
      <c r="O11" s="2263"/>
      <c r="P11" s="2263"/>
      <c r="Q11" s="2265"/>
      <c r="R11" s="2265"/>
      <c r="S11" s="2263"/>
      <c r="T11" s="2263"/>
      <c r="U11" s="2263"/>
      <c r="V11" s="2263"/>
      <c r="W11" s="2263"/>
      <c r="X11" s="2263"/>
      <c r="Y11" s="2263"/>
      <c r="Z11" s="2263"/>
      <c r="AA11" s="2263"/>
      <c r="AB11" s="2263"/>
      <c r="AC11" s="2263"/>
      <c r="AD11" s="2263"/>
      <c r="AE11" s="2266"/>
    </row>
    <row r="12" spans="2:31" s="2253" customFormat="1" ht="12.75">
      <c r="B12" s="2267"/>
      <c r="C12" s="2268"/>
      <c r="D12" s="2268"/>
      <c r="E12" s="2268"/>
      <c r="F12" s="2268"/>
      <c r="G12" s="2268"/>
      <c r="H12" s="2268"/>
      <c r="I12" s="2268"/>
      <c r="J12" s="2268"/>
      <c r="K12" s="2268"/>
      <c r="L12" s="2268"/>
      <c r="M12" s="2268"/>
      <c r="N12" s="2268"/>
      <c r="O12" s="2268"/>
      <c r="P12" s="2268"/>
      <c r="Q12" s="2268"/>
      <c r="R12" s="2268"/>
      <c r="S12" s="2268"/>
      <c r="T12" s="2268"/>
      <c r="U12" s="2268"/>
      <c r="V12" s="2268"/>
      <c r="W12" s="2268"/>
      <c r="X12" s="2268"/>
      <c r="Y12" s="2268"/>
      <c r="Z12" s="2268"/>
      <c r="AA12" s="2268"/>
      <c r="AB12" s="2268"/>
      <c r="AC12" s="2268"/>
      <c r="AD12" s="2268"/>
      <c r="AE12" s="2269"/>
    </row>
    <row r="13" spans="2:31" s="2261" customFormat="1" ht="20.25">
      <c r="B13" s="2262"/>
      <c r="C13" s="2263"/>
      <c r="D13" s="2263"/>
      <c r="E13" s="2265" t="s">
        <v>24</v>
      </c>
      <c r="F13" s="2263"/>
      <c r="G13" s="2263"/>
      <c r="H13" s="2263"/>
      <c r="I13" s="2263"/>
      <c r="J13" s="2263"/>
      <c r="K13" s="2263"/>
      <c r="L13" s="2263"/>
      <c r="M13" s="2263"/>
      <c r="N13" s="2263"/>
      <c r="O13" s="2263"/>
      <c r="P13" s="2263"/>
      <c r="Q13" s="2263"/>
      <c r="R13" s="2263"/>
      <c r="S13" s="2263"/>
      <c r="T13" s="2263"/>
      <c r="U13" s="2263"/>
      <c r="V13" s="2263"/>
      <c r="W13" s="2263"/>
      <c r="X13" s="2263"/>
      <c r="Y13" s="2263"/>
      <c r="Z13" s="2263"/>
      <c r="AA13" s="2263"/>
      <c r="AB13" s="2263"/>
      <c r="AC13" s="2263"/>
      <c r="AD13" s="2263"/>
      <c r="AE13" s="2266"/>
    </row>
    <row r="14" spans="2:31" s="2253" customFormat="1" ht="12.75">
      <c r="B14" s="2267"/>
      <c r="C14" s="2268"/>
      <c r="D14" s="2268"/>
      <c r="E14" s="2268"/>
      <c r="F14" s="2268"/>
      <c r="G14" s="2268"/>
      <c r="H14" s="2268"/>
      <c r="I14" s="2268"/>
      <c r="J14" s="2268"/>
      <c r="K14" s="2268"/>
      <c r="L14" s="2268"/>
      <c r="M14" s="2268"/>
      <c r="N14" s="2268"/>
      <c r="O14" s="2268"/>
      <c r="P14" s="2268"/>
      <c r="Q14" s="2268"/>
      <c r="R14" s="2268"/>
      <c r="S14" s="2268"/>
      <c r="T14" s="2268"/>
      <c r="U14" s="2268"/>
      <c r="V14" s="2268"/>
      <c r="W14" s="2268"/>
      <c r="X14" s="2268"/>
      <c r="Y14" s="2268"/>
      <c r="Z14" s="2268"/>
      <c r="AA14" s="2268"/>
      <c r="AB14" s="2268"/>
      <c r="AC14" s="2268"/>
      <c r="AD14" s="2268"/>
      <c r="AE14" s="2269"/>
    </row>
    <row r="15" spans="2:31" s="2261" customFormat="1" ht="20.25">
      <c r="B15" s="2262"/>
      <c r="C15" s="2263"/>
      <c r="D15" s="2263"/>
      <c r="E15" s="2265" t="s">
        <v>337</v>
      </c>
      <c r="F15" s="2263"/>
      <c r="G15" s="2263"/>
      <c r="H15" s="2263"/>
      <c r="J15" s="2263"/>
      <c r="K15" s="2263"/>
      <c r="L15" s="2263"/>
      <c r="M15" s="2263"/>
      <c r="N15" s="2263"/>
      <c r="O15" s="2263"/>
      <c r="P15" s="2263"/>
      <c r="Q15" s="2265"/>
      <c r="R15" s="2265"/>
      <c r="S15" s="2263"/>
      <c r="T15" s="2263"/>
      <c r="U15" s="2263"/>
      <c r="V15" s="2263"/>
      <c r="W15" s="2263"/>
      <c r="X15" s="2263"/>
      <c r="Y15" s="2263"/>
      <c r="Z15" s="2263"/>
      <c r="AA15" s="2263"/>
      <c r="AB15" s="2263"/>
      <c r="AC15" s="2263"/>
      <c r="AD15" s="2263"/>
      <c r="AE15" s="2266"/>
    </row>
    <row r="16" spans="2:31" s="2253" customFormat="1" ht="12.75">
      <c r="B16" s="2267"/>
      <c r="C16" s="2268"/>
      <c r="D16" s="2268"/>
      <c r="E16" s="2268"/>
      <c r="I16" s="2270"/>
      <c r="J16" s="2270"/>
      <c r="K16" s="2270"/>
      <c r="L16" s="2270"/>
      <c r="M16" s="2270"/>
      <c r="N16" s="2270"/>
      <c r="O16" s="2270"/>
      <c r="P16" s="2270"/>
      <c r="Q16" s="2270"/>
      <c r="R16" s="2270"/>
      <c r="S16" s="2268"/>
      <c r="T16" s="2268"/>
      <c r="U16" s="2268"/>
      <c r="V16" s="2268"/>
      <c r="W16" s="2268"/>
      <c r="X16" s="2268"/>
      <c r="Y16" s="2268"/>
      <c r="Z16" s="2268"/>
      <c r="AA16" s="2268"/>
      <c r="AB16" s="2268"/>
      <c r="AC16" s="2268"/>
      <c r="AD16" s="2268"/>
      <c r="AE16" s="2269"/>
    </row>
    <row r="17" spans="2:31" s="2271" customFormat="1" ht="19.5">
      <c r="B17" s="2272" t="str">
        <f>+'TOT-1214'!B14</f>
        <v>Desde el 01 al 31 de diciembre de 2014</v>
      </c>
      <c r="C17" s="2273"/>
      <c r="D17" s="2273"/>
      <c r="E17" s="2273"/>
      <c r="F17" s="2273"/>
      <c r="G17" s="2273"/>
      <c r="H17" s="2273"/>
      <c r="I17" s="2273"/>
      <c r="J17" s="2273"/>
      <c r="K17" s="2273"/>
      <c r="L17" s="2273"/>
      <c r="M17" s="2273"/>
      <c r="N17" s="2273"/>
      <c r="O17" s="2274"/>
      <c r="P17" s="2274"/>
      <c r="Q17" s="2273"/>
      <c r="R17" s="2273"/>
      <c r="S17" s="2273"/>
      <c r="T17" s="2273"/>
      <c r="U17" s="2273"/>
      <c r="V17" s="2273"/>
      <c r="W17" s="2273"/>
      <c r="X17" s="2273"/>
      <c r="Y17" s="2273"/>
      <c r="Z17" s="2273"/>
      <c r="AA17" s="2273"/>
      <c r="AB17" s="2273"/>
      <c r="AC17" s="2273"/>
      <c r="AD17" s="2273"/>
      <c r="AE17" s="2275"/>
    </row>
    <row r="18" spans="2:31" s="2253" customFormat="1" ht="16.5" customHeight="1" thickBot="1">
      <c r="B18" s="2267"/>
      <c r="C18" s="2268"/>
      <c r="D18" s="2268"/>
      <c r="E18" s="2268"/>
      <c r="F18" s="2276"/>
      <c r="G18" s="2276"/>
      <c r="H18" s="2268"/>
      <c r="I18" s="2268"/>
      <c r="J18" s="2268"/>
      <c r="K18" s="2277"/>
      <c r="L18" s="2268"/>
      <c r="M18" s="2268"/>
      <c r="N18" s="2268"/>
      <c r="Q18" s="2268"/>
      <c r="R18" s="2268"/>
      <c r="S18" s="2268"/>
      <c r="T18" s="2268"/>
      <c r="U18" s="2268"/>
      <c r="V18" s="2268"/>
      <c r="W18" s="2268"/>
      <c r="X18" s="2268"/>
      <c r="Y18" s="2268"/>
      <c r="Z18" s="2268"/>
      <c r="AA18" s="2268"/>
      <c r="AB18" s="2268"/>
      <c r="AC18" s="2268"/>
      <c r="AD18" s="2268"/>
      <c r="AE18" s="2269"/>
    </row>
    <row r="19" spans="2:31" s="2253" customFormat="1" ht="16.5" customHeight="1" thickBot="1" thickTop="1">
      <c r="B19" s="2267"/>
      <c r="C19" s="2268"/>
      <c r="D19" s="2268"/>
      <c r="E19" s="2278" t="s">
        <v>26</v>
      </c>
      <c r="F19" s="2279">
        <f>0.6*434.062</f>
        <v>260.4372</v>
      </c>
      <c r="G19" s="2280"/>
      <c r="H19" s="2268"/>
      <c r="I19" s="2268"/>
      <c r="J19" s="2268"/>
      <c r="K19" s="2268"/>
      <c r="L19" s="2268"/>
      <c r="M19" s="2268"/>
      <c r="N19" s="2268"/>
      <c r="O19" s="2268"/>
      <c r="P19" s="2268"/>
      <c r="Q19" s="2268"/>
      <c r="R19" s="2268"/>
      <c r="S19" s="2268"/>
      <c r="T19" s="2268"/>
      <c r="U19" s="2268"/>
      <c r="V19" s="2268"/>
      <c r="W19" s="2268"/>
      <c r="X19" s="2268"/>
      <c r="Y19" s="2268"/>
      <c r="Z19" s="2268"/>
      <c r="AA19" s="2268"/>
      <c r="AB19" s="2268"/>
      <c r="AC19" s="2268"/>
      <c r="AD19" s="2268"/>
      <c r="AE19" s="2269"/>
    </row>
    <row r="20" spans="2:31" s="2253" customFormat="1" ht="16.5" customHeight="1" thickBot="1" thickTop="1">
      <c r="B20" s="2267"/>
      <c r="C20" s="2268"/>
      <c r="D20" s="2268"/>
      <c r="E20" s="2278" t="s">
        <v>27</v>
      </c>
      <c r="F20" s="2279" t="s">
        <v>335</v>
      </c>
      <c r="G20" s="2280"/>
      <c r="H20" s="2268"/>
      <c r="I20" s="2268"/>
      <c r="J20" s="2268"/>
      <c r="K20" s="2281"/>
      <c r="L20" s="2282"/>
      <c r="M20" s="2268"/>
      <c r="N20" s="2268"/>
      <c r="O20" s="2268"/>
      <c r="P20" s="2268"/>
      <c r="Q20" s="2268"/>
      <c r="R20" s="2268"/>
      <c r="S20" s="2268"/>
      <c r="T20" s="2268"/>
      <c r="U20" s="2268"/>
      <c r="V20" s="2268"/>
      <c r="W20" s="2283"/>
      <c r="X20" s="2283"/>
      <c r="Y20" s="2283"/>
      <c r="Z20" s="2283"/>
      <c r="AA20" s="2283"/>
      <c r="AB20" s="2283"/>
      <c r="AC20" s="2283"/>
      <c r="AE20" s="2269"/>
    </row>
    <row r="21" spans="2:31" s="2253" customFormat="1" ht="16.5" customHeight="1" thickBot="1" thickTop="1">
      <c r="B21" s="2267"/>
      <c r="C21" s="2268"/>
      <c r="D21" s="2268"/>
      <c r="E21" s="2268"/>
      <c r="F21" s="2284"/>
      <c r="G21" s="2268"/>
      <c r="H21" s="2268"/>
      <c r="I21" s="2268"/>
      <c r="J21" s="2268"/>
      <c r="K21" s="2268"/>
      <c r="L21" s="2268"/>
      <c r="M21" s="2268"/>
      <c r="N21" s="2268"/>
      <c r="O21" s="2285"/>
      <c r="P21" s="2268"/>
      <c r="Q21" s="2268"/>
      <c r="R21" s="2268"/>
      <c r="S21" s="2268"/>
      <c r="T21" s="2268"/>
      <c r="U21" s="2268"/>
      <c r="V21" s="2268"/>
      <c r="W21" s="2268"/>
      <c r="X21" s="2268"/>
      <c r="Y21" s="2268"/>
      <c r="Z21" s="2268"/>
      <c r="AA21" s="2268"/>
      <c r="AB21" s="2268"/>
      <c r="AC21" s="2268"/>
      <c r="AD21" s="2268"/>
      <c r="AE21" s="2269"/>
    </row>
    <row r="22" spans="2:31" s="2253" customFormat="1" ht="33.75" customHeight="1" thickBot="1" thickTop="1">
      <c r="B22" s="2267"/>
      <c r="C22" s="2286" t="s">
        <v>28</v>
      </c>
      <c r="D22" s="2286" t="s">
        <v>29</v>
      </c>
      <c r="E22" s="2287" t="s">
        <v>5</v>
      </c>
      <c r="F22" s="2288" t="s">
        <v>31</v>
      </c>
      <c r="G22" s="2289" t="s">
        <v>32</v>
      </c>
      <c r="H22" s="2290" t="s">
        <v>33</v>
      </c>
      <c r="I22" s="2291" t="s">
        <v>34</v>
      </c>
      <c r="J22" s="2292" t="s">
        <v>35</v>
      </c>
      <c r="K22" s="2287" t="s">
        <v>36</v>
      </c>
      <c r="L22" s="2293" t="s">
        <v>37</v>
      </c>
      <c r="M22" s="2294" t="s">
        <v>38</v>
      </c>
      <c r="N22" s="2289" t="s">
        <v>39</v>
      </c>
      <c r="O22" s="2294" t="s">
        <v>179</v>
      </c>
      <c r="P22" s="2289" t="s">
        <v>40</v>
      </c>
      <c r="Q22" s="2293" t="s">
        <v>41</v>
      </c>
      <c r="R22" s="2287" t="s">
        <v>42</v>
      </c>
      <c r="S22" s="2295" t="s">
        <v>43</v>
      </c>
      <c r="T22" s="2296" t="s">
        <v>44</v>
      </c>
      <c r="U22" s="2297" t="s">
        <v>45</v>
      </c>
      <c r="V22" s="2298"/>
      <c r="W22" s="2299"/>
      <c r="X22" s="2300" t="s">
        <v>46</v>
      </c>
      <c r="Y22" s="2301"/>
      <c r="Z22" s="2302"/>
      <c r="AA22" s="2303" t="s">
        <v>47</v>
      </c>
      <c r="AB22" s="2304" t="s">
        <v>48</v>
      </c>
      <c r="AC22" s="2305" t="s">
        <v>49</v>
      </c>
      <c r="AD22" s="2305" t="s">
        <v>50</v>
      </c>
      <c r="AE22" s="2306"/>
    </row>
    <row r="23" spans="2:31" s="2253" customFormat="1" ht="16.5" customHeight="1" thickTop="1">
      <c r="B23" s="2267"/>
      <c r="C23" s="2307"/>
      <c r="D23" s="2307"/>
      <c r="E23" s="184"/>
      <c r="F23" s="185"/>
      <c r="G23" s="186"/>
      <c r="H23" s="185"/>
      <c r="I23" s="2308"/>
      <c r="J23" s="2309"/>
      <c r="K23" s="187"/>
      <c r="L23" s="188"/>
      <c r="M23" s="2310"/>
      <c r="N23" s="2311"/>
      <c r="O23" s="2312"/>
      <c r="P23" s="2313"/>
      <c r="Q23" s="2314"/>
      <c r="R23" s="2314"/>
      <c r="S23" s="2315"/>
      <c r="T23" s="2316"/>
      <c r="U23" s="2317"/>
      <c r="V23" s="2318"/>
      <c r="W23" s="2319"/>
      <c r="X23" s="2320"/>
      <c r="Y23" s="2321"/>
      <c r="Z23" s="2322"/>
      <c r="AA23" s="2323"/>
      <c r="AB23" s="2324"/>
      <c r="AC23" s="2325"/>
      <c r="AD23" s="2326"/>
      <c r="AE23" s="2327"/>
    </row>
    <row r="24" spans="2:31" s="2253" customFormat="1" ht="16.5" customHeight="1">
      <c r="B24" s="2267"/>
      <c r="C24" s="2328">
        <v>15</v>
      </c>
      <c r="D24" s="159">
        <v>282784</v>
      </c>
      <c r="E24" s="184" t="s">
        <v>279</v>
      </c>
      <c r="F24" s="185">
        <v>500</v>
      </c>
      <c r="G24" s="186">
        <v>297.7</v>
      </c>
      <c r="H24" s="185" t="s">
        <v>193</v>
      </c>
      <c r="I24" s="2308">
        <f>IF(H24="A",200,IF(H24="B",60,20))</f>
        <v>20</v>
      </c>
      <c r="J24" s="2309">
        <f>IF(F24=500,IF(G24&lt;100,100*$F$19/100,G24*$F$19/100),IF(G24&lt;100,100*$F$20/100,G24*$F$20/100))</f>
        <v>775.3215444</v>
      </c>
      <c r="K24" s="2329">
        <v>41979.77847222222</v>
      </c>
      <c r="L24" s="2330">
        <v>41979.790972222225</v>
      </c>
      <c r="M24" s="2310">
        <f>IF(E24="","",(L24-K24)*24)</f>
        <v>0.3000000001047738</v>
      </c>
      <c r="N24" s="2311">
        <f>IF(E24="","",ROUND((L24-K24)*24*60,0))</f>
        <v>18</v>
      </c>
      <c r="O24" s="2312" t="s">
        <v>194</v>
      </c>
      <c r="P24" s="2313" t="str">
        <f>IF(E24="","","--")</f>
        <v>--</v>
      </c>
      <c r="Q24" s="2314" t="str">
        <f>IF(E24="","","NO")</f>
        <v>NO</v>
      </c>
      <c r="R24" s="2314" t="str">
        <f>IF(E24="","",IF(OR(O24="P",O24="RP"),"--","NO"))</f>
        <v>NO</v>
      </c>
      <c r="S24" s="2315" t="str">
        <f>IF(O24="P",J24*I24*ROUND(N24/60,2)*0.01,"--")</f>
        <v>--</v>
      </c>
      <c r="T24" s="2316" t="str">
        <f>IF(O24="RP",J24*I24*ROUND(N24/60,2)*0.01*P24/100,"--")</f>
        <v>--</v>
      </c>
      <c r="U24" s="2317">
        <v>0</v>
      </c>
      <c r="V24" s="2318">
        <f>IF(AND(O24="F",N24&gt;=10),J24*I24*IF(Q24="SI",1.2,1)*IF(N24&lt;=300,ROUND(N24/60,2),5),"--")</f>
        <v>4651.9292663999995</v>
      </c>
      <c r="W24" s="2319" t="str">
        <f>IF(AND(O24="F",N24&gt;300),(ROUND(N24/60,2)-5)*J24*I24*0.1*IF(Q24="SI",1.2,1),"--")</f>
        <v>--</v>
      </c>
      <c r="X24" s="2320" t="str">
        <f>IF(AND(O24="R",R24="NO"),J24*I24*P24/100*IF(Q24="SI",1.2,1),"--")</f>
        <v>--</v>
      </c>
      <c r="Y24" s="2321" t="str">
        <f>IF(AND(O24="R",N24&gt;=10),J24*I24*P24/100*IF(Q24="SI",1.2,1)*IF(N24&lt;=300,ROUND(N24/60,2),5),"--")</f>
        <v>--</v>
      </c>
      <c r="Z24" s="2322" t="str">
        <f>IF(AND(O24="R",N24&gt;300),(ROUND(N24/60,2)-5)*J24*I24*0.1*P24/100*IF(Q24="SI",1.2,1),"--")</f>
        <v>--</v>
      </c>
      <c r="AA24" s="2323" t="str">
        <f>IF(O24="RF",ROUND(N24/60,2)*J24*I24*0.1*IF(Q24="SI",1.2,1),"--")</f>
        <v>--</v>
      </c>
      <c r="AB24" s="2324" t="str">
        <f>IF(O24="RR",ROUND(N24/60,2)*J24*I24*0.1*P24/100*IF(Q24="SI",1.2,1),"--")</f>
        <v>--</v>
      </c>
      <c r="AC24" s="2331" t="str">
        <f>IF(E24="","","SI")</f>
        <v>SI</v>
      </c>
      <c r="AD24" s="2326">
        <f>IF(E24="","",SUM(S24:AB24)*IF(AC24="SI",1,2))</f>
        <v>4651.9292663999995</v>
      </c>
      <c r="AE24" s="2327"/>
    </row>
    <row r="25" spans="2:31" s="2253" customFormat="1" ht="16.5" customHeight="1">
      <c r="B25" s="2267"/>
      <c r="C25" s="2332"/>
      <c r="D25" s="2332"/>
      <c r="E25" s="2307"/>
      <c r="F25" s="2333"/>
      <c r="G25" s="2334"/>
      <c r="H25" s="2333"/>
      <c r="I25" s="2308"/>
      <c r="J25" s="2309"/>
      <c r="K25" s="2329"/>
      <c r="L25" s="2330"/>
      <c r="M25" s="2310"/>
      <c r="N25" s="2311"/>
      <c r="O25" s="2312"/>
      <c r="P25" s="2313"/>
      <c r="Q25" s="2314"/>
      <c r="R25" s="2314"/>
      <c r="S25" s="2315"/>
      <c r="T25" s="2316"/>
      <c r="U25" s="2317"/>
      <c r="V25" s="2318"/>
      <c r="W25" s="2319"/>
      <c r="X25" s="2320"/>
      <c r="Y25" s="2321"/>
      <c r="Z25" s="2322"/>
      <c r="AA25" s="2323"/>
      <c r="AB25" s="2324"/>
      <c r="AC25" s="2331"/>
      <c r="AD25" s="2326"/>
      <c r="AE25" s="2327"/>
    </row>
    <row r="26" spans="2:31" s="2253" customFormat="1" ht="16.5" customHeight="1">
      <c r="B26" s="2267"/>
      <c r="C26" s="2307"/>
      <c r="D26" s="2307"/>
      <c r="E26" s="2307"/>
      <c r="F26" s="2333"/>
      <c r="G26" s="2334"/>
      <c r="H26" s="2333"/>
      <c r="I26" s="2308">
        <f>IF(H26="A",200,IF(H26="B",60,20))</f>
        <v>20</v>
      </c>
      <c r="J26" s="2309" t="e">
        <f>IF(F26=500,IF(G26&lt;100,100*$F$19/100,G26*$F$19/100),IF(G26&lt;100,100*$F$20/100,G26*$F$20/100))</f>
        <v>#VALUE!</v>
      </c>
      <c r="K26" s="2329"/>
      <c r="L26" s="2330"/>
      <c r="M26" s="2310">
        <f>IF(E26="","",(L26-K26)*24)</f>
      </c>
      <c r="N26" s="2311">
        <f>IF(E26="","",ROUND((L26-K26)*24*60,0))</f>
      </c>
      <c r="O26" s="2312"/>
      <c r="P26" s="2313">
        <f>IF(E26="","","--")</f>
      </c>
      <c r="Q26" s="2314">
        <f>IF(E26="","","NO")</f>
      </c>
      <c r="R26" s="2314">
        <f>IF(E26="","",IF(OR(O26="P",O26="RP"),"--","NO"))</f>
      </c>
      <c r="S26" s="2315" t="str">
        <f>IF(O26="P",J26*I26*ROUND(N26/60,2)*0.01,"--")</f>
        <v>--</v>
      </c>
      <c r="T26" s="2316" t="str">
        <f>IF(O26="RP",J26*I26*ROUND(N26/60,2)*0.01*P26/100,"--")</f>
        <v>--</v>
      </c>
      <c r="U26" s="2317">
        <v>0</v>
      </c>
      <c r="V26" s="2318" t="str">
        <f>IF(AND(O26="F",N26&gt;=10),J26*I26*IF(Q26="SI",1.2,1)*IF(N26&lt;=300,ROUND(N26/60,2),5),"--")</f>
        <v>--</v>
      </c>
      <c r="W26" s="2319" t="str">
        <f>IF(AND(O26="F",N26&gt;300),(ROUND(N26/60,2)-5)*J26*I26*0.1*IF(Q26="SI",1.2,1),"--")</f>
        <v>--</v>
      </c>
      <c r="X26" s="2320" t="str">
        <f>IF(AND(O26="R",R26="NO"),J26*I26*P26/100*IF(Q26="SI",1.2,1),"--")</f>
        <v>--</v>
      </c>
      <c r="Y26" s="2321" t="str">
        <f>IF(AND(O26="R",N26&gt;=10),J26*I26*P26/100*IF(Q26="SI",1.2,1)*IF(N26&lt;=300,ROUND(N26/60,2),5),"--")</f>
        <v>--</v>
      </c>
      <c r="Z26" s="2322" t="str">
        <f>IF(AND(O26="R",N26&gt;300),(ROUND(N26/60,2)-5)*J26*I26*0.1*P26/100*IF(Q26="SI",1.2,1),"--")</f>
        <v>--</v>
      </c>
      <c r="AA26" s="2323" t="str">
        <f>IF(O26="RF",ROUND(N26/60,2)*J26*I26*0.1*IF(Q26="SI",1.2,1),"--")</f>
        <v>--</v>
      </c>
      <c r="AB26" s="2324" t="str">
        <f>IF(O26="RR",ROUND(N26/60,2)*J26*I26*0.1*P26/100*IF(Q26="SI",1.2,1),"--")</f>
        <v>--</v>
      </c>
      <c r="AC26" s="2325">
        <f>IF(E26="","","SI")</f>
      </c>
      <c r="AD26" s="2326">
        <f>IF(E26="","",SUM(S26:AB26)*IF(AC26="SI",1,2))</f>
      </c>
      <c r="AE26" s="2327"/>
    </row>
    <row r="27" spans="2:31" s="2253" customFormat="1" ht="16.5" customHeight="1" thickBot="1">
      <c r="B27" s="2267"/>
      <c r="C27" s="2307"/>
      <c r="D27" s="2335"/>
      <c r="E27" s="2335"/>
      <c r="F27" s="2336"/>
      <c r="G27" s="2337"/>
      <c r="H27" s="2338"/>
      <c r="I27" s="2339"/>
      <c r="J27" s="2340"/>
      <c r="K27" s="2341"/>
      <c r="L27" s="2341"/>
      <c r="M27" s="2342"/>
      <c r="N27" s="2342"/>
      <c r="O27" s="2343"/>
      <c r="P27" s="2344"/>
      <c r="Q27" s="2343"/>
      <c r="R27" s="2343"/>
      <c r="S27" s="2345"/>
      <c r="T27" s="2346"/>
      <c r="U27" s="2347"/>
      <c r="V27" s="2348"/>
      <c r="W27" s="2349"/>
      <c r="X27" s="2350"/>
      <c r="Y27" s="2351"/>
      <c r="Z27" s="2352"/>
      <c r="AA27" s="2353"/>
      <c r="AB27" s="2354"/>
      <c r="AC27" s="2355"/>
      <c r="AD27" s="2356"/>
      <c r="AE27" s="2327"/>
    </row>
    <row r="28" spans="2:31" s="2253" customFormat="1" ht="16.5" customHeight="1" thickBot="1" thickTop="1">
      <c r="B28" s="2267"/>
      <c r="C28" s="2357" t="s">
        <v>180</v>
      </c>
      <c r="D28" s="2358" t="s">
        <v>308</v>
      </c>
      <c r="F28" s="2359"/>
      <c r="G28" s="2284"/>
      <c r="H28" s="2360"/>
      <c r="I28" s="2284"/>
      <c r="J28" s="2361"/>
      <c r="K28" s="2361"/>
      <c r="L28" s="2361"/>
      <c r="M28" s="2361"/>
      <c r="N28" s="2361"/>
      <c r="O28" s="2361"/>
      <c r="P28" s="2362"/>
      <c r="Q28" s="2361"/>
      <c r="R28" s="2361"/>
      <c r="S28" s="2363">
        <f aca="true" t="shared" si="0" ref="S28:AB28">SUM(S23:S27)</f>
        <v>0</v>
      </c>
      <c r="T28" s="2364">
        <f t="shared" si="0"/>
        <v>0</v>
      </c>
      <c r="U28" s="2365">
        <f t="shared" si="0"/>
        <v>0</v>
      </c>
      <c r="V28" s="2365">
        <f t="shared" si="0"/>
        <v>4651.9292663999995</v>
      </c>
      <c r="W28" s="2365">
        <f t="shared" si="0"/>
        <v>0</v>
      </c>
      <c r="X28" s="2366">
        <f t="shared" si="0"/>
        <v>0</v>
      </c>
      <c r="Y28" s="2366">
        <f t="shared" si="0"/>
        <v>0</v>
      </c>
      <c r="Z28" s="2366">
        <f t="shared" si="0"/>
        <v>0</v>
      </c>
      <c r="AA28" s="2367">
        <f t="shared" si="0"/>
        <v>0</v>
      </c>
      <c r="AB28" s="2368">
        <f t="shared" si="0"/>
        <v>0</v>
      </c>
      <c r="AC28" s="2369"/>
      <c r="AD28" s="2370">
        <f>ROUND(SUM(AD23:AD27),2)</f>
        <v>4651.93</v>
      </c>
      <c r="AE28" s="2327"/>
    </row>
    <row r="29" spans="2:31" s="2371" customFormat="1" ht="9.75" thickTop="1">
      <c r="B29" s="2372"/>
      <c r="C29" s="2373"/>
      <c r="D29" s="2358"/>
      <c r="F29" s="2374"/>
      <c r="G29" s="2375"/>
      <c r="H29" s="2376"/>
      <c r="I29" s="2375"/>
      <c r="J29" s="2377"/>
      <c r="K29" s="2377"/>
      <c r="L29" s="2377"/>
      <c r="M29" s="2377"/>
      <c r="N29" s="2377"/>
      <c r="O29" s="2377"/>
      <c r="P29" s="2378"/>
      <c r="Q29" s="2377"/>
      <c r="R29" s="2377"/>
      <c r="S29" s="2379"/>
      <c r="T29" s="2379"/>
      <c r="U29" s="2379"/>
      <c r="V29" s="2379"/>
      <c r="W29" s="2379"/>
      <c r="X29" s="2379"/>
      <c r="Y29" s="2379"/>
      <c r="Z29" s="2379"/>
      <c r="AA29" s="2379"/>
      <c r="AB29" s="2379"/>
      <c r="AC29" s="2379"/>
      <c r="AD29" s="2380"/>
      <c r="AE29" s="2381"/>
    </row>
    <row r="30" spans="2:31" s="2253" customFormat="1" ht="16.5" customHeight="1" thickBot="1">
      <c r="B30" s="2382"/>
      <c r="C30" s="2383"/>
      <c r="D30" s="2383"/>
      <c r="E30" s="2383"/>
      <c r="F30" s="2383"/>
      <c r="G30" s="2383"/>
      <c r="H30" s="2383"/>
      <c r="I30" s="2383"/>
      <c r="J30" s="2383"/>
      <c r="K30" s="2383"/>
      <c r="L30" s="2383"/>
      <c r="M30" s="2383"/>
      <c r="N30" s="2383"/>
      <c r="O30" s="2383"/>
      <c r="P30" s="2383"/>
      <c r="Q30" s="2383"/>
      <c r="R30" s="2383"/>
      <c r="S30" s="2383"/>
      <c r="T30" s="2383"/>
      <c r="U30" s="2383"/>
      <c r="V30" s="2383"/>
      <c r="W30" s="2383"/>
      <c r="X30" s="2383"/>
      <c r="Y30" s="2383"/>
      <c r="Z30" s="2383"/>
      <c r="AA30" s="2383"/>
      <c r="AB30" s="2383"/>
      <c r="AC30" s="2383"/>
      <c r="AD30" s="2383"/>
      <c r="AE30" s="2384"/>
    </row>
    <row r="31" spans="2:31" ht="16.5" customHeight="1" thickTop="1">
      <c r="B31" s="2385"/>
      <c r="AE31" s="2385"/>
    </row>
  </sheetData>
  <sheetProtection/>
  <printOptions/>
  <pageMargins left="0.7874015748031497" right="0.7874015748031497" top="1.43" bottom="0.984251968503937" header="0" footer="0"/>
  <pageSetup fitToHeight="1" fitToWidth="1" horizontalDpi="600" verticalDpi="600" orientation="landscape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1324" customWidth="1"/>
    <col min="3" max="3" width="5.421875" style="1324" customWidth="1"/>
    <col min="4" max="5" width="13.7109375" style="1324" customWidth="1"/>
    <col min="6" max="6" width="45.7109375" style="1324" customWidth="1"/>
    <col min="7" max="8" width="9.7109375" style="1324" customWidth="1"/>
    <col min="9" max="9" width="3.8515625" style="1324" customWidth="1"/>
    <col min="10" max="10" width="3.421875" style="1324" hidden="1" customWidth="1"/>
    <col min="11" max="11" width="6.8515625" style="1324" hidden="1" customWidth="1"/>
    <col min="12" max="12" width="16.57421875" style="1324" customWidth="1"/>
    <col min="13" max="13" width="16.28125" style="1324" customWidth="1"/>
    <col min="14" max="16" width="9.7109375" style="1324" customWidth="1"/>
    <col min="17" max="17" width="8.7109375" style="1324" customWidth="1"/>
    <col min="18" max="18" width="5.00390625" style="1324" bestFit="1" customWidth="1"/>
    <col min="19" max="19" width="5.7109375" style="1324" bestFit="1" customWidth="1"/>
    <col min="20" max="21" width="12.140625" style="1324" hidden="1" customWidth="1"/>
    <col min="22" max="27" width="6.00390625" style="1324" hidden="1" customWidth="1"/>
    <col min="28" max="28" width="11.7109375" style="1324" hidden="1" customWidth="1"/>
    <col min="29" max="29" width="12.8515625" style="1324" hidden="1" customWidth="1"/>
    <col min="30" max="30" width="9.7109375" style="1324" customWidth="1"/>
    <col min="31" max="31" width="15.7109375" style="1324" customWidth="1"/>
    <col min="32" max="32" width="4.140625" style="1324" customWidth="1"/>
    <col min="33" max="33" width="30.421875" style="1324" customWidth="1"/>
    <col min="34" max="34" width="3.140625" style="1324" customWidth="1"/>
    <col min="35" max="35" width="3.57421875" style="1324" customWidth="1"/>
    <col min="36" max="36" width="24.28125" style="1324" customWidth="1"/>
    <col min="37" max="37" width="4.7109375" style="1324" customWidth="1"/>
    <col min="38" max="38" width="7.57421875" style="1324" customWidth="1"/>
    <col min="39" max="40" width="4.140625" style="1324" customWidth="1"/>
    <col min="41" max="41" width="7.140625" style="1324" customWidth="1"/>
    <col min="42" max="42" width="5.28125" style="1324" customWidth="1"/>
    <col min="43" max="43" width="5.421875" style="1324" customWidth="1"/>
    <col min="44" max="44" width="4.7109375" style="1324" customWidth="1"/>
    <col min="45" max="45" width="5.28125" style="1324" customWidth="1"/>
    <col min="46" max="47" width="13.28125" style="1324" customWidth="1"/>
    <col min="48" max="48" width="6.57421875" style="1324" customWidth="1"/>
    <col min="49" max="49" width="6.421875" style="1324" customWidth="1"/>
    <col min="50" max="53" width="11.421875" style="1324" customWidth="1"/>
    <col min="54" max="54" width="12.7109375" style="1324" customWidth="1"/>
    <col min="55" max="57" width="11.421875" style="1324" customWidth="1"/>
    <col min="58" max="58" width="21.00390625" style="1324" customWidth="1"/>
    <col min="59" max="16384" width="11.421875" style="1324" customWidth="1"/>
  </cols>
  <sheetData>
    <row r="1" spans="1:32" s="1325" customFormat="1" ht="26.25">
      <c r="A1" s="1324"/>
      <c r="C1" s="1324"/>
      <c r="D1" s="1324"/>
      <c r="E1" s="1324"/>
      <c r="G1" s="1324"/>
      <c r="I1" s="1324"/>
      <c r="K1" s="1324"/>
      <c r="M1" s="1324"/>
      <c r="O1" s="1324"/>
      <c r="Q1" s="1324"/>
      <c r="S1" s="1324"/>
      <c r="U1" s="1324"/>
      <c r="W1" s="1324"/>
      <c r="Y1" s="1324"/>
      <c r="AA1" s="1324"/>
      <c r="AF1" s="1326"/>
    </row>
    <row r="2" spans="1:32" s="1325" customFormat="1" ht="26.25">
      <c r="A2" s="1327"/>
      <c r="B2" s="1328" t="str">
        <f>'TOT-1214'!B2</f>
        <v>ANEXO I al Memorándum D.T.E.E. N° 90 /2016</v>
      </c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328"/>
      <c r="R2" s="1328"/>
      <c r="S2" s="1328"/>
      <c r="T2" s="1328"/>
      <c r="U2" s="1328"/>
      <c r="V2" s="1328"/>
      <c r="W2" s="1328"/>
      <c r="X2" s="1328"/>
      <c r="Y2" s="1328"/>
      <c r="Z2" s="1328"/>
      <c r="AA2" s="1328"/>
      <c r="AB2" s="1328"/>
      <c r="AC2" s="1328"/>
      <c r="AD2" s="1328"/>
      <c r="AE2" s="1328"/>
      <c r="AF2" s="1328"/>
    </row>
    <row r="3" s="1330" customFormat="1" ht="28.5" customHeight="1">
      <c r="A3" s="1329"/>
    </row>
    <row r="4" spans="1:3" s="1334" customFormat="1" ht="11.25">
      <c r="A4" s="1331" t="s">
        <v>347</v>
      </c>
      <c r="B4" s="1332"/>
      <c r="C4" s="1333"/>
    </row>
    <row r="5" spans="2:3" s="1334" customFormat="1" ht="11.25">
      <c r="B5" s="1331" t="s">
        <v>3</v>
      </c>
      <c r="C5" s="1333"/>
    </row>
    <row r="6" s="1330" customFormat="1" ht="13.5" thickBot="1"/>
    <row r="7" spans="2:32" s="1330" customFormat="1" ht="13.5" thickTop="1">
      <c r="B7" s="1335"/>
      <c r="C7" s="1336"/>
      <c r="D7" s="1336"/>
      <c r="E7" s="1336"/>
      <c r="F7" s="1336"/>
      <c r="G7" s="1337"/>
      <c r="H7" s="1336"/>
      <c r="I7" s="1336"/>
      <c r="J7" s="1336"/>
      <c r="K7" s="1336"/>
      <c r="L7" s="1336"/>
      <c r="M7" s="1336"/>
      <c r="N7" s="1336"/>
      <c r="O7" s="1336"/>
      <c r="P7" s="1336"/>
      <c r="Q7" s="1336"/>
      <c r="R7" s="1336"/>
      <c r="S7" s="1336"/>
      <c r="T7" s="1336"/>
      <c r="U7" s="1336"/>
      <c r="V7" s="1336"/>
      <c r="W7" s="1336"/>
      <c r="X7" s="1336"/>
      <c r="Y7" s="1336"/>
      <c r="Z7" s="1336"/>
      <c r="AA7" s="1336"/>
      <c r="AB7" s="1336"/>
      <c r="AC7" s="1336"/>
      <c r="AD7" s="1336"/>
      <c r="AE7" s="1336"/>
      <c r="AF7" s="1338"/>
    </row>
    <row r="8" spans="2:32" s="1339" customFormat="1" ht="20.25">
      <c r="B8" s="1340"/>
      <c r="C8" s="1341"/>
      <c r="D8" s="1341"/>
      <c r="E8" s="1341"/>
      <c r="F8" s="1342" t="s">
        <v>23</v>
      </c>
      <c r="G8" s="1341"/>
      <c r="H8" s="1341"/>
      <c r="I8" s="1341"/>
      <c r="J8" s="1341"/>
      <c r="P8" s="1341"/>
      <c r="Q8" s="1341"/>
      <c r="R8" s="1343"/>
      <c r="S8" s="1343"/>
      <c r="T8" s="1341"/>
      <c r="U8" s="1341"/>
      <c r="V8" s="1341"/>
      <c r="W8" s="1341"/>
      <c r="X8" s="1341"/>
      <c r="Y8" s="1341"/>
      <c r="Z8" s="1341"/>
      <c r="AA8" s="1341"/>
      <c r="AB8" s="1341"/>
      <c r="AC8" s="1341"/>
      <c r="AD8" s="1341"/>
      <c r="AE8" s="1341"/>
      <c r="AF8" s="1344"/>
    </row>
    <row r="9" spans="2:32" s="1330" customFormat="1" ht="16.5" customHeight="1">
      <c r="B9" s="1345"/>
      <c r="C9" s="1346"/>
      <c r="D9" s="1346"/>
      <c r="E9" s="1346"/>
      <c r="F9" s="1346"/>
      <c r="G9" s="1346"/>
      <c r="H9" s="1346"/>
      <c r="I9" s="1346"/>
      <c r="J9" s="1346"/>
      <c r="K9" s="1346"/>
      <c r="L9" s="1346"/>
      <c r="M9" s="1346"/>
      <c r="N9" s="1346"/>
      <c r="O9" s="1346"/>
      <c r="P9" s="1346"/>
      <c r="Q9" s="1346"/>
      <c r="R9" s="1346"/>
      <c r="S9" s="1346"/>
      <c r="T9" s="1346"/>
      <c r="U9" s="1346"/>
      <c r="V9" s="1346"/>
      <c r="W9" s="1346"/>
      <c r="X9" s="1346"/>
      <c r="Y9" s="1346"/>
      <c r="Z9" s="1346"/>
      <c r="AA9" s="1346"/>
      <c r="AB9" s="1346"/>
      <c r="AC9" s="1346"/>
      <c r="AD9" s="1346"/>
      <c r="AE9" s="1346"/>
      <c r="AF9" s="1347"/>
    </row>
    <row r="10" spans="2:32" s="1348" customFormat="1" ht="33" customHeight="1">
      <c r="B10" s="1349"/>
      <c r="C10" s="1350"/>
      <c r="D10" s="1350"/>
      <c r="E10" s="1350"/>
      <c r="F10" s="1351" t="s">
        <v>24</v>
      </c>
      <c r="G10" s="1350"/>
      <c r="H10" s="1350"/>
      <c r="I10" s="1350"/>
      <c r="K10" s="1350"/>
      <c r="L10" s="1350"/>
      <c r="M10" s="1350"/>
      <c r="N10" s="1350"/>
      <c r="O10" s="1350"/>
      <c r="P10" s="1350"/>
      <c r="Q10" s="1350"/>
      <c r="R10" s="1351"/>
      <c r="S10" s="1351"/>
      <c r="T10" s="1350"/>
      <c r="U10" s="1350"/>
      <c r="V10" s="1350"/>
      <c r="W10" s="1350"/>
      <c r="X10" s="1350"/>
      <c r="Y10" s="1350"/>
      <c r="Z10" s="1350"/>
      <c r="AA10" s="1350"/>
      <c r="AB10" s="1350"/>
      <c r="AC10" s="1350"/>
      <c r="AD10" s="1350"/>
      <c r="AE10" s="1350"/>
      <c r="AF10" s="1352"/>
    </row>
    <row r="11" spans="2:32" s="1353" customFormat="1" ht="33" customHeight="1">
      <c r="B11" s="1354"/>
      <c r="C11" s="1355"/>
      <c r="D11" s="1355"/>
      <c r="E11" s="1355"/>
      <c r="F11" s="1356" t="s">
        <v>316</v>
      </c>
      <c r="J11" s="1357"/>
      <c r="K11" s="1357"/>
      <c r="L11" s="1357"/>
      <c r="M11" s="1357"/>
      <c r="N11" s="1357"/>
      <c r="O11" s="1357"/>
      <c r="P11" s="1357"/>
      <c r="Q11" s="1357"/>
      <c r="R11" s="1357"/>
      <c r="S11" s="1357"/>
      <c r="T11" s="1355"/>
      <c r="U11" s="1355"/>
      <c r="V11" s="1355"/>
      <c r="W11" s="1355"/>
      <c r="X11" s="1355"/>
      <c r="Y11" s="1355"/>
      <c r="Z11" s="1355"/>
      <c r="AA11" s="1355"/>
      <c r="AB11" s="1355"/>
      <c r="AC11" s="1355"/>
      <c r="AD11" s="1355"/>
      <c r="AE11" s="1355"/>
      <c r="AF11" s="1358"/>
    </row>
    <row r="12" spans="2:32" s="1359" customFormat="1" ht="19.5">
      <c r="B12" s="1360" t="str">
        <f>'TOT-1214'!B14</f>
        <v>Desde el 01 al 31 de diciembre de 2014</v>
      </c>
      <c r="C12" s="1361"/>
      <c r="D12" s="1361"/>
      <c r="E12" s="1361"/>
      <c r="F12" s="1361"/>
      <c r="G12" s="1361"/>
      <c r="H12" s="1361"/>
      <c r="I12" s="1361"/>
      <c r="J12" s="1361"/>
      <c r="K12" s="1361"/>
      <c r="L12" s="1361"/>
      <c r="M12" s="1361"/>
      <c r="N12" s="1361"/>
      <c r="O12" s="1361"/>
      <c r="P12" s="1362"/>
      <c r="Q12" s="1362"/>
      <c r="R12" s="1361"/>
      <c r="S12" s="1361"/>
      <c r="T12" s="1361"/>
      <c r="U12" s="1361"/>
      <c r="V12" s="1361"/>
      <c r="W12" s="1361"/>
      <c r="X12" s="1361"/>
      <c r="Y12" s="1361"/>
      <c r="Z12" s="1361"/>
      <c r="AA12" s="1361"/>
      <c r="AB12" s="1361"/>
      <c r="AC12" s="1361"/>
      <c r="AD12" s="1361"/>
      <c r="AE12" s="1361"/>
      <c r="AF12" s="1363"/>
    </row>
    <row r="13" spans="2:32" s="1330" customFormat="1" ht="16.5" customHeight="1" thickBot="1">
      <c r="B13" s="1345"/>
      <c r="C13" s="1346"/>
      <c r="D13" s="1346"/>
      <c r="E13" s="1346"/>
      <c r="F13" s="1346"/>
      <c r="G13" s="1364"/>
      <c r="H13" s="1364"/>
      <c r="I13" s="1346"/>
      <c r="J13" s="1346"/>
      <c r="K13" s="1346"/>
      <c r="L13" s="1365"/>
      <c r="M13" s="1346"/>
      <c r="N13" s="1346"/>
      <c r="O13" s="1346"/>
      <c r="R13" s="1346"/>
      <c r="S13" s="1346"/>
      <c r="T13" s="1346"/>
      <c r="U13" s="1346"/>
      <c r="V13" s="1346"/>
      <c r="W13" s="1346"/>
      <c r="X13" s="1346"/>
      <c r="Y13" s="1346"/>
      <c r="Z13" s="1346"/>
      <c r="AA13" s="1346"/>
      <c r="AB13" s="1346"/>
      <c r="AC13" s="1346"/>
      <c r="AD13" s="1346"/>
      <c r="AE13" s="1346"/>
      <c r="AF13" s="1347"/>
    </row>
    <row r="14" spans="2:32" s="1330" customFormat="1" ht="16.5" customHeight="1" thickBot="1" thickTop="1">
      <c r="B14" s="1345"/>
      <c r="C14" s="1346"/>
      <c r="D14" s="1346"/>
      <c r="E14" s="1346"/>
      <c r="F14" s="1366" t="s">
        <v>26</v>
      </c>
      <c r="G14" s="2509">
        <v>254.577</v>
      </c>
      <c r="H14" s="2510"/>
      <c r="I14" s="1346"/>
      <c r="J14" s="1346"/>
      <c r="K14" s="1346"/>
      <c r="L14" s="1346"/>
      <c r="M14" s="1346"/>
      <c r="N14" s="1346"/>
      <c r="O14" s="1346"/>
      <c r="P14" s="1346"/>
      <c r="Q14" s="1346"/>
      <c r="R14" s="1346"/>
      <c r="S14" s="1346"/>
      <c r="T14" s="1346"/>
      <c r="U14" s="1346"/>
      <c r="V14" s="1346"/>
      <c r="W14" s="1346"/>
      <c r="X14" s="1346"/>
      <c r="Y14" s="1346"/>
      <c r="Z14" s="1346"/>
      <c r="AA14" s="1346"/>
      <c r="AB14" s="1346"/>
      <c r="AC14" s="1346"/>
      <c r="AD14" s="1346"/>
      <c r="AE14" s="1346"/>
      <c r="AF14" s="1347"/>
    </row>
    <row r="15" spans="2:32" s="1330" customFormat="1" ht="16.5" customHeight="1" thickTop="1">
      <c r="B15" s="1345"/>
      <c r="C15" s="1346"/>
      <c r="D15" s="1346"/>
      <c r="E15" s="1346"/>
      <c r="F15" s="1367"/>
      <c r="G15" s="1368"/>
      <c r="H15" s="1369"/>
      <c r="I15" s="1346"/>
      <c r="J15" s="1346"/>
      <c r="K15" s="1346"/>
      <c r="L15" s="1370"/>
      <c r="M15" s="1371"/>
      <c r="N15" s="1346"/>
      <c r="O15" s="1346"/>
      <c r="P15" s="1346"/>
      <c r="Q15" s="1346"/>
      <c r="R15" s="1346"/>
      <c r="S15" s="1346"/>
      <c r="T15" s="1346"/>
      <c r="U15" s="1346"/>
      <c r="V15" s="1346"/>
      <c r="W15" s="1346"/>
      <c r="X15" s="1372"/>
      <c r="Y15" s="1372"/>
      <c r="Z15" s="1372"/>
      <c r="AA15" s="1372"/>
      <c r="AB15" s="1372"/>
      <c r="AC15" s="1372"/>
      <c r="AD15" s="1372"/>
      <c r="AF15" s="1347"/>
    </row>
    <row r="16" spans="2:32" s="1330" customFormat="1" ht="16.5" customHeight="1" thickBot="1">
      <c r="B16" s="1345"/>
      <c r="C16" s="1373">
        <v>3</v>
      </c>
      <c r="D16" s="1373">
        <v>4</v>
      </c>
      <c r="E16" s="1373">
        <v>5</v>
      </c>
      <c r="F16" s="1373">
        <v>6</v>
      </c>
      <c r="G16" s="1373">
        <v>7</v>
      </c>
      <c r="H16" s="1373">
        <v>8</v>
      </c>
      <c r="I16" s="1373">
        <v>9</v>
      </c>
      <c r="J16" s="1373">
        <v>10</v>
      </c>
      <c r="K16" s="1373">
        <v>11</v>
      </c>
      <c r="L16" s="1373">
        <v>12</v>
      </c>
      <c r="M16" s="1373">
        <v>13</v>
      </c>
      <c r="N16" s="1373">
        <v>14</v>
      </c>
      <c r="O16" s="1373">
        <v>15</v>
      </c>
      <c r="P16" s="1373">
        <v>16</v>
      </c>
      <c r="Q16" s="1373">
        <v>17</v>
      </c>
      <c r="R16" s="1373">
        <v>18</v>
      </c>
      <c r="S16" s="1373">
        <v>19</v>
      </c>
      <c r="T16" s="1373">
        <v>20</v>
      </c>
      <c r="U16" s="1373">
        <v>21</v>
      </c>
      <c r="V16" s="1373">
        <v>22</v>
      </c>
      <c r="W16" s="1373">
        <v>23</v>
      </c>
      <c r="X16" s="1373">
        <v>24</v>
      </c>
      <c r="Y16" s="1373">
        <v>25</v>
      </c>
      <c r="Z16" s="1373">
        <v>26</v>
      </c>
      <c r="AA16" s="1373">
        <v>27</v>
      </c>
      <c r="AB16" s="1373">
        <v>28</v>
      </c>
      <c r="AC16" s="1373">
        <v>29</v>
      </c>
      <c r="AD16" s="1373">
        <v>30</v>
      </c>
      <c r="AE16" s="1373">
        <v>31</v>
      </c>
      <c r="AF16" s="1347"/>
    </row>
    <row r="17" spans="2:32" s="1330" customFormat="1" ht="33.75" customHeight="1" thickBot="1" thickTop="1">
      <c r="B17" s="1345"/>
      <c r="C17" s="1374" t="s">
        <v>28</v>
      </c>
      <c r="D17" s="1374" t="s">
        <v>29</v>
      </c>
      <c r="E17" s="1374" t="s">
        <v>30</v>
      </c>
      <c r="F17" s="1375" t="s">
        <v>5</v>
      </c>
      <c r="G17" s="1376" t="s">
        <v>31</v>
      </c>
      <c r="H17" s="1377" t="s">
        <v>32</v>
      </c>
      <c r="I17" s="1378" t="s">
        <v>33</v>
      </c>
      <c r="J17" s="1379" t="s">
        <v>34</v>
      </c>
      <c r="K17" s="1380" t="s">
        <v>35</v>
      </c>
      <c r="L17" s="1375" t="s">
        <v>36</v>
      </c>
      <c r="M17" s="1381" t="s">
        <v>37</v>
      </c>
      <c r="N17" s="1382" t="s">
        <v>38</v>
      </c>
      <c r="O17" s="1377" t="s">
        <v>39</v>
      </c>
      <c r="P17" s="1382" t="s">
        <v>179</v>
      </c>
      <c r="Q17" s="1377" t="s">
        <v>40</v>
      </c>
      <c r="R17" s="1381" t="s">
        <v>41</v>
      </c>
      <c r="S17" s="1375" t="s">
        <v>42</v>
      </c>
      <c r="T17" s="1383" t="s">
        <v>43</v>
      </c>
      <c r="U17" s="1384" t="s">
        <v>44</v>
      </c>
      <c r="V17" s="1385" t="s">
        <v>45</v>
      </c>
      <c r="W17" s="1386"/>
      <c r="X17" s="1387"/>
      <c r="Y17" s="1388" t="s">
        <v>46</v>
      </c>
      <c r="Z17" s="1389"/>
      <c r="AA17" s="1390"/>
      <c r="AB17" s="1391" t="s">
        <v>47</v>
      </c>
      <c r="AC17" s="1392" t="s">
        <v>48</v>
      </c>
      <c r="AD17" s="1393" t="s">
        <v>49</v>
      </c>
      <c r="AE17" s="1393" t="s">
        <v>50</v>
      </c>
      <c r="AF17" s="1394"/>
    </row>
    <row r="18" spans="2:32" s="1330" customFormat="1" ht="16.5" customHeight="1" thickTop="1">
      <c r="B18" s="1345"/>
      <c r="C18" s="1395"/>
      <c r="D18" s="1395"/>
      <c r="E18" s="1395"/>
      <c r="F18" s="1396"/>
      <c r="G18" s="1396"/>
      <c r="H18" s="1397"/>
      <c r="I18" s="1398"/>
      <c r="J18" s="1399"/>
      <c r="K18" s="1400"/>
      <c r="L18" s="1401"/>
      <c r="M18" s="1401"/>
      <c r="N18" s="1398"/>
      <c r="O18" s="1398"/>
      <c r="P18" s="1398"/>
      <c r="Q18" s="1398"/>
      <c r="R18" s="1398"/>
      <c r="S18" s="1398"/>
      <c r="T18" s="1402"/>
      <c r="U18" s="1403"/>
      <c r="V18" s="1404"/>
      <c r="W18" s="1405"/>
      <c r="X18" s="1406"/>
      <c r="Y18" s="1407"/>
      <c r="Z18" s="1408"/>
      <c r="AA18" s="1409"/>
      <c r="AB18" s="1410"/>
      <c r="AC18" s="1411"/>
      <c r="AD18" s="1398"/>
      <c r="AE18" s="1412"/>
      <c r="AF18" s="1347"/>
    </row>
    <row r="19" spans="2:32" s="1330" customFormat="1" ht="16.5" customHeight="1">
      <c r="B19" s="1345"/>
      <c r="C19" s="1413"/>
      <c r="D19" s="1413"/>
      <c r="E19" s="1413"/>
      <c r="F19" s="1414"/>
      <c r="G19" s="1415"/>
      <c r="H19" s="1416"/>
      <c r="I19" s="1415"/>
      <c r="J19" s="1417">
        <f aca="true" t="shared" si="0" ref="J19:J39">IF(I19="A",200,IF(I19="B",60,20))</f>
        <v>20</v>
      </c>
      <c r="K19" s="1418">
        <f>IF(G19=500,IF(H19&lt;100,100*$G$14/100,H19*$G$14/100),IF(H19&lt;100,100*$G$15/100,H19*$G$15/100))</f>
        <v>0</v>
      </c>
      <c r="L19" s="1419"/>
      <c r="M19" s="1420"/>
      <c r="N19" s="1421">
        <f aca="true" t="shared" si="1" ref="N19:N39">IF(F19="","",(M19-L19)*24)</f>
      </c>
      <c r="O19" s="1422">
        <f aca="true" t="shared" si="2" ref="O19:O39">IF(F19="","",ROUND((M19-L19)*24*60,0))</f>
      </c>
      <c r="P19" s="1423"/>
      <c r="Q19" s="1424">
        <f aca="true" t="shared" si="3" ref="Q19:Q39">IF(F19="","","--")</f>
      </c>
      <c r="R19" s="1425">
        <f aca="true" t="shared" si="4" ref="R19:R39">IF(F19="","","NO")</f>
      </c>
      <c r="S19" s="1425">
        <f aca="true" t="shared" si="5" ref="S19:S39">IF(F19="","",IF(OR(P19="P",P19="RP"),"--","NO"))</f>
      </c>
      <c r="T19" s="1426" t="str">
        <f aca="true" t="shared" si="6" ref="T19:T39">IF(P19="P",K19*J19*ROUND(O19/60,2)*0.01,"--")</f>
        <v>--</v>
      </c>
      <c r="U19" s="1427" t="str">
        <f aca="true" t="shared" si="7" ref="U19:U39">IF(P19="RP",K19*J19*ROUND(O19/60,2)*0.01*Q19/100,"--")</f>
        <v>--</v>
      </c>
      <c r="V19" s="1428" t="str">
        <f aca="true" t="shared" si="8" ref="V19:V39">IF(AND(P19="F",S19="NO"),K19*J19*IF(R19="SI",1.2,1),"--")</f>
        <v>--</v>
      </c>
      <c r="W19" s="1429" t="str">
        <f aca="true" t="shared" si="9" ref="W19:W39">IF(AND(P19="F",O19&gt;=10),K19*J19*IF(R19="SI",1.2,1)*IF(O19&lt;=300,ROUND(O19/60,2),5),"--")</f>
        <v>--</v>
      </c>
      <c r="X19" s="1430" t="str">
        <f aca="true" t="shared" si="10" ref="X19:X39">IF(AND(P19="F",O19&gt;300),(ROUND(O19/60,2)-5)*K19*J19*0.1*IF(R19="SI",1.2,1),"--")</f>
        <v>--</v>
      </c>
      <c r="Y19" s="1431" t="str">
        <f aca="true" t="shared" si="11" ref="Y19:Y39">IF(AND(P19="R",S19="NO"),K19*J19*Q19/100*IF(R19="SI",1.2,1),"--")</f>
        <v>--</v>
      </c>
      <c r="Z19" s="1432" t="str">
        <f aca="true" t="shared" si="12" ref="Z19:Z39">IF(AND(P19="R",O19&gt;=10),K19*J19*Q19/100*IF(R19="SI",1.2,1)*IF(O19&lt;=300,ROUND(O19/60,2),5),"--")</f>
        <v>--</v>
      </c>
      <c r="AA19" s="1433" t="str">
        <f aca="true" t="shared" si="13" ref="AA19:AA39">IF(AND(P19="R",O19&gt;300),(ROUND(O19/60,2)-5)*K19*J19*0.1*Q19/100*IF(R19="SI",1.2,1),"--")</f>
        <v>--</v>
      </c>
      <c r="AB19" s="1434" t="str">
        <f aca="true" t="shared" si="14" ref="AB19:AB39">IF(P19="RF",ROUND(O19/60,2)*K19*J19*0.1*IF(R19="SI",1.2,1),"--")</f>
        <v>--</v>
      </c>
      <c r="AC19" s="1435" t="str">
        <f aca="true" t="shared" si="15" ref="AC19:AC39">IF(P19="RR",ROUND(O19/60,2)*K19*J19*0.1*Q19/100*IF(R19="SI",1.2,1),"--")</f>
        <v>--</v>
      </c>
      <c r="AD19" s="1436">
        <f>IF(F19="","","SI")</f>
      </c>
      <c r="AE19" s="1437">
        <f aca="true" t="shared" si="16" ref="AE19:AE39">IF(F19="","",SUM(T19:AC19)*IF(AD19="SI",1,2))</f>
      </c>
      <c r="AF19" s="1347"/>
    </row>
    <row r="20" spans="2:32" s="1330" customFormat="1" ht="16.5" customHeight="1">
      <c r="B20" s="1345"/>
      <c r="C20" s="1413">
        <v>17</v>
      </c>
      <c r="D20" s="1413">
        <v>282556</v>
      </c>
      <c r="E20" s="1413">
        <v>2017</v>
      </c>
      <c r="F20" s="1414" t="s">
        <v>289</v>
      </c>
      <c r="G20" s="1415">
        <v>500</v>
      </c>
      <c r="H20" s="1416">
        <v>264</v>
      </c>
      <c r="I20" s="1415" t="s">
        <v>193</v>
      </c>
      <c r="J20" s="1417">
        <f t="shared" si="0"/>
        <v>20</v>
      </c>
      <c r="K20" s="1418">
        <f aca="true" t="shared" si="17" ref="K20:K39">IF(H20&lt;100,100*$G$14/100,H20*$G$14/100)</f>
        <v>672.08328</v>
      </c>
      <c r="L20" s="1446">
        <v>41982.02569444444</v>
      </c>
      <c r="M20" s="1447">
        <v>41982.059027777774</v>
      </c>
      <c r="N20" s="1421">
        <f t="shared" si="1"/>
        <v>0.7999999999883585</v>
      </c>
      <c r="O20" s="1422">
        <f t="shared" si="2"/>
        <v>48</v>
      </c>
      <c r="P20" s="1423" t="s">
        <v>198</v>
      </c>
      <c r="Q20" s="1424" t="str">
        <f t="shared" si="3"/>
        <v>--</v>
      </c>
      <c r="R20" s="1425" t="str">
        <f t="shared" si="4"/>
        <v>NO</v>
      </c>
      <c r="S20" s="1425" t="str">
        <f t="shared" si="5"/>
        <v>--</v>
      </c>
      <c r="T20" s="1426">
        <f t="shared" si="6"/>
        <v>107.53332479999999</v>
      </c>
      <c r="U20" s="1427" t="str">
        <f t="shared" si="7"/>
        <v>--</v>
      </c>
      <c r="V20" s="1428" t="str">
        <f t="shared" si="8"/>
        <v>--</v>
      </c>
      <c r="W20" s="1429" t="str">
        <f t="shared" si="9"/>
        <v>--</v>
      </c>
      <c r="X20" s="1430" t="str">
        <f t="shared" si="10"/>
        <v>--</v>
      </c>
      <c r="Y20" s="1431" t="str">
        <f t="shared" si="11"/>
        <v>--</v>
      </c>
      <c r="Z20" s="1432" t="str">
        <f t="shared" si="12"/>
        <v>--</v>
      </c>
      <c r="AA20" s="1433" t="str">
        <f t="shared" si="13"/>
        <v>--</v>
      </c>
      <c r="AB20" s="1434" t="str">
        <f t="shared" si="14"/>
        <v>--</v>
      </c>
      <c r="AC20" s="1435" t="str">
        <f t="shared" si="15"/>
        <v>--</v>
      </c>
      <c r="AD20" s="1436" t="s">
        <v>81</v>
      </c>
      <c r="AE20" s="1437">
        <f t="shared" si="16"/>
        <v>107.53332479999999</v>
      </c>
      <c r="AF20" s="1438"/>
    </row>
    <row r="21" spans="2:32" s="1330" customFormat="1" ht="16.5" customHeight="1">
      <c r="B21" s="1345"/>
      <c r="C21" s="1413">
        <v>18</v>
      </c>
      <c r="D21" s="1413">
        <v>282569</v>
      </c>
      <c r="E21" s="1413">
        <v>2017</v>
      </c>
      <c r="F21" s="1414" t="s">
        <v>289</v>
      </c>
      <c r="G21" s="1415">
        <v>500</v>
      </c>
      <c r="H21" s="1416">
        <v>264</v>
      </c>
      <c r="I21" s="1415" t="s">
        <v>193</v>
      </c>
      <c r="J21" s="1417">
        <f t="shared" si="0"/>
        <v>20</v>
      </c>
      <c r="K21" s="1418">
        <f t="shared" si="17"/>
        <v>672.08328</v>
      </c>
      <c r="L21" s="1446">
        <v>41984.02222222222</v>
      </c>
      <c r="M21" s="1447">
        <v>41984.03680555556</v>
      </c>
      <c r="N21" s="1421">
        <f t="shared" si="1"/>
        <v>0.35000000009313226</v>
      </c>
      <c r="O21" s="1422">
        <f t="shared" si="2"/>
        <v>21</v>
      </c>
      <c r="P21" s="1423" t="s">
        <v>198</v>
      </c>
      <c r="Q21" s="1424" t="str">
        <f t="shared" si="3"/>
        <v>--</v>
      </c>
      <c r="R21" s="1425" t="str">
        <f t="shared" si="4"/>
        <v>NO</v>
      </c>
      <c r="S21" s="1425" t="str">
        <f t="shared" si="5"/>
        <v>--</v>
      </c>
      <c r="T21" s="1426">
        <f t="shared" si="6"/>
        <v>47.04582959999999</v>
      </c>
      <c r="U21" s="1427" t="str">
        <f t="shared" si="7"/>
        <v>--</v>
      </c>
      <c r="V21" s="1428" t="str">
        <f t="shared" si="8"/>
        <v>--</v>
      </c>
      <c r="W21" s="1429" t="str">
        <f t="shared" si="9"/>
        <v>--</v>
      </c>
      <c r="X21" s="1430" t="str">
        <f t="shared" si="10"/>
        <v>--</v>
      </c>
      <c r="Y21" s="1431" t="str">
        <f t="shared" si="11"/>
        <v>--</v>
      </c>
      <c r="Z21" s="1432" t="str">
        <f t="shared" si="12"/>
        <v>--</v>
      </c>
      <c r="AA21" s="1433" t="str">
        <f t="shared" si="13"/>
        <v>--</v>
      </c>
      <c r="AB21" s="1434" t="str">
        <f t="shared" si="14"/>
        <v>--</v>
      </c>
      <c r="AC21" s="1435" t="str">
        <f t="shared" si="15"/>
        <v>--</v>
      </c>
      <c r="AD21" s="1436" t="s">
        <v>81</v>
      </c>
      <c r="AE21" s="1437">
        <f t="shared" si="16"/>
        <v>47.04582959999999</v>
      </c>
      <c r="AF21" s="1438"/>
    </row>
    <row r="22" spans="2:32" s="1330" customFormat="1" ht="16.5" customHeight="1">
      <c r="B22" s="1345"/>
      <c r="C22" s="1413">
        <v>19</v>
      </c>
      <c r="D22" s="1413">
        <v>282575</v>
      </c>
      <c r="E22" s="1413">
        <v>2017</v>
      </c>
      <c r="F22" s="1414" t="s">
        <v>289</v>
      </c>
      <c r="G22" s="1415">
        <v>500</v>
      </c>
      <c r="H22" s="1416">
        <v>264</v>
      </c>
      <c r="I22" s="1415" t="s">
        <v>193</v>
      </c>
      <c r="J22" s="1417">
        <f t="shared" si="0"/>
        <v>20</v>
      </c>
      <c r="K22" s="1418">
        <f t="shared" si="17"/>
        <v>672.08328</v>
      </c>
      <c r="L22" s="1446">
        <v>41985.01875</v>
      </c>
      <c r="M22" s="1447">
        <v>41985.03055555555</v>
      </c>
      <c r="N22" s="1421">
        <f t="shared" si="1"/>
        <v>0.283333333209157</v>
      </c>
      <c r="O22" s="1422">
        <f t="shared" si="2"/>
        <v>17</v>
      </c>
      <c r="P22" s="1423" t="s">
        <v>198</v>
      </c>
      <c r="Q22" s="1424" t="str">
        <f t="shared" si="3"/>
        <v>--</v>
      </c>
      <c r="R22" s="1425" t="str">
        <f t="shared" si="4"/>
        <v>NO</v>
      </c>
      <c r="S22" s="1425" t="str">
        <f t="shared" si="5"/>
        <v>--</v>
      </c>
      <c r="T22" s="1426">
        <f t="shared" si="6"/>
        <v>37.636663680000005</v>
      </c>
      <c r="U22" s="1427" t="str">
        <f t="shared" si="7"/>
        <v>--</v>
      </c>
      <c r="V22" s="1428" t="str">
        <f t="shared" si="8"/>
        <v>--</v>
      </c>
      <c r="W22" s="1429" t="str">
        <f t="shared" si="9"/>
        <v>--</v>
      </c>
      <c r="X22" s="1430" t="str">
        <f t="shared" si="10"/>
        <v>--</v>
      </c>
      <c r="Y22" s="1431" t="str">
        <f t="shared" si="11"/>
        <v>--</v>
      </c>
      <c r="Z22" s="1432" t="str">
        <f t="shared" si="12"/>
        <v>--</v>
      </c>
      <c r="AA22" s="1433" t="str">
        <f t="shared" si="13"/>
        <v>--</v>
      </c>
      <c r="AB22" s="1434" t="str">
        <f t="shared" si="14"/>
        <v>--</v>
      </c>
      <c r="AC22" s="1435" t="str">
        <f t="shared" si="15"/>
        <v>--</v>
      </c>
      <c r="AD22" s="1436" t="s">
        <v>81</v>
      </c>
      <c r="AE22" s="1437">
        <f t="shared" si="16"/>
        <v>37.636663680000005</v>
      </c>
      <c r="AF22" s="1438"/>
    </row>
    <row r="23" spans="2:32" s="1330" customFormat="1" ht="16.5" customHeight="1">
      <c r="B23" s="1345"/>
      <c r="C23" s="1413"/>
      <c r="D23" s="1413"/>
      <c r="E23" s="1413"/>
      <c r="F23" s="1414"/>
      <c r="G23" s="1415"/>
      <c r="H23" s="1416"/>
      <c r="I23" s="1415"/>
      <c r="J23" s="1417">
        <f t="shared" si="0"/>
        <v>20</v>
      </c>
      <c r="K23" s="1418">
        <f t="shared" si="17"/>
        <v>254.577</v>
      </c>
      <c r="L23" s="1439"/>
      <c r="M23" s="1440"/>
      <c r="N23" s="1421">
        <f t="shared" si="1"/>
      </c>
      <c r="O23" s="1422">
        <f t="shared" si="2"/>
      </c>
      <c r="P23" s="1423"/>
      <c r="Q23" s="1424">
        <f t="shared" si="3"/>
      </c>
      <c r="R23" s="1425">
        <f t="shared" si="4"/>
      </c>
      <c r="S23" s="1425">
        <f t="shared" si="5"/>
      </c>
      <c r="T23" s="1426" t="str">
        <f t="shared" si="6"/>
        <v>--</v>
      </c>
      <c r="U23" s="1427" t="str">
        <f t="shared" si="7"/>
        <v>--</v>
      </c>
      <c r="V23" s="1428" t="str">
        <f t="shared" si="8"/>
        <v>--</v>
      </c>
      <c r="W23" s="1429" t="str">
        <f t="shared" si="9"/>
        <v>--</v>
      </c>
      <c r="X23" s="1430" t="str">
        <f t="shared" si="10"/>
        <v>--</v>
      </c>
      <c r="Y23" s="1431" t="str">
        <f t="shared" si="11"/>
        <v>--</v>
      </c>
      <c r="Z23" s="1432" t="str">
        <f t="shared" si="12"/>
        <v>--</v>
      </c>
      <c r="AA23" s="1433" t="str">
        <f t="shared" si="13"/>
        <v>--</v>
      </c>
      <c r="AB23" s="1434" t="str">
        <f t="shared" si="14"/>
        <v>--</v>
      </c>
      <c r="AC23" s="1435" t="str">
        <f t="shared" si="15"/>
        <v>--</v>
      </c>
      <c r="AD23" s="1436">
        <f aca="true" t="shared" si="18" ref="AD23:AD39">IF(F23="","","SI")</f>
      </c>
      <c r="AE23" s="1437">
        <f t="shared" si="16"/>
      </c>
      <c r="AF23" s="1438"/>
    </row>
    <row r="24" spans="2:32" s="1330" customFormat="1" ht="16.5" customHeight="1">
      <c r="B24" s="1345"/>
      <c r="C24" s="1413"/>
      <c r="D24" s="1413"/>
      <c r="E24" s="1413"/>
      <c r="F24" s="1414"/>
      <c r="G24" s="1415"/>
      <c r="H24" s="1416"/>
      <c r="I24" s="1441"/>
      <c r="J24" s="1417">
        <f t="shared" si="0"/>
        <v>20</v>
      </c>
      <c r="K24" s="1418">
        <f t="shared" si="17"/>
        <v>254.577</v>
      </c>
      <c r="L24" s="1419"/>
      <c r="M24" s="1420"/>
      <c r="N24" s="1421">
        <f t="shared" si="1"/>
      </c>
      <c r="O24" s="1422">
        <f t="shared" si="2"/>
      </c>
      <c r="P24" s="1423"/>
      <c r="Q24" s="1424">
        <f t="shared" si="3"/>
      </c>
      <c r="R24" s="1425">
        <f t="shared" si="4"/>
      </c>
      <c r="S24" s="1425">
        <f t="shared" si="5"/>
      </c>
      <c r="T24" s="1426" t="str">
        <f t="shared" si="6"/>
        <v>--</v>
      </c>
      <c r="U24" s="1427" t="str">
        <f t="shared" si="7"/>
        <v>--</v>
      </c>
      <c r="V24" s="1428" t="str">
        <f t="shared" si="8"/>
        <v>--</v>
      </c>
      <c r="W24" s="1429" t="str">
        <f t="shared" si="9"/>
        <v>--</v>
      </c>
      <c r="X24" s="1430" t="str">
        <f t="shared" si="10"/>
        <v>--</v>
      </c>
      <c r="Y24" s="1431" t="str">
        <f t="shared" si="11"/>
        <v>--</v>
      </c>
      <c r="Z24" s="1432" t="str">
        <f t="shared" si="12"/>
        <v>--</v>
      </c>
      <c r="AA24" s="1433" t="str">
        <f t="shared" si="13"/>
        <v>--</v>
      </c>
      <c r="AB24" s="1434" t="str">
        <f t="shared" si="14"/>
        <v>--</v>
      </c>
      <c r="AC24" s="1435" t="str">
        <f t="shared" si="15"/>
        <v>--</v>
      </c>
      <c r="AD24" s="1436">
        <f t="shared" si="18"/>
      </c>
      <c r="AE24" s="1437">
        <f t="shared" si="16"/>
      </c>
      <c r="AF24" s="1438"/>
    </row>
    <row r="25" spans="2:32" s="1330" customFormat="1" ht="16.5" customHeight="1">
      <c r="B25" s="1345"/>
      <c r="C25" s="1413"/>
      <c r="D25" s="1413"/>
      <c r="E25" s="1413"/>
      <c r="F25" s="1414"/>
      <c r="G25" s="1415"/>
      <c r="H25" s="1416"/>
      <c r="I25" s="1441"/>
      <c r="J25" s="1417">
        <f t="shared" si="0"/>
        <v>20</v>
      </c>
      <c r="K25" s="1418">
        <f t="shared" si="17"/>
        <v>254.577</v>
      </c>
      <c r="L25" s="1419"/>
      <c r="M25" s="1420"/>
      <c r="N25" s="1421">
        <f t="shared" si="1"/>
      </c>
      <c r="O25" s="1422">
        <f t="shared" si="2"/>
      </c>
      <c r="P25" s="1423"/>
      <c r="Q25" s="1424">
        <f t="shared" si="3"/>
      </c>
      <c r="R25" s="1425">
        <f t="shared" si="4"/>
      </c>
      <c r="S25" s="1425">
        <f t="shared" si="5"/>
      </c>
      <c r="T25" s="1426" t="str">
        <f t="shared" si="6"/>
        <v>--</v>
      </c>
      <c r="U25" s="1427" t="str">
        <f t="shared" si="7"/>
        <v>--</v>
      </c>
      <c r="V25" s="1428" t="str">
        <f t="shared" si="8"/>
        <v>--</v>
      </c>
      <c r="W25" s="1429" t="str">
        <f t="shared" si="9"/>
        <v>--</v>
      </c>
      <c r="X25" s="1430" t="str">
        <f t="shared" si="10"/>
        <v>--</v>
      </c>
      <c r="Y25" s="1431" t="str">
        <f t="shared" si="11"/>
        <v>--</v>
      </c>
      <c r="Z25" s="1432" t="str">
        <f t="shared" si="12"/>
        <v>--</v>
      </c>
      <c r="AA25" s="1433" t="str">
        <f t="shared" si="13"/>
        <v>--</v>
      </c>
      <c r="AB25" s="1434" t="str">
        <f t="shared" si="14"/>
        <v>--</v>
      </c>
      <c r="AC25" s="1435" t="str">
        <f t="shared" si="15"/>
        <v>--</v>
      </c>
      <c r="AD25" s="1436">
        <f t="shared" si="18"/>
      </c>
      <c r="AE25" s="1437">
        <f t="shared" si="16"/>
      </c>
      <c r="AF25" s="1438"/>
    </row>
    <row r="26" spans="2:32" s="1330" customFormat="1" ht="16.5" customHeight="1">
      <c r="B26" s="1345"/>
      <c r="C26" s="1442"/>
      <c r="D26" s="1442"/>
      <c r="E26" s="1442"/>
      <c r="F26" s="1443"/>
      <c r="G26" s="1444"/>
      <c r="H26" s="1445"/>
      <c r="I26" s="1444"/>
      <c r="J26" s="1417">
        <f t="shared" si="0"/>
        <v>20</v>
      </c>
      <c r="K26" s="1418">
        <f t="shared" si="17"/>
        <v>254.577</v>
      </c>
      <c r="L26" s="1446"/>
      <c r="M26" s="1447"/>
      <c r="N26" s="1421">
        <f t="shared" si="1"/>
      </c>
      <c r="O26" s="1422">
        <f t="shared" si="2"/>
      </c>
      <c r="P26" s="1423"/>
      <c r="Q26" s="1424">
        <f t="shared" si="3"/>
      </c>
      <c r="R26" s="1425">
        <f t="shared" si="4"/>
      </c>
      <c r="S26" s="1425">
        <f t="shared" si="5"/>
      </c>
      <c r="T26" s="1426" t="str">
        <f t="shared" si="6"/>
        <v>--</v>
      </c>
      <c r="U26" s="1427" t="str">
        <f t="shared" si="7"/>
        <v>--</v>
      </c>
      <c r="V26" s="1428" t="str">
        <f t="shared" si="8"/>
        <v>--</v>
      </c>
      <c r="W26" s="1429" t="str">
        <f t="shared" si="9"/>
        <v>--</v>
      </c>
      <c r="X26" s="1430" t="str">
        <f t="shared" si="10"/>
        <v>--</v>
      </c>
      <c r="Y26" s="1431" t="str">
        <f t="shared" si="11"/>
        <v>--</v>
      </c>
      <c r="Z26" s="1432" t="str">
        <f t="shared" si="12"/>
        <v>--</v>
      </c>
      <c r="AA26" s="1433" t="str">
        <f t="shared" si="13"/>
        <v>--</v>
      </c>
      <c r="AB26" s="1434" t="str">
        <f t="shared" si="14"/>
        <v>--</v>
      </c>
      <c r="AC26" s="1435" t="str">
        <f t="shared" si="15"/>
        <v>--</v>
      </c>
      <c r="AD26" s="1448">
        <f t="shared" si="18"/>
      </c>
      <c r="AE26" s="1437">
        <f t="shared" si="16"/>
      </c>
      <c r="AF26" s="1438"/>
    </row>
    <row r="27" spans="2:32" s="1330" customFormat="1" ht="16.5" customHeight="1">
      <c r="B27" s="1345"/>
      <c r="C27" s="1449"/>
      <c r="D27" s="1413"/>
      <c r="E27" s="1413"/>
      <c r="F27" s="1443"/>
      <c r="G27" s="1444"/>
      <c r="H27" s="1445"/>
      <c r="I27" s="1444"/>
      <c r="J27" s="1417">
        <f t="shared" si="0"/>
        <v>20</v>
      </c>
      <c r="K27" s="1418">
        <f t="shared" si="17"/>
        <v>254.577</v>
      </c>
      <c r="L27" s="1446"/>
      <c r="M27" s="1447"/>
      <c r="N27" s="1421">
        <f t="shared" si="1"/>
      </c>
      <c r="O27" s="1422">
        <f t="shared" si="2"/>
      </c>
      <c r="P27" s="1423"/>
      <c r="Q27" s="1424">
        <f t="shared" si="3"/>
      </c>
      <c r="R27" s="1425">
        <f t="shared" si="4"/>
      </c>
      <c r="S27" s="1425">
        <f t="shared" si="5"/>
      </c>
      <c r="T27" s="1426" t="str">
        <f t="shared" si="6"/>
        <v>--</v>
      </c>
      <c r="U27" s="1427" t="str">
        <f t="shared" si="7"/>
        <v>--</v>
      </c>
      <c r="V27" s="1428" t="str">
        <f t="shared" si="8"/>
        <v>--</v>
      </c>
      <c r="W27" s="1429" t="str">
        <f t="shared" si="9"/>
        <v>--</v>
      </c>
      <c r="X27" s="1430" t="str">
        <f t="shared" si="10"/>
        <v>--</v>
      </c>
      <c r="Y27" s="1431" t="str">
        <f t="shared" si="11"/>
        <v>--</v>
      </c>
      <c r="Z27" s="1432" t="str">
        <f t="shared" si="12"/>
        <v>--</v>
      </c>
      <c r="AA27" s="1433" t="str">
        <f t="shared" si="13"/>
        <v>--</v>
      </c>
      <c r="AB27" s="1434" t="str">
        <f t="shared" si="14"/>
        <v>--</v>
      </c>
      <c r="AC27" s="1435" t="str">
        <f t="shared" si="15"/>
        <v>--</v>
      </c>
      <c r="AD27" s="1448">
        <f t="shared" si="18"/>
      </c>
      <c r="AE27" s="1437">
        <f t="shared" si="16"/>
      </c>
      <c r="AF27" s="1438"/>
    </row>
    <row r="28" spans="2:32" s="1330" customFormat="1" ht="16.5" customHeight="1">
      <c r="B28" s="1345"/>
      <c r="C28" s="1442"/>
      <c r="D28" s="1442"/>
      <c r="E28" s="1442"/>
      <c r="F28" s="1443"/>
      <c r="G28" s="1444"/>
      <c r="H28" s="1445"/>
      <c r="I28" s="1444"/>
      <c r="J28" s="1417">
        <f t="shared" si="0"/>
        <v>20</v>
      </c>
      <c r="K28" s="1418">
        <f t="shared" si="17"/>
        <v>254.577</v>
      </c>
      <c r="L28" s="1446"/>
      <c r="M28" s="1447"/>
      <c r="N28" s="1421">
        <f t="shared" si="1"/>
      </c>
      <c r="O28" s="1422">
        <f t="shared" si="2"/>
      </c>
      <c r="P28" s="1423"/>
      <c r="Q28" s="1424">
        <f t="shared" si="3"/>
      </c>
      <c r="R28" s="1425">
        <f t="shared" si="4"/>
      </c>
      <c r="S28" s="1425">
        <f t="shared" si="5"/>
      </c>
      <c r="T28" s="1426" t="str">
        <f t="shared" si="6"/>
        <v>--</v>
      </c>
      <c r="U28" s="1427" t="str">
        <f t="shared" si="7"/>
        <v>--</v>
      </c>
      <c r="V28" s="1428" t="str">
        <f t="shared" si="8"/>
        <v>--</v>
      </c>
      <c r="W28" s="1429" t="str">
        <f t="shared" si="9"/>
        <v>--</v>
      </c>
      <c r="X28" s="1430" t="str">
        <f t="shared" si="10"/>
        <v>--</v>
      </c>
      <c r="Y28" s="1431" t="str">
        <f t="shared" si="11"/>
        <v>--</v>
      </c>
      <c r="Z28" s="1432" t="str">
        <f t="shared" si="12"/>
        <v>--</v>
      </c>
      <c r="AA28" s="1433" t="str">
        <f t="shared" si="13"/>
        <v>--</v>
      </c>
      <c r="AB28" s="1434" t="str">
        <f t="shared" si="14"/>
        <v>--</v>
      </c>
      <c r="AC28" s="1435" t="str">
        <f t="shared" si="15"/>
        <v>--</v>
      </c>
      <c r="AD28" s="1448">
        <f t="shared" si="18"/>
      </c>
      <c r="AE28" s="1437">
        <f t="shared" si="16"/>
      </c>
      <c r="AF28" s="1438"/>
    </row>
    <row r="29" spans="2:32" s="1330" customFormat="1" ht="16.5" customHeight="1">
      <c r="B29" s="1345"/>
      <c r="C29" s="1449"/>
      <c r="D29" s="1413"/>
      <c r="E29" s="1413"/>
      <c r="F29" s="1443"/>
      <c r="G29" s="1444"/>
      <c r="H29" s="1445"/>
      <c r="I29" s="1444"/>
      <c r="J29" s="1417">
        <f t="shared" si="0"/>
        <v>20</v>
      </c>
      <c r="K29" s="1418">
        <f t="shared" si="17"/>
        <v>254.577</v>
      </c>
      <c r="L29" s="1446"/>
      <c r="M29" s="1447"/>
      <c r="N29" s="1421">
        <f t="shared" si="1"/>
      </c>
      <c r="O29" s="1422">
        <f t="shared" si="2"/>
      </c>
      <c r="P29" s="1423"/>
      <c r="Q29" s="1424">
        <f t="shared" si="3"/>
      </c>
      <c r="R29" s="1425">
        <f t="shared" si="4"/>
      </c>
      <c r="S29" s="1425">
        <f t="shared" si="5"/>
      </c>
      <c r="T29" s="1426" t="str">
        <f t="shared" si="6"/>
        <v>--</v>
      </c>
      <c r="U29" s="1427" t="str">
        <f t="shared" si="7"/>
        <v>--</v>
      </c>
      <c r="V29" s="1428" t="str">
        <f t="shared" si="8"/>
        <v>--</v>
      </c>
      <c r="W29" s="1429" t="str">
        <f t="shared" si="9"/>
        <v>--</v>
      </c>
      <c r="X29" s="1430" t="str">
        <f t="shared" si="10"/>
        <v>--</v>
      </c>
      <c r="Y29" s="1431" t="str">
        <f t="shared" si="11"/>
        <v>--</v>
      </c>
      <c r="Z29" s="1432" t="str">
        <f t="shared" si="12"/>
        <v>--</v>
      </c>
      <c r="AA29" s="1433" t="str">
        <f t="shared" si="13"/>
        <v>--</v>
      </c>
      <c r="AB29" s="1434" t="str">
        <f t="shared" si="14"/>
        <v>--</v>
      </c>
      <c r="AC29" s="1435" t="str">
        <f t="shared" si="15"/>
        <v>--</v>
      </c>
      <c r="AD29" s="1448">
        <f t="shared" si="18"/>
      </c>
      <c r="AE29" s="1437">
        <f t="shared" si="16"/>
      </c>
      <c r="AF29" s="1438"/>
    </row>
    <row r="30" spans="2:32" s="1330" customFormat="1" ht="16.5" customHeight="1">
      <c r="B30" s="1345"/>
      <c r="C30" s="1442"/>
      <c r="D30" s="1442"/>
      <c r="E30" s="1442"/>
      <c r="F30" s="1443"/>
      <c r="G30" s="1444"/>
      <c r="H30" s="1445"/>
      <c r="I30" s="1444"/>
      <c r="J30" s="1417">
        <f t="shared" si="0"/>
        <v>20</v>
      </c>
      <c r="K30" s="1418">
        <f t="shared" si="17"/>
        <v>254.577</v>
      </c>
      <c r="L30" s="1446"/>
      <c r="M30" s="1447"/>
      <c r="N30" s="1421">
        <f t="shared" si="1"/>
      </c>
      <c r="O30" s="1422">
        <f t="shared" si="2"/>
      </c>
      <c r="P30" s="1423"/>
      <c r="Q30" s="1424">
        <f t="shared" si="3"/>
      </c>
      <c r="R30" s="1425">
        <f t="shared" si="4"/>
      </c>
      <c r="S30" s="1425">
        <f t="shared" si="5"/>
      </c>
      <c r="T30" s="1426" t="str">
        <f t="shared" si="6"/>
        <v>--</v>
      </c>
      <c r="U30" s="1427" t="str">
        <f t="shared" si="7"/>
        <v>--</v>
      </c>
      <c r="V30" s="1428" t="str">
        <f t="shared" si="8"/>
        <v>--</v>
      </c>
      <c r="W30" s="1429" t="str">
        <f t="shared" si="9"/>
        <v>--</v>
      </c>
      <c r="X30" s="1430" t="str">
        <f t="shared" si="10"/>
        <v>--</v>
      </c>
      <c r="Y30" s="1431" t="str">
        <f t="shared" si="11"/>
        <v>--</v>
      </c>
      <c r="Z30" s="1432" t="str">
        <f t="shared" si="12"/>
        <v>--</v>
      </c>
      <c r="AA30" s="1433" t="str">
        <f t="shared" si="13"/>
        <v>--</v>
      </c>
      <c r="AB30" s="1434" t="str">
        <f t="shared" si="14"/>
        <v>--</v>
      </c>
      <c r="AC30" s="1435" t="str">
        <f t="shared" si="15"/>
        <v>--</v>
      </c>
      <c r="AD30" s="1448">
        <f t="shared" si="18"/>
      </c>
      <c r="AE30" s="1437">
        <f t="shared" si="16"/>
      </c>
      <c r="AF30" s="1438"/>
    </row>
    <row r="31" spans="2:32" s="1330" customFormat="1" ht="16.5" customHeight="1">
      <c r="B31" s="1345"/>
      <c r="C31" s="1449"/>
      <c r="D31" s="1413"/>
      <c r="E31" s="1413"/>
      <c r="F31" s="1443"/>
      <c r="G31" s="1444"/>
      <c r="H31" s="1445"/>
      <c r="I31" s="1444"/>
      <c r="J31" s="1417">
        <f t="shared" si="0"/>
        <v>20</v>
      </c>
      <c r="K31" s="1418">
        <f t="shared" si="17"/>
        <v>254.577</v>
      </c>
      <c r="L31" s="1446"/>
      <c r="M31" s="1450"/>
      <c r="N31" s="1421">
        <f t="shared" si="1"/>
      </c>
      <c r="O31" s="1422">
        <f t="shared" si="2"/>
      </c>
      <c r="P31" s="1423"/>
      <c r="Q31" s="1424">
        <f t="shared" si="3"/>
      </c>
      <c r="R31" s="1425">
        <f t="shared" si="4"/>
      </c>
      <c r="S31" s="1425">
        <f t="shared" si="5"/>
      </c>
      <c r="T31" s="1426" t="str">
        <f t="shared" si="6"/>
        <v>--</v>
      </c>
      <c r="U31" s="1427" t="str">
        <f t="shared" si="7"/>
        <v>--</v>
      </c>
      <c r="V31" s="1428" t="str">
        <f t="shared" si="8"/>
        <v>--</v>
      </c>
      <c r="W31" s="1429" t="str">
        <f t="shared" si="9"/>
        <v>--</v>
      </c>
      <c r="X31" s="1430" t="str">
        <f t="shared" si="10"/>
        <v>--</v>
      </c>
      <c r="Y31" s="1431" t="str">
        <f t="shared" si="11"/>
        <v>--</v>
      </c>
      <c r="Z31" s="1432" t="str">
        <f t="shared" si="12"/>
        <v>--</v>
      </c>
      <c r="AA31" s="1433" t="str">
        <f t="shared" si="13"/>
        <v>--</v>
      </c>
      <c r="AB31" s="1434" t="str">
        <f t="shared" si="14"/>
        <v>--</v>
      </c>
      <c r="AC31" s="1435" t="str">
        <f t="shared" si="15"/>
        <v>--</v>
      </c>
      <c r="AD31" s="1448">
        <f t="shared" si="18"/>
      </c>
      <c r="AE31" s="1437">
        <f t="shared" si="16"/>
      </c>
      <c r="AF31" s="1438"/>
    </row>
    <row r="32" spans="2:32" s="1330" customFormat="1" ht="16.5" customHeight="1">
      <c r="B32" s="1345"/>
      <c r="C32" s="1442"/>
      <c r="D32" s="1442"/>
      <c r="E32" s="1442"/>
      <c r="F32" s="1443"/>
      <c r="G32" s="1444"/>
      <c r="H32" s="1445"/>
      <c r="I32" s="1444"/>
      <c r="J32" s="1417">
        <f t="shared" si="0"/>
        <v>20</v>
      </c>
      <c r="K32" s="1418">
        <f t="shared" si="17"/>
        <v>254.577</v>
      </c>
      <c r="L32" s="1446"/>
      <c r="M32" s="1450"/>
      <c r="N32" s="1421">
        <f t="shared" si="1"/>
      </c>
      <c r="O32" s="1422">
        <f t="shared" si="2"/>
      </c>
      <c r="P32" s="1423"/>
      <c r="Q32" s="1424">
        <f t="shared" si="3"/>
      </c>
      <c r="R32" s="1425">
        <f t="shared" si="4"/>
      </c>
      <c r="S32" s="1425">
        <f t="shared" si="5"/>
      </c>
      <c r="T32" s="1426" t="str">
        <f t="shared" si="6"/>
        <v>--</v>
      </c>
      <c r="U32" s="1427" t="str">
        <f t="shared" si="7"/>
        <v>--</v>
      </c>
      <c r="V32" s="1428" t="str">
        <f t="shared" si="8"/>
        <v>--</v>
      </c>
      <c r="W32" s="1429" t="str">
        <f t="shared" si="9"/>
        <v>--</v>
      </c>
      <c r="X32" s="1430" t="str">
        <f t="shared" si="10"/>
        <v>--</v>
      </c>
      <c r="Y32" s="1431" t="str">
        <f t="shared" si="11"/>
        <v>--</v>
      </c>
      <c r="Z32" s="1432" t="str">
        <f t="shared" si="12"/>
        <v>--</v>
      </c>
      <c r="AA32" s="1433" t="str">
        <f t="shared" si="13"/>
        <v>--</v>
      </c>
      <c r="AB32" s="1434" t="str">
        <f t="shared" si="14"/>
        <v>--</v>
      </c>
      <c r="AC32" s="1435" t="str">
        <f t="shared" si="15"/>
        <v>--</v>
      </c>
      <c r="AD32" s="1448">
        <f t="shared" si="18"/>
      </c>
      <c r="AE32" s="1437">
        <f t="shared" si="16"/>
      </c>
      <c r="AF32" s="1438"/>
    </row>
    <row r="33" spans="2:32" s="1330" customFormat="1" ht="16.5" customHeight="1">
      <c r="B33" s="1345"/>
      <c r="C33" s="1449"/>
      <c r="D33" s="1413"/>
      <c r="E33" s="1413"/>
      <c r="F33" s="1443"/>
      <c r="G33" s="1444"/>
      <c r="H33" s="1445"/>
      <c r="I33" s="1444"/>
      <c r="J33" s="1417">
        <f t="shared" si="0"/>
        <v>20</v>
      </c>
      <c r="K33" s="1418">
        <f t="shared" si="17"/>
        <v>254.577</v>
      </c>
      <c r="L33" s="1446"/>
      <c r="M33" s="1450"/>
      <c r="N33" s="1421">
        <f t="shared" si="1"/>
      </c>
      <c r="O33" s="1422">
        <f t="shared" si="2"/>
      </c>
      <c r="P33" s="1423"/>
      <c r="Q33" s="1424">
        <f t="shared" si="3"/>
      </c>
      <c r="R33" s="1425">
        <f t="shared" si="4"/>
      </c>
      <c r="S33" s="1425">
        <f t="shared" si="5"/>
      </c>
      <c r="T33" s="1426" t="str">
        <f t="shared" si="6"/>
        <v>--</v>
      </c>
      <c r="U33" s="1427" t="str">
        <f t="shared" si="7"/>
        <v>--</v>
      </c>
      <c r="V33" s="1428" t="str">
        <f t="shared" si="8"/>
        <v>--</v>
      </c>
      <c r="W33" s="1429" t="str">
        <f t="shared" si="9"/>
        <v>--</v>
      </c>
      <c r="X33" s="1430" t="str">
        <f t="shared" si="10"/>
        <v>--</v>
      </c>
      <c r="Y33" s="1431" t="str">
        <f t="shared" si="11"/>
        <v>--</v>
      </c>
      <c r="Z33" s="1432" t="str">
        <f t="shared" si="12"/>
        <v>--</v>
      </c>
      <c r="AA33" s="1433" t="str">
        <f t="shared" si="13"/>
        <v>--</v>
      </c>
      <c r="AB33" s="1434" t="str">
        <f t="shared" si="14"/>
        <v>--</v>
      </c>
      <c r="AC33" s="1435" t="str">
        <f t="shared" si="15"/>
        <v>--</v>
      </c>
      <c r="AD33" s="1448">
        <f t="shared" si="18"/>
      </c>
      <c r="AE33" s="1437">
        <f t="shared" si="16"/>
      </c>
      <c r="AF33" s="1438"/>
    </row>
    <row r="34" spans="2:32" s="1330" customFormat="1" ht="16.5" customHeight="1">
      <c r="B34" s="1345"/>
      <c r="C34" s="1442"/>
      <c r="D34" s="1442"/>
      <c r="E34" s="1442"/>
      <c r="F34" s="1443"/>
      <c r="G34" s="1444"/>
      <c r="H34" s="1445"/>
      <c r="I34" s="1444"/>
      <c r="J34" s="1417">
        <f t="shared" si="0"/>
        <v>20</v>
      </c>
      <c r="K34" s="1418">
        <f t="shared" si="17"/>
        <v>254.577</v>
      </c>
      <c r="L34" s="1446"/>
      <c r="M34" s="1450"/>
      <c r="N34" s="1421">
        <f t="shared" si="1"/>
      </c>
      <c r="O34" s="1422">
        <f t="shared" si="2"/>
      </c>
      <c r="P34" s="1423"/>
      <c r="Q34" s="1424">
        <f t="shared" si="3"/>
      </c>
      <c r="R34" s="1425">
        <f t="shared" si="4"/>
      </c>
      <c r="S34" s="1425">
        <f t="shared" si="5"/>
      </c>
      <c r="T34" s="1426" t="str">
        <f t="shared" si="6"/>
        <v>--</v>
      </c>
      <c r="U34" s="1427" t="str">
        <f t="shared" si="7"/>
        <v>--</v>
      </c>
      <c r="V34" s="1428" t="str">
        <f t="shared" si="8"/>
        <v>--</v>
      </c>
      <c r="W34" s="1429" t="str">
        <f t="shared" si="9"/>
        <v>--</v>
      </c>
      <c r="X34" s="1430" t="str">
        <f t="shared" si="10"/>
        <v>--</v>
      </c>
      <c r="Y34" s="1431" t="str">
        <f t="shared" si="11"/>
        <v>--</v>
      </c>
      <c r="Z34" s="1432" t="str">
        <f t="shared" si="12"/>
        <v>--</v>
      </c>
      <c r="AA34" s="1433" t="str">
        <f t="shared" si="13"/>
        <v>--</v>
      </c>
      <c r="AB34" s="1434" t="str">
        <f t="shared" si="14"/>
        <v>--</v>
      </c>
      <c r="AC34" s="1435" t="str">
        <f t="shared" si="15"/>
        <v>--</v>
      </c>
      <c r="AD34" s="1448">
        <f t="shared" si="18"/>
      </c>
      <c r="AE34" s="1437">
        <f t="shared" si="16"/>
      </c>
      <c r="AF34" s="1438"/>
    </row>
    <row r="35" spans="2:32" s="1330" customFormat="1" ht="16.5" customHeight="1">
      <c r="B35" s="1345"/>
      <c r="C35" s="1449"/>
      <c r="D35" s="1413"/>
      <c r="E35" s="1413"/>
      <c r="F35" s="1443"/>
      <c r="G35" s="1444"/>
      <c r="H35" s="1445"/>
      <c r="I35" s="1444"/>
      <c r="J35" s="1417">
        <f t="shared" si="0"/>
        <v>20</v>
      </c>
      <c r="K35" s="1418">
        <f t="shared" si="17"/>
        <v>254.577</v>
      </c>
      <c r="L35" s="1446"/>
      <c r="M35" s="1450"/>
      <c r="N35" s="1421">
        <f t="shared" si="1"/>
      </c>
      <c r="O35" s="1422">
        <f t="shared" si="2"/>
      </c>
      <c r="P35" s="1423"/>
      <c r="Q35" s="1424">
        <f t="shared" si="3"/>
      </c>
      <c r="R35" s="1425">
        <f t="shared" si="4"/>
      </c>
      <c r="S35" s="1425">
        <f t="shared" si="5"/>
      </c>
      <c r="T35" s="1426" t="str">
        <f t="shared" si="6"/>
        <v>--</v>
      </c>
      <c r="U35" s="1427" t="str">
        <f t="shared" si="7"/>
        <v>--</v>
      </c>
      <c r="V35" s="1428" t="str">
        <f t="shared" si="8"/>
        <v>--</v>
      </c>
      <c r="W35" s="1429" t="str">
        <f t="shared" si="9"/>
        <v>--</v>
      </c>
      <c r="X35" s="1430" t="str">
        <f t="shared" si="10"/>
        <v>--</v>
      </c>
      <c r="Y35" s="1431" t="str">
        <f t="shared" si="11"/>
        <v>--</v>
      </c>
      <c r="Z35" s="1432" t="str">
        <f t="shared" si="12"/>
        <v>--</v>
      </c>
      <c r="AA35" s="1433" t="str">
        <f t="shared" si="13"/>
        <v>--</v>
      </c>
      <c r="AB35" s="1434" t="str">
        <f t="shared" si="14"/>
        <v>--</v>
      </c>
      <c r="AC35" s="1435" t="str">
        <f t="shared" si="15"/>
        <v>--</v>
      </c>
      <c r="AD35" s="1448">
        <f t="shared" si="18"/>
      </c>
      <c r="AE35" s="1437">
        <f t="shared" si="16"/>
      </c>
      <c r="AF35" s="1438"/>
    </row>
    <row r="36" spans="2:32" s="1330" customFormat="1" ht="16.5" customHeight="1">
      <c r="B36" s="1345"/>
      <c r="C36" s="1442"/>
      <c r="D36" s="1442"/>
      <c r="E36" s="1442"/>
      <c r="F36" s="1443"/>
      <c r="G36" s="1444"/>
      <c r="H36" s="1445"/>
      <c r="I36" s="1444"/>
      <c r="J36" s="1417">
        <f t="shared" si="0"/>
        <v>20</v>
      </c>
      <c r="K36" s="1418">
        <f t="shared" si="17"/>
        <v>254.577</v>
      </c>
      <c r="L36" s="1446"/>
      <c r="M36" s="1450"/>
      <c r="N36" s="1421">
        <f t="shared" si="1"/>
      </c>
      <c r="O36" s="1422">
        <f t="shared" si="2"/>
      </c>
      <c r="P36" s="1423"/>
      <c r="Q36" s="1424">
        <f t="shared" si="3"/>
      </c>
      <c r="R36" s="1425">
        <f t="shared" si="4"/>
      </c>
      <c r="S36" s="1425">
        <f t="shared" si="5"/>
      </c>
      <c r="T36" s="1426" t="str">
        <f t="shared" si="6"/>
        <v>--</v>
      </c>
      <c r="U36" s="1427" t="str">
        <f t="shared" si="7"/>
        <v>--</v>
      </c>
      <c r="V36" s="1428" t="str">
        <f t="shared" si="8"/>
        <v>--</v>
      </c>
      <c r="W36" s="1429" t="str">
        <f t="shared" si="9"/>
        <v>--</v>
      </c>
      <c r="X36" s="1430" t="str">
        <f t="shared" si="10"/>
        <v>--</v>
      </c>
      <c r="Y36" s="1431" t="str">
        <f t="shared" si="11"/>
        <v>--</v>
      </c>
      <c r="Z36" s="1432" t="str">
        <f t="shared" si="12"/>
        <v>--</v>
      </c>
      <c r="AA36" s="1433" t="str">
        <f t="shared" si="13"/>
        <v>--</v>
      </c>
      <c r="AB36" s="1434" t="str">
        <f t="shared" si="14"/>
        <v>--</v>
      </c>
      <c r="AC36" s="1435" t="str">
        <f t="shared" si="15"/>
        <v>--</v>
      </c>
      <c r="AD36" s="1448">
        <f t="shared" si="18"/>
      </c>
      <c r="AE36" s="1437">
        <f t="shared" si="16"/>
      </c>
      <c r="AF36" s="1438"/>
    </row>
    <row r="37" spans="2:32" s="1330" customFormat="1" ht="16.5" customHeight="1">
      <c r="B37" s="1345"/>
      <c r="C37" s="1449"/>
      <c r="D37" s="1413"/>
      <c r="E37" s="1413"/>
      <c r="F37" s="1443"/>
      <c r="G37" s="1444"/>
      <c r="H37" s="1445"/>
      <c r="I37" s="1444"/>
      <c r="J37" s="1417">
        <f t="shared" si="0"/>
        <v>20</v>
      </c>
      <c r="K37" s="1418">
        <f t="shared" si="17"/>
        <v>254.577</v>
      </c>
      <c r="L37" s="1446"/>
      <c r="M37" s="1450"/>
      <c r="N37" s="1421">
        <f t="shared" si="1"/>
      </c>
      <c r="O37" s="1422">
        <f t="shared" si="2"/>
      </c>
      <c r="P37" s="1423"/>
      <c r="Q37" s="1424">
        <f t="shared" si="3"/>
      </c>
      <c r="R37" s="1425">
        <f t="shared" si="4"/>
      </c>
      <c r="S37" s="1425">
        <f t="shared" si="5"/>
      </c>
      <c r="T37" s="1426" t="str">
        <f t="shared" si="6"/>
        <v>--</v>
      </c>
      <c r="U37" s="1427" t="str">
        <f t="shared" si="7"/>
        <v>--</v>
      </c>
      <c r="V37" s="1428" t="str">
        <f t="shared" si="8"/>
        <v>--</v>
      </c>
      <c r="W37" s="1429" t="str">
        <f t="shared" si="9"/>
        <v>--</v>
      </c>
      <c r="X37" s="1430" t="str">
        <f t="shared" si="10"/>
        <v>--</v>
      </c>
      <c r="Y37" s="1431" t="str">
        <f t="shared" si="11"/>
        <v>--</v>
      </c>
      <c r="Z37" s="1432" t="str">
        <f t="shared" si="12"/>
        <v>--</v>
      </c>
      <c r="AA37" s="1433" t="str">
        <f t="shared" si="13"/>
        <v>--</v>
      </c>
      <c r="AB37" s="1434" t="str">
        <f t="shared" si="14"/>
        <v>--</v>
      </c>
      <c r="AC37" s="1435" t="str">
        <f t="shared" si="15"/>
        <v>--</v>
      </c>
      <c r="AD37" s="1448">
        <f t="shared" si="18"/>
      </c>
      <c r="AE37" s="1437">
        <f t="shared" si="16"/>
      </c>
      <c r="AF37" s="1438"/>
    </row>
    <row r="38" spans="2:32" s="1330" customFormat="1" ht="16.5" customHeight="1">
      <c r="B38" s="1345"/>
      <c r="C38" s="1442"/>
      <c r="D38" s="1442"/>
      <c r="E38" s="1442"/>
      <c r="F38" s="1443"/>
      <c r="G38" s="1444"/>
      <c r="H38" s="1445"/>
      <c r="I38" s="1444"/>
      <c r="J38" s="1417">
        <f t="shared" si="0"/>
        <v>20</v>
      </c>
      <c r="K38" s="1418">
        <f t="shared" si="17"/>
        <v>254.577</v>
      </c>
      <c r="L38" s="1446"/>
      <c r="M38" s="1450"/>
      <c r="N38" s="1421">
        <f t="shared" si="1"/>
      </c>
      <c r="O38" s="1422">
        <f t="shared" si="2"/>
      </c>
      <c r="P38" s="1423"/>
      <c r="Q38" s="1424">
        <f t="shared" si="3"/>
      </c>
      <c r="R38" s="1425">
        <f t="shared" si="4"/>
      </c>
      <c r="S38" s="1425">
        <f t="shared" si="5"/>
      </c>
      <c r="T38" s="1426" t="str">
        <f t="shared" si="6"/>
        <v>--</v>
      </c>
      <c r="U38" s="1427" t="str">
        <f t="shared" si="7"/>
        <v>--</v>
      </c>
      <c r="V38" s="1428" t="str">
        <f t="shared" si="8"/>
        <v>--</v>
      </c>
      <c r="W38" s="1429" t="str">
        <f t="shared" si="9"/>
        <v>--</v>
      </c>
      <c r="X38" s="1430" t="str">
        <f t="shared" si="10"/>
        <v>--</v>
      </c>
      <c r="Y38" s="1431" t="str">
        <f t="shared" si="11"/>
        <v>--</v>
      </c>
      <c r="Z38" s="1432" t="str">
        <f t="shared" si="12"/>
        <v>--</v>
      </c>
      <c r="AA38" s="1433" t="str">
        <f t="shared" si="13"/>
        <v>--</v>
      </c>
      <c r="AB38" s="1434" t="str">
        <f t="shared" si="14"/>
        <v>--</v>
      </c>
      <c r="AC38" s="1435" t="str">
        <f t="shared" si="15"/>
        <v>--</v>
      </c>
      <c r="AD38" s="1448">
        <f t="shared" si="18"/>
      </c>
      <c r="AE38" s="1437">
        <f t="shared" si="16"/>
      </c>
      <c r="AF38" s="1438"/>
    </row>
    <row r="39" spans="2:32" s="1330" customFormat="1" ht="16.5" customHeight="1">
      <c r="B39" s="1345"/>
      <c r="C39" s="1449"/>
      <c r="D39" s="1413"/>
      <c r="E39" s="1413"/>
      <c r="F39" s="1443"/>
      <c r="G39" s="1444"/>
      <c r="H39" s="1445"/>
      <c r="I39" s="1444"/>
      <c r="J39" s="1417">
        <f t="shared" si="0"/>
        <v>20</v>
      </c>
      <c r="K39" s="1418">
        <f t="shared" si="17"/>
        <v>254.577</v>
      </c>
      <c r="L39" s="1446"/>
      <c r="M39" s="1450"/>
      <c r="N39" s="1421">
        <f t="shared" si="1"/>
      </c>
      <c r="O39" s="1422">
        <f t="shared" si="2"/>
      </c>
      <c r="P39" s="1423"/>
      <c r="Q39" s="1424">
        <f t="shared" si="3"/>
      </c>
      <c r="R39" s="1425">
        <f t="shared" si="4"/>
      </c>
      <c r="S39" s="1425">
        <f t="shared" si="5"/>
      </c>
      <c r="T39" s="1426" t="str">
        <f t="shared" si="6"/>
        <v>--</v>
      </c>
      <c r="U39" s="1427" t="str">
        <f t="shared" si="7"/>
        <v>--</v>
      </c>
      <c r="V39" s="1428" t="str">
        <f t="shared" si="8"/>
        <v>--</v>
      </c>
      <c r="W39" s="1429" t="str">
        <f t="shared" si="9"/>
        <v>--</v>
      </c>
      <c r="X39" s="1430" t="str">
        <f t="shared" si="10"/>
        <v>--</v>
      </c>
      <c r="Y39" s="1431" t="str">
        <f t="shared" si="11"/>
        <v>--</v>
      </c>
      <c r="Z39" s="1432" t="str">
        <f t="shared" si="12"/>
        <v>--</v>
      </c>
      <c r="AA39" s="1433" t="str">
        <f t="shared" si="13"/>
        <v>--</v>
      </c>
      <c r="AB39" s="1434" t="str">
        <f t="shared" si="14"/>
        <v>--</v>
      </c>
      <c r="AC39" s="1435" t="str">
        <f t="shared" si="15"/>
        <v>--</v>
      </c>
      <c r="AD39" s="1448">
        <f t="shared" si="18"/>
      </c>
      <c r="AE39" s="1437">
        <f t="shared" si="16"/>
      </c>
      <c r="AF39" s="1438"/>
    </row>
    <row r="40" spans="2:32" s="1330" customFormat="1" ht="16.5" customHeight="1" thickBot="1">
      <c r="B40" s="1345"/>
      <c r="C40" s="1442"/>
      <c r="D40" s="1451"/>
      <c r="E40" s="1451"/>
      <c r="F40" s="1451"/>
      <c r="G40" s="1451"/>
      <c r="H40" s="1451"/>
      <c r="I40" s="1452"/>
      <c r="J40" s="1453"/>
      <c r="K40" s="1454"/>
      <c r="L40" s="1455"/>
      <c r="M40" s="1455"/>
      <c r="N40" s="1456"/>
      <c r="O40" s="1456"/>
      <c r="P40" s="1457"/>
      <c r="Q40" s="1458"/>
      <c r="R40" s="1457"/>
      <c r="S40" s="1457"/>
      <c r="T40" s="1459"/>
      <c r="U40" s="1460"/>
      <c r="V40" s="1461"/>
      <c r="W40" s="1462"/>
      <c r="X40" s="1463"/>
      <c r="Y40" s="1464"/>
      <c r="Z40" s="1465"/>
      <c r="AA40" s="1466"/>
      <c r="AB40" s="1467"/>
      <c r="AC40" s="1468"/>
      <c r="AD40" s="1469"/>
      <c r="AE40" s="1470"/>
      <c r="AF40" s="1438"/>
    </row>
    <row r="41" spans="2:32" s="1330" customFormat="1" ht="16.5" customHeight="1" thickBot="1" thickTop="1">
      <c r="B41" s="1345"/>
      <c r="C41" s="1471" t="s">
        <v>288</v>
      </c>
      <c r="D41" s="1472" t="s">
        <v>287</v>
      </c>
      <c r="E41" s="1473"/>
      <c r="F41" s="1474"/>
      <c r="G41" s="1475"/>
      <c r="H41" s="1476"/>
      <c r="I41" s="1477"/>
      <c r="J41" s="1476"/>
      <c r="K41" s="1478"/>
      <c r="L41" s="1478"/>
      <c r="M41" s="1478"/>
      <c r="N41" s="1478"/>
      <c r="O41" s="1478"/>
      <c r="P41" s="1478"/>
      <c r="Q41" s="1479"/>
      <c r="R41" s="1478"/>
      <c r="S41" s="1478"/>
      <c r="T41" s="1480">
        <f aca="true" t="shared" si="19" ref="T41:AC41">SUM(T18:T40)</f>
        <v>192.21581808</v>
      </c>
      <c r="U41" s="1481">
        <f t="shared" si="19"/>
        <v>0</v>
      </c>
      <c r="V41" s="1482">
        <f t="shared" si="19"/>
        <v>0</v>
      </c>
      <c r="W41" s="1482">
        <f t="shared" si="19"/>
        <v>0</v>
      </c>
      <c r="X41" s="1482">
        <f t="shared" si="19"/>
        <v>0</v>
      </c>
      <c r="Y41" s="1483">
        <f t="shared" si="19"/>
        <v>0</v>
      </c>
      <c r="Z41" s="1483">
        <f t="shared" si="19"/>
        <v>0</v>
      </c>
      <c r="AA41" s="1483">
        <f t="shared" si="19"/>
        <v>0</v>
      </c>
      <c r="AB41" s="1484">
        <f t="shared" si="19"/>
        <v>0</v>
      </c>
      <c r="AC41" s="1485">
        <f t="shared" si="19"/>
        <v>0</v>
      </c>
      <c r="AD41" s="1486"/>
      <c r="AE41" s="1487">
        <f>ROUND(SUM(AE18:AE40),2)</f>
        <v>192.22</v>
      </c>
      <c r="AF41" s="1438"/>
    </row>
    <row r="42" spans="2:32" s="1330" customFormat="1" ht="16.5" customHeight="1" thickBot="1" thickTop="1">
      <c r="B42" s="1488"/>
      <c r="C42" s="1489"/>
      <c r="D42" s="1489"/>
      <c r="E42" s="1489"/>
      <c r="F42" s="1489"/>
      <c r="G42" s="1489"/>
      <c r="H42" s="1489"/>
      <c r="I42" s="1489"/>
      <c r="J42" s="1489"/>
      <c r="K42" s="1489"/>
      <c r="L42" s="1489"/>
      <c r="M42" s="1489"/>
      <c r="N42" s="1489"/>
      <c r="O42" s="1489"/>
      <c r="P42" s="1489"/>
      <c r="Q42" s="1489"/>
      <c r="R42" s="1489"/>
      <c r="S42" s="1489"/>
      <c r="T42" s="1489"/>
      <c r="U42" s="1489"/>
      <c r="V42" s="1489"/>
      <c r="W42" s="1489"/>
      <c r="X42" s="1489"/>
      <c r="Y42" s="1489"/>
      <c r="Z42" s="1489"/>
      <c r="AA42" s="1489"/>
      <c r="AB42" s="1489"/>
      <c r="AC42" s="1489"/>
      <c r="AD42" s="1489"/>
      <c r="AE42" s="1489"/>
      <c r="AF42" s="1490"/>
    </row>
    <row r="43" spans="2:32" ht="16.5" customHeight="1" thickTop="1">
      <c r="B43" s="1491"/>
      <c r="AF43" s="1491"/>
    </row>
  </sheetData>
  <sheetProtection password="CC12"/>
  <mergeCells count="1">
    <mergeCell ref="G14:H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6"/>
  <sheetViews>
    <sheetView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276"/>
    </row>
    <row r="2" spans="1:30" s="3" customFormat="1" ht="26.25">
      <c r="A2" s="78"/>
      <c r="B2" s="277" t="str">
        <f>+'TOT-1214'!B2</f>
        <v>ANEXO I al Memorándum D.T.E.E. N° 90 /2016</v>
      </c>
      <c r="C2" s="277"/>
      <c r="D2" s="277"/>
      <c r="E2" s="277"/>
      <c r="F2" s="277"/>
      <c r="G2" s="2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</row>
    <row r="3" spans="1:30" s="8" customFormat="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30" s="14" customFormat="1" ht="11.25">
      <c r="A4" s="278" t="s">
        <v>53</v>
      </c>
      <c r="B4" s="279"/>
      <c r="C4" s="279"/>
      <c r="D4" s="279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</row>
    <row r="5" spans="1:30" s="14" customFormat="1" ht="11.25">
      <c r="A5" s="278" t="s">
        <v>3</v>
      </c>
      <c r="B5" s="279"/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</row>
    <row r="6" spans="1:30" s="8" customFormat="1" ht="13.5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30" s="8" customFormat="1" ht="13.5" thickTop="1">
      <c r="A7" s="79"/>
      <c r="B7" s="281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84"/>
    </row>
    <row r="8" spans="1:30" s="18" customFormat="1" ht="20.25">
      <c r="A8" s="283"/>
      <c r="B8" s="284"/>
      <c r="C8" s="285"/>
      <c r="D8" s="285"/>
      <c r="E8" s="283"/>
      <c r="F8" s="286" t="s">
        <v>23</v>
      </c>
      <c r="G8" s="283"/>
      <c r="H8" s="283"/>
      <c r="I8" s="287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88"/>
    </row>
    <row r="9" spans="1:30" s="8" customFormat="1" ht="12.75">
      <c r="A9" s="79"/>
      <c r="B9" s="288"/>
      <c r="C9" s="73"/>
      <c r="D9" s="73"/>
      <c r="E9" s="79"/>
      <c r="F9" s="73"/>
      <c r="G9" s="289"/>
      <c r="H9" s="79"/>
      <c r="I9" s="73"/>
      <c r="J9" s="79"/>
      <c r="K9" s="79"/>
      <c r="L9" s="79"/>
      <c r="M9" s="79"/>
      <c r="N9" s="79"/>
      <c r="O9" s="79"/>
      <c r="P9" s="79"/>
      <c r="Q9" s="79"/>
      <c r="R9" s="79"/>
      <c r="S9" s="79"/>
      <c r="T9" s="73"/>
      <c r="U9" s="73"/>
      <c r="V9" s="73"/>
      <c r="W9" s="73"/>
      <c r="X9" s="73"/>
      <c r="Y9" s="73"/>
      <c r="Z9" s="73"/>
      <c r="AA9" s="73"/>
      <c r="AB9" s="73"/>
      <c r="AC9" s="73"/>
      <c r="AD9" s="89"/>
    </row>
    <row r="10" spans="1:30" s="296" customFormat="1" ht="30" customHeight="1">
      <c r="A10" s="290"/>
      <c r="B10" s="291"/>
      <c r="C10" s="292"/>
      <c r="D10" s="292"/>
      <c r="E10" s="290"/>
      <c r="F10" s="293" t="s">
        <v>54</v>
      </c>
      <c r="G10" s="290"/>
      <c r="H10" s="294"/>
      <c r="I10" s="292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5"/>
    </row>
    <row r="11" spans="1:30" s="300" customFormat="1" ht="9.75" customHeight="1">
      <c r="A11" s="297"/>
      <c r="B11" s="298"/>
      <c r="C11" s="299"/>
      <c r="D11" s="299"/>
      <c r="E11" s="297"/>
      <c r="G11" s="299"/>
      <c r="H11" s="299"/>
      <c r="I11" s="299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301"/>
    </row>
    <row r="12" spans="1:30" s="300" customFormat="1" ht="21" customHeight="1">
      <c r="A12" s="290"/>
      <c r="B12" s="291"/>
      <c r="C12" s="292"/>
      <c r="D12" s="292"/>
      <c r="E12" s="290"/>
      <c r="F12" s="302" t="s">
        <v>55</v>
      </c>
      <c r="G12" s="290"/>
      <c r="H12" s="290"/>
      <c r="I12" s="290"/>
      <c r="J12" s="303"/>
      <c r="K12" s="303"/>
      <c r="L12" s="303"/>
      <c r="M12" s="303"/>
      <c r="N12" s="303"/>
      <c r="O12" s="297"/>
      <c r="P12" s="297"/>
      <c r="Q12" s="297"/>
      <c r="R12" s="297"/>
      <c r="S12" s="297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301"/>
    </row>
    <row r="13" spans="1:30" s="8" customFormat="1" ht="12.75">
      <c r="A13" s="79"/>
      <c r="B13" s="288"/>
      <c r="C13" s="73"/>
      <c r="D13" s="73"/>
      <c r="E13" s="79"/>
      <c r="F13" s="73"/>
      <c r="G13" s="73"/>
      <c r="H13" s="73"/>
      <c r="I13" s="304"/>
      <c r="J13" s="73"/>
      <c r="K13" s="73"/>
      <c r="L13" s="73"/>
      <c r="M13" s="73"/>
      <c r="N13" s="73"/>
      <c r="O13" s="79"/>
      <c r="P13" s="79"/>
      <c r="Q13" s="79"/>
      <c r="R13" s="79"/>
      <c r="S13" s="79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89"/>
    </row>
    <row r="14" spans="1:30" s="34" customFormat="1" ht="19.5">
      <c r="A14" s="305"/>
      <c r="B14" s="35" t="str">
        <f>'TOT-1214'!B14</f>
        <v>Desde el 01 al 31 de diciembre de 2014</v>
      </c>
      <c r="C14" s="39"/>
      <c r="D14" s="39"/>
      <c r="E14" s="306"/>
      <c r="F14" s="307"/>
      <c r="G14" s="307"/>
      <c r="H14" s="307"/>
      <c r="I14" s="307"/>
      <c r="J14" s="307"/>
      <c r="K14" s="307"/>
      <c r="L14" s="307"/>
      <c r="M14" s="307"/>
      <c r="N14" s="307"/>
      <c r="O14" s="306"/>
      <c r="P14" s="306"/>
      <c r="Q14" s="306"/>
      <c r="R14" s="306"/>
      <c r="S14" s="306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8"/>
    </row>
    <row r="15" spans="1:30" s="8" customFormat="1" ht="13.5" thickBot="1">
      <c r="A15" s="79"/>
      <c r="B15" s="288"/>
      <c r="C15" s="73"/>
      <c r="D15" s="73"/>
      <c r="E15" s="79"/>
      <c r="F15" s="73"/>
      <c r="G15" s="73"/>
      <c r="H15" s="73"/>
      <c r="I15" s="304"/>
      <c r="J15" s="73"/>
      <c r="K15" s="73"/>
      <c r="L15" s="73"/>
      <c r="M15" s="73"/>
      <c r="N15" s="73"/>
      <c r="O15" s="79"/>
      <c r="P15" s="79"/>
      <c r="Q15" s="79"/>
      <c r="R15" s="79"/>
      <c r="S15" s="79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89"/>
    </row>
    <row r="16" spans="1:30" s="8" customFormat="1" ht="16.5" customHeight="1" thickBot="1" thickTop="1">
      <c r="A16" s="79"/>
      <c r="B16" s="288"/>
      <c r="C16" s="73"/>
      <c r="D16" s="73"/>
      <c r="E16" s="79"/>
      <c r="F16" s="309" t="s">
        <v>56</v>
      </c>
      <c r="G16" s="310"/>
      <c r="H16" s="311">
        <v>1.193</v>
      </c>
      <c r="J16" s="79"/>
      <c r="K16" s="79"/>
      <c r="L16" s="79"/>
      <c r="M16" s="79"/>
      <c r="N16" s="79"/>
      <c r="O16" s="79"/>
      <c r="P16" s="79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89"/>
    </row>
    <row r="17" spans="1:30" s="8" customFormat="1" ht="16.5" customHeight="1" thickBot="1" thickTop="1">
      <c r="A17" s="79"/>
      <c r="B17" s="288"/>
      <c r="C17" s="73"/>
      <c r="D17" s="73"/>
      <c r="E17" s="79"/>
      <c r="F17" s="312" t="s">
        <v>57</v>
      </c>
      <c r="G17" s="313"/>
      <c r="H17" s="314">
        <v>200</v>
      </c>
      <c r="I17" s="9"/>
      <c r="J17" s="73"/>
      <c r="K17" s="97"/>
      <c r="L17" s="98"/>
      <c r="M17" s="11"/>
      <c r="N17" s="73"/>
      <c r="O17" s="73"/>
      <c r="P17" s="73"/>
      <c r="Q17" s="73"/>
      <c r="R17" s="73"/>
      <c r="S17" s="73"/>
      <c r="T17" s="73"/>
      <c r="U17" s="73"/>
      <c r="V17" s="73"/>
      <c r="W17" s="315"/>
      <c r="X17" s="315"/>
      <c r="Y17" s="315"/>
      <c r="Z17" s="315"/>
      <c r="AA17" s="315"/>
      <c r="AB17" s="315"/>
      <c r="AC17" s="79"/>
      <c r="AD17" s="89"/>
    </row>
    <row r="18" spans="1:30" s="8" customFormat="1" ht="16.5" customHeight="1" thickBot="1" thickTop="1">
      <c r="A18" s="79"/>
      <c r="B18" s="288"/>
      <c r="C18" s="316">
        <v>3</v>
      </c>
      <c r="D18" s="316">
        <v>4</v>
      </c>
      <c r="E18" s="316">
        <v>5</v>
      </c>
      <c r="F18" s="316">
        <v>6</v>
      </c>
      <c r="G18" s="316">
        <v>7</v>
      </c>
      <c r="H18" s="316">
        <v>8</v>
      </c>
      <c r="I18" s="316">
        <v>9</v>
      </c>
      <c r="J18" s="316">
        <v>10</v>
      </c>
      <c r="K18" s="316">
        <v>11</v>
      </c>
      <c r="L18" s="316">
        <v>12</v>
      </c>
      <c r="M18" s="316">
        <v>13</v>
      </c>
      <c r="N18" s="316">
        <v>14</v>
      </c>
      <c r="O18" s="316">
        <v>15</v>
      </c>
      <c r="P18" s="316">
        <v>16</v>
      </c>
      <c r="Q18" s="316">
        <v>17</v>
      </c>
      <c r="R18" s="316">
        <v>18</v>
      </c>
      <c r="S18" s="316">
        <v>19</v>
      </c>
      <c r="T18" s="316">
        <v>20</v>
      </c>
      <c r="U18" s="316">
        <v>21</v>
      </c>
      <c r="V18" s="316">
        <v>22</v>
      </c>
      <c r="W18" s="316">
        <v>23</v>
      </c>
      <c r="X18" s="316">
        <v>24</v>
      </c>
      <c r="Y18" s="316">
        <v>25</v>
      </c>
      <c r="Z18" s="316">
        <v>26</v>
      </c>
      <c r="AA18" s="316">
        <v>27</v>
      </c>
      <c r="AB18" s="316">
        <v>28</v>
      </c>
      <c r="AC18" s="316">
        <v>29</v>
      </c>
      <c r="AD18" s="89"/>
    </row>
    <row r="19" spans="1:30" s="8" customFormat="1" ht="33.75" customHeight="1" thickBot="1" thickTop="1">
      <c r="A19" s="79"/>
      <c r="B19" s="288"/>
      <c r="C19" s="317" t="s">
        <v>28</v>
      </c>
      <c r="D19" s="101" t="s">
        <v>29</v>
      </c>
      <c r="E19" s="101" t="s">
        <v>30</v>
      </c>
      <c r="F19" s="318" t="s">
        <v>58</v>
      </c>
      <c r="G19" s="319" t="s">
        <v>59</v>
      </c>
      <c r="H19" s="320" t="s">
        <v>60</v>
      </c>
      <c r="I19" s="321" t="s">
        <v>31</v>
      </c>
      <c r="J19" s="322" t="s">
        <v>35</v>
      </c>
      <c r="K19" s="319" t="s">
        <v>36</v>
      </c>
      <c r="L19" s="319" t="s">
        <v>37</v>
      </c>
      <c r="M19" s="318" t="s">
        <v>61</v>
      </c>
      <c r="N19" s="318" t="s">
        <v>39</v>
      </c>
      <c r="O19" s="109" t="s">
        <v>179</v>
      </c>
      <c r="P19" s="109" t="s">
        <v>40</v>
      </c>
      <c r="Q19" s="323" t="s">
        <v>42</v>
      </c>
      <c r="R19" s="319" t="s">
        <v>62</v>
      </c>
      <c r="S19" s="324" t="s">
        <v>34</v>
      </c>
      <c r="T19" s="325" t="s">
        <v>43</v>
      </c>
      <c r="U19" s="326" t="s">
        <v>44</v>
      </c>
      <c r="V19" s="112" t="s">
        <v>63</v>
      </c>
      <c r="W19" s="114"/>
      <c r="X19" s="327" t="s">
        <v>64</v>
      </c>
      <c r="Y19" s="328"/>
      <c r="Z19" s="329" t="s">
        <v>47</v>
      </c>
      <c r="AA19" s="330" t="s">
        <v>48</v>
      </c>
      <c r="AB19" s="120" t="s">
        <v>49</v>
      </c>
      <c r="AC19" s="321" t="s">
        <v>50</v>
      </c>
      <c r="AD19" s="89"/>
    </row>
    <row r="20" spans="1:30" s="8" customFormat="1" ht="16.5" customHeight="1" thickTop="1">
      <c r="A20" s="79"/>
      <c r="B20" s="288"/>
      <c r="C20" s="331"/>
      <c r="D20" s="331"/>
      <c r="E20" s="331"/>
      <c r="F20" s="331"/>
      <c r="G20" s="331"/>
      <c r="H20" s="331"/>
      <c r="I20" s="332"/>
      <c r="J20" s="333"/>
      <c r="K20" s="331"/>
      <c r="L20" s="331"/>
      <c r="M20" s="331"/>
      <c r="N20" s="331"/>
      <c r="O20" s="331"/>
      <c r="P20" s="122"/>
      <c r="Q20" s="334"/>
      <c r="R20" s="331"/>
      <c r="S20" s="335"/>
      <c r="T20" s="336"/>
      <c r="U20" s="337"/>
      <c r="V20" s="338"/>
      <c r="W20" s="339"/>
      <c r="X20" s="340"/>
      <c r="Y20" s="341"/>
      <c r="Z20" s="342"/>
      <c r="AA20" s="343"/>
      <c r="AB20" s="334"/>
      <c r="AC20" s="344"/>
      <c r="AD20" s="89"/>
    </row>
    <row r="21" spans="1:30" s="8" customFormat="1" ht="16.5" customHeight="1">
      <c r="A21" s="79"/>
      <c r="B21" s="288"/>
      <c r="C21" s="140"/>
      <c r="D21" s="140"/>
      <c r="E21" s="140"/>
      <c r="F21" s="140"/>
      <c r="G21" s="140"/>
      <c r="H21" s="140"/>
      <c r="I21" s="345"/>
      <c r="J21" s="346"/>
      <c r="K21" s="140"/>
      <c r="L21" s="140"/>
      <c r="M21" s="140"/>
      <c r="N21" s="140"/>
      <c r="O21" s="140"/>
      <c r="P21" s="147"/>
      <c r="Q21" s="347"/>
      <c r="R21" s="140"/>
      <c r="S21" s="348"/>
      <c r="T21" s="349"/>
      <c r="U21" s="350"/>
      <c r="V21" s="351"/>
      <c r="W21" s="352"/>
      <c r="X21" s="353"/>
      <c r="Y21" s="354"/>
      <c r="Z21" s="355"/>
      <c r="AA21" s="356"/>
      <c r="AB21" s="347"/>
      <c r="AC21" s="357"/>
      <c r="AD21" s="89"/>
    </row>
    <row r="22" spans="1:30" s="8" customFormat="1" ht="16.5" customHeight="1">
      <c r="A22" s="79"/>
      <c r="B22" s="288"/>
      <c r="C22" s="159">
        <v>20</v>
      </c>
      <c r="D22" s="159">
        <v>281965</v>
      </c>
      <c r="E22" s="159">
        <v>60</v>
      </c>
      <c r="F22" s="358" t="s">
        <v>206</v>
      </c>
      <c r="G22" s="359" t="s">
        <v>207</v>
      </c>
      <c r="H22" s="360">
        <v>100</v>
      </c>
      <c r="I22" s="1026" t="s">
        <v>267</v>
      </c>
      <c r="J22" s="362">
        <f aca="true" t="shared" si="0" ref="J22:J41">H22*$H$16</f>
        <v>119.30000000000001</v>
      </c>
      <c r="K22" s="363">
        <v>41973.288194444445</v>
      </c>
      <c r="L22" s="363">
        <v>41987.68263888889</v>
      </c>
      <c r="M22" s="364">
        <f aca="true" t="shared" si="1" ref="M22:M41">IF(F22="","",(L22-K22)*24)</f>
        <v>345.4666666666162</v>
      </c>
      <c r="N22" s="365">
        <f aca="true" t="shared" si="2" ref="N22:N41">IF(F22="","",ROUND((L22-K22)*24*60,0))</f>
        <v>20728</v>
      </c>
      <c r="O22" s="366" t="s">
        <v>198</v>
      </c>
      <c r="P22" s="272" t="str">
        <f aca="true" t="shared" si="3" ref="P22:P41">IF(F22="","","--")</f>
        <v>--</v>
      </c>
      <c r="Q22" s="367" t="str">
        <f aca="true" t="shared" si="4" ref="Q22:Q41">IF(F22="","",IF(OR(O22="P",O22="RP"),"--","NO"))</f>
        <v>--</v>
      </c>
      <c r="R22" s="170" t="str">
        <f aca="true" t="shared" si="5" ref="R22:R41">IF(F22="","","NO")</f>
        <v>NO</v>
      </c>
      <c r="S22" s="368">
        <f aca="true" t="shared" si="6" ref="S22:S41">$H$17*IF(OR(O22="P",O22="RP"),0.1,1)*IF(R22="SI",1,0.1)</f>
        <v>2</v>
      </c>
      <c r="T22" s="369">
        <f aca="true" t="shared" si="7" ref="T22:T41">IF(O22="P",J22*S22*ROUND(N22/60,2),"--")</f>
        <v>82429.142</v>
      </c>
      <c r="U22" s="370" t="str">
        <f aca="true" t="shared" si="8" ref="U22:U41">IF(O22="RP",J22*S22*P22/100*ROUND(N22/60,2),"--")</f>
        <v>--</v>
      </c>
      <c r="V22" s="371" t="str">
        <f aca="true" t="shared" si="9" ref="V22:V41">IF(AND(O22="F",Q22="NO"),J22*S22,"--")</f>
        <v>--</v>
      </c>
      <c r="W22" s="372" t="str">
        <f aca="true" t="shared" si="10" ref="W22:W41">IF(O22="F",J22*S22*ROUND(N22/60,2),"--")</f>
        <v>--</v>
      </c>
      <c r="X22" s="373" t="str">
        <f aca="true" t="shared" si="11" ref="X22:X41">IF(AND(O22="R",Q22="NO"),J22*S22*P22/100,"--")</f>
        <v>--</v>
      </c>
      <c r="Y22" s="374" t="str">
        <f aca="true" t="shared" si="12" ref="Y22:Y41">IF(O22="R",J22*S22*P22/100*ROUND(N22/60,2),"--")</f>
        <v>--</v>
      </c>
      <c r="Z22" s="375" t="str">
        <f aca="true" t="shared" si="13" ref="Z22:Z41">IF(O22="RF",J22*S22*ROUND(N22/60,2),"--")</f>
        <v>--</v>
      </c>
      <c r="AA22" s="376" t="str">
        <f aca="true" t="shared" si="14" ref="AA22:AA41">IF(O22="RR",J22*S22*P22/100*ROUND(N22/60,2),"--")</f>
        <v>--</v>
      </c>
      <c r="AB22" s="377" t="s">
        <v>81</v>
      </c>
      <c r="AC22" s="182">
        <f aca="true" t="shared" si="15" ref="AC22:AC41">IF(F22="","",(SUM(T22:AA22)*IF(AB22="SI",1,2)*IF(AND(P22&lt;&gt;"--",O22="RF"),P22/100,1)))</f>
        <v>82429.142</v>
      </c>
      <c r="AD22" s="89"/>
    </row>
    <row r="23" spans="1:30" s="8" customFormat="1" ht="16.5" customHeight="1">
      <c r="A23" s="79"/>
      <c r="B23" s="288"/>
      <c r="C23" s="140">
        <v>21</v>
      </c>
      <c r="D23" s="140">
        <v>282559</v>
      </c>
      <c r="E23" s="140">
        <v>55</v>
      </c>
      <c r="F23" s="358" t="s">
        <v>208</v>
      </c>
      <c r="G23" s="359" t="s">
        <v>209</v>
      </c>
      <c r="H23" s="360">
        <v>800</v>
      </c>
      <c r="I23" s="1026" t="s">
        <v>210</v>
      </c>
      <c r="J23" s="362">
        <f t="shared" si="0"/>
        <v>954.4000000000001</v>
      </c>
      <c r="K23" s="363">
        <v>41983.32986111111</v>
      </c>
      <c r="L23" s="363">
        <v>41983.37847222222</v>
      </c>
      <c r="M23" s="364">
        <f t="shared" si="1"/>
        <v>1.1666666666278616</v>
      </c>
      <c r="N23" s="365">
        <f t="shared" si="2"/>
        <v>70</v>
      </c>
      <c r="O23" s="366" t="s">
        <v>194</v>
      </c>
      <c r="P23" s="272" t="str">
        <f t="shared" si="3"/>
        <v>--</v>
      </c>
      <c r="Q23" s="367" t="str">
        <f t="shared" si="4"/>
        <v>NO</v>
      </c>
      <c r="R23" s="170" t="str">
        <f t="shared" si="5"/>
        <v>NO</v>
      </c>
      <c r="S23" s="368">
        <f t="shared" si="6"/>
        <v>20</v>
      </c>
      <c r="T23" s="369" t="str">
        <f t="shared" si="7"/>
        <v>--</v>
      </c>
      <c r="U23" s="370" t="str">
        <f t="shared" si="8"/>
        <v>--</v>
      </c>
      <c r="V23" s="371">
        <f t="shared" si="9"/>
        <v>19088</v>
      </c>
      <c r="W23" s="372">
        <f t="shared" si="10"/>
        <v>22332.96</v>
      </c>
      <c r="X23" s="373" t="str">
        <f t="shared" si="11"/>
        <v>--</v>
      </c>
      <c r="Y23" s="374" t="str">
        <f t="shared" si="12"/>
        <v>--</v>
      </c>
      <c r="Z23" s="375" t="str">
        <f t="shared" si="13"/>
        <v>--</v>
      </c>
      <c r="AA23" s="376" t="str">
        <f t="shared" si="14"/>
        <v>--</v>
      </c>
      <c r="AB23" s="377" t="s">
        <v>81</v>
      </c>
      <c r="AC23" s="182">
        <f t="shared" si="15"/>
        <v>41420.96</v>
      </c>
      <c r="AD23" s="89"/>
    </row>
    <row r="24" spans="1:30" s="8" customFormat="1" ht="16.5" customHeight="1">
      <c r="A24" s="79"/>
      <c r="B24" s="288"/>
      <c r="C24" s="159">
        <v>22</v>
      </c>
      <c r="D24" s="159">
        <v>282582</v>
      </c>
      <c r="E24" s="159">
        <v>61</v>
      </c>
      <c r="F24" s="358" t="s">
        <v>211</v>
      </c>
      <c r="G24" s="359" t="s">
        <v>212</v>
      </c>
      <c r="H24" s="360">
        <v>150</v>
      </c>
      <c r="I24" s="361" t="s">
        <v>267</v>
      </c>
      <c r="J24" s="362">
        <f t="shared" si="0"/>
        <v>178.95000000000002</v>
      </c>
      <c r="K24" s="363">
        <v>41987.68541666667</v>
      </c>
      <c r="L24" s="363">
        <v>41987.910416666666</v>
      </c>
      <c r="M24" s="364">
        <f t="shared" si="1"/>
        <v>5.399999999965075</v>
      </c>
      <c r="N24" s="365">
        <f t="shared" si="2"/>
        <v>324</v>
      </c>
      <c r="O24" s="366" t="s">
        <v>194</v>
      </c>
      <c r="P24" s="272" t="str">
        <f t="shared" si="3"/>
        <v>--</v>
      </c>
      <c r="Q24" s="367" t="str">
        <f t="shared" si="4"/>
        <v>NO</v>
      </c>
      <c r="R24" s="170" t="str">
        <f t="shared" si="5"/>
        <v>NO</v>
      </c>
      <c r="S24" s="368">
        <f t="shared" si="6"/>
        <v>20</v>
      </c>
      <c r="T24" s="369" t="str">
        <f t="shared" si="7"/>
        <v>--</v>
      </c>
      <c r="U24" s="370" t="str">
        <f t="shared" si="8"/>
        <v>--</v>
      </c>
      <c r="V24" s="371">
        <f t="shared" si="9"/>
        <v>3579.0000000000005</v>
      </c>
      <c r="W24" s="372">
        <f t="shared" si="10"/>
        <v>19326.600000000002</v>
      </c>
      <c r="X24" s="373" t="str">
        <f t="shared" si="11"/>
        <v>--</v>
      </c>
      <c r="Y24" s="374" t="str">
        <f t="shared" si="12"/>
        <v>--</v>
      </c>
      <c r="Z24" s="375" t="str">
        <f t="shared" si="13"/>
        <v>--</v>
      </c>
      <c r="AA24" s="376" t="str">
        <f t="shared" si="14"/>
        <v>--</v>
      </c>
      <c r="AB24" s="377" t="s">
        <v>81</v>
      </c>
      <c r="AC24" s="182">
        <f t="shared" si="15"/>
        <v>22905.600000000002</v>
      </c>
      <c r="AD24" s="89"/>
    </row>
    <row r="25" spans="1:30" s="8" customFormat="1" ht="16.5" customHeight="1">
      <c r="A25" s="79"/>
      <c r="B25" s="288"/>
      <c r="C25" s="140">
        <v>23</v>
      </c>
      <c r="D25" s="140">
        <v>282793</v>
      </c>
      <c r="E25" s="140">
        <v>1689</v>
      </c>
      <c r="F25" s="358" t="s">
        <v>206</v>
      </c>
      <c r="G25" s="359" t="s">
        <v>213</v>
      </c>
      <c r="H25" s="360">
        <v>150</v>
      </c>
      <c r="I25" s="1026" t="s">
        <v>162</v>
      </c>
      <c r="J25" s="362">
        <f t="shared" si="0"/>
        <v>178.95000000000002</v>
      </c>
      <c r="K25" s="363">
        <v>41994.28958333333</v>
      </c>
      <c r="L25" s="363">
        <v>41994.78472222222</v>
      </c>
      <c r="M25" s="364">
        <f t="shared" si="1"/>
        <v>11.88333333330229</v>
      </c>
      <c r="N25" s="365">
        <f t="shared" si="2"/>
        <v>713</v>
      </c>
      <c r="O25" s="366" t="s">
        <v>198</v>
      </c>
      <c r="P25" s="272" t="str">
        <f t="shared" si="3"/>
        <v>--</v>
      </c>
      <c r="Q25" s="367" t="str">
        <f t="shared" si="4"/>
        <v>--</v>
      </c>
      <c r="R25" s="170" t="str">
        <f t="shared" si="5"/>
        <v>NO</v>
      </c>
      <c r="S25" s="368">
        <f t="shared" si="6"/>
        <v>2</v>
      </c>
      <c r="T25" s="369">
        <f t="shared" si="7"/>
        <v>4251.852000000001</v>
      </c>
      <c r="U25" s="370" t="str">
        <f t="shared" si="8"/>
        <v>--</v>
      </c>
      <c r="V25" s="371" t="str">
        <f t="shared" si="9"/>
        <v>--</v>
      </c>
      <c r="W25" s="372" t="str">
        <f t="shared" si="10"/>
        <v>--</v>
      </c>
      <c r="X25" s="373" t="str">
        <f t="shared" si="11"/>
        <v>--</v>
      </c>
      <c r="Y25" s="374" t="str">
        <f t="shared" si="12"/>
        <v>--</v>
      </c>
      <c r="Z25" s="375" t="str">
        <f t="shared" si="13"/>
        <v>--</v>
      </c>
      <c r="AA25" s="376" t="str">
        <f t="shared" si="14"/>
        <v>--</v>
      </c>
      <c r="AB25" s="377" t="s">
        <v>81</v>
      </c>
      <c r="AC25" s="182">
        <f t="shared" si="15"/>
        <v>4251.852000000001</v>
      </c>
      <c r="AD25" s="89"/>
    </row>
    <row r="26" spans="1:30" s="8" customFormat="1" ht="16.5" customHeight="1">
      <c r="A26" s="79"/>
      <c r="B26" s="288"/>
      <c r="C26" s="159">
        <v>24</v>
      </c>
      <c r="D26" s="159">
        <v>283024</v>
      </c>
      <c r="E26" s="159">
        <v>4282</v>
      </c>
      <c r="F26" s="358" t="s">
        <v>269</v>
      </c>
      <c r="G26" s="359" t="s">
        <v>268</v>
      </c>
      <c r="H26" s="360">
        <v>150</v>
      </c>
      <c r="I26" s="1026" t="s">
        <v>147</v>
      </c>
      <c r="J26" s="362">
        <f t="shared" si="0"/>
        <v>178.95000000000002</v>
      </c>
      <c r="K26" s="363">
        <v>42000.5</v>
      </c>
      <c r="L26" s="363">
        <v>42000.62291666667</v>
      </c>
      <c r="M26" s="364">
        <f t="shared" si="1"/>
        <v>2.9500000000116415</v>
      </c>
      <c r="N26" s="365">
        <f t="shared" si="2"/>
        <v>177</v>
      </c>
      <c r="O26" s="366" t="s">
        <v>194</v>
      </c>
      <c r="P26" s="272" t="str">
        <f t="shared" si="3"/>
        <v>--</v>
      </c>
      <c r="Q26" s="367" t="str">
        <f t="shared" si="4"/>
        <v>NO</v>
      </c>
      <c r="R26" s="170" t="str">
        <f t="shared" si="5"/>
        <v>NO</v>
      </c>
      <c r="S26" s="368">
        <f t="shared" si="6"/>
        <v>20</v>
      </c>
      <c r="T26" s="369" t="str">
        <f t="shared" si="7"/>
        <v>--</v>
      </c>
      <c r="U26" s="370" t="str">
        <f t="shared" si="8"/>
        <v>--</v>
      </c>
      <c r="V26" s="371">
        <f t="shared" si="9"/>
        <v>3579.0000000000005</v>
      </c>
      <c r="W26" s="372">
        <f t="shared" si="10"/>
        <v>10558.050000000001</v>
      </c>
      <c r="X26" s="373" t="str">
        <f t="shared" si="11"/>
        <v>--</v>
      </c>
      <c r="Y26" s="374" t="str">
        <f t="shared" si="12"/>
        <v>--</v>
      </c>
      <c r="Z26" s="375" t="str">
        <f t="shared" si="13"/>
        <v>--</v>
      </c>
      <c r="AA26" s="376" t="str">
        <f t="shared" si="14"/>
        <v>--</v>
      </c>
      <c r="AB26" s="377" t="s">
        <v>81</v>
      </c>
      <c r="AC26" s="182">
        <f t="shared" si="15"/>
        <v>14137.050000000001</v>
      </c>
      <c r="AD26" s="89"/>
    </row>
    <row r="27" spans="1:30" s="8" customFormat="1" ht="16.5" customHeight="1">
      <c r="A27" s="79"/>
      <c r="B27" s="288"/>
      <c r="C27" s="140"/>
      <c r="D27" s="140"/>
      <c r="E27" s="140"/>
      <c r="F27" s="358"/>
      <c r="G27" s="359"/>
      <c r="H27" s="360"/>
      <c r="I27" s="1026"/>
      <c r="J27" s="362"/>
      <c r="K27" s="363"/>
      <c r="L27" s="363"/>
      <c r="M27" s="364"/>
      <c r="N27" s="365"/>
      <c r="O27" s="366"/>
      <c r="P27" s="272"/>
      <c r="Q27" s="367"/>
      <c r="R27" s="170"/>
      <c r="S27" s="368"/>
      <c r="T27" s="369"/>
      <c r="U27" s="370"/>
      <c r="V27" s="371"/>
      <c r="W27" s="372"/>
      <c r="X27" s="373"/>
      <c r="Y27" s="374"/>
      <c r="Z27" s="375"/>
      <c r="AA27" s="376"/>
      <c r="AB27" s="377"/>
      <c r="AC27" s="182"/>
      <c r="AD27" s="89"/>
    </row>
    <row r="28" spans="1:31" s="8" customFormat="1" ht="16.5" customHeight="1">
      <c r="A28" s="79"/>
      <c r="B28" s="288"/>
      <c r="C28" s="159"/>
      <c r="D28" s="159"/>
      <c r="E28" s="159"/>
      <c r="F28" s="358"/>
      <c r="G28" s="359"/>
      <c r="H28" s="360"/>
      <c r="I28" s="361"/>
      <c r="J28" s="362">
        <f t="shared" si="0"/>
        <v>0</v>
      </c>
      <c r="K28" s="363"/>
      <c r="L28" s="363"/>
      <c r="M28" s="364">
        <f t="shared" si="1"/>
      </c>
      <c r="N28" s="365">
        <f t="shared" si="2"/>
      </c>
      <c r="O28" s="366"/>
      <c r="P28" s="272">
        <f t="shared" si="3"/>
      </c>
      <c r="Q28" s="367">
        <f t="shared" si="4"/>
      </c>
      <c r="R28" s="170">
        <f t="shared" si="5"/>
      </c>
      <c r="S28" s="368">
        <f t="shared" si="6"/>
        <v>20</v>
      </c>
      <c r="T28" s="369" t="str">
        <f t="shared" si="7"/>
        <v>--</v>
      </c>
      <c r="U28" s="370" t="str">
        <f t="shared" si="8"/>
        <v>--</v>
      </c>
      <c r="V28" s="371" t="str">
        <f t="shared" si="9"/>
        <v>--</v>
      </c>
      <c r="W28" s="372" t="str">
        <f t="shared" si="10"/>
        <v>--</v>
      </c>
      <c r="X28" s="373" t="str">
        <f t="shared" si="11"/>
        <v>--</v>
      </c>
      <c r="Y28" s="374" t="str">
        <f t="shared" si="12"/>
        <v>--</v>
      </c>
      <c r="Z28" s="375" t="str">
        <f t="shared" si="13"/>
        <v>--</v>
      </c>
      <c r="AA28" s="376" t="str">
        <f t="shared" si="14"/>
        <v>--</v>
      </c>
      <c r="AB28" s="377">
        <f aca="true" t="shared" si="16" ref="AB28:AB41">IF(F28="","","SI")</f>
      </c>
      <c r="AC28" s="182">
        <f t="shared" si="15"/>
      </c>
      <c r="AD28" s="89"/>
      <c r="AE28" s="73"/>
    </row>
    <row r="29" spans="1:30" s="8" customFormat="1" ht="16.5" customHeight="1">
      <c r="A29" s="79"/>
      <c r="B29" s="288"/>
      <c r="C29" s="140"/>
      <c r="D29" s="140"/>
      <c r="E29" s="140"/>
      <c r="F29" s="358"/>
      <c r="G29" s="359"/>
      <c r="H29" s="360"/>
      <c r="I29" s="361"/>
      <c r="J29" s="362">
        <f t="shared" si="0"/>
        <v>0</v>
      </c>
      <c r="K29" s="363"/>
      <c r="L29" s="363"/>
      <c r="M29" s="364">
        <f t="shared" si="1"/>
      </c>
      <c r="N29" s="365">
        <f t="shared" si="2"/>
      </c>
      <c r="O29" s="366"/>
      <c r="P29" s="272">
        <f t="shared" si="3"/>
      </c>
      <c r="Q29" s="367">
        <f t="shared" si="4"/>
      </c>
      <c r="R29" s="170">
        <f t="shared" si="5"/>
      </c>
      <c r="S29" s="368">
        <f t="shared" si="6"/>
        <v>20</v>
      </c>
      <c r="T29" s="369" t="str">
        <f t="shared" si="7"/>
        <v>--</v>
      </c>
      <c r="U29" s="370" t="str">
        <f t="shared" si="8"/>
        <v>--</v>
      </c>
      <c r="V29" s="371" t="str">
        <f t="shared" si="9"/>
        <v>--</v>
      </c>
      <c r="W29" s="372" t="str">
        <f t="shared" si="10"/>
        <v>--</v>
      </c>
      <c r="X29" s="373" t="str">
        <f t="shared" si="11"/>
        <v>--</v>
      </c>
      <c r="Y29" s="374" t="str">
        <f t="shared" si="12"/>
        <v>--</v>
      </c>
      <c r="Z29" s="375" t="str">
        <f t="shared" si="13"/>
        <v>--</v>
      </c>
      <c r="AA29" s="376" t="str">
        <f t="shared" si="14"/>
        <v>--</v>
      </c>
      <c r="AB29" s="377">
        <f t="shared" si="16"/>
      </c>
      <c r="AC29" s="182">
        <f t="shared" si="15"/>
      </c>
      <c r="AD29" s="89"/>
    </row>
    <row r="30" spans="1:30" s="8" customFormat="1" ht="16.5" customHeight="1">
      <c r="A30" s="79"/>
      <c r="B30" s="288"/>
      <c r="C30" s="159"/>
      <c r="D30" s="159"/>
      <c r="E30" s="159"/>
      <c r="F30" s="358"/>
      <c r="G30" s="359"/>
      <c r="H30" s="360"/>
      <c r="I30" s="361"/>
      <c r="J30" s="362">
        <f t="shared" si="0"/>
        <v>0</v>
      </c>
      <c r="K30" s="363"/>
      <c r="L30" s="363"/>
      <c r="M30" s="364">
        <f t="shared" si="1"/>
      </c>
      <c r="N30" s="365">
        <f t="shared" si="2"/>
      </c>
      <c r="O30" s="366"/>
      <c r="P30" s="272">
        <f t="shared" si="3"/>
      </c>
      <c r="Q30" s="367">
        <f t="shared" si="4"/>
      </c>
      <c r="R30" s="170">
        <f t="shared" si="5"/>
      </c>
      <c r="S30" s="368">
        <f t="shared" si="6"/>
        <v>20</v>
      </c>
      <c r="T30" s="369" t="str">
        <f t="shared" si="7"/>
        <v>--</v>
      </c>
      <c r="U30" s="370" t="str">
        <f t="shared" si="8"/>
        <v>--</v>
      </c>
      <c r="V30" s="371" t="str">
        <f t="shared" si="9"/>
        <v>--</v>
      </c>
      <c r="W30" s="372" t="str">
        <f t="shared" si="10"/>
        <v>--</v>
      </c>
      <c r="X30" s="373" t="str">
        <f t="shared" si="11"/>
        <v>--</v>
      </c>
      <c r="Y30" s="374" t="str">
        <f t="shared" si="12"/>
        <v>--</v>
      </c>
      <c r="Z30" s="375" t="str">
        <f t="shared" si="13"/>
        <v>--</v>
      </c>
      <c r="AA30" s="376" t="str">
        <f t="shared" si="14"/>
        <v>--</v>
      </c>
      <c r="AB30" s="377">
        <f t="shared" si="16"/>
      </c>
      <c r="AC30" s="182">
        <f t="shared" si="15"/>
      </c>
      <c r="AD30" s="89"/>
    </row>
    <row r="31" spans="1:30" s="8" customFormat="1" ht="16.5" customHeight="1">
      <c r="A31" s="79"/>
      <c r="B31" s="288"/>
      <c r="C31" s="140"/>
      <c r="D31" s="140"/>
      <c r="E31" s="140"/>
      <c r="F31" s="358"/>
      <c r="G31" s="359"/>
      <c r="H31" s="360"/>
      <c r="I31" s="361"/>
      <c r="J31" s="362">
        <f t="shared" si="0"/>
        <v>0</v>
      </c>
      <c r="K31" s="363"/>
      <c r="L31" s="363"/>
      <c r="M31" s="364">
        <f t="shared" si="1"/>
      </c>
      <c r="N31" s="365">
        <f t="shared" si="2"/>
      </c>
      <c r="O31" s="366"/>
      <c r="P31" s="272">
        <f t="shared" si="3"/>
      </c>
      <c r="Q31" s="367">
        <f t="shared" si="4"/>
      </c>
      <c r="R31" s="170">
        <f t="shared" si="5"/>
      </c>
      <c r="S31" s="368">
        <f t="shared" si="6"/>
        <v>20</v>
      </c>
      <c r="T31" s="369" t="str">
        <f t="shared" si="7"/>
        <v>--</v>
      </c>
      <c r="U31" s="370" t="str">
        <f t="shared" si="8"/>
        <v>--</v>
      </c>
      <c r="V31" s="371" t="str">
        <f t="shared" si="9"/>
        <v>--</v>
      </c>
      <c r="W31" s="372" t="str">
        <f t="shared" si="10"/>
        <v>--</v>
      </c>
      <c r="X31" s="373" t="str">
        <f t="shared" si="11"/>
        <v>--</v>
      </c>
      <c r="Y31" s="374" t="str">
        <f t="shared" si="12"/>
        <v>--</v>
      </c>
      <c r="Z31" s="375" t="str">
        <f t="shared" si="13"/>
        <v>--</v>
      </c>
      <c r="AA31" s="376" t="str">
        <f t="shared" si="14"/>
        <v>--</v>
      </c>
      <c r="AB31" s="377">
        <f t="shared" si="16"/>
      </c>
      <c r="AC31" s="182">
        <f t="shared" si="15"/>
      </c>
      <c r="AD31" s="89"/>
    </row>
    <row r="32" spans="1:30" s="8" customFormat="1" ht="16.5" customHeight="1">
      <c r="A32" s="79"/>
      <c r="B32" s="288"/>
      <c r="C32" s="159"/>
      <c r="D32" s="159"/>
      <c r="E32" s="159"/>
      <c r="F32" s="358"/>
      <c r="G32" s="378"/>
      <c r="H32" s="360"/>
      <c r="I32" s="361"/>
      <c r="J32" s="362">
        <f t="shared" si="0"/>
        <v>0</v>
      </c>
      <c r="K32" s="363"/>
      <c r="L32" s="363"/>
      <c r="M32" s="364">
        <f t="shared" si="1"/>
      </c>
      <c r="N32" s="365">
        <f t="shared" si="2"/>
      </c>
      <c r="O32" s="366"/>
      <c r="P32" s="272">
        <f t="shared" si="3"/>
      </c>
      <c r="Q32" s="367">
        <f t="shared" si="4"/>
      </c>
      <c r="R32" s="170">
        <f t="shared" si="5"/>
      </c>
      <c r="S32" s="368">
        <f t="shared" si="6"/>
        <v>20</v>
      </c>
      <c r="T32" s="369" t="str">
        <f t="shared" si="7"/>
        <v>--</v>
      </c>
      <c r="U32" s="370" t="str">
        <f t="shared" si="8"/>
        <v>--</v>
      </c>
      <c r="V32" s="371" t="str">
        <f t="shared" si="9"/>
        <v>--</v>
      </c>
      <c r="W32" s="372" t="str">
        <f t="shared" si="10"/>
        <v>--</v>
      </c>
      <c r="X32" s="373" t="str">
        <f t="shared" si="11"/>
        <v>--</v>
      </c>
      <c r="Y32" s="374" t="str">
        <f t="shared" si="12"/>
        <v>--</v>
      </c>
      <c r="Z32" s="375" t="str">
        <f t="shared" si="13"/>
        <v>--</v>
      </c>
      <c r="AA32" s="376" t="str">
        <f t="shared" si="14"/>
        <v>--</v>
      </c>
      <c r="AB32" s="377">
        <f t="shared" si="16"/>
      </c>
      <c r="AC32" s="182">
        <f t="shared" si="15"/>
      </c>
      <c r="AD32" s="89"/>
    </row>
    <row r="33" spans="1:30" s="8" customFormat="1" ht="16.5" customHeight="1">
      <c r="A33" s="79"/>
      <c r="B33" s="288"/>
      <c r="C33" s="140"/>
      <c r="D33" s="140"/>
      <c r="E33" s="140"/>
      <c r="F33" s="358"/>
      <c r="G33" s="378"/>
      <c r="H33" s="360"/>
      <c r="I33" s="361"/>
      <c r="J33" s="362">
        <f t="shared" si="0"/>
        <v>0</v>
      </c>
      <c r="K33" s="363"/>
      <c r="L33" s="363"/>
      <c r="M33" s="364">
        <f t="shared" si="1"/>
      </c>
      <c r="N33" s="365">
        <f t="shared" si="2"/>
      </c>
      <c r="O33" s="366"/>
      <c r="P33" s="272">
        <f t="shared" si="3"/>
      </c>
      <c r="Q33" s="367">
        <f t="shared" si="4"/>
      </c>
      <c r="R33" s="170">
        <f t="shared" si="5"/>
      </c>
      <c r="S33" s="368">
        <f t="shared" si="6"/>
        <v>20</v>
      </c>
      <c r="T33" s="369" t="str">
        <f t="shared" si="7"/>
        <v>--</v>
      </c>
      <c r="U33" s="370" t="str">
        <f t="shared" si="8"/>
        <v>--</v>
      </c>
      <c r="V33" s="371" t="str">
        <f t="shared" si="9"/>
        <v>--</v>
      </c>
      <c r="W33" s="372" t="str">
        <f t="shared" si="10"/>
        <v>--</v>
      </c>
      <c r="X33" s="373" t="str">
        <f t="shared" si="11"/>
        <v>--</v>
      </c>
      <c r="Y33" s="374" t="str">
        <f t="shared" si="12"/>
        <v>--</v>
      </c>
      <c r="Z33" s="375" t="str">
        <f t="shared" si="13"/>
        <v>--</v>
      </c>
      <c r="AA33" s="376" t="str">
        <f t="shared" si="14"/>
        <v>--</v>
      </c>
      <c r="AB33" s="377">
        <f t="shared" si="16"/>
      </c>
      <c r="AC33" s="182">
        <f t="shared" si="15"/>
      </c>
      <c r="AD33" s="89"/>
    </row>
    <row r="34" spans="1:30" s="8" customFormat="1" ht="16.5" customHeight="1">
      <c r="A34" s="79"/>
      <c r="B34" s="288"/>
      <c r="C34" s="159"/>
      <c r="D34" s="159"/>
      <c r="E34" s="159"/>
      <c r="F34" s="358"/>
      <c r="G34" s="378"/>
      <c r="H34" s="360"/>
      <c r="I34" s="361"/>
      <c r="J34" s="362">
        <f t="shared" si="0"/>
        <v>0</v>
      </c>
      <c r="K34" s="363"/>
      <c r="L34" s="363"/>
      <c r="M34" s="364">
        <f t="shared" si="1"/>
      </c>
      <c r="N34" s="365">
        <f t="shared" si="2"/>
      </c>
      <c r="O34" s="366"/>
      <c r="P34" s="272">
        <f t="shared" si="3"/>
      </c>
      <c r="Q34" s="367">
        <f t="shared" si="4"/>
      </c>
      <c r="R34" s="170">
        <f t="shared" si="5"/>
      </c>
      <c r="S34" s="368">
        <f t="shared" si="6"/>
        <v>20</v>
      </c>
      <c r="T34" s="369" t="str">
        <f t="shared" si="7"/>
        <v>--</v>
      </c>
      <c r="U34" s="370" t="str">
        <f t="shared" si="8"/>
        <v>--</v>
      </c>
      <c r="V34" s="371" t="str">
        <f t="shared" si="9"/>
        <v>--</v>
      </c>
      <c r="W34" s="372" t="str">
        <f t="shared" si="10"/>
        <v>--</v>
      </c>
      <c r="X34" s="373" t="str">
        <f t="shared" si="11"/>
        <v>--</v>
      </c>
      <c r="Y34" s="374" t="str">
        <f t="shared" si="12"/>
        <v>--</v>
      </c>
      <c r="Z34" s="375" t="str">
        <f t="shared" si="13"/>
        <v>--</v>
      </c>
      <c r="AA34" s="376" t="str">
        <f t="shared" si="14"/>
        <v>--</v>
      </c>
      <c r="AB34" s="377">
        <f t="shared" si="16"/>
      </c>
      <c r="AC34" s="182">
        <f t="shared" si="15"/>
      </c>
      <c r="AD34" s="89"/>
    </row>
    <row r="35" spans="1:30" s="8" customFormat="1" ht="16.5" customHeight="1">
      <c r="A35" s="79"/>
      <c r="B35" s="288"/>
      <c r="C35" s="140"/>
      <c r="D35" s="140"/>
      <c r="E35" s="140"/>
      <c r="F35" s="358"/>
      <c r="G35" s="378"/>
      <c r="H35" s="360"/>
      <c r="I35" s="361"/>
      <c r="J35" s="362">
        <f t="shared" si="0"/>
        <v>0</v>
      </c>
      <c r="K35" s="363"/>
      <c r="L35" s="363"/>
      <c r="M35" s="364">
        <f t="shared" si="1"/>
      </c>
      <c r="N35" s="365">
        <f t="shared" si="2"/>
      </c>
      <c r="O35" s="366"/>
      <c r="P35" s="272">
        <f t="shared" si="3"/>
      </c>
      <c r="Q35" s="367">
        <f t="shared" si="4"/>
      </c>
      <c r="R35" s="170">
        <f t="shared" si="5"/>
      </c>
      <c r="S35" s="368">
        <f t="shared" si="6"/>
        <v>20</v>
      </c>
      <c r="T35" s="369" t="str">
        <f t="shared" si="7"/>
        <v>--</v>
      </c>
      <c r="U35" s="370" t="str">
        <f t="shared" si="8"/>
        <v>--</v>
      </c>
      <c r="V35" s="371" t="str">
        <f t="shared" si="9"/>
        <v>--</v>
      </c>
      <c r="W35" s="372" t="str">
        <f t="shared" si="10"/>
        <v>--</v>
      </c>
      <c r="X35" s="373" t="str">
        <f t="shared" si="11"/>
        <v>--</v>
      </c>
      <c r="Y35" s="374" t="str">
        <f t="shared" si="12"/>
        <v>--</v>
      </c>
      <c r="Z35" s="375" t="str">
        <f t="shared" si="13"/>
        <v>--</v>
      </c>
      <c r="AA35" s="376" t="str">
        <f t="shared" si="14"/>
        <v>--</v>
      </c>
      <c r="AB35" s="377">
        <f t="shared" si="16"/>
      </c>
      <c r="AC35" s="182">
        <f t="shared" si="15"/>
      </c>
      <c r="AD35" s="89"/>
    </row>
    <row r="36" spans="1:30" s="8" customFormat="1" ht="16.5" customHeight="1">
      <c r="A36" s="79"/>
      <c r="B36" s="288"/>
      <c r="C36" s="159"/>
      <c r="D36" s="159"/>
      <c r="E36" s="159"/>
      <c r="F36" s="358"/>
      <c r="G36" s="378"/>
      <c r="H36" s="360"/>
      <c r="I36" s="361"/>
      <c r="J36" s="362">
        <f t="shared" si="0"/>
        <v>0</v>
      </c>
      <c r="K36" s="363"/>
      <c r="L36" s="363"/>
      <c r="M36" s="364">
        <f t="shared" si="1"/>
      </c>
      <c r="N36" s="365">
        <f t="shared" si="2"/>
      </c>
      <c r="O36" s="366"/>
      <c r="P36" s="272">
        <f t="shared" si="3"/>
      </c>
      <c r="Q36" s="367">
        <f t="shared" si="4"/>
      </c>
      <c r="R36" s="170">
        <f t="shared" si="5"/>
      </c>
      <c r="S36" s="368">
        <f t="shared" si="6"/>
        <v>20</v>
      </c>
      <c r="T36" s="369" t="str">
        <f t="shared" si="7"/>
        <v>--</v>
      </c>
      <c r="U36" s="370" t="str">
        <f t="shared" si="8"/>
        <v>--</v>
      </c>
      <c r="V36" s="371" t="str">
        <f t="shared" si="9"/>
        <v>--</v>
      </c>
      <c r="W36" s="372" t="str">
        <f t="shared" si="10"/>
        <v>--</v>
      </c>
      <c r="X36" s="373" t="str">
        <f t="shared" si="11"/>
        <v>--</v>
      </c>
      <c r="Y36" s="374" t="str">
        <f t="shared" si="12"/>
        <v>--</v>
      </c>
      <c r="Z36" s="375" t="str">
        <f t="shared" si="13"/>
        <v>--</v>
      </c>
      <c r="AA36" s="376" t="str">
        <f t="shared" si="14"/>
        <v>--</v>
      </c>
      <c r="AB36" s="377">
        <f t="shared" si="16"/>
      </c>
      <c r="AC36" s="182">
        <f t="shared" si="15"/>
      </c>
      <c r="AD36" s="89"/>
    </row>
    <row r="37" spans="1:30" s="8" customFormat="1" ht="16.5" customHeight="1">
      <c r="A37" s="79"/>
      <c r="B37" s="288"/>
      <c r="C37" s="140"/>
      <c r="D37" s="140"/>
      <c r="E37" s="140"/>
      <c r="F37" s="358"/>
      <c r="G37" s="378"/>
      <c r="H37" s="360"/>
      <c r="I37" s="361"/>
      <c r="J37" s="362">
        <f t="shared" si="0"/>
        <v>0</v>
      </c>
      <c r="K37" s="363"/>
      <c r="L37" s="363"/>
      <c r="M37" s="364">
        <f t="shared" si="1"/>
      </c>
      <c r="N37" s="365">
        <f t="shared" si="2"/>
      </c>
      <c r="O37" s="366"/>
      <c r="P37" s="272">
        <f t="shared" si="3"/>
      </c>
      <c r="Q37" s="367">
        <f t="shared" si="4"/>
      </c>
      <c r="R37" s="170">
        <f t="shared" si="5"/>
      </c>
      <c r="S37" s="368">
        <f t="shared" si="6"/>
        <v>20</v>
      </c>
      <c r="T37" s="369" t="str">
        <f t="shared" si="7"/>
        <v>--</v>
      </c>
      <c r="U37" s="370" t="str">
        <f t="shared" si="8"/>
        <v>--</v>
      </c>
      <c r="V37" s="371" t="str">
        <f t="shared" si="9"/>
        <v>--</v>
      </c>
      <c r="W37" s="372" t="str">
        <f t="shared" si="10"/>
        <v>--</v>
      </c>
      <c r="X37" s="373" t="str">
        <f t="shared" si="11"/>
        <v>--</v>
      </c>
      <c r="Y37" s="374" t="str">
        <f t="shared" si="12"/>
        <v>--</v>
      </c>
      <c r="Z37" s="375" t="str">
        <f t="shared" si="13"/>
        <v>--</v>
      </c>
      <c r="AA37" s="376" t="str">
        <f t="shared" si="14"/>
        <v>--</v>
      </c>
      <c r="AB37" s="377">
        <f t="shared" si="16"/>
      </c>
      <c r="AC37" s="182">
        <f t="shared" si="15"/>
      </c>
      <c r="AD37" s="89"/>
    </row>
    <row r="38" spans="1:30" s="8" customFormat="1" ht="16.5" customHeight="1">
      <c r="A38" s="79"/>
      <c r="B38" s="288"/>
      <c r="C38" s="159"/>
      <c r="D38" s="159"/>
      <c r="E38" s="159"/>
      <c r="F38" s="358"/>
      <c r="G38" s="378"/>
      <c r="H38" s="360"/>
      <c r="I38" s="361"/>
      <c r="J38" s="362">
        <f t="shared" si="0"/>
        <v>0</v>
      </c>
      <c r="K38" s="363"/>
      <c r="L38" s="363"/>
      <c r="M38" s="364">
        <f t="shared" si="1"/>
      </c>
      <c r="N38" s="365">
        <f t="shared" si="2"/>
      </c>
      <c r="O38" s="366"/>
      <c r="P38" s="272">
        <f t="shared" si="3"/>
      </c>
      <c r="Q38" s="367">
        <f t="shared" si="4"/>
      </c>
      <c r="R38" s="170">
        <f t="shared" si="5"/>
      </c>
      <c r="S38" s="368">
        <f t="shared" si="6"/>
        <v>20</v>
      </c>
      <c r="T38" s="369" t="str">
        <f t="shared" si="7"/>
        <v>--</v>
      </c>
      <c r="U38" s="370" t="str">
        <f t="shared" si="8"/>
        <v>--</v>
      </c>
      <c r="V38" s="371" t="str">
        <f t="shared" si="9"/>
        <v>--</v>
      </c>
      <c r="W38" s="372" t="str">
        <f t="shared" si="10"/>
        <v>--</v>
      </c>
      <c r="X38" s="373" t="str">
        <f t="shared" si="11"/>
        <v>--</v>
      </c>
      <c r="Y38" s="374" t="str">
        <f t="shared" si="12"/>
        <v>--</v>
      </c>
      <c r="Z38" s="375" t="str">
        <f t="shared" si="13"/>
        <v>--</v>
      </c>
      <c r="AA38" s="376" t="str">
        <f t="shared" si="14"/>
        <v>--</v>
      </c>
      <c r="AB38" s="377">
        <f t="shared" si="16"/>
      </c>
      <c r="AC38" s="182">
        <f t="shared" si="15"/>
      </c>
      <c r="AD38" s="89"/>
    </row>
    <row r="39" spans="1:30" s="8" customFormat="1" ht="16.5" customHeight="1">
      <c r="A39" s="79"/>
      <c r="B39" s="288"/>
      <c r="C39" s="140"/>
      <c r="D39" s="140"/>
      <c r="E39" s="140"/>
      <c r="F39" s="358"/>
      <c r="G39" s="378"/>
      <c r="H39" s="360"/>
      <c r="I39" s="361"/>
      <c r="J39" s="362">
        <f t="shared" si="0"/>
        <v>0</v>
      </c>
      <c r="K39" s="363"/>
      <c r="L39" s="363"/>
      <c r="M39" s="364">
        <f t="shared" si="1"/>
      </c>
      <c r="N39" s="365">
        <f t="shared" si="2"/>
      </c>
      <c r="O39" s="366"/>
      <c r="P39" s="272">
        <f t="shared" si="3"/>
      </c>
      <c r="Q39" s="367">
        <f t="shared" si="4"/>
      </c>
      <c r="R39" s="170">
        <f t="shared" si="5"/>
      </c>
      <c r="S39" s="368">
        <f t="shared" si="6"/>
        <v>20</v>
      </c>
      <c r="T39" s="369" t="str">
        <f t="shared" si="7"/>
        <v>--</v>
      </c>
      <c r="U39" s="370" t="str">
        <f t="shared" si="8"/>
        <v>--</v>
      </c>
      <c r="V39" s="371" t="str">
        <f t="shared" si="9"/>
        <v>--</v>
      </c>
      <c r="W39" s="372" t="str">
        <f t="shared" si="10"/>
        <v>--</v>
      </c>
      <c r="X39" s="373" t="str">
        <f t="shared" si="11"/>
        <v>--</v>
      </c>
      <c r="Y39" s="374" t="str">
        <f t="shared" si="12"/>
        <v>--</v>
      </c>
      <c r="Z39" s="375" t="str">
        <f t="shared" si="13"/>
        <v>--</v>
      </c>
      <c r="AA39" s="376" t="str">
        <f t="shared" si="14"/>
        <v>--</v>
      </c>
      <c r="AB39" s="377">
        <f t="shared" si="16"/>
      </c>
      <c r="AC39" s="182">
        <f t="shared" si="15"/>
      </c>
      <c r="AD39" s="89"/>
    </row>
    <row r="40" spans="1:30" s="8" customFormat="1" ht="16.5" customHeight="1">
      <c r="A40" s="79"/>
      <c r="B40" s="288"/>
      <c r="C40" s="159"/>
      <c r="D40" s="159"/>
      <c r="E40" s="159"/>
      <c r="F40" s="358"/>
      <c r="G40" s="378"/>
      <c r="H40" s="360"/>
      <c r="I40" s="361"/>
      <c r="J40" s="362">
        <f t="shared" si="0"/>
        <v>0</v>
      </c>
      <c r="K40" s="363"/>
      <c r="L40" s="363"/>
      <c r="M40" s="364">
        <f t="shared" si="1"/>
      </c>
      <c r="N40" s="365">
        <f t="shared" si="2"/>
      </c>
      <c r="O40" s="366"/>
      <c r="P40" s="272">
        <f t="shared" si="3"/>
      </c>
      <c r="Q40" s="367">
        <f t="shared" si="4"/>
      </c>
      <c r="R40" s="170">
        <f t="shared" si="5"/>
      </c>
      <c r="S40" s="368">
        <f t="shared" si="6"/>
        <v>20</v>
      </c>
      <c r="T40" s="369" t="str">
        <f t="shared" si="7"/>
        <v>--</v>
      </c>
      <c r="U40" s="370" t="str">
        <f t="shared" si="8"/>
        <v>--</v>
      </c>
      <c r="V40" s="371" t="str">
        <f t="shared" si="9"/>
        <v>--</v>
      </c>
      <c r="W40" s="372" t="str">
        <f t="shared" si="10"/>
        <v>--</v>
      </c>
      <c r="X40" s="373" t="str">
        <f t="shared" si="11"/>
        <v>--</v>
      </c>
      <c r="Y40" s="374" t="str">
        <f t="shared" si="12"/>
        <v>--</v>
      </c>
      <c r="Z40" s="375" t="str">
        <f t="shared" si="13"/>
        <v>--</v>
      </c>
      <c r="AA40" s="376" t="str">
        <f t="shared" si="14"/>
        <v>--</v>
      </c>
      <c r="AB40" s="377">
        <f t="shared" si="16"/>
      </c>
      <c r="AC40" s="182">
        <f t="shared" si="15"/>
      </c>
      <c r="AD40" s="89"/>
    </row>
    <row r="41" spans="1:30" s="8" customFormat="1" ht="16.5" customHeight="1">
      <c r="A41" s="79"/>
      <c r="B41" s="288"/>
      <c r="C41" s="140"/>
      <c r="D41" s="140"/>
      <c r="E41" s="140"/>
      <c r="F41" s="358"/>
      <c r="G41" s="378"/>
      <c r="H41" s="360"/>
      <c r="I41" s="361"/>
      <c r="J41" s="362">
        <f t="shared" si="0"/>
        <v>0</v>
      </c>
      <c r="K41" s="363"/>
      <c r="L41" s="363"/>
      <c r="M41" s="364">
        <f t="shared" si="1"/>
      </c>
      <c r="N41" s="365">
        <f t="shared" si="2"/>
      </c>
      <c r="O41" s="366"/>
      <c r="P41" s="272">
        <f t="shared" si="3"/>
      </c>
      <c r="Q41" s="367">
        <f t="shared" si="4"/>
      </c>
      <c r="R41" s="170">
        <f t="shared" si="5"/>
      </c>
      <c r="S41" s="368">
        <f t="shared" si="6"/>
        <v>20</v>
      </c>
      <c r="T41" s="369" t="str">
        <f t="shared" si="7"/>
        <v>--</v>
      </c>
      <c r="U41" s="370" t="str">
        <f t="shared" si="8"/>
        <v>--</v>
      </c>
      <c r="V41" s="371" t="str">
        <f t="shared" si="9"/>
        <v>--</v>
      </c>
      <c r="W41" s="372" t="str">
        <f t="shared" si="10"/>
        <v>--</v>
      </c>
      <c r="X41" s="373" t="str">
        <f t="shared" si="11"/>
        <v>--</v>
      </c>
      <c r="Y41" s="374" t="str">
        <f t="shared" si="12"/>
        <v>--</v>
      </c>
      <c r="Z41" s="375" t="str">
        <f t="shared" si="13"/>
        <v>--</v>
      </c>
      <c r="AA41" s="376" t="str">
        <f t="shared" si="14"/>
        <v>--</v>
      </c>
      <c r="AB41" s="377">
        <f t="shared" si="16"/>
      </c>
      <c r="AC41" s="182">
        <f t="shared" si="15"/>
      </c>
      <c r="AD41" s="89"/>
    </row>
    <row r="42" spans="1:30" s="8" customFormat="1" ht="16.5" customHeight="1" thickBot="1">
      <c r="A42" s="79"/>
      <c r="B42" s="288"/>
      <c r="C42" s="159"/>
      <c r="D42" s="159"/>
      <c r="E42" s="159"/>
      <c r="F42" s="379"/>
      <c r="G42" s="380"/>
      <c r="H42" s="379"/>
      <c r="I42" s="381"/>
      <c r="J42" s="382"/>
      <c r="K42" s="383"/>
      <c r="L42" s="384"/>
      <c r="M42" s="385"/>
      <c r="N42" s="386"/>
      <c r="O42" s="387"/>
      <c r="P42" s="206"/>
      <c r="Q42" s="388"/>
      <c r="R42" s="387"/>
      <c r="S42" s="389"/>
      <c r="T42" s="390"/>
      <c r="U42" s="391"/>
      <c r="V42" s="392"/>
      <c r="W42" s="393"/>
      <c r="X42" s="394"/>
      <c r="Y42" s="395"/>
      <c r="Z42" s="396"/>
      <c r="AA42" s="397"/>
      <c r="AB42" s="398"/>
      <c r="AC42" s="399"/>
      <c r="AD42" s="89"/>
    </row>
    <row r="43" spans="1:30" s="8" customFormat="1" ht="16.5" customHeight="1" thickBot="1" thickTop="1">
      <c r="A43" s="79"/>
      <c r="B43" s="288"/>
      <c r="C43" s="219" t="s">
        <v>180</v>
      </c>
      <c r="D43" s="220"/>
      <c r="E43" s="219"/>
      <c r="F43" s="221"/>
      <c r="G43" s="73"/>
      <c r="H43" s="73"/>
      <c r="I43" s="73"/>
      <c r="J43" s="73"/>
      <c r="K43" s="73"/>
      <c r="L43" s="315"/>
      <c r="M43" s="73"/>
      <c r="N43" s="73"/>
      <c r="O43" s="73"/>
      <c r="P43" s="73"/>
      <c r="Q43" s="73"/>
      <c r="R43" s="73"/>
      <c r="S43" s="73"/>
      <c r="T43" s="400">
        <f aca="true" t="shared" si="17" ref="T43:AA43">SUM(T20:T42)</f>
        <v>86680.994</v>
      </c>
      <c r="U43" s="401">
        <f t="shared" si="17"/>
        <v>0</v>
      </c>
      <c r="V43" s="402">
        <f t="shared" si="17"/>
        <v>26246</v>
      </c>
      <c r="W43" s="403">
        <f t="shared" si="17"/>
        <v>52217.61</v>
      </c>
      <c r="X43" s="404">
        <f t="shared" si="17"/>
        <v>0</v>
      </c>
      <c r="Y43" s="405">
        <f t="shared" si="17"/>
        <v>0</v>
      </c>
      <c r="Z43" s="406">
        <f t="shared" si="17"/>
        <v>0</v>
      </c>
      <c r="AA43" s="407">
        <f t="shared" si="17"/>
        <v>0</v>
      </c>
      <c r="AB43" s="79"/>
      <c r="AC43" s="408">
        <f>ROUND(SUM(AC20:AC42),2)</f>
        <v>165144.6</v>
      </c>
      <c r="AD43" s="89"/>
    </row>
    <row r="44" spans="1:30" s="8" customFormat="1" ht="16.5" customHeight="1" thickBot="1" thickTop="1">
      <c r="A44" s="79"/>
      <c r="B44" s="409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1"/>
    </row>
    <row r="45" spans="1:31" ht="16.5" customHeight="1" thickTop="1">
      <c r="A45" s="412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</row>
    <row r="46" spans="1:31" ht="16.5" customHeight="1">
      <c r="A46" s="412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</row>
    <row r="47" spans="1:31" ht="16.5" customHeight="1">
      <c r="A47" s="412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</row>
    <row r="48" spans="1:31" ht="16.5" customHeight="1">
      <c r="A48" s="412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</row>
    <row r="49" spans="6:31" ht="16.5" customHeight="1"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</row>
    <row r="50" spans="6:31" ht="16.5" customHeight="1"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</row>
    <row r="51" spans="6:31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</row>
    <row r="52" spans="6:31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</row>
    <row r="53" spans="6:31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</row>
    <row r="54" spans="6:31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</row>
    <row r="55" spans="6:31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</row>
    <row r="56" spans="6:31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</row>
    <row r="57" spans="6:31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</row>
    <row r="58" spans="6:31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</row>
    <row r="59" spans="6:31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</row>
    <row r="60" spans="6:31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</row>
    <row r="61" spans="6:31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</row>
    <row r="62" spans="6:31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</row>
    <row r="63" spans="6:31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</row>
    <row r="64" spans="6:31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  <c r="AD64" s="413"/>
      <c r="AE64" s="413"/>
    </row>
    <row r="65" spans="6:31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3"/>
      <c r="AE65" s="413"/>
    </row>
    <row r="66" spans="6:31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13"/>
    </row>
    <row r="67" spans="6:31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  <c r="AD67" s="413"/>
      <c r="AE67" s="413"/>
    </row>
    <row r="68" spans="6:31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13"/>
    </row>
    <row r="69" spans="6:31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  <c r="AD69" s="413"/>
      <c r="AE69" s="413"/>
    </row>
    <row r="70" spans="6:31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  <c r="AD70" s="413"/>
      <c r="AE70" s="413"/>
    </row>
    <row r="71" spans="6:31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</row>
    <row r="72" spans="6:31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13"/>
    </row>
    <row r="73" spans="6:31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</row>
    <row r="74" spans="6:31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  <c r="AD74" s="413"/>
      <c r="AE74" s="413"/>
    </row>
    <row r="75" spans="6:31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</row>
    <row r="76" spans="6:31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  <c r="AD76" s="413"/>
      <c r="AE76" s="413"/>
    </row>
    <row r="77" spans="6:31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  <c r="AD77" s="413"/>
      <c r="AE77" s="413"/>
    </row>
    <row r="78" spans="6:31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  <c r="AD78" s="413"/>
      <c r="AE78" s="413"/>
    </row>
    <row r="79" spans="6:31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</row>
    <row r="80" spans="6:31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  <c r="AD80" s="413"/>
      <c r="AE80" s="413"/>
    </row>
    <row r="81" spans="6:31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</row>
    <row r="82" spans="6:31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  <c r="AD82" s="413"/>
      <c r="AE82" s="413"/>
    </row>
    <row r="83" spans="6:31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</row>
    <row r="84" spans="6:31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  <c r="AD84" s="413"/>
      <c r="AE84" s="413"/>
    </row>
    <row r="85" spans="6:31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</row>
    <row r="86" spans="6:31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  <c r="AD86" s="413"/>
      <c r="AE86" s="413"/>
    </row>
    <row r="87" spans="6:31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</row>
    <row r="88" spans="6:31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  <c r="AD88" s="413"/>
      <c r="AE88" s="413"/>
    </row>
    <row r="89" spans="6:31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</row>
    <row r="90" spans="6:31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</row>
    <row r="91" spans="6:31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</row>
    <row r="92" spans="6:31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  <c r="AD92" s="413"/>
      <c r="AE92" s="413"/>
    </row>
    <row r="93" spans="6:31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</row>
    <row r="94" spans="6:31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  <c r="AD94" s="413"/>
      <c r="AE94" s="413"/>
    </row>
    <row r="95" spans="6:31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</row>
    <row r="96" spans="6:31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  <c r="AD96" s="413"/>
      <c r="AE96" s="413"/>
    </row>
    <row r="97" spans="6:31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  <c r="AD97" s="413"/>
      <c r="AE97" s="413"/>
    </row>
    <row r="98" spans="6:31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  <c r="AD98" s="413"/>
      <c r="AE98" s="413"/>
    </row>
    <row r="99" spans="6:31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</row>
    <row r="100" spans="6:31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  <c r="AD100" s="413"/>
      <c r="AE100" s="413"/>
    </row>
    <row r="101" spans="6:31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  <c r="AD101" s="413"/>
      <c r="AE101" s="413"/>
    </row>
    <row r="102" spans="6:31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  <c r="AD102" s="413"/>
      <c r="AE102" s="413"/>
    </row>
    <row r="103" spans="6:31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</row>
    <row r="104" spans="6:31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  <c r="AD104" s="413"/>
      <c r="AE104" s="413"/>
    </row>
    <row r="105" spans="6:31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  <c r="AD105" s="413"/>
      <c r="AE105" s="413"/>
    </row>
    <row r="106" spans="6:31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  <c r="AD106" s="413"/>
      <c r="AE106" s="413"/>
    </row>
    <row r="107" spans="6:31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</row>
    <row r="108" spans="6:31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  <c r="AD108" s="413"/>
      <c r="AE108" s="413"/>
    </row>
    <row r="109" spans="6:31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  <c r="AD109" s="413"/>
      <c r="AE109" s="413"/>
    </row>
    <row r="110" spans="6:31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/>
      <c r="AE110" s="413"/>
    </row>
    <row r="111" spans="6:31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</row>
    <row r="112" spans="6:31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  <c r="AD112" s="413"/>
      <c r="AE112" s="413"/>
    </row>
    <row r="113" spans="6:31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  <c r="AD113" s="413"/>
      <c r="AE113" s="413"/>
    </row>
    <row r="114" spans="6:31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  <c r="AD114" s="413"/>
      <c r="AE114" s="413"/>
    </row>
    <row r="115" spans="6:31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  <c r="AD115" s="413"/>
      <c r="AE115" s="413"/>
    </row>
    <row r="116" spans="6:31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  <c r="AD116" s="413"/>
      <c r="AE116" s="413"/>
    </row>
    <row r="117" spans="6:31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  <c r="AD117" s="413"/>
      <c r="AE117" s="413"/>
    </row>
    <row r="118" spans="6:31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  <c r="AD118" s="413"/>
      <c r="AE118" s="413"/>
    </row>
    <row r="119" spans="6:31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</row>
    <row r="120" spans="6:31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  <c r="AD120" s="413"/>
      <c r="AE120" s="413"/>
    </row>
    <row r="121" spans="6:31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</row>
    <row r="122" spans="6:31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13"/>
      <c r="AD122" s="413"/>
      <c r="AE122" s="413"/>
    </row>
    <row r="123" spans="6:31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</row>
    <row r="124" spans="6:31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  <c r="AD124" s="413"/>
      <c r="AE124" s="413"/>
    </row>
    <row r="125" spans="6:31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  <c r="AD125" s="413"/>
      <c r="AE125" s="413"/>
    </row>
    <row r="126" spans="6:31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  <c r="AB126" s="413"/>
      <c r="AC126" s="413"/>
      <c r="AD126" s="413"/>
      <c r="AE126" s="413"/>
    </row>
    <row r="127" spans="6:31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  <c r="AD127" s="413"/>
      <c r="AE127" s="413"/>
    </row>
    <row r="128" spans="6:31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  <c r="AD128" s="413"/>
      <c r="AE128" s="413"/>
    </row>
    <row r="129" spans="6:31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  <c r="AD129" s="413"/>
      <c r="AE129" s="413"/>
    </row>
    <row r="130" spans="6:31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13"/>
      <c r="AD130" s="413"/>
      <c r="AE130" s="413"/>
    </row>
    <row r="131" spans="6:31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</row>
    <row r="132" spans="6:31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  <c r="AB132" s="413"/>
      <c r="AC132" s="413"/>
      <c r="AD132" s="413"/>
      <c r="AE132" s="413"/>
    </row>
    <row r="133" spans="6:31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</row>
    <row r="134" spans="6:31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</row>
    <row r="135" spans="6:31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</row>
    <row r="136" spans="6:31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  <c r="AD136" s="413"/>
      <c r="AE136" s="413"/>
    </row>
    <row r="137" spans="6:31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  <c r="AD137" s="413"/>
      <c r="AE137" s="413"/>
    </row>
    <row r="138" spans="6:31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  <c r="AD138" s="413"/>
      <c r="AE138" s="413"/>
    </row>
    <row r="139" spans="6:31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  <c r="AD139" s="413"/>
      <c r="AE139" s="413"/>
    </row>
    <row r="140" spans="6:31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  <c r="AD140" s="413"/>
      <c r="AE140" s="413"/>
    </row>
    <row r="141" spans="6:31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  <c r="AD141" s="413"/>
      <c r="AE141" s="413"/>
    </row>
    <row r="142" spans="6:31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  <c r="AD142" s="413"/>
      <c r="AE142" s="413"/>
    </row>
    <row r="143" spans="6:31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  <c r="AD143" s="413"/>
      <c r="AE143" s="413"/>
    </row>
    <row r="144" spans="6:31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  <c r="AD144" s="413"/>
      <c r="AE144" s="413"/>
    </row>
    <row r="145" spans="6:31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  <c r="AD145" s="413"/>
      <c r="AE145" s="413"/>
    </row>
    <row r="146" spans="6:31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  <c r="AB146" s="413"/>
      <c r="AC146" s="413"/>
      <c r="AD146" s="413"/>
      <c r="AE146" s="413"/>
    </row>
    <row r="147" spans="6:31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  <c r="AD147" s="413"/>
      <c r="AE147" s="413"/>
    </row>
    <row r="148" spans="6:31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  <c r="AD148" s="413"/>
      <c r="AE148" s="413"/>
    </row>
    <row r="149" spans="6:31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  <c r="AD149" s="413"/>
      <c r="AE149" s="413"/>
    </row>
    <row r="150" spans="6:31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  <c r="AD150" s="413"/>
      <c r="AE150" s="413"/>
    </row>
    <row r="151" spans="6:31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  <c r="AD151" s="413"/>
      <c r="AE151" s="413"/>
    </row>
    <row r="152" spans="6:31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  <c r="Z152" s="413"/>
      <c r="AA152" s="413"/>
      <c r="AB152" s="413"/>
      <c r="AC152" s="413"/>
      <c r="AD152" s="413"/>
      <c r="AE152" s="413"/>
    </row>
    <row r="153" ht="16.5" customHeight="1">
      <c r="AE153" s="413"/>
    </row>
    <row r="154" ht="16.5" customHeight="1">
      <c r="AE154" s="413"/>
    </row>
    <row r="155" ht="16.5" customHeight="1">
      <c r="AE155" s="413"/>
    </row>
    <row r="156" ht="16.5" customHeight="1">
      <c r="AE156" s="413"/>
    </row>
    <row r="157" ht="16.5" customHeight="1"/>
    <row r="158" ht="16.5" customHeight="1"/>
    <row r="15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Gabriela Oyola</cp:lastModifiedBy>
  <cp:lastPrinted>2016-02-01T15:34:01Z</cp:lastPrinted>
  <dcterms:created xsi:type="dcterms:W3CDTF">2011-08-01T18:34:41Z</dcterms:created>
  <dcterms:modified xsi:type="dcterms:W3CDTF">2016-11-03T14:28:59Z</dcterms:modified>
  <cp:category/>
  <cp:version/>
  <cp:contentType/>
  <cp:contentStatus/>
</cp:coreProperties>
</file>