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6795" tabRatio="601" activeTab="0"/>
  </bookViews>
  <sheets>
    <sheet name="TOT-0514" sheetId="1" r:id="rId1"/>
    <sheet name="LI-05 (1)" sheetId="2" r:id="rId2"/>
    <sheet name="T-05 (1)" sheetId="3" r:id="rId3"/>
    <sheet name="SA-05 (1)" sheetId="4" r:id="rId4"/>
    <sheet name="SA-05 (2)" sheetId="5" r:id="rId5"/>
    <sheet name="Tasa de Falla" sheetId="6" r:id="rId6"/>
    <sheet name="DATO" sheetId="7" r:id="rId7"/>
  </sheets>
  <externalReferences>
    <externalReference r:id="rId10"/>
    <externalReference r:id="rId11"/>
  </externalReferences>
  <definedNames>
    <definedName name="_xlnm.Print_Area" localSheetId="3">'SA-05 (1)'!$A$1:$W$44</definedName>
    <definedName name="_xlnm.Print_Area" localSheetId="4">'SA-05 (2)'!$A$1:$W$44</definedName>
  </definedNames>
  <calcPr fullCalcOnLoad="1"/>
</workbook>
</file>

<file path=xl/sharedStrings.xml><?xml version="1.0" encoding="utf-8"?>
<sst xmlns="http://schemas.openxmlformats.org/spreadsheetml/2006/main" count="380" uniqueCount="190">
  <si>
    <t>SISTEMA DE TRANSPORTE DE ENERGÍA ELÉCTRICA POR DISTRIBUCIÓN TRONCAL</t>
  </si>
  <si>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</si>
  <si>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</si>
  <si>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</si>
  <si>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</si>
  <si>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</si>
  <si>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</si>
  <si>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</si>
  <si>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</si>
  <si>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</si>
  <si>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</si>
  <si>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</si>
  <si>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1.- LÍNEAS</t>
  </si>
  <si>
    <t>$/100 km-h : LÍNEAS 132 kV</t>
  </si>
  <si>
    <t>FACTOR DE PENALIZACIÓN  K =</t>
  </si>
  <si>
    <t>N°</t>
  </si>
  <si>
    <t>U
[kV]</t>
  </si>
  <si>
    <t>Long.
[km]</t>
  </si>
  <si>
    <t>$/h</t>
  </si>
  <si>
    <t>Salida</t>
  </si>
  <si>
    <t>Entrada</t>
  </si>
  <si>
    <t>Hs.
Indisp.</t>
  </si>
  <si>
    <t>Minutos
Indisp.</t>
  </si>
  <si>
    <t>C.R.
%</t>
  </si>
  <si>
    <t>AUT.</t>
  </si>
  <si>
    <t>PENALIZ.
PROGRAM.</t>
  </si>
  <si>
    <t>REDUCCIÓN
PROGRAM.</t>
  </si>
  <si>
    <t>PENALIZACIÓN FORZADA
Por Salida     1ras. 3 hs.     hs. Restantes</t>
  </si>
  <si>
    <t>REDUCCIÓN FORZADA
Por Salida     1ras. 3 hs.     hs. Restantes</t>
  </si>
  <si>
    <t>RESTANTE
FORZADA (RF)</t>
  </si>
  <si>
    <t>REDUCCIÓN
RESTANTE (RR)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</si>
  <si>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</si>
  <si>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</si>
  <si>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</si>
  <si>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</si>
  <si>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</si>
  <si>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</si>
  <si>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 xml:space="preserve"> </t>
  </si>
  <si>
    <t>ESTACIÓN
TRANSFORMADORA</t>
  </si>
  <si>
    <t>EQUIPO</t>
  </si>
  <si>
    <t>POT.
[ MVA ]</t>
  </si>
  <si>
    <t>U
[ kV ]</t>
  </si>
  <si>
    <t>Hs
Indisp.</t>
  </si>
  <si>
    <t>Minutos.
Indisp.</t>
  </si>
  <si>
    <t>PENALIZACIÓN FORZADA
Por Salida     hs. Restantes</t>
  </si>
  <si>
    <t>REDUCCIÓN FORZADA
Por Salida     hs. Restantes</t>
  </si>
  <si>
    <t>RESTANTE
FORZADA</t>
  </si>
  <si>
    <t>REDUCCIÓN
RESTANTE</t>
  </si>
  <si>
    <t>Informó 
en Térm.</t>
  </si>
  <si>
    <t>2.2.- Salidas</t>
  </si>
  <si>
    <t xml:space="preserve">Salida en 132 kV o 66 kV = </t>
  </si>
  <si>
    <t>Salida en 33 kV =</t>
  </si>
  <si>
    <t>Salida en 13,2 kV =</t>
  </si>
  <si>
    <t>ESTACIÓN 
TRANSFORMADORA</t>
  </si>
  <si>
    <t>K (U)</t>
  </si>
  <si>
    <t>PENALIZAC. FORZADA
Por Salida    Hs. Restantes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</si>
  <si>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</si>
  <si>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</si>
  <si>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</si>
  <si>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</si>
  <si>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</si>
  <si>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</si>
  <si>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</si>
  <si>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</si>
  <si>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</si>
  <si>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</si>
  <si>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</si>
  <si>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</si>
  <si>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</si>
  <si>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</si>
  <si>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K (P;ENS)</t>
  </si>
  <si>
    <t>E.N.S.</t>
  </si>
  <si>
    <t>EPEN</t>
  </si>
  <si>
    <t>SISTEMA DE TRANSPORTE DE ENERGÍA ELÉCTRICA POR DISTRIBUCIÓN TRONCAL - EPEN</t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</si>
  <si>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</si>
  <si>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</si>
  <si>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</si>
  <si>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</si>
  <si>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</si>
  <si>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</si>
  <si>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</si>
  <si>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</si>
  <si>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</si>
  <si>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</si>
  <si>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</si>
  <si>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</si>
  <si>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</si>
  <si>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</si>
  <si>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</si>
  <si>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</si>
  <si>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</si>
  <si>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</si>
  <si>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</si>
  <si>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</si>
  <si>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</si>
  <si>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</si>
  <si>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</si>
  <si>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</si>
  <si>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</si>
  <si>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</si>
  <si>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</si>
  <si>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</si>
  <si>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</si>
  <si>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</si>
  <si>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</si>
  <si>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</si>
  <si>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</si>
  <si>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</si>
  <si>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</si>
  <si>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</si>
  <si>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</si>
  <si>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</si>
  <si>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</si>
  <si>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</si>
  <si>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</si>
  <si>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</si>
  <si>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</si>
  <si>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</si>
  <si>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</si>
  <si>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</si>
  <si>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</si>
  <si>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</si>
  <si>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</si>
  <si>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</si>
  <si>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</si>
  <si>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</si>
  <si>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EPEN_CAUSAS_VST.XLS</t>
  </si>
  <si>
    <t>EPEN_INDISPONIBILIDADES_LINEAS_EPEN.XLS</t>
  </si>
  <si>
    <t>EPEN_INDISPONIBILIDADES_TRAFOS_EPEN.XLS</t>
  </si>
  <si>
    <t>EPEN_INDISPONIBILIDADES_SALIDAS_EPEN.XLS</t>
  </si>
  <si>
    <t>Desde el 01 al 31 de mayo de 2014</t>
  </si>
  <si>
    <t>CHIHUIDO II - EL TRAPIAL</t>
  </si>
  <si>
    <t>F</t>
  </si>
  <si>
    <t>SI</t>
  </si>
  <si>
    <t>0,000</t>
  </si>
  <si>
    <t>RINCON DE LOS SAUCES - PTO. HERNANDEZ</t>
  </si>
  <si>
    <t>P</t>
  </si>
  <si>
    <t>PTO.SECCIONAMIENTO-RINCON DE LOS SAUCES</t>
  </si>
  <si>
    <t xml:space="preserve">PTO. SECCIONAMIENTO - SEÑAL PICADA </t>
  </si>
  <si>
    <t>ARROYITO - CHOCON 1</t>
  </si>
  <si>
    <t>ARROYITO - CHOCON 2</t>
  </si>
  <si>
    <t xml:space="preserve">ALTO VALLE </t>
  </si>
  <si>
    <t xml:space="preserve"> TRAFO 1</t>
  </si>
  <si>
    <t>132/33/13,2</t>
  </si>
  <si>
    <t xml:space="preserve">PUESTO HERNANDEZ </t>
  </si>
  <si>
    <t xml:space="preserve"> TRAFO 2</t>
  </si>
  <si>
    <t xml:space="preserve"> TRAFO 3</t>
  </si>
  <si>
    <t>PTO. HERNANDEZ</t>
  </si>
  <si>
    <t>ALIMENT. BAT. 1,3 Y 6</t>
  </si>
  <si>
    <t>ALIMENT. BAT. 2 Y 5</t>
  </si>
  <si>
    <t>ALIMENTADOR 3 PETROBRAS</t>
  </si>
  <si>
    <t>ALIMENT. ELECTROBOMBAS</t>
  </si>
  <si>
    <t>CELDA DE TRANSF.</t>
  </si>
  <si>
    <t>ALIMENT. BAT. 7 Y 8</t>
  </si>
  <si>
    <t>SALIDA ALIMENT. N° 1 CALF</t>
  </si>
  <si>
    <t>SALIDA ALIMENT. N° 4 CALF</t>
  </si>
  <si>
    <t>ALIMENTADOR SAN JORGE</t>
  </si>
  <si>
    <t>SALIDA ALIMENT. N° 6 CALF</t>
  </si>
  <si>
    <t>ARROYITO</t>
  </si>
  <si>
    <t>SALIDA LINEA AGUA CAJON 2</t>
  </si>
  <si>
    <t>EL TRAPIAL</t>
  </si>
  <si>
    <t>SALIDA ALIM 1 CAMP. CHEVRON</t>
  </si>
  <si>
    <t>SALIDA 1 P.RED SECUNDARIA</t>
  </si>
  <si>
    <t>ALIMENTADOR OLEODUCTO MZA.</t>
  </si>
  <si>
    <t>ALIMENTADOR RINCON DE LOS SAUCES</t>
  </si>
  <si>
    <t>ALIMENTADOR CHIUIDOS</t>
  </si>
  <si>
    <t>ALIMENTADOR PIAS 1</t>
  </si>
  <si>
    <t>ALIMENT. PLANTA IND. AGUA DULCE</t>
  </si>
  <si>
    <t>ALIMENTADOR PIAS 2</t>
  </si>
  <si>
    <t>TRAFO 3</t>
  </si>
  <si>
    <t>TRAFO 4</t>
  </si>
  <si>
    <t>NO</t>
  </si>
  <si>
    <t>ALIMENT. OLDELVAL 10</t>
  </si>
  <si>
    <t>SALIDA OLDELVAL</t>
  </si>
  <si>
    <t>P - PROGRAMADA  ; F - FORZADA</t>
  </si>
  <si>
    <t>F - FORZADA</t>
  </si>
  <si>
    <t>TOTAL DE PENALIZACIONES</t>
  </si>
  <si>
    <t>ENTE PROVINCIAL DE ENERGIA DEL NEUQUEN - EPEN</t>
  </si>
  <si>
    <t xml:space="preserve"> (TRANSPORTISTA POR DISTRIBUCIÓN TRONCAL)</t>
  </si>
  <si>
    <t>INDISPONIBILIDADES FORZADAS DE LÍNEAS - TASA DE FALLA</t>
  </si>
  <si>
    <t>U
[kV[</t>
  </si>
  <si>
    <t>Tipo</t>
  </si>
  <si>
    <t xml:space="preserve">Longitud Total </t>
  </si>
  <si>
    <t xml:space="preserve">Indisponibilidades Forzadas </t>
  </si>
  <si>
    <t xml:space="preserve">TASA DE FALLA </t>
  </si>
  <si>
    <t>TASA DE FALLA</t>
  </si>
  <si>
    <t>SALIDAS x AÑO / 100 km</t>
  </si>
  <si>
    <t>Correspondiente al mes de mayo de 2014</t>
  </si>
  <si>
    <t>Valores de remuneración según  el Acuerdo Instrumental. Nota ENRE Nº 112213</t>
  </si>
  <si>
    <t>ANEXO II al Memorandum D.T.E.E. N°      328   / 2015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</si>
</sst>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#,##0.0000"/>
    <numFmt numFmtId="170" formatCode="0.00_)"/>
    <numFmt numFmtId="171" formatCode="0.0"/>
    <numFmt numFmtId="172" formatCode="&quot;$&quot;\ #,##0.000;&quot;$&quot;\ \-#,##0.000"/>
    <numFmt numFmtId="173" formatCode="0.000"/>
    <numFmt numFmtId="174" formatCode="0.0\ \k\V"/>
    <numFmt numFmtId="175" formatCode="0.00\ &quot;km&quot;"/>
    <numFmt numFmtId="176" formatCode="0.00\ &quot;MVA&quot;"/>
    <numFmt numFmtId="177" formatCode="0#"/>
    <numFmt numFmtId="178" formatCode="d\ &quot;días&quot;\ \ h:mm\ &quot;horas&quot;"/>
    <numFmt numFmtId="179" formatCode="dd/mm/yy"/>
    <numFmt numFmtId="180" formatCode="0.0_)"/>
    <numFmt numFmtId="181" formatCode="0.0000000_)"/>
    <numFmt numFmtId="182" formatCode="#,##0.00000"/>
    <numFmt numFmtId="183" formatCode="#,##0.0"/>
    <numFmt numFmtId="184" formatCode="0.000_)"/>
    <numFmt numFmtId="185" formatCode="#,##0;[Red]#,##0"/>
    <numFmt numFmtId="186" formatCode="#,##0.000000"/>
    <numFmt numFmtId="187" formatCode="#&quot;.&quot;#&quot;.-&quot;"/>
    <numFmt numFmtId="188" formatCode="#&quot;.&quot;#&quot;.&quot;#&quot;.-&quot;"/>
    <numFmt numFmtId="189" formatCode="&quot;$&quot;#,##0.00;&quot;$&quot;\-#,##0.00"/>
    <numFmt numFmtId="190" formatCode="&quot;$&quot;#,##0.00"/>
    <numFmt numFmtId="191" formatCode="#,##0.00;[Red]#,##0.00"/>
    <numFmt numFmtId="192" formatCode="&quot;$&quot;\ #,##0.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mmm\-yyyy"/>
    <numFmt numFmtId="198" formatCode="&quot;$&quot;\ #,##0.0;&quot;$&quot;\ \-#,##0.0"/>
    <numFmt numFmtId="199" formatCode="&quot;$&quot;\ #,##0.0000;&quot;$&quot;\ \-#,##0.0000"/>
    <numFmt numFmtId="200" formatCode="&quot;$&quot;\ #,##0.00000;&quot;$&quot;\ \-#,##0.00000"/>
    <numFmt numFmtId="201" formatCode="&quot;$&quot;\ #,##0.000000;&quot;$&quot;\ \-#,##0.000000"/>
    <numFmt numFmtId="202" formatCode="&quot;$&quot;#,##0.0;&quot;$&quot;\-#,##0.0"/>
    <numFmt numFmtId="203" formatCode="&quot;$&quot;#,##0;&quot;$&quot;\-#,##0"/>
    <numFmt numFmtId="204" formatCode="&quot;$&quot;\ #,##0.0000000;&quot;$&quot;\ \-#,##0.000000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d\-m"/>
    <numFmt numFmtId="209" formatCode="dd/mm/\a\a\a\a\ hh:\n\n"/>
    <numFmt numFmtId="210" formatCode="d\-m\-yy\ h:mm"/>
    <numFmt numFmtId="211" formatCode="#,##0\ &quot;€&quot;;\-#,##0\ &quot;€&quot;"/>
    <numFmt numFmtId="212" formatCode="#,##0\ &quot;€&quot;;[Red]\-#,##0\ &quot;€&quot;"/>
    <numFmt numFmtId="213" formatCode="#,##0.00\ &quot;€&quot;;\-#,##0.00\ &quot;€&quot;"/>
    <numFmt numFmtId="214" formatCode="#,##0.00\ &quot;€&quot;;[Red]\-#,##0.00\ &quot;€&quot;"/>
    <numFmt numFmtId="215" formatCode="_-* #,##0\ &quot;€&quot;_-;\-* #,##0\ &quot;€&quot;_-;_-* &quot;-&quot;\ &quot;€&quot;_-;_-@_-"/>
    <numFmt numFmtId="216" formatCode="_-* #,##0\ _€_-;\-* #,##0\ _€_-;_-* &quot;-&quot;\ _€_-;_-@_-"/>
    <numFmt numFmtId="217" formatCode="_-* #,##0.00\ &quot;€&quot;_-;\-* #,##0.00\ &quot;€&quot;_-;_-* &quot;-&quot;??\ &quot;€&quot;_-;_-@_-"/>
    <numFmt numFmtId="218" formatCode="_-* #,##0.00\ _€_-;\-* #,##0.00\ _€_-;_-* &quot;-&quot;??\ _€_-;_-@_-"/>
    <numFmt numFmtId="219" formatCode="#,##0.000_);[Red]\(#,##0.000\)"/>
    <numFmt numFmtId="220" formatCode="#,##0.0000_);[Red]\(#,##0.0000\)"/>
    <numFmt numFmtId="221" formatCode="#,##0.00000_);[Red]\(#,##0.00000\)"/>
    <numFmt numFmtId="222" formatCode="#,##0.000000_);[Red]\(#,##0.000000\)"/>
    <numFmt numFmtId="223" formatCode="0.0000"/>
    <numFmt numFmtId="224" formatCode="[$€-2]\ #,##0.00_);[Red]\([$€-2]\ #,##0.00\)"/>
    <numFmt numFmtId="225" formatCode="[$-2C0A]dddd\,\ dd&quot; de &quot;mmmm&quot; de &quot;yyyy"/>
    <numFmt numFmtId="226" formatCode="[$-2C0A]hh:mm:ss\ AM/PM"/>
  </numFmts>
  <fonts count="138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26"/>
      <name val="MS Sans Serif"/>
      <family val="2"/>
    </font>
    <font>
      <b/>
      <sz val="10"/>
      <color indexed="26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11"/>
      <name val="MS Sans Serif"/>
      <family val="2"/>
    </font>
    <font>
      <sz val="11"/>
      <color indexed="42"/>
      <name val="MS Sans Serif"/>
      <family val="2"/>
    </font>
    <font>
      <sz val="10"/>
      <name val="Wingdings"/>
      <family val="0"/>
    </font>
    <font>
      <sz val="11"/>
      <color indexed="12"/>
      <name val="MS Sans Serif"/>
      <family val="2"/>
    </font>
    <font>
      <sz val="11"/>
      <color indexed="44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26"/>
      <name val="MS Sans Serif"/>
      <family val="2"/>
    </font>
    <font>
      <sz val="11"/>
      <color indexed="9"/>
      <name val="MS Sans Serif"/>
      <family val="2"/>
    </font>
    <font>
      <sz val="11"/>
      <color indexed="11"/>
      <name val="MS Sans Serif"/>
      <family val="2"/>
    </font>
    <font>
      <b/>
      <sz val="10"/>
      <color indexed="42"/>
      <name val="Times New Roman"/>
      <family val="1"/>
    </font>
    <font>
      <b/>
      <sz val="10"/>
      <color indexed="12"/>
      <name val="Times New Roman"/>
      <family val="0"/>
    </font>
    <font>
      <b/>
      <sz val="10"/>
      <color indexed="44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9"/>
      <name val="Times New Roman"/>
      <family val="1"/>
    </font>
    <font>
      <b/>
      <sz val="10"/>
      <color indexed="11"/>
      <name val="Times New Roman"/>
      <family val="1"/>
    </font>
    <font>
      <sz val="10"/>
      <color indexed="18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27"/>
      <name val="MS Sans Serif"/>
      <family val="2"/>
    </font>
    <font>
      <sz val="11"/>
      <color indexed="34"/>
      <name val="MS Sans Serif"/>
      <family val="2"/>
    </font>
    <font>
      <sz val="10"/>
      <color indexed="42"/>
      <name val="MS Sans Serif"/>
      <family val="2"/>
    </font>
    <font>
      <b/>
      <sz val="10"/>
      <color indexed="12"/>
      <name val="MS Sans Serif"/>
      <family val="2"/>
    </font>
    <font>
      <b/>
      <sz val="10"/>
      <color indexed="27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26"/>
      <name val="MS Sans Serif"/>
      <family val="2"/>
    </font>
    <font>
      <b/>
      <sz val="10"/>
      <color indexed="11"/>
      <name val="MS Sans Serif"/>
      <family val="2"/>
    </font>
    <font>
      <b/>
      <sz val="10"/>
      <color indexed="34"/>
      <name val="MS Sans Serif"/>
      <family val="2"/>
    </font>
    <font>
      <sz val="10"/>
      <color indexed="42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34"/>
      <name val="Times New Roman"/>
      <family val="1"/>
    </font>
    <font>
      <sz val="10"/>
      <color indexed="13"/>
      <name val="Times New Roman"/>
      <family val="1"/>
    </font>
    <font>
      <b/>
      <sz val="7"/>
      <name val="Times New Roman"/>
      <family val="1"/>
    </font>
    <font>
      <sz val="9"/>
      <name val="MS Sans Serif"/>
      <family val="2"/>
    </font>
    <font>
      <sz val="11"/>
      <color indexed="22"/>
      <name val="MS Sans Serif"/>
      <family val="2"/>
    </font>
    <font>
      <sz val="11"/>
      <color indexed="43"/>
      <name val="MS Sans Serif"/>
      <family val="2"/>
    </font>
    <font>
      <sz val="10"/>
      <color indexed="12"/>
      <name val="MS Sans Serif"/>
      <family val="2"/>
    </font>
    <font>
      <sz val="10"/>
      <color indexed="34"/>
      <name val="MS Sans Serif"/>
      <family val="2"/>
    </font>
    <font>
      <b/>
      <sz val="10"/>
      <color indexed="22"/>
      <name val="MS Sans Serif"/>
      <family val="2"/>
    </font>
    <font>
      <b/>
      <sz val="10"/>
      <color indexed="43"/>
      <name val="MS Sans Serif"/>
      <family val="2"/>
    </font>
    <font>
      <sz val="10"/>
      <color indexed="34"/>
      <name val="Times New Roman"/>
      <family val="1"/>
    </font>
    <font>
      <b/>
      <sz val="10"/>
      <color indexed="22"/>
      <name val="Times New Roman"/>
      <family val="1"/>
    </font>
    <font>
      <b/>
      <sz val="10"/>
      <color indexed="43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u val="single"/>
      <sz val="10"/>
      <color indexed="22"/>
      <name val="Times New Roman"/>
      <family val="1"/>
    </font>
    <font>
      <b/>
      <u val="single"/>
      <sz val="10"/>
      <color indexed="10"/>
      <name val="Times New Roman"/>
      <family val="1"/>
    </font>
    <font>
      <b/>
      <u val="single"/>
      <sz val="10"/>
      <color indexed="43"/>
      <name val="Times New Roman"/>
      <family val="1"/>
    </font>
    <font>
      <u val="single"/>
      <sz val="10"/>
      <color indexed="13"/>
      <name val="Times New Roman"/>
      <family val="1"/>
    </font>
    <font>
      <b/>
      <sz val="10"/>
      <color indexed="33"/>
      <name val="Times New Roman"/>
      <family val="1"/>
    </font>
    <font>
      <b/>
      <u val="single"/>
      <sz val="7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"/>
      <family val="0"/>
    </font>
    <font>
      <sz val="10"/>
      <color indexed="9"/>
      <name val="Times New Roman"/>
      <family val="1"/>
    </font>
    <font>
      <b/>
      <sz val="10"/>
      <color indexed="8"/>
      <name val="Times New Roman"/>
      <family val="0"/>
    </font>
    <font>
      <sz val="8"/>
      <name val="MS Sans Serif"/>
      <family val="2"/>
    </font>
    <font>
      <sz val="10"/>
      <color indexed="50"/>
      <name val="MS Sans Serif"/>
      <family val="2"/>
    </font>
    <font>
      <u val="single"/>
      <sz val="10"/>
      <color indexed="36"/>
      <name val="Arial"/>
      <family val="0"/>
    </font>
    <font>
      <sz val="10"/>
      <color indexed="9"/>
      <name val="MS Sans Serif"/>
      <family val="2"/>
    </font>
    <font>
      <sz val="9"/>
      <name val="Times New Roman"/>
      <family val="1"/>
    </font>
    <font>
      <b/>
      <u val="single"/>
      <sz val="8"/>
      <name val="Arial"/>
      <family val="2"/>
    </font>
    <font>
      <b/>
      <sz val="10"/>
      <name val="Arial"/>
      <family val="2"/>
    </font>
    <font>
      <b/>
      <u val="single"/>
      <sz val="2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10"/>
      <name val="MS Sans Serif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55"/>
      </patternFill>
    </fill>
    <fill>
      <patternFill patternType="lightGray">
        <bgColor indexed="22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ck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ck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3" fillId="20" borderId="0" applyNumberFormat="0" applyBorder="0" applyAlignment="0" applyProtection="0"/>
    <xf numFmtId="0" fontId="124" fillId="21" borderId="1" applyNumberFormat="0" applyAlignment="0" applyProtection="0"/>
    <xf numFmtId="0" fontId="125" fillId="22" borderId="2" applyNumberFormat="0" applyAlignment="0" applyProtection="0"/>
    <xf numFmtId="0" fontId="126" fillId="0" borderId="3" applyNumberFormat="0" applyFill="0" applyAlignment="0" applyProtection="0"/>
    <xf numFmtId="0" fontId="127" fillId="0" borderId="4" applyNumberFormat="0" applyFill="0" applyAlignment="0" applyProtection="0"/>
    <xf numFmtId="0" fontId="128" fillId="0" borderId="0" applyNumberFormat="0" applyFill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2" fillId="26" borderId="0" applyNumberFormat="0" applyBorder="0" applyAlignment="0" applyProtection="0"/>
    <xf numFmtId="0" fontId="122" fillId="27" borderId="0" applyNumberFormat="0" applyBorder="0" applyAlignment="0" applyProtection="0"/>
    <xf numFmtId="0" fontId="122" fillId="28" borderId="0" applyNumberFormat="0" applyBorder="0" applyAlignment="0" applyProtection="0"/>
    <xf numFmtId="0" fontId="129" fillId="29" borderId="1" applyNumberFormat="0" applyAlignment="0" applyProtection="0"/>
    <xf numFmtId="0" fontId="8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3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1" fillId="31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32" fillId="21" borderId="6" applyNumberFormat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7" applyNumberFormat="0" applyFill="0" applyAlignment="0" applyProtection="0"/>
    <xf numFmtId="0" fontId="128" fillId="0" borderId="8" applyNumberFormat="0" applyFill="0" applyAlignment="0" applyProtection="0"/>
    <xf numFmtId="0" fontId="137" fillId="0" borderId="9" applyNumberFormat="0" applyFill="0" applyAlignment="0" applyProtection="0"/>
  </cellStyleXfs>
  <cellXfs count="575">
    <xf numFmtId="0" fontId="0" fillId="0" borderId="0" xfId="0" applyAlignment="1">
      <alignment/>
    </xf>
    <xf numFmtId="0" fontId="1" fillId="0" borderId="0" xfId="54">
      <alignment/>
      <protection/>
    </xf>
    <xf numFmtId="0" fontId="9" fillId="0" borderId="0" xfId="54" applyFont="1">
      <alignment/>
      <protection/>
    </xf>
    <xf numFmtId="0" fontId="10" fillId="0" borderId="0" xfId="54" applyFont="1" applyAlignment="1">
      <alignment horizontal="centerContinuous"/>
      <protection/>
    </xf>
    <xf numFmtId="0" fontId="5" fillId="0" borderId="0" xfId="54" applyFont="1" applyAlignment="1">
      <alignment horizontal="right" vertical="top"/>
      <protection/>
    </xf>
    <xf numFmtId="0" fontId="11" fillId="0" borderId="0" xfId="54" applyFont="1" applyAlignment="1">
      <alignment horizontal="centerContinuous"/>
      <protection/>
    </xf>
    <xf numFmtId="0" fontId="9" fillId="0" borderId="0" xfId="54" applyFont="1" applyAlignment="1">
      <alignment horizontal="centerContinuous"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horizontal="centerContinuous"/>
      <protection/>
    </xf>
    <xf numFmtId="0" fontId="5" fillId="0" borderId="0" xfId="54" applyFont="1" applyBorder="1">
      <alignment/>
      <protection/>
    </xf>
    <xf numFmtId="0" fontId="4" fillId="0" borderId="0" xfId="54" applyFont="1" applyFill="1" applyBorder="1" applyAlignment="1" applyProtection="1">
      <alignment horizontal="centerContinuous"/>
      <protection/>
    </xf>
    <xf numFmtId="0" fontId="12" fillId="0" borderId="0" xfId="54" applyNumberFormat="1" applyFont="1" applyAlignment="1">
      <alignment horizontal="left"/>
      <protection/>
    </xf>
    <xf numFmtId="0" fontId="12" fillId="0" borderId="0" xfId="54" applyFont="1">
      <alignment/>
      <protection/>
    </xf>
    <xf numFmtId="0" fontId="12" fillId="0" borderId="0" xfId="54" applyFont="1" applyBorder="1">
      <alignment/>
      <protection/>
    </xf>
    <xf numFmtId="0" fontId="13" fillId="0" borderId="0" xfId="54" applyFont="1" applyFill="1" applyBorder="1" applyAlignment="1" applyProtection="1">
      <alignment horizontal="left"/>
      <protection/>
    </xf>
    <xf numFmtId="0" fontId="9" fillId="0" borderId="0" xfId="54" applyFont="1" applyBorder="1">
      <alignment/>
      <protection/>
    </xf>
    <xf numFmtId="0" fontId="14" fillId="0" borderId="0" xfId="54" applyFont="1">
      <alignment/>
      <protection/>
    </xf>
    <xf numFmtId="0" fontId="15" fillId="0" borderId="0" xfId="54" applyFont="1" applyBorder="1" applyAlignment="1">
      <alignment horizontal="centerContinuous"/>
      <protection/>
    </xf>
    <xf numFmtId="0" fontId="16" fillId="0" borderId="0" xfId="54" applyFont="1" applyAlignment="1">
      <alignment horizontal="centerContinuous"/>
      <protection/>
    </xf>
    <xf numFmtId="0" fontId="14" fillId="0" borderId="0" xfId="54" applyFont="1" applyAlignment="1">
      <alignment horizontal="centerContinuous"/>
      <protection/>
    </xf>
    <xf numFmtId="0" fontId="14" fillId="0" borderId="0" xfId="54" applyFont="1" applyBorder="1" applyAlignment="1">
      <alignment horizontal="centerContinuous"/>
      <protection/>
    </xf>
    <xf numFmtId="0" fontId="14" fillId="0" borderId="0" xfId="54" applyFont="1" applyBorder="1">
      <alignment/>
      <protection/>
    </xf>
    <xf numFmtId="0" fontId="17" fillId="0" borderId="0" xfId="54" applyFont="1">
      <alignment/>
      <protection/>
    </xf>
    <xf numFmtId="0" fontId="1" fillId="0" borderId="0" xfId="54" applyAlignment="1">
      <alignment horizontal="centerContinuous"/>
      <protection/>
    </xf>
    <xf numFmtId="0" fontId="18" fillId="0" borderId="0" xfId="54" applyFont="1" applyAlignment="1">
      <alignment horizontal="centerContinuous"/>
      <protection/>
    </xf>
    <xf numFmtId="0" fontId="19" fillId="0" borderId="0" xfId="54" applyFont="1">
      <alignment/>
      <protection/>
    </xf>
    <xf numFmtId="0" fontId="20" fillId="0" borderId="0" xfId="54" applyFont="1" applyBorder="1">
      <alignment/>
      <protection/>
    </xf>
    <xf numFmtId="0" fontId="19" fillId="0" borderId="0" xfId="54" applyFont="1" applyBorder="1">
      <alignment/>
      <protection/>
    </xf>
    <xf numFmtId="0" fontId="21" fillId="0" borderId="10" xfId="54" applyFont="1" applyBorder="1">
      <alignment/>
      <protection/>
    </xf>
    <xf numFmtId="0" fontId="21" fillId="0" borderId="11" xfId="54" applyFont="1" applyBorder="1">
      <alignment/>
      <protection/>
    </xf>
    <xf numFmtId="0" fontId="19" fillId="0" borderId="11" xfId="54" applyFont="1" applyBorder="1">
      <alignment/>
      <protection/>
    </xf>
    <xf numFmtId="0" fontId="19" fillId="0" borderId="12" xfId="54" applyFont="1" applyBorder="1">
      <alignment/>
      <protection/>
    </xf>
    <xf numFmtId="0" fontId="22" fillId="0" borderId="0" xfId="54" applyFont="1">
      <alignment/>
      <protection/>
    </xf>
    <xf numFmtId="0" fontId="23" fillId="0" borderId="13" xfId="54" applyFont="1" applyBorder="1" applyAlignment="1">
      <alignment horizontal="centerContinuous"/>
      <protection/>
    </xf>
    <xf numFmtId="0" fontId="1" fillId="0" borderId="0" xfId="54" applyNumberFormat="1" applyAlignment="1">
      <alignment horizontal="centerContinuous"/>
      <protection/>
    </xf>
    <xf numFmtId="0" fontId="22" fillId="0" borderId="0" xfId="54" applyNumberFormat="1" applyFont="1" applyAlignment="1">
      <alignment horizontal="centerContinuous"/>
      <protection/>
    </xf>
    <xf numFmtId="0" fontId="23" fillId="0" borderId="0" xfId="54" applyFont="1" applyBorder="1" applyAlignment="1">
      <alignment horizontal="centerContinuous"/>
      <protection/>
    </xf>
    <xf numFmtId="0" fontId="22" fillId="0" borderId="0" xfId="54" applyFont="1" applyBorder="1" applyAlignment="1">
      <alignment horizontal="centerContinuous"/>
      <protection/>
    </xf>
    <xf numFmtId="0" fontId="22" fillId="0" borderId="14" xfId="54" applyFont="1" applyBorder="1" applyAlignment="1">
      <alignment horizontal="centerContinuous"/>
      <protection/>
    </xf>
    <xf numFmtId="0" fontId="22" fillId="0" borderId="0" xfId="54" applyFont="1" applyBorder="1">
      <alignment/>
      <protection/>
    </xf>
    <xf numFmtId="0" fontId="22" fillId="0" borderId="13" xfId="54" applyFont="1" applyBorder="1">
      <alignment/>
      <protection/>
    </xf>
    <xf numFmtId="0" fontId="24" fillId="0" borderId="0" xfId="54" applyNumberFormat="1" applyFont="1" applyBorder="1" applyAlignment="1">
      <alignment horizontal="right"/>
      <protection/>
    </xf>
    <xf numFmtId="0" fontId="23" fillId="0" borderId="0" xfId="54" applyFont="1" applyBorder="1">
      <alignment/>
      <protection/>
    </xf>
    <xf numFmtId="0" fontId="22" fillId="0" borderId="14" xfId="54" applyFont="1" applyBorder="1">
      <alignment/>
      <protection/>
    </xf>
    <xf numFmtId="0" fontId="24" fillId="0" borderId="0" xfId="54" applyNumberFormat="1" applyFont="1" applyBorder="1" applyAlignment="1">
      <alignment horizontal="centerContinuous"/>
      <protection/>
    </xf>
    <xf numFmtId="0" fontId="24" fillId="0" borderId="0" xfId="54" applyNumberFormat="1" applyFont="1" applyBorder="1" applyAlignment="1">
      <alignment horizontal="right"/>
      <protection/>
    </xf>
    <xf numFmtId="0" fontId="24" fillId="0" borderId="0" xfId="54" applyNumberFormat="1" applyFont="1" applyBorder="1" applyAlignment="1">
      <alignment/>
      <protection/>
    </xf>
    <xf numFmtId="7" fontId="24" fillId="0" borderId="0" xfId="54" applyNumberFormat="1" applyFont="1" applyBorder="1" applyAlignment="1">
      <alignment horizontal="right"/>
      <protection/>
    </xf>
    <xf numFmtId="0" fontId="5" fillId="0" borderId="13" xfId="54" applyFont="1" applyBorder="1">
      <alignment/>
      <protection/>
    </xf>
    <xf numFmtId="0" fontId="3" fillId="0" borderId="0" xfId="54" applyNumberFormat="1" applyFont="1" applyBorder="1" applyAlignment="1">
      <alignment horizontal="right"/>
      <protection/>
    </xf>
    <xf numFmtId="0" fontId="3" fillId="0" borderId="0" xfId="54" applyNumberFormat="1" applyFont="1" applyBorder="1" applyAlignment="1">
      <alignment/>
      <protection/>
    </xf>
    <xf numFmtId="0" fontId="25" fillId="0" borderId="0" xfId="54" applyFont="1" applyBorder="1">
      <alignment/>
      <protection/>
    </xf>
    <xf numFmtId="7" fontId="3" fillId="0" borderId="0" xfId="54" applyNumberFormat="1" applyFont="1" applyBorder="1" applyAlignment="1">
      <alignment horizontal="right"/>
      <protection/>
    </xf>
    <xf numFmtId="0" fontId="5" fillId="0" borderId="14" xfId="54" applyFont="1" applyBorder="1">
      <alignment/>
      <protection/>
    </xf>
    <xf numFmtId="0" fontId="5" fillId="0" borderId="0" xfId="54" applyFont="1" applyBorder="1" applyAlignment="1">
      <alignment horizontal="right"/>
      <protection/>
    </xf>
    <xf numFmtId="0" fontId="24" fillId="0" borderId="0" xfId="54" applyFont="1" applyBorder="1">
      <alignment/>
      <protection/>
    </xf>
    <xf numFmtId="0" fontId="22" fillId="0" borderId="0" xfId="54" applyFont="1" applyBorder="1" applyAlignment="1">
      <alignment horizontal="right"/>
      <protection/>
    </xf>
    <xf numFmtId="0" fontId="24" fillId="0" borderId="15" xfId="54" applyFont="1" applyBorder="1" applyAlignment="1">
      <alignment horizontal="center"/>
      <protection/>
    </xf>
    <xf numFmtId="7" fontId="24" fillId="0" borderId="16" xfId="54" applyNumberFormat="1" applyFont="1" applyBorder="1" applyAlignment="1">
      <alignment horizontal="center"/>
      <protection/>
    </xf>
    <xf numFmtId="7" fontId="24" fillId="0" borderId="0" xfId="54" applyNumberFormat="1" applyFont="1" applyBorder="1" applyAlignment="1">
      <alignment horizontal="center"/>
      <protection/>
    </xf>
    <xf numFmtId="0" fontId="19" fillId="0" borderId="17" xfId="54" applyFont="1" applyBorder="1">
      <alignment/>
      <protection/>
    </xf>
    <xf numFmtId="0" fontId="19" fillId="0" borderId="18" xfId="54" applyNumberFormat="1" applyFont="1" applyBorder="1">
      <alignment/>
      <protection/>
    </xf>
    <xf numFmtId="0" fontId="19" fillId="0" borderId="18" xfId="54" applyFont="1" applyBorder="1">
      <alignment/>
      <protection/>
    </xf>
    <xf numFmtId="0" fontId="19" fillId="0" borderId="19" xfId="54" applyFont="1" applyBorder="1">
      <alignment/>
      <protection/>
    </xf>
    <xf numFmtId="0" fontId="19" fillId="0" borderId="0" xfId="54" applyFont="1" applyFill="1" applyBorder="1">
      <alignment/>
      <protection/>
    </xf>
    <xf numFmtId="4" fontId="19" fillId="0" borderId="0" xfId="54" applyNumberFormat="1" applyFont="1" applyFill="1" applyBorder="1">
      <alignment/>
      <protection/>
    </xf>
    <xf numFmtId="7" fontId="19" fillId="0" borderId="0" xfId="54" applyNumberFormat="1" applyFont="1" applyBorder="1">
      <alignment/>
      <protection/>
    </xf>
    <xf numFmtId="170" fontId="19" fillId="0" borderId="0" xfId="54" applyNumberFormat="1" applyFont="1" applyBorder="1" applyAlignment="1">
      <alignment horizontal="center"/>
      <protection/>
    </xf>
    <xf numFmtId="0" fontId="5" fillId="0" borderId="0" xfId="54" applyFont="1" applyFill="1" applyBorder="1">
      <alignment/>
      <protection/>
    </xf>
    <xf numFmtId="4" fontId="5" fillId="0" borderId="0" xfId="54" applyNumberFormat="1" applyFont="1" applyFill="1" applyBorder="1">
      <alignment/>
      <protection/>
    </xf>
    <xf numFmtId="0" fontId="5" fillId="0" borderId="0" xfId="54" applyFont="1" applyBorder="1" applyAlignment="1">
      <alignment horizontal="center"/>
      <protection/>
    </xf>
    <xf numFmtId="4" fontId="5" fillId="0" borderId="0" xfId="54" applyNumberFormat="1" applyFont="1" applyBorder="1">
      <alignment/>
      <protection/>
    </xf>
    <xf numFmtId="4" fontId="3" fillId="0" borderId="0" xfId="54" applyNumberFormat="1" applyFont="1" applyBorder="1" applyAlignment="1">
      <alignment horizontal="center"/>
      <protection/>
    </xf>
    <xf numFmtId="0" fontId="9" fillId="0" borderId="0" xfId="54" applyFont="1" applyProtection="1">
      <alignment/>
      <protection/>
    </xf>
    <xf numFmtId="0" fontId="9" fillId="0" borderId="0" xfId="54" applyFont="1" applyFill="1" applyProtection="1">
      <alignment/>
      <protection/>
    </xf>
    <xf numFmtId="0" fontId="9" fillId="0" borderId="0" xfId="54" applyFont="1" applyAlignment="1" applyProtection="1">
      <alignment horizontal="centerContinuous"/>
      <protection/>
    </xf>
    <xf numFmtId="0" fontId="5" fillId="0" borderId="0" xfId="54" applyFont="1" applyProtection="1">
      <alignment/>
      <protection/>
    </xf>
    <xf numFmtId="0" fontId="5" fillId="0" borderId="0" xfId="54" applyFont="1" applyFill="1" applyProtection="1">
      <alignment/>
      <protection/>
    </xf>
    <xf numFmtId="0" fontId="12" fillId="0" borderId="0" xfId="54" applyFont="1" applyProtection="1">
      <alignment/>
      <protection/>
    </xf>
    <xf numFmtId="0" fontId="5" fillId="0" borderId="10" xfId="54" applyFont="1" applyBorder="1" applyProtection="1">
      <alignment/>
      <protection/>
    </xf>
    <xf numFmtId="0" fontId="5" fillId="0" borderId="11" xfId="54" applyFont="1" applyBorder="1" applyProtection="1">
      <alignment/>
      <protection/>
    </xf>
    <xf numFmtId="0" fontId="5" fillId="0" borderId="12" xfId="54" applyFont="1" applyBorder="1" applyProtection="1">
      <alignment/>
      <protection/>
    </xf>
    <xf numFmtId="0" fontId="5" fillId="0" borderId="13" xfId="54" applyFont="1" applyBorder="1" applyProtection="1">
      <alignment/>
      <protection/>
    </xf>
    <xf numFmtId="0" fontId="5" fillId="0" borderId="0" xfId="54" applyFont="1" applyBorder="1" applyProtection="1">
      <alignment/>
      <protection/>
    </xf>
    <xf numFmtId="0" fontId="18" fillId="0" borderId="0" xfId="54" applyFont="1" applyFill="1" applyBorder="1" applyProtection="1">
      <alignment/>
      <protection/>
    </xf>
    <xf numFmtId="0" fontId="5" fillId="0" borderId="14" xfId="54" applyFont="1" applyBorder="1" applyProtection="1">
      <alignment/>
      <protection/>
    </xf>
    <xf numFmtId="0" fontId="18" fillId="0" borderId="0" xfId="54" applyFont="1" applyBorder="1" applyProtection="1">
      <alignment/>
      <protection/>
    </xf>
    <xf numFmtId="0" fontId="24" fillId="0" borderId="0" xfId="54" applyFont="1" applyBorder="1" applyProtection="1">
      <alignment/>
      <protection/>
    </xf>
    <xf numFmtId="0" fontId="22" fillId="0" borderId="0" xfId="54" applyFont="1" applyProtection="1">
      <alignment/>
      <protection/>
    </xf>
    <xf numFmtId="0" fontId="23" fillId="0" borderId="13" xfId="54" applyFont="1" applyBorder="1" applyAlignment="1" applyProtection="1">
      <alignment horizontal="centerContinuous"/>
      <protection/>
    </xf>
    <xf numFmtId="0" fontId="22" fillId="0" borderId="0" xfId="54" applyFont="1" applyAlignment="1" applyProtection="1">
      <alignment horizontal="centerContinuous"/>
      <protection/>
    </xf>
    <xf numFmtId="0" fontId="22" fillId="0" borderId="0" xfId="54" applyFont="1" applyBorder="1" applyAlignment="1" applyProtection="1">
      <alignment horizontal="centerContinuous"/>
      <protection/>
    </xf>
    <xf numFmtId="0" fontId="22" fillId="0" borderId="14" xfId="54" applyFont="1" applyBorder="1" applyAlignment="1" applyProtection="1">
      <alignment horizontal="centerContinuous"/>
      <protection/>
    </xf>
    <xf numFmtId="0" fontId="5" fillId="0" borderId="0" xfId="54" applyFont="1" applyBorder="1" applyAlignment="1" applyProtection="1">
      <alignment horizontal="center"/>
      <protection/>
    </xf>
    <xf numFmtId="0" fontId="1" fillId="0" borderId="0" xfId="54" applyFont="1" applyBorder="1" applyProtection="1">
      <alignment/>
      <protection/>
    </xf>
    <xf numFmtId="0" fontId="1" fillId="0" borderId="15" xfId="54" applyFont="1" applyBorder="1" applyAlignment="1" applyProtection="1">
      <alignment horizontal="center"/>
      <protection/>
    </xf>
    <xf numFmtId="173" fontId="1" fillId="0" borderId="15" xfId="54" applyNumberFormat="1" applyFont="1" applyBorder="1" applyAlignment="1" applyProtection="1">
      <alignment horizontal="centerContinuous"/>
      <protection/>
    </xf>
    <xf numFmtId="169" fontId="1" fillId="0" borderId="16" xfId="54" applyNumberFormat="1" applyFont="1" applyBorder="1" applyAlignment="1" applyProtection="1">
      <alignment horizontal="centerContinuous"/>
      <protection/>
    </xf>
    <xf numFmtId="0" fontId="1" fillId="0" borderId="0" xfId="54" applyFont="1" applyProtection="1">
      <alignment/>
      <protection/>
    </xf>
    <xf numFmtId="0" fontId="1" fillId="0" borderId="0" xfId="54" applyFont="1" applyBorder="1" applyAlignment="1" applyProtection="1">
      <alignment horizontal="right"/>
      <protection/>
    </xf>
    <xf numFmtId="0" fontId="1" fillId="0" borderId="0" xfId="54" applyFont="1" applyAlignment="1" applyProtection="1">
      <alignment/>
      <protection/>
    </xf>
    <xf numFmtId="0" fontId="26" fillId="0" borderId="0" xfId="54" applyFont="1" applyBorder="1" applyAlignment="1" applyProtection="1">
      <alignment horizontal="centerContinuous"/>
      <protection/>
    </xf>
    <xf numFmtId="0" fontId="1" fillId="0" borderId="0" xfId="54" applyFont="1" applyBorder="1" applyAlignment="1" applyProtection="1">
      <alignment horizontal="centerContinuous"/>
      <protection/>
    </xf>
    <xf numFmtId="0" fontId="1" fillId="0" borderId="0" xfId="54" applyFont="1" applyAlignment="1" applyProtection="1">
      <alignment horizontal="centerContinuous"/>
      <protection/>
    </xf>
    <xf numFmtId="0" fontId="27" fillId="0" borderId="0" xfId="54" applyFont="1" applyAlignment="1" applyProtection="1">
      <alignment horizontal="center" vertical="center"/>
      <protection/>
    </xf>
    <xf numFmtId="0" fontId="27" fillId="0" borderId="13" xfId="54" applyFont="1" applyBorder="1" applyAlignment="1" applyProtection="1">
      <alignment horizontal="center" vertical="center"/>
      <protection/>
    </xf>
    <xf numFmtId="0" fontId="28" fillId="0" borderId="20" xfId="54" applyFont="1" applyBorder="1" applyAlignment="1" applyProtection="1">
      <alignment horizontal="center" vertical="center"/>
      <protection/>
    </xf>
    <xf numFmtId="0" fontId="28" fillId="0" borderId="20" xfId="54" applyFont="1" applyBorder="1" applyAlignment="1" applyProtection="1">
      <alignment horizontal="center" vertical="center" wrapText="1"/>
      <protection/>
    </xf>
    <xf numFmtId="0" fontId="29" fillId="33" borderId="20" xfId="54" applyFont="1" applyFill="1" applyBorder="1" applyAlignment="1" applyProtection="1">
      <alignment horizontal="center" vertical="center"/>
      <protection/>
    </xf>
    <xf numFmtId="0" fontId="28" fillId="0" borderId="20" xfId="54" applyFont="1" applyBorder="1" applyAlignment="1" applyProtection="1">
      <alignment horizontal="centerContinuous" vertical="center" wrapText="1"/>
      <protection/>
    </xf>
    <xf numFmtId="0" fontId="28" fillId="0" borderId="15" xfId="54" applyFont="1" applyBorder="1" applyAlignment="1" applyProtection="1">
      <alignment horizontal="center" vertical="center" wrapText="1"/>
      <protection/>
    </xf>
    <xf numFmtId="0" fontId="31" fillId="34" borderId="20" xfId="54" applyFont="1" applyFill="1" applyBorder="1" applyAlignment="1" applyProtection="1">
      <alignment horizontal="center" vertical="center" wrapText="1"/>
      <protection/>
    </xf>
    <xf numFmtId="0" fontId="32" fillId="35" borderId="20" xfId="54" applyFont="1" applyFill="1" applyBorder="1" applyAlignment="1" applyProtection="1">
      <alignment horizontal="center" vertical="center" wrapText="1"/>
      <protection/>
    </xf>
    <xf numFmtId="0" fontId="33" fillId="34" borderId="15" xfId="54" applyFont="1" applyFill="1" applyBorder="1" applyAlignment="1" applyProtection="1">
      <alignment horizontal="centerContinuous" vertical="center" wrapText="1"/>
      <protection/>
    </xf>
    <xf numFmtId="0" fontId="34" fillId="34" borderId="21" xfId="54" applyFont="1" applyFill="1" applyBorder="1" applyAlignment="1" applyProtection="1">
      <alignment horizontal="centerContinuous" vertical="center"/>
      <protection/>
    </xf>
    <xf numFmtId="0" fontId="33" fillId="34" borderId="16" xfId="54" applyFont="1" applyFill="1" applyBorder="1" applyAlignment="1" applyProtection="1">
      <alignment horizontal="centerContinuous" vertical="center"/>
      <protection/>
    </xf>
    <xf numFmtId="0" fontId="35" fillId="35" borderId="15" xfId="54" applyFont="1" applyFill="1" applyBorder="1" applyAlignment="1" applyProtection="1">
      <alignment horizontal="centerContinuous" vertical="center" wrapText="1"/>
      <protection/>
    </xf>
    <xf numFmtId="0" fontId="6" fillId="35" borderId="21" xfId="54" applyFont="1" applyFill="1" applyBorder="1" applyAlignment="1" applyProtection="1">
      <alignment horizontal="centerContinuous" vertical="center"/>
      <protection/>
    </xf>
    <xf numFmtId="0" fontId="35" fillId="35" borderId="16" xfId="54" applyFont="1" applyFill="1" applyBorder="1" applyAlignment="1" applyProtection="1">
      <alignment horizontal="centerContinuous" vertical="center"/>
      <protection/>
    </xf>
    <xf numFmtId="0" fontId="36" fillId="33" borderId="20" xfId="54" applyFont="1" applyFill="1" applyBorder="1" applyAlignment="1" applyProtection="1">
      <alignment horizontal="center" vertical="center" wrapText="1"/>
      <protection/>
    </xf>
    <xf numFmtId="0" fontId="37" fillId="36" borderId="20" xfId="54" applyFont="1" applyFill="1" applyBorder="1" applyAlignment="1" applyProtection="1">
      <alignment horizontal="center" vertical="center" wrapText="1"/>
      <protection/>
    </xf>
    <xf numFmtId="0" fontId="27" fillId="0" borderId="14" xfId="54" applyFont="1" applyBorder="1" applyAlignment="1" applyProtection="1">
      <alignment horizontal="center" vertical="center"/>
      <protection/>
    </xf>
    <xf numFmtId="0" fontId="5" fillId="0" borderId="22" xfId="54" applyFont="1" applyBorder="1" applyAlignment="1" applyProtection="1">
      <alignment horizontal="center"/>
      <protection locked="0"/>
    </xf>
    <xf numFmtId="0" fontId="5" fillId="0" borderId="23" xfId="54" applyFont="1" applyBorder="1" applyAlignment="1" applyProtection="1">
      <alignment horizontal="center"/>
      <protection locked="0"/>
    </xf>
    <xf numFmtId="2" fontId="5" fillId="0" borderId="24" xfId="54" applyNumberFormat="1" applyFont="1" applyBorder="1" applyAlignment="1" applyProtection="1">
      <alignment horizontal="center"/>
      <protection locked="0"/>
    </xf>
    <xf numFmtId="170" fontId="38" fillId="33" borderId="22" xfId="54" applyNumberFormat="1" applyFont="1" applyFill="1" applyBorder="1" applyAlignment="1" applyProtection="1">
      <alignment horizontal="center"/>
      <protection/>
    </xf>
    <xf numFmtId="22" fontId="5" fillId="0" borderId="22" xfId="54" applyNumberFormat="1" applyFont="1" applyBorder="1" applyAlignment="1" applyProtection="1">
      <alignment horizontal="center"/>
      <protection locked="0"/>
    </xf>
    <xf numFmtId="2" fontId="5" fillId="0" borderId="22" xfId="54" applyNumberFormat="1" applyFont="1" applyBorder="1" applyAlignment="1" applyProtection="1">
      <alignment horizontal="center"/>
      <protection/>
    </xf>
    <xf numFmtId="1" fontId="5" fillId="0" borderId="22" xfId="54" applyNumberFormat="1" applyFont="1" applyBorder="1" applyAlignment="1" applyProtection="1">
      <alignment horizontal="center"/>
      <protection/>
    </xf>
    <xf numFmtId="170" fontId="5" fillId="0" borderId="22" xfId="54" applyNumberFormat="1" applyFont="1" applyBorder="1" applyAlignment="1" applyProtection="1">
      <alignment horizontal="center"/>
      <protection locked="0"/>
    </xf>
    <xf numFmtId="38" fontId="5" fillId="0" borderId="22" xfId="54" applyNumberFormat="1" applyFont="1" applyBorder="1" applyAlignment="1" applyProtection="1">
      <alignment horizontal="center"/>
      <protection locked="0"/>
    </xf>
    <xf numFmtId="4" fontId="5" fillId="0" borderId="22" xfId="54" applyNumberFormat="1" applyFont="1" applyBorder="1" applyAlignment="1" applyProtection="1">
      <alignment horizontal="center"/>
      <protection locked="0"/>
    </xf>
    <xf numFmtId="2" fontId="27" fillId="0" borderId="22" xfId="54" applyNumberFormat="1" applyFont="1" applyBorder="1" applyAlignment="1" applyProtection="1">
      <alignment horizontal="right"/>
      <protection/>
    </xf>
    <xf numFmtId="2" fontId="5" fillId="0" borderId="14" xfId="54" applyNumberFormat="1" applyFont="1" applyBorder="1" applyProtection="1">
      <alignment/>
      <protection/>
    </xf>
    <xf numFmtId="0" fontId="5" fillId="0" borderId="25" xfId="54" applyFont="1" applyBorder="1" applyAlignment="1" applyProtection="1">
      <alignment horizontal="center"/>
      <protection locked="0"/>
    </xf>
    <xf numFmtId="0" fontId="5" fillId="0" borderId="26" xfId="54" applyFont="1" applyBorder="1" applyAlignment="1" applyProtection="1">
      <alignment horizontal="center"/>
      <protection locked="0"/>
    </xf>
    <xf numFmtId="0" fontId="44" fillId="0" borderId="26" xfId="54" applyFont="1" applyBorder="1" applyAlignment="1" applyProtection="1">
      <alignment horizontal="center"/>
      <protection locked="0"/>
    </xf>
    <xf numFmtId="171" fontId="5" fillId="0" borderId="26" xfId="54" applyNumberFormat="1" applyFont="1" applyBorder="1" applyAlignment="1" applyProtection="1">
      <alignment horizontal="center"/>
      <protection locked="0"/>
    </xf>
    <xf numFmtId="170" fontId="38" fillId="33" borderId="26" xfId="54" applyNumberFormat="1" applyFont="1" applyFill="1" applyBorder="1" applyAlignment="1" applyProtection="1">
      <alignment horizontal="center"/>
      <protection/>
    </xf>
    <xf numFmtId="170" fontId="5" fillId="0" borderId="26" xfId="54" applyNumberFormat="1" applyFont="1" applyBorder="1" applyAlignment="1" applyProtection="1">
      <alignment horizontal="center"/>
      <protection locked="0"/>
    </xf>
    <xf numFmtId="170" fontId="5" fillId="0" borderId="26" xfId="54" applyNumberFormat="1" applyFont="1" applyBorder="1" applyAlignment="1" applyProtection="1">
      <alignment horizontal="center"/>
      <protection/>
    </xf>
    <xf numFmtId="38" fontId="5" fillId="0" borderId="26" xfId="54" applyNumberFormat="1" applyFont="1" applyBorder="1" applyAlignment="1" applyProtection="1">
      <alignment horizontal="center"/>
      <protection locked="0"/>
    </xf>
    <xf numFmtId="4" fontId="5" fillId="0" borderId="26" xfId="54" applyNumberFormat="1" applyFont="1" applyBorder="1" applyAlignment="1" applyProtection="1">
      <alignment horizontal="center"/>
      <protection locked="0"/>
    </xf>
    <xf numFmtId="7" fontId="5" fillId="0" borderId="27" xfId="54" applyNumberFormat="1" applyFont="1" applyBorder="1" applyAlignment="1" applyProtection="1">
      <alignment horizontal="center"/>
      <protection/>
    </xf>
    <xf numFmtId="0" fontId="47" fillId="0" borderId="0" xfId="54" applyFont="1" applyBorder="1" applyAlignment="1" applyProtection="1">
      <alignment horizontal="left"/>
      <protection/>
    </xf>
    <xf numFmtId="171" fontId="5" fillId="0" borderId="0" xfId="54" applyNumberFormat="1" applyFont="1" applyBorder="1" applyAlignment="1" applyProtection="1">
      <alignment horizontal="center"/>
      <protection/>
    </xf>
    <xf numFmtId="170" fontId="5" fillId="0" borderId="0" xfId="54" applyNumberFormat="1" applyFont="1" applyBorder="1" applyAlignment="1" applyProtection="1">
      <alignment horizontal="center"/>
      <protection/>
    </xf>
    <xf numFmtId="38" fontId="5" fillId="0" borderId="0" xfId="54" applyNumberFormat="1" applyFont="1" applyBorder="1" applyAlignment="1" applyProtection="1">
      <alignment horizontal="center"/>
      <protection/>
    </xf>
    <xf numFmtId="2" fontId="48" fillId="0" borderId="0" xfId="54" applyNumberFormat="1" applyFont="1" applyBorder="1" applyAlignment="1" applyProtection="1">
      <alignment horizontal="center"/>
      <protection/>
    </xf>
    <xf numFmtId="170" fontId="8" fillId="0" borderId="0" xfId="54" applyNumberFormat="1" applyFont="1" applyBorder="1" applyAlignment="1" applyProtection="1" quotePrefix="1">
      <alignment horizontal="center"/>
      <protection/>
    </xf>
    <xf numFmtId="4" fontId="8" fillId="0" borderId="0" xfId="54" applyNumberFormat="1" applyFont="1" applyBorder="1" applyAlignment="1" applyProtection="1">
      <alignment horizontal="center"/>
      <protection/>
    </xf>
    <xf numFmtId="4" fontId="5" fillId="0" borderId="0" xfId="54" applyNumberFormat="1" applyFont="1" applyBorder="1" applyAlignment="1" applyProtection="1">
      <alignment horizontal="center"/>
      <protection/>
    </xf>
    <xf numFmtId="0" fontId="46" fillId="0" borderId="0" xfId="54" applyFont="1" applyProtection="1">
      <alignment/>
      <protection/>
    </xf>
    <xf numFmtId="0" fontId="46" fillId="0" borderId="13" xfId="54" applyFont="1" applyBorder="1" applyProtection="1">
      <alignment/>
      <protection/>
    </xf>
    <xf numFmtId="0" fontId="47" fillId="0" borderId="0" xfId="54" applyFont="1" applyBorder="1" applyAlignment="1" applyProtection="1">
      <alignment horizontal="left" vertical="top"/>
      <protection/>
    </xf>
    <xf numFmtId="0" fontId="46" fillId="0" borderId="14" xfId="54" applyFont="1" applyBorder="1" applyProtection="1">
      <alignment/>
      <protection/>
    </xf>
    <xf numFmtId="0" fontId="5" fillId="0" borderId="17" xfId="54" applyFont="1" applyBorder="1" applyProtection="1">
      <alignment/>
      <protection/>
    </xf>
    <xf numFmtId="0" fontId="5" fillId="0" borderId="18" xfId="54" applyFont="1" applyBorder="1" applyProtection="1">
      <alignment/>
      <protection/>
    </xf>
    <xf numFmtId="0" fontId="5" fillId="0" borderId="19" xfId="54" applyFont="1" applyBorder="1" applyProtection="1">
      <alignment/>
      <protection/>
    </xf>
    <xf numFmtId="0" fontId="5" fillId="0" borderId="0" xfId="54" applyFont="1" applyAlignment="1" applyProtection="1">
      <alignment/>
      <protection/>
    </xf>
    <xf numFmtId="0" fontId="5" fillId="0" borderId="0" xfId="54" applyFont="1" applyAlignment="1" applyProtection="1">
      <alignment horizontal="center"/>
      <protection/>
    </xf>
    <xf numFmtId="0" fontId="5" fillId="0" borderId="0" xfId="54" applyFont="1" applyAlignment="1" applyProtection="1">
      <alignment horizontal="left"/>
      <protection/>
    </xf>
    <xf numFmtId="0" fontId="14" fillId="0" borderId="0" xfId="54" applyFont="1" applyFill="1" applyBorder="1" applyProtection="1">
      <alignment/>
      <protection/>
    </xf>
    <xf numFmtId="0" fontId="5" fillId="0" borderId="0" xfId="54" applyFont="1" applyFill="1" applyBorder="1" applyProtection="1">
      <alignment/>
      <protection/>
    </xf>
    <xf numFmtId="0" fontId="1" fillId="0" borderId="15" xfId="54" applyFont="1" applyFill="1" applyBorder="1" applyAlignment="1" applyProtection="1">
      <alignment horizontal="left"/>
      <protection/>
    </xf>
    <xf numFmtId="0" fontId="1" fillId="0" borderId="28" xfId="54" applyFont="1" applyFill="1" applyBorder="1" applyAlignment="1" applyProtection="1">
      <alignment horizontal="center"/>
      <protection/>
    </xf>
    <xf numFmtId="0" fontId="1" fillId="0" borderId="15" xfId="54" applyFont="1" applyFill="1" applyBorder="1" applyAlignment="1" applyProtection="1" quotePrefix="1">
      <alignment horizontal="left"/>
      <protection/>
    </xf>
    <xf numFmtId="0" fontId="1" fillId="0" borderId="21" xfId="54" applyFont="1" applyFill="1" applyBorder="1" applyAlignment="1" applyProtection="1">
      <alignment horizontal="center"/>
      <protection/>
    </xf>
    <xf numFmtId="0" fontId="1" fillId="0" borderId="0" xfId="54" applyFont="1" applyFill="1" applyBorder="1" applyAlignment="1" applyProtection="1">
      <alignment horizontal="center"/>
      <protection/>
    </xf>
    <xf numFmtId="0" fontId="28" fillId="0" borderId="20" xfId="54" applyFont="1" applyFill="1" applyBorder="1" applyAlignment="1" applyProtection="1">
      <alignment horizontal="center" vertical="center" wrapText="1"/>
      <protection/>
    </xf>
    <xf numFmtId="0" fontId="28" fillId="0" borderId="20" xfId="54" applyFont="1" applyFill="1" applyBorder="1" applyAlignment="1" applyProtection="1">
      <alignment horizontal="center" vertical="center"/>
      <protection/>
    </xf>
    <xf numFmtId="0" fontId="28" fillId="0" borderId="20" xfId="54" applyFont="1" applyFill="1" applyBorder="1" applyAlignment="1" applyProtection="1" quotePrefix="1">
      <alignment horizontal="center" vertical="center" wrapText="1"/>
      <protection/>
    </xf>
    <xf numFmtId="0" fontId="28" fillId="0" borderId="15" xfId="54" applyFont="1" applyFill="1" applyBorder="1" applyAlignment="1" applyProtection="1">
      <alignment horizontal="center" vertical="center" wrapText="1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52" fillId="33" borderId="29" xfId="54" applyFont="1" applyFill="1" applyBorder="1" applyAlignment="1" applyProtection="1">
      <alignment horizontal="center"/>
      <protection/>
    </xf>
    <xf numFmtId="0" fontId="5" fillId="0" borderId="22" xfId="54" applyFont="1" applyFill="1" applyBorder="1" applyAlignment="1" applyProtection="1">
      <alignment horizontal="center"/>
      <protection locked="0"/>
    </xf>
    <xf numFmtId="0" fontId="59" fillId="33" borderId="22" xfId="54" applyFont="1" applyFill="1" applyBorder="1" applyProtection="1">
      <alignment/>
      <protection/>
    </xf>
    <xf numFmtId="0" fontId="5" fillId="0" borderId="22" xfId="54" applyFont="1" applyFill="1" applyBorder="1" applyProtection="1">
      <alignment/>
      <protection locked="0"/>
    </xf>
    <xf numFmtId="0" fontId="5" fillId="0" borderId="25" xfId="54" applyFont="1" applyBorder="1" applyAlignment="1" applyProtection="1">
      <alignment horizontal="center" vertical="center"/>
      <protection locked="0"/>
    </xf>
    <xf numFmtId="0" fontId="5" fillId="0" borderId="30" xfId="54" applyFont="1" applyBorder="1" applyAlignment="1" applyProtection="1">
      <alignment horizontal="center" vertical="center"/>
      <protection locked="0"/>
    </xf>
    <xf numFmtId="0" fontId="5" fillId="0" borderId="31" xfId="54" applyFont="1" applyBorder="1" applyAlignment="1" applyProtection="1" quotePrefix="1">
      <alignment horizontal="center" vertical="center"/>
      <protection locked="0"/>
    </xf>
    <xf numFmtId="2" fontId="5" fillId="0" borderId="32" xfId="54" applyNumberFormat="1" applyFont="1" applyBorder="1" applyAlignment="1" applyProtection="1" quotePrefix="1">
      <alignment horizontal="center" vertical="center"/>
      <protection locked="0"/>
    </xf>
    <xf numFmtId="170" fontId="38" fillId="33" borderId="22" xfId="54" applyNumberFormat="1" applyFont="1" applyFill="1" applyBorder="1" applyAlignment="1" applyProtection="1">
      <alignment horizontal="center"/>
      <protection/>
    </xf>
    <xf numFmtId="22" fontId="5" fillId="0" borderId="22" xfId="54" applyNumberFormat="1" applyFont="1" applyFill="1" applyBorder="1" applyAlignment="1" applyProtection="1">
      <alignment horizontal="center"/>
      <protection locked="0"/>
    </xf>
    <xf numFmtId="2" fontId="5" fillId="0" borderId="22" xfId="54" applyNumberFormat="1" applyFont="1" applyFill="1" applyBorder="1" applyAlignment="1" applyProtection="1">
      <alignment horizontal="center"/>
      <protection/>
    </xf>
    <xf numFmtId="3" fontId="5" fillId="0" borderId="22" xfId="54" applyNumberFormat="1" applyFont="1" applyFill="1" applyBorder="1" applyAlignment="1" applyProtection="1">
      <alignment horizontal="center"/>
      <protection/>
    </xf>
    <xf numFmtId="170" fontId="5" fillId="0" borderId="22" xfId="54" applyNumberFormat="1" applyFont="1" applyFill="1" applyBorder="1" applyAlignment="1" applyProtection="1">
      <alignment horizontal="center"/>
      <protection locked="0"/>
    </xf>
    <xf numFmtId="170" fontId="5" fillId="0" borderId="22" xfId="54" applyNumberFormat="1" applyFont="1" applyFill="1" applyBorder="1" applyAlignment="1" applyProtection="1" quotePrefix="1">
      <alignment horizontal="center"/>
      <protection locked="0"/>
    </xf>
    <xf numFmtId="0" fontId="5" fillId="0" borderId="23" xfId="54" applyFont="1" applyBorder="1" applyAlignment="1" applyProtection="1" quotePrefix="1">
      <alignment horizontal="center" vertical="center"/>
      <protection locked="0"/>
    </xf>
    <xf numFmtId="0" fontId="5" fillId="0" borderId="23" xfId="54" applyFont="1" applyBorder="1" applyAlignment="1" applyProtection="1">
      <alignment horizontal="center" vertical="center"/>
      <protection locked="0"/>
    </xf>
    <xf numFmtId="0" fontId="5" fillId="0" borderId="22" xfId="54" applyFont="1" applyBorder="1" applyAlignment="1" applyProtection="1">
      <alignment horizontal="center" vertical="center"/>
      <protection locked="0"/>
    </xf>
    <xf numFmtId="0" fontId="5" fillId="0" borderId="31" xfId="54" applyFont="1" applyBorder="1" applyAlignment="1" applyProtection="1">
      <alignment horizontal="center" vertical="center"/>
      <protection locked="0"/>
    </xf>
    <xf numFmtId="2" fontId="5" fillId="0" borderId="24" xfId="54" applyNumberFormat="1" applyFont="1" applyBorder="1" applyAlignment="1" applyProtection="1" quotePrefix="1">
      <alignment horizontal="center" vertical="center"/>
      <protection locked="0"/>
    </xf>
    <xf numFmtId="0" fontId="5" fillId="0" borderId="26" xfId="54" applyFont="1" applyFill="1" applyBorder="1" applyAlignment="1" applyProtection="1">
      <alignment horizontal="center"/>
      <protection locked="0"/>
    </xf>
    <xf numFmtId="0" fontId="44" fillId="0" borderId="26" xfId="54" applyFont="1" applyFill="1" applyBorder="1" applyAlignment="1" applyProtection="1">
      <alignment horizontal="center"/>
      <protection locked="0"/>
    </xf>
    <xf numFmtId="0" fontId="44" fillId="0" borderId="26" xfId="54" applyFont="1" applyFill="1" applyBorder="1" applyAlignment="1" applyProtection="1" quotePrefix="1">
      <alignment horizontal="center"/>
      <protection locked="0"/>
    </xf>
    <xf numFmtId="168" fontId="8" fillId="0" borderId="26" xfId="54" applyNumberFormat="1" applyFont="1" applyFill="1" applyBorder="1" applyAlignment="1" applyProtection="1" quotePrefix="1">
      <alignment horizontal="center"/>
      <protection locked="0"/>
    </xf>
    <xf numFmtId="170" fontId="59" fillId="33" borderId="26" xfId="54" applyNumberFormat="1" applyFont="1" applyFill="1" applyBorder="1" applyAlignment="1" applyProtection="1">
      <alignment horizontal="center"/>
      <protection/>
    </xf>
    <xf numFmtId="170" fontId="5" fillId="0" borderId="26" xfId="54" applyNumberFormat="1" applyFont="1" applyFill="1" applyBorder="1" applyAlignment="1" applyProtection="1">
      <alignment horizontal="center"/>
      <protection locked="0"/>
    </xf>
    <xf numFmtId="170" fontId="5" fillId="0" borderId="26" xfId="54" applyNumberFormat="1" applyFont="1" applyFill="1" applyBorder="1" applyAlignment="1" applyProtection="1">
      <alignment horizontal="center"/>
      <protection/>
    </xf>
    <xf numFmtId="170" fontId="5" fillId="0" borderId="26" xfId="54" applyNumberFormat="1" applyFont="1" applyFill="1" applyBorder="1" applyAlignment="1" applyProtection="1" quotePrefix="1">
      <alignment horizontal="center"/>
      <protection locked="0"/>
    </xf>
    <xf numFmtId="170" fontId="43" fillId="33" borderId="26" xfId="54" applyNumberFormat="1" applyFont="1" applyFill="1" applyBorder="1" applyAlignment="1" applyProtection="1" quotePrefix="1">
      <alignment horizontal="center"/>
      <protection/>
    </xf>
    <xf numFmtId="0" fontId="14" fillId="0" borderId="0" xfId="54" applyFont="1" applyAlignment="1" applyProtection="1">
      <alignment/>
      <protection/>
    </xf>
    <xf numFmtId="0" fontId="1" fillId="0" borderId="15" xfId="54" applyFont="1" applyFill="1" applyBorder="1" applyAlignment="1" applyProtection="1">
      <alignment/>
      <protection/>
    </xf>
    <xf numFmtId="172" fontId="1" fillId="0" borderId="16" xfId="54" applyNumberFormat="1" applyFont="1" applyFill="1" applyBorder="1" applyAlignment="1" applyProtection="1">
      <alignment horizontal="center"/>
      <protection/>
    </xf>
    <xf numFmtId="0" fontId="5" fillId="0" borderId="0" xfId="54" applyFont="1" applyFill="1" applyBorder="1" applyAlignment="1" applyProtection="1">
      <alignment horizont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168" fontId="28" fillId="0" borderId="16" xfId="54" applyNumberFormat="1" applyFont="1" applyFill="1" applyBorder="1" applyAlignment="1" applyProtection="1">
      <alignment horizontal="center" vertical="center" wrapText="1"/>
      <protection/>
    </xf>
    <xf numFmtId="0" fontId="31" fillId="34" borderId="20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 wrapText="1"/>
      <protection/>
    </xf>
    <xf numFmtId="0" fontId="51" fillId="33" borderId="20" xfId="54" applyFont="1" applyFill="1" applyBorder="1" applyAlignment="1" applyProtection="1">
      <alignment horizontal="center" vertical="center"/>
      <protection/>
    </xf>
    <xf numFmtId="0" fontId="5" fillId="0" borderId="33" xfId="54" applyFont="1" applyFill="1" applyBorder="1" applyAlignment="1" applyProtection="1">
      <alignment horizontal="center"/>
      <protection locked="0"/>
    </xf>
    <xf numFmtId="22" fontId="5" fillId="0" borderId="34" xfId="54" applyNumberFormat="1" applyFont="1" applyFill="1" applyBorder="1" applyAlignment="1" applyProtection="1">
      <alignment horizontal="center"/>
      <protection locked="0"/>
    </xf>
    <xf numFmtId="2" fontId="5" fillId="0" borderId="35" xfId="54" applyNumberFormat="1" applyFont="1" applyFill="1" applyBorder="1" applyAlignment="1" applyProtection="1">
      <alignment horizontal="center"/>
      <protection/>
    </xf>
    <xf numFmtId="168" fontId="5" fillId="0" borderId="35" xfId="54" applyNumberFormat="1" applyFont="1" applyFill="1" applyBorder="1" applyAlignment="1" applyProtection="1" quotePrefix="1">
      <alignment horizontal="center"/>
      <protection/>
    </xf>
    <xf numFmtId="170" fontId="5" fillId="0" borderId="30" xfId="54" applyNumberFormat="1" applyFont="1" applyFill="1" applyBorder="1" applyAlignment="1" applyProtection="1">
      <alignment horizontal="center"/>
      <protection locked="0"/>
    </xf>
    <xf numFmtId="170" fontId="5" fillId="0" borderId="35" xfId="54" applyNumberFormat="1" applyFont="1" applyFill="1" applyBorder="1" applyAlignment="1" applyProtection="1">
      <alignment horizontal="center"/>
      <protection locked="0"/>
    </xf>
    <xf numFmtId="171" fontId="5" fillId="0" borderId="24" xfId="54" applyNumberFormat="1" applyFont="1" applyBorder="1" applyAlignment="1" applyProtection="1" quotePrefix="1">
      <alignment horizontal="center" vertical="center"/>
      <protection locked="0"/>
    </xf>
    <xf numFmtId="0" fontId="5" fillId="0" borderId="36" xfId="54" applyFont="1" applyFill="1" applyBorder="1" applyProtection="1">
      <alignment/>
      <protection locked="0"/>
    </xf>
    <xf numFmtId="0" fontId="44" fillId="0" borderId="37" xfId="54" applyFont="1" applyFill="1" applyBorder="1" applyAlignment="1" applyProtection="1">
      <alignment horizontal="center"/>
      <protection locked="0"/>
    </xf>
    <xf numFmtId="0" fontId="5" fillId="0" borderId="38" xfId="54" applyFont="1" applyBorder="1" applyAlignment="1" applyProtection="1">
      <alignment horizontal="center" vertical="center"/>
      <protection locked="0"/>
    </xf>
    <xf numFmtId="170" fontId="5" fillId="0" borderId="39" xfId="54" applyNumberFormat="1" applyFont="1" applyFill="1" applyBorder="1" applyAlignment="1" applyProtection="1">
      <alignment horizontal="center"/>
      <protection locked="0"/>
    </xf>
    <xf numFmtId="170" fontId="5" fillId="0" borderId="39" xfId="54" applyNumberFormat="1" applyFont="1" applyFill="1" applyBorder="1" applyAlignment="1" applyProtection="1">
      <alignment horizontal="center"/>
      <protection/>
    </xf>
    <xf numFmtId="170" fontId="5" fillId="0" borderId="38" xfId="54" applyNumberFormat="1" applyFont="1" applyFill="1" applyBorder="1" applyAlignment="1" applyProtection="1">
      <alignment horizontal="center"/>
      <protection locked="0"/>
    </xf>
    <xf numFmtId="0" fontId="5" fillId="0" borderId="22" xfId="54" applyFont="1" applyBorder="1" applyAlignment="1" applyProtection="1">
      <alignment horizontal="center" vertical="center"/>
      <protection/>
    </xf>
    <xf numFmtId="0" fontId="82" fillId="0" borderId="0" xfId="54" applyFont="1" applyAlignment="1">
      <alignment horizontal="right" vertical="top"/>
      <protection/>
    </xf>
    <xf numFmtId="0" fontId="82" fillId="0" borderId="0" xfId="54" applyFont="1" applyAlignment="1" applyProtection="1">
      <alignment horizontal="right" vertical="top"/>
      <protection/>
    </xf>
    <xf numFmtId="0" fontId="10" fillId="0" borderId="0" xfId="54" applyFont="1" applyAlignment="1" applyProtection="1">
      <alignment horizontal="centerContinuous"/>
      <protection/>
    </xf>
    <xf numFmtId="0" fontId="12" fillId="0" borderId="0" xfId="54" applyFont="1" applyAlignment="1" applyProtection="1">
      <alignment horizontal="centerContinuous"/>
      <protection/>
    </xf>
    <xf numFmtId="0" fontId="23" fillId="0" borderId="0" xfId="54" applyFont="1" applyBorder="1" applyAlignment="1" applyProtection="1" quotePrefix="1">
      <alignment horizontal="centerContinuous"/>
      <protection/>
    </xf>
    <xf numFmtId="0" fontId="1" fillId="0" borderId="0" xfId="54" applyFont="1" applyBorder="1" applyAlignment="1" applyProtection="1">
      <alignment horizontal="left"/>
      <protection/>
    </xf>
    <xf numFmtId="0" fontId="5" fillId="0" borderId="40" xfId="54" applyFont="1" applyBorder="1" applyAlignment="1" applyProtection="1">
      <alignment horizontal="center"/>
      <protection/>
    </xf>
    <xf numFmtId="168" fontId="5" fillId="0" borderId="29" xfId="54" applyNumberFormat="1" applyFont="1" applyBorder="1" applyAlignment="1" applyProtection="1">
      <alignment horizontal="center"/>
      <protection/>
    </xf>
    <xf numFmtId="168" fontId="5" fillId="0" borderId="29" xfId="54" applyNumberFormat="1" applyFont="1" applyBorder="1" applyAlignment="1" applyProtection="1">
      <alignment horizontal="center" vertical="center"/>
      <protection/>
    </xf>
    <xf numFmtId="0" fontId="38" fillId="33" borderId="29" xfId="54" applyFont="1" applyFill="1" applyBorder="1" applyAlignment="1" applyProtection="1">
      <alignment horizontal="center"/>
      <protection/>
    </xf>
    <xf numFmtId="0" fontId="5" fillId="0" borderId="29" xfId="54" applyFont="1" applyBorder="1" applyAlignment="1" applyProtection="1">
      <alignment horizontal="center"/>
      <protection/>
    </xf>
    <xf numFmtId="0" fontId="5" fillId="0" borderId="40" xfId="54" applyFont="1" applyBorder="1" applyAlignment="1" applyProtection="1" quotePrefix="1">
      <alignment horizontal="center"/>
      <protection/>
    </xf>
    <xf numFmtId="0" fontId="39" fillId="34" borderId="29" xfId="54" applyFont="1" applyFill="1" applyBorder="1" applyAlignment="1" applyProtection="1">
      <alignment horizontal="center"/>
      <protection/>
    </xf>
    <xf numFmtId="0" fontId="40" fillId="37" borderId="29" xfId="54" applyFont="1" applyFill="1" applyBorder="1" applyAlignment="1" applyProtection="1">
      <alignment horizontal="center"/>
      <protection/>
    </xf>
    <xf numFmtId="0" fontId="41" fillId="34" borderId="41" xfId="54" applyFont="1" applyFill="1" applyBorder="1" applyAlignment="1" applyProtection="1">
      <alignment horizontal="center"/>
      <protection/>
    </xf>
    <xf numFmtId="0" fontId="41" fillId="34" borderId="40" xfId="54" applyFont="1" applyFill="1" applyBorder="1" applyAlignment="1" applyProtection="1">
      <alignment horizontal="center"/>
      <protection/>
    </xf>
    <xf numFmtId="0" fontId="41" fillId="34" borderId="42" xfId="54" applyFont="1" applyFill="1" applyBorder="1" applyAlignment="1" applyProtection="1">
      <alignment horizontal="left"/>
      <protection/>
    </xf>
    <xf numFmtId="0" fontId="7" fillId="37" borderId="41" xfId="54" applyFont="1" applyFill="1" applyBorder="1" applyAlignment="1" applyProtection="1">
      <alignment horizontal="center"/>
      <protection/>
    </xf>
    <xf numFmtId="0" fontId="7" fillId="37" borderId="40" xfId="54" applyFont="1" applyFill="1" applyBorder="1" applyAlignment="1" applyProtection="1">
      <alignment horizontal="center"/>
      <protection/>
    </xf>
    <xf numFmtId="0" fontId="7" fillId="37" borderId="42" xfId="54" applyFont="1" applyFill="1" applyBorder="1" applyAlignment="1" applyProtection="1">
      <alignment horizontal="left"/>
      <protection/>
    </xf>
    <xf numFmtId="0" fontId="42" fillId="33" borderId="29" xfId="54" applyFont="1" applyFill="1" applyBorder="1" applyAlignment="1" applyProtection="1">
      <alignment horizontal="left"/>
      <protection/>
    </xf>
    <xf numFmtId="0" fontId="43" fillId="36" borderId="29" xfId="54" applyFont="1" applyFill="1" applyBorder="1" applyAlignment="1" applyProtection="1">
      <alignment horizontal="left"/>
      <protection/>
    </xf>
    <xf numFmtId="7" fontId="19" fillId="0" borderId="29" xfId="54" applyNumberFormat="1" applyFont="1" applyBorder="1" applyAlignment="1" applyProtection="1">
      <alignment horizontal="center"/>
      <protection/>
    </xf>
    <xf numFmtId="0" fontId="5" fillId="0" borderId="22" xfId="54" applyFont="1" applyBorder="1" applyProtection="1">
      <alignment/>
      <protection/>
    </xf>
    <xf numFmtId="0" fontId="5" fillId="0" borderId="43" xfId="54" applyFont="1" applyBorder="1" applyProtection="1">
      <alignment/>
      <protection/>
    </xf>
    <xf numFmtId="0" fontId="38" fillId="33" borderId="22" xfId="54" applyFont="1" applyFill="1" applyBorder="1" applyProtection="1">
      <alignment/>
      <protection/>
    </xf>
    <xf numFmtId="0" fontId="5" fillId="0" borderId="43" xfId="54" applyFont="1" applyBorder="1" applyAlignment="1" applyProtection="1">
      <alignment horizontal="center"/>
      <protection/>
    </xf>
    <xf numFmtId="0" fontId="5" fillId="0" borderId="22" xfId="54" applyFont="1" applyBorder="1" applyAlignment="1" applyProtection="1">
      <alignment horizontal="center"/>
      <protection/>
    </xf>
    <xf numFmtId="0" fontId="39" fillId="34" borderId="22" xfId="54" applyFont="1" applyFill="1" applyBorder="1" applyProtection="1">
      <alignment/>
      <protection/>
    </xf>
    <xf numFmtId="0" fontId="40" fillId="37" borderId="22" xfId="54" applyFont="1" applyFill="1" applyBorder="1" applyProtection="1">
      <alignment/>
      <protection/>
    </xf>
    <xf numFmtId="0" fontId="41" fillId="34" borderId="44" xfId="54" applyFont="1" applyFill="1" applyBorder="1" applyAlignment="1" applyProtection="1">
      <alignment horizontal="center"/>
      <protection/>
    </xf>
    <xf numFmtId="0" fontId="41" fillId="34" borderId="43" xfId="54" applyFont="1" applyFill="1" applyBorder="1" applyProtection="1">
      <alignment/>
      <protection/>
    </xf>
    <xf numFmtId="0" fontId="41" fillId="34" borderId="24" xfId="54" applyFont="1" applyFill="1" applyBorder="1" applyProtection="1">
      <alignment/>
      <protection/>
    </xf>
    <xf numFmtId="0" fontId="7" fillId="37" borderId="44" xfId="54" applyFont="1" applyFill="1" applyBorder="1" applyAlignment="1" applyProtection="1">
      <alignment horizontal="center"/>
      <protection/>
    </xf>
    <xf numFmtId="0" fontId="7" fillId="37" borderId="43" xfId="54" applyFont="1" applyFill="1" applyBorder="1" applyProtection="1">
      <alignment/>
      <protection/>
    </xf>
    <xf numFmtId="0" fontId="7" fillId="37" borderId="24" xfId="54" applyFont="1" applyFill="1" applyBorder="1" applyProtection="1">
      <alignment/>
      <protection/>
    </xf>
    <xf numFmtId="0" fontId="42" fillId="33" borderId="22" xfId="54" applyFont="1" applyFill="1" applyBorder="1" applyProtection="1">
      <alignment/>
      <protection/>
    </xf>
    <xf numFmtId="0" fontId="43" fillId="36" borderId="22" xfId="54" applyFont="1" applyFill="1" applyBorder="1" applyProtection="1">
      <alignment/>
      <protection/>
    </xf>
    <xf numFmtId="7" fontId="19" fillId="0" borderId="22" xfId="54" applyNumberFormat="1" applyFont="1" applyBorder="1" applyAlignment="1" applyProtection="1">
      <alignment horizontal="center"/>
      <protection/>
    </xf>
    <xf numFmtId="0" fontId="46" fillId="0" borderId="28" xfId="54" applyFont="1" applyBorder="1" applyAlignment="1" applyProtection="1">
      <alignment horizontal="center"/>
      <protection/>
    </xf>
    <xf numFmtId="7" fontId="2" fillId="0" borderId="20" xfId="54" applyNumberFormat="1" applyFont="1" applyBorder="1" applyAlignment="1" applyProtection="1">
      <alignment horizontal="right"/>
      <protection/>
    </xf>
    <xf numFmtId="0" fontId="47" fillId="0" borderId="0" xfId="54" applyFont="1" applyBorder="1" applyAlignment="1" applyProtection="1">
      <alignment horizontal="center"/>
      <protection/>
    </xf>
    <xf numFmtId="2" fontId="39" fillId="34" borderId="22" xfId="54" applyNumberFormat="1" applyFont="1" applyFill="1" applyBorder="1" applyAlignment="1" applyProtection="1">
      <alignment horizontal="center"/>
      <protection locked="0"/>
    </xf>
    <xf numFmtId="2" fontId="40" fillId="37" borderId="22" xfId="54" applyNumberFormat="1" applyFont="1" applyFill="1" applyBorder="1" applyAlignment="1" applyProtection="1">
      <alignment horizontal="center"/>
      <protection locked="0"/>
    </xf>
    <xf numFmtId="170" fontId="41" fillId="34" borderId="44" xfId="54" applyNumberFormat="1" applyFont="1" applyFill="1" applyBorder="1" applyAlignment="1" applyProtection="1" quotePrefix="1">
      <alignment horizontal="center"/>
      <protection locked="0"/>
    </xf>
    <xf numFmtId="170" fontId="41" fillId="34" borderId="43" xfId="54" applyNumberFormat="1" applyFont="1" applyFill="1" applyBorder="1" applyAlignment="1" applyProtection="1" quotePrefix="1">
      <alignment horizontal="center"/>
      <protection locked="0"/>
    </xf>
    <xf numFmtId="4" fontId="41" fillId="34" borderId="24" xfId="54" applyNumberFormat="1" applyFont="1" applyFill="1" applyBorder="1" applyAlignment="1" applyProtection="1">
      <alignment horizontal="center"/>
      <protection locked="0"/>
    </xf>
    <xf numFmtId="170" fontId="7" fillId="37" borderId="44" xfId="54" applyNumberFormat="1" applyFont="1" applyFill="1" applyBorder="1" applyAlignment="1" applyProtection="1" quotePrefix="1">
      <alignment horizontal="center"/>
      <protection locked="0"/>
    </xf>
    <xf numFmtId="170" fontId="7" fillId="37" borderId="43" xfId="54" applyNumberFormat="1" applyFont="1" applyFill="1" applyBorder="1" applyAlignment="1" applyProtection="1" quotePrefix="1">
      <alignment horizontal="center"/>
      <protection locked="0"/>
    </xf>
    <xf numFmtId="4" fontId="7" fillId="37" borderId="24" xfId="54" applyNumberFormat="1" applyFont="1" applyFill="1" applyBorder="1" applyAlignment="1" applyProtection="1">
      <alignment horizontal="center"/>
      <protection locked="0"/>
    </xf>
    <xf numFmtId="4" fontId="42" fillId="33" borderId="22" xfId="54" applyNumberFormat="1" applyFont="1" applyFill="1" applyBorder="1" applyAlignment="1" applyProtection="1">
      <alignment horizontal="center"/>
      <protection locked="0"/>
    </xf>
    <xf numFmtId="4" fontId="43" fillId="36" borderId="22" xfId="54" applyNumberFormat="1" applyFont="1" applyFill="1" applyBorder="1" applyAlignment="1" applyProtection="1">
      <alignment horizontal="center"/>
      <protection locked="0"/>
    </xf>
    <xf numFmtId="2" fontId="39" fillId="34" borderId="26" xfId="54" applyNumberFormat="1" applyFont="1" applyFill="1" applyBorder="1" applyAlignment="1" applyProtection="1">
      <alignment horizontal="center"/>
      <protection locked="0"/>
    </xf>
    <xf numFmtId="2" fontId="40" fillId="37" borderId="26" xfId="54" applyNumberFormat="1" applyFont="1" applyFill="1" applyBorder="1" applyAlignment="1" applyProtection="1">
      <alignment horizontal="center"/>
      <protection locked="0"/>
    </xf>
    <xf numFmtId="170" fontId="41" fillId="34" borderId="45" xfId="54" applyNumberFormat="1" applyFont="1" applyFill="1" applyBorder="1" applyAlignment="1" applyProtection="1" quotePrefix="1">
      <alignment horizontal="center"/>
      <protection locked="0"/>
    </xf>
    <xf numFmtId="170" fontId="41" fillId="34" borderId="46" xfId="54" applyNumberFormat="1" applyFont="1" applyFill="1" applyBorder="1" applyAlignment="1" applyProtection="1" quotePrefix="1">
      <alignment horizontal="center"/>
      <protection locked="0"/>
    </xf>
    <xf numFmtId="4" fontId="41" fillId="34" borderId="47" xfId="54" applyNumberFormat="1" applyFont="1" applyFill="1" applyBorder="1" applyAlignment="1" applyProtection="1">
      <alignment horizontal="center"/>
      <protection locked="0"/>
    </xf>
    <xf numFmtId="170" fontId="7" fillId="37" borderId="45" xfId="54" applyNumberFormat="1" applyFont="1" applyFill="1" applyBorder="1" applyAlignment="1" applyProtection="1" quotePrefix="1">
      <alignment horizontal="center"/>
      <protection locked="0"/>
    </xf>
    <xf numFmtId="170" fontId="7" fillId="37" borderId="46" xfId="54" applyNumberFormat="1" applyFont="1" applyFill="1" applyBorder="1" applyAlignment="1" applyProtection="1" quotePrefix="1">
      <alignment horizontal="center"/>
      <protection locked="0"/>
    </xf>
    <xf numFmtId="4" fontId="7" fillId="37" borderId="47" xfId="54" applyNumberFormat="1" applyFont="1" applyFill="1" applyBorder="1" applyAlignment="1" applyProtection="1">
      <alignment horizontal="center"/>
      <protection locked="0"/>
    </xf>
    <xf numFmtId="4" fontId="42" fillId="33" borderId="26" xfId="54" applyNumberFormat="1" applyFont="1" applyFill="1" applyBorder="1" applyAlignment="1" applyProtection="1">
      <alignment horizontal="center"/>
      <protection locked="0"/>
    </xf>
    <xf numFmtId="4" fontId="43" fillId="36" borderId="26" xfId="54" applyNumberFormat="1" applyFont="1" applyFill="1" applyBorder="1" applyAlignment="1" applyProtection="1">
      <alignment horizontal="center"/>
      <protection locked="0"/>
    </xf>
    <xf numFmtId="0" fontId="12" fillId="0" borderId="0" xfId="54" applyFont="1" applyAlignment="1" applyProtection="1">
      <alignment/>
      <protection/>
    </xf>
    <xf numFmtId="0" fontId="5" fillId="0" borderId="10" xfId="54" applyFont="1" applyFill="1" applyBorder="1" applyProtection="1">
      <alignment/>
      <protection/>
    </xf>
    <xf numFmtId="0" fontId="5" fillId="0" borderId="11" xfId="54" applyFont="1" applyFill="1" applyBorder="1" applyProtection="1">
      <alignment/>
      <protection/>
    </xf>
    <xf numFmtId="0" fontId="5" fillId="0" borderId="12" xfId="54" applyFont="1" applyFill="1" applyBorder="1" applyProtection="1">
      <alignment/>
      <protection/>
    </xf>
    <xf numFmtId="0" fontId="14" fillId="0" borderId="0" xfId="54" applyFont="1" applyProtection="1">
      <alignment/>
      <protection/>
    </xf>
    <xf numFmtId="0" fontId="14" fillId="0" borderId="13" xfId="54" applyFont="1" applyFill="1" applyBorder="1" applyProtection="1">
      <alignment/>
      <protection/>
    </xf>
    <xf numFmtId="0" fontId="14" fillId="0" borderId="14" xfId="54" applyFont="1" applyFill="1" applyBorder="1" applyProtection="1">
      <alignment/>
      <protection/>
    </xf>
    <xf numFmtId="0" fontId="5" fillId="0" borderId="13" xfId="54" applyFont="1" applyFill="1" applyBorder="1" applyProtection="1">
      <alignment/>
      <protection/>
    </xf>
    <xf numFmtId="0" fontId="17" fillId="0" borderId="0" xfId="54" applyFont="1" applyFill="1" applyBorder="1" applyProtection="1">
      <alignment/>
      <protection/>
    </xf>
    <xf numFmtId="0" fontId="5" fillId="0" borderId="14" xfId="54" applyFont="1" applyFill="1" applyBorder="1" applyProtection="1">
      <alignment/>
      <protection/>
    </xf>
    <xf numFmtId="0" fontId="18" fillId="0" borderId="0" xfId="54" applyFont="1" applyBorder="1" applyAlignment="1" applyProtection="1">
      <alignment/>
      <protection/>
    </xf>
    <xf numFmtId="0" fontId="23" fillId="0" borderId="13" xfId="54" applyFont="1" applyFill="1" applyBorder="1" applyAlignment="1" applyProtection="1">
      <alignment horizontal="centerContinuous"/>
      <protection/>
    </xf>
    <xf numFmtId="0" fontId="23" fillId="0" borderId="0" xfId="54" applyFont="1" applyFill="1" applyBorder="1" applyAlignment="1" applyProtection="1">
      <alignment horizontal="centerContinuous"/>
      <protection/>
    </xf>
    <xf numFmtId="0" fontId="22" fillId="0" borderId="0" xfId="54" applyFont="1" applyFill="1" applyBorder="1" applyAlignment="1" applyProtection="1">
      <alignment horizontal="centerContinuous"/>
      <protection/>
    </xf>
    <xf numFmtId="0" fontId="22" fillId="0" borderId="14" xfId="54" applyFont="1" applyFill="1" applyBorder="1" applyAlignment="1" applyProtection="1">
      <alignment horizontal="centerContinuous"/>
      <protection/>
    </xf>
    <xf numFmtId="0" fontId="49" fillId="0" borderId="0" xfId="54" applyFont="1" applyFill="1" applyBorder="1" applyAlignment="1" applyProtection="1" quotePrefix="1">
      <alignment horizontal="left"/>
      <protection/>
    </xf>
    <xf numFmtId="0" fontId="1" fillId="0" borderId="0" xfId="54" applyFont="1" applyFill="1" applyBorder="1" applyProtection="1">
      <alignment/>
      <protection/>
    </xf>
    <xf numFmtId="0" fontId="1" fillId="0" borderId="28" xfId="54" applyFont="1" applyFill="1" applyBorder="1" applyProtection="1">
      <alignment/>
      <protection/>
    </xf>
    <xf numFmtId="0" fontId="1" fillId="0" borderId="20" xfId="54" applyFont="1" applyFill="1" applyBorder="1" applyAlignment="1" applyProtection="1">
      <alignment horizontal="center"/>
      <protection/>
    </xf>
    <xf numFmtId="0" fontId="1" fillId="0" borderId="0" xfId="54" applyFont="1" applyFill="1" applyBorder="1" applyAlignment="1" applyProtection="1">
      <alignment horizontal="center" vertical="center"/>
      <protection/>
    </xf>
    <xf numFmtId="173" fontId="1" fillId="0" borderId="0" xfId="54" applyNumberFormat="1" applyFont="1" applyFill="1" applyBorder="1" applyAlignment="1" applyProtection="1">
      <alignment horizontal="center" vertical="center"/>
      <protection/>
    </xf>
    <xf numFmtId="168" fontId="1" fillId="0" borderId="16" xfId="54" applyNumberFormat="1" applyFont="1" applyFill="1" applyBorder="1" applyAlignment="1" applyProtection="1">
      <alignment horizontal="center"/>
      <protection/>
    </xf>
    <xf numFmtId="22" fontId="1" fillId="0" borderId="0" xfId="54" applyNumberFormat="1" applyFont="1" applyFill="1" applyBorder="1" applyProtection="1">
      <alignment/>
      <protection/>
    </xf>
    <xf numFmtId="0" fontId="5" fillId="0" borderId="13" xfId="54" applyFont="1" applyFill="1" applyBorder="1" applyAlignment="1" applyProtection="1">
      <alignment horizontal="center" vertical="center"/>
      <protection/>
    </xf>
    <xf numFmtId="0" fontId="37" fillId="33" borderId="20" xfId="54" applyFont="1" applyFill="1" applyBorder="1" applyAlignment="1" applyProtection="1">
      <alignment horizontal="center" vertical="center" wrapText="1"/>
      <protection/>
    </xf>
    <xf numFmtId="0" fontId="5" fillId="0" borderId="14" xfId="54" applyFont="1" applyBorder="1" applyAlignment="1" applyProtection="1">
      <alignment horizontal="center" vertical="center"/>
      <protection/>
    </xf>
    <xf numFmtId="0" fontId="5" fillId="0" borderId="0" xfId="54" applyFont="1" applyAlignment="1" applyProtection="1">
      <alignment horizontal="center" vertical="center"/>
      <protection/>
    </xf>
    <xf numFmtId="0" fontId="1" fillId="0" borderId="29" xfId="54" applyFont="1" applyFill="1" applyBorder="1" applyAlignment="1" applyProtection="1">
      <alignment horizontal="center"/>
      <protection/>
    </xf>
    <xf numFmtId="168" fontId="1" fillId="0" borderId="29" xfId="54" applyNumberFormat="1" applyFont="1" applyFill="1" applyBorder="1" applyAlignment="1" applyProtection="1">
      <alignment horizontal="center"/>
      <protection/>
    </xf>
    <xf numFmtId="0" fontId="57" fillId="33" borderId="29" xfId="54" applyFont="1" applyFill="1" applyBorder="1" applyAlignment="1" applyProtection="1">
      <alignment horizontal="left"/>
      <protection/>
    </xf>
    <xf numFmtId="0" fontId="5" fillId="0" borderId="22" xfId="54" applyFont="1" applyFill="1" applyBorder="1" applyAlignment="1" applyProtection="1">
      <alignment horizontal="center"/>
      <protection/>
    </xf>
    <xf numFmtId="0" fontId="5" fillId="0" borderId="22" xfId="54" applyFont="1" applyFill="1" applyBorder="1" applyProtection="1">
      <alignment/>
      <protection/>
    </xf>
    <xf numFmtId="0" fontId="43" fillId="33" borderId="22" xfId="54" applyFont="1" applyFill="1" applyBorder="1" applyProtection="1">
      <alignment/>
      <protection/>
    </xf>
    <xf numFmtId="170" fontId="5" fillId="0" borderId="22" xfId="54" applyNumberFormat="1" applyFont="1" applyFill="1" applyBorder="1" applyAlignment="1" applyProtection="1">
      <alignment horizontal="center"/>
      <protection/>
    </xf>
    <xf numFmtId="7" fontId="62" fillId="0" borderId="27" xfId="54" applyNumberFormat="1" applyFont="1" applyFill="1" applyBorder="1" applyAlignment="1" applyProtection="1">
      <alignment horizontal="right"/>
      <protection/>
    </xf>
    <xf numFmtId="7" fontId="2" fillId="0" borderId="20" xfId="54" applyNumberFormat="1" applyFont="1" applyFill="1" applyBorder="1" applyAlignment="1" applyProtection="1">
      <alignment horizontal="right"/>
      <protection/>
    </xf>
    <xf numFmtId="0" fontId="46" fillId="0" borderId="13" xfId="54" applyFont="1" applyFill="1" applyBorder="1" applyProtection="1">
      <alignment/>
      <protection/>
    </xf>
    <xf numFmtId="0" fontId="46" fillId="0" borderId="0" xfId="54" applyFont="1" applyFill="1" applyBorder="1" applyProtection="1">
      <alignment/>
      <protection/>
    </xf>
    <xf numFmtId="7" fontId="63" fillId="0" borderId="0" xfId="54" applyNumberFormat="1" applyFont="1" applyFill="1" applyBorder="1" applyAlignment="1" applyProtection="1">
      <alignment horizontal="right"/>
      <protection/>
    </xf>
    <xf numFmtId="0" fontId="5" fillId="0" borderId="17" xfId="54" applyFont="1" applyFill="1" applyBorder="1" applyProtection="1">
      <alignment/>
      <protection/>
    </xf>
    <xf numFmtId="0" fontId="5" fillId="0" borderId="18" xfId="54" applyFont="1" applyFill="1" applyBorder="1" applyProtection="1">
      <alignment/>
      <protection/>
    </xf>
    <xf numFmtId="0" fontId="5" fillId="0" borderId="19" xfId="54" applyFont="1" applyFill="1" applyBorder="1" applyProtection="1">
      <alignment/>
      <protection/>
    </xf>
    <xf numFmtId="0" fontId="9" fillId="0" borderId="0" xfId="54" applyFont="1" applyFill="1" applyAlignment="1" applyProtection="1">
      <alignment horizontal="centerContinuous"/>
      <protection/>
    </xf>
    <xf numFmtId="0" fontId="12" fillId="0" borderId="0" xfId="54" applyFont="1" applyFill="1" applyAlignment="1" applyProtection="1">
      <alignment/>
      <protection/>
    </xf>
    <xf numFmtId="0" fontId="12" fillId="0" borderId="0" xfId="54" applyFont="1" applyFill="1" applyProtection="1">
      <alignment/>
      <protection/>
    </xf>
    <xf numFmtId="0" fontId="14" fillId="0" borderId="0" xfId="54" applyFont="1" applyFill="1" applyProtection="1">
      <alignment/>
      <protection/>
    </xf>
    <xf numFmtId="0" fontId="14" fillId="0" borderId="14" xfId="54" applyFont="1" applyBorder="1" applyProtection="1">
      <alignment/>
      <protection/>
    </xf>
    <xf numFmtId="0" fontId="22" fillId="0" borderId="0" xfId="54" applyFont="1" applyFill="1" applyAlignment="1" applyProtection="1">
      <alignment horizontal="centerContinuous"/>
      <protection/>
    </xf>
    <xf numFmtId="0" fontId="1" fillId="0" borderId="0" xfId="54" applyFont="1" applyFill="1" applyProtection="1">
      <alignment/>
      <protection/>
    </xf>
    <xf numFmtId="22" fontId="64" fillId="0" borderId="0" xfId="54" applyNumberFormat="1" applyFont="1" applyFill="1" applyBorder="1" applyProtection="1">
      <alignment/>
      <protection/>
    </xf>
    <xf numFmtId="0" fontId="1" fillId="0" borderId="0" xfId="54" applyFont="1" applyFill="1" applyBorder="1" applyAlignment="1" applyProtection="1" quotePrefix="1">
      <alignment horizontal="center"/>
      <protection/>
    </xf>
    <xf numFmtId="172" fontId="1" fillId="0" borderId="16" xfId="54" applyNumberFormat="1" applyFont="1" applyFill="1" applyBorder="1" applyAlignment="1" applyProtection="1" quotePrefix="1">
      <alignment horizontal="center"/>
      <protection/>
    </xf>
    <xf numFmtId="0" fontId="5" fillId="0" borderId="48" xfId="54" applyFont="1" applyFill="1" applyBorder="1" applyAlignment="1" applyProtection="1">
      <alignment horizontal="center"/>
      <protection/>
    </xf>
    <xf numFmtId="0" fontId="65" fillId="37" borderId="20" xfId="54" applyFont="1" applyFill="1" applyBorder="1" applyAlignment="1" applyProtection="1">
      <alignment horizontal="center" vertical="center" wrapText="1"/>
      <protection/>
    </xf>
    <xf numFmtId="0" fontId="33" fillId="38" borderId="15" xfId="54" applyFont="1" applyFill="1" applyBorder="1" applyAlignment="1" applyProtection="1">
      <alignment horizontal="centerContinuous" vertical="center" wrapText="1"/>
      <protection/>
    </xf>
    <xf numFmtId="0" fontId="33" fillId="38" borderId="16" xfId="54" applyFont="1" applyFill="1" applyBorder="1" applyAlignment="1" applyProtection="1">
      <alignment horizontal="centerContinuous" vertical="center"/>
      <protection/>
    </xf>
    <xf numFmtId="0" fontId="66" fillId="39" borderId="20" xfId="54" applyFont="1" applyFill="1" applyBorder="1" applyAlignment="1" applyProtection="1">
      <alignment horizontal="center" vertical="center" wrapText="1"/>
      <protection/>
    </xf>
    <xf numFmtId="0" fontId="5" fillId="0" borderId="14" xfId="54" applyFont="1" applyBorder="1" applyAlignment="1" applyProtection="1">
      <alignment horizontal="center"/>
      <protection/>
    </xf>
    <xf numFmtId="0" fontId="5" fillId="0" borderId="48" xfId="54" applyFont="1" applyFill="1" applyBorder="1" applyProtection="1">
      <alignment/>
      <protection/>
    </xf>
    <xf numFmtId="0" fontId="1" fillId="0" borderId="49" xfId="54" applyFont="1" applyFill="1" applyBorder="1" applyProtection="1">
      <alignment/>
      <protection/>
    </xf>
    <xf numFmtId="0" fontId="1" fillId="0" borderId="50" xfId="54" applyFont="1" applyFill="1" applyBorder="1" applyAlignment="1" applyProtection="1">
      <alignment horizontal="center"/>
      <protection/>
    </xf>
    <xf numFmtId="168" fontId="1" fillId="0" borderId="50" xfId="54" applyNumberFormat="1" applyFont="1" applyFill="1" applyBorder="1" applyAlignment="1" applyProtection="1">
      <alignment horizontal="center"/>
      <protection/>
    </xf>
    <xf numFmtId="0" fontId="67" fillId="34" borderId="29" xfId="54" applyFont="1" applyFill="1" applyBorder="1" applyAlignment="1" applyProtection="1">
      <alignment horizontal="center"/>
      <protection/>
    </xf>
    <xf numFmtId="0" fontId="68" fillId="33" borderId="29" xfId="54" applyNumberFormat="1" applyFont="1" applyFill="1" applyBorder="1" applyAlignment="1" applyProtection="1">
      <alignment horizontal="center"/>
      <protection/>
    </xf>
    <xf numFmtId="0" fontId="69" fillId="37" borderId="29" xfId="54" applyFont="1" applyFill="1" applyBorder="1" applyAlignment="1" applyProtection="1">
      <alignment horizontal="center"/>
      <protection/>
    </xf>
    <xf numFmtId="0" fontId="55" fillId="38" borderId="41" xfId="54" applyFont="1" applyFill="1" applyBorder="1" applyAlignment="1" applyProtection="1">
      <alignment horizontal="center"/>
      <protection/>
    </xf>
    <xf numFmtId="0" fontId="55" fillId="38" borderId="42" xfId="54" applyFont="1" applyFill="1" applyBorder="1" applyAlignment="1" applyProtection="1">
      <alignment horizontal="left"/>
      <protection/>
    </xf>
    <xf numFmtId="0" fontId="70" fillId="39" borderId="29" xfId="54" applyFont="1" applyFill="1" applyBorder="1" applyAlignment="1" applyProtection="1">
      <alignment horizontal="left"/>
      <protection/>
    </xf>
    <xf numFmtId="0" fontId="5" fillId="0" borderId="51" xfId="54" applyFont="1" applyFill="1" applyBorder="1" applyProtection="1">
      <alignment/>
      <protection/>
    </xf>
    <xf numFmtId="0" fontId="5" fillId="0" borderId="52" xfId="54" applyFont="1" applyFill="1" applyBorder="1" applyProtection="1">
      <alignment/>
      <protection/>
    </xf>
    <xf numFmtId="0" fontId="48" fillId="34" borderId="22" xfId="54" applyFont="1" applyFill="1" applyBorder="1" applyProtection="1">
      <alignment/>
      <protection/>
    </xf>
    <xf numFmtId="0" fontId="5" fillId="0" borderId="24" xfId="54" applyFont="1" applyFill="1" applyBorder="1" applyAlignment="1" applyProtection="1">
      <alignment horizontal="center"/>
      <protection/>
    </xf>
    <xf numFmtId="0" fontId="5" fillId="0" borderId="23" xfId="54" applyFont="1" applyFill="1" applyBorder="1" applyAlignment="1" applyProtection="1">
      <alignment horizontal="center"/>
      <protection/>
    </xf>
    <xf numFmtId="0" fontId="5" fillId="0" borderId="53" xfId="54" applyFont="1" applyFill="1" applyBorder="1" applyProtection="1">
      <alignment/>
      <protection/>
    </xf>
    <xf numFmtId="0" fontId="71" fillId="33" borderId="22" xfId="54" applyNumberFormat="1" applyFont="1" applyFill="1" applyBorder="1" applyProtection="1">
      <alignment/>
      <protection/>
    </xf>
    <xf numFmtId="0" fontId="72" fillId="37" borderId="25" xfId="54" applyFont="1" applyFill="1" applyBorder="1" applyProtection="1">
      <alignment/>
      <protection/>
    </xf>
    <xf numFmtId="0" fontId="41" fillId="38" borderId="44" xfId="54" applyFont="1" applyFill="1" applyBorder="1" applyAlignment="1" applyProtection="1">
      <alignment horizontal="center"/>
      <protection/>
    </xf>
    <xf numFmtId="0" fontId="41" fillId="38" borderId="24" xfId="54" applyFont="1" applyFill="1" applyBorder="1" applyProtection="1">
      <alignment/>
      <protection/>
    </xf>
    <xf numFmtId="0" fontId="73" fillId="39" borderId="22" xfId="54" applyFont="1" applyFill="1" applyBorder="1" applyProtection="1">
      <alignment/>
      <protection/>
    </xf>
    <xf numFmtId="172" fontId="48" fillId="34" borderId="35" xfId="54" applyNumberFormat="1" applyFont="1" applyFill="1" applyBorder="1" applyAlignment="1" applyProtection="1">
      <alignment horizontal="center"/>
      <protection/>
    </xf>
    <xf numFmtId="0" fontId="71" fillId="33" borderId="35" xfId="54" applyNumberFormat="1" applyFont="1" applyFill="1" applyBorder="1" applyAlignment="1" applyProtection="1">
      <alignment horizontal="center"/>
      <protection/>
    </xf>
    <xf numFmtId="2" fontId="72" fillId="37" borderId="22" xfId="54" applyNumberFormat="1" applyFont="1" applyFill="1" applyBorder="1" applyAlignment="1" applyProtection="1">
      <alignment horizontal="center"/>
      <protection/>
    </xf>
    <xf numFmtId="2" fontId="41" fillId="38" borderId="44" xfId="54" applyNumberFormat="1" applyFont="1" applyFill="1" applyBorder="1" applyAlignment="1" applyProtection="1">
      <alignment horizontal="center"/>
      <protection/>
    </xf>
    <xf numFmtId="2" fontId="41" fillId="38" borderId="24" xfId="54" applyNumberFormat="1" applyFont="1" applyFill="1" applyBorder="1" applyAlignment="1" applyProtection="1">
      <alignment horizontal="center"/>
      <protection/>
    </xf>
    <xf numFmtId="2" fontId="73" fillId="39" borderId="35" xfId="54" applyNumberFormat="1" applyFont="1" applyFill="1" applyBorder="1" applyAlignment="1" applyProtection="1">
      <alignment horizontal="center"/>
      <protection/>
    </xf>
    <xf numFmtId="170" fontId="74" fillId="0" borderId="35" xfId="54" applyNumberFormat="1" applyFont="1" applyFill="1" applyBorder="1" applyAlignment="1" applyProtection="1">
      <alignment horizontal="center"/>
      <protection/>
    </xf>
    <xf numFmtId="2" fontId="75" fillId="0" borderId="35" xfId="54" applyNumberFormat="1" applyFont="1" applyFill="1" applyBorder="1" applyAlignment="1" applyProtection="1">
      <alignment horizontal="right"/>
      <protection/>
    </xf>
    <xf numFmtId="170" fontId="48" fillId="34" borderId="38" xfId="54" applyNumberFormat="1" applyFont="1" applyFill="1" applyBorder="1" applyAlignment="1" applyProtection="1">
      <alignment horizontal="center"/>
      <protection/>
    </xf>
    <xf numFmtId="0" fontId="71" fillId="33" borderId="38" xfId="54" applyNumberFormat="1" applyFont="1" applyFill="1" applyBorder="1" applyAlignment="1" applyProtection="1">
      <alignment horizontal="center"/>
      <protection/>
    </xf>
    <xf numFmtId="2" fontId="76" fillId="37" borderId="38" xfId="54" applyNumberFormat="1" applyFont="1" applyFill="1" applyBorder="1" applyAlignment="1" applyProtection="1">
      <alignment horizontal="center"/>
      <protection/>
    </xf>
    <xf numFmtId="170" fontId="77" fillId="38" borderId="54" xfId="54" applyNumberFormat="1" applyFont="1" applyFill="1" applyBorder="1" applyAlignment="1" applyProtection="1" quotePrefix="1">
      <alignment horizontal="center"/>
      <protection/>
    </xf>
    <xf numFmtId="170" fontId="77" fillId="38" borderId="55" xfId="54" applyNumberFormat="1" applyFont="1" applyFill="1" applyBorder="1" applyAlignment="1" applyProtection="1" quotePrefix="1">
      <alignment horizontal="center"/>
      <protection/>
    </xf>
    <xf numFmtId="170" fontId="78" fillId="39" borderId="38" xfId="54" applyNumberFormat="1" applyFont="1" applyFill="1" applyBorder="1" applyAlignment="1" applyProtection="1" quotePrefix="1">
      <alignment horizontal="center"/>
      <protection/>
    </xf>
    <xf numFmtId="170" fontId="62" fillId="0" borderId="38" xfId="54" applyNumberFormat="1" applyFont="1" applyFill="1" applyBorder="1" applyAlignment="1" applyProtection="1">
      <alignment horizontal="center"/>
      <protection/>
    </xf>
    <xf numFmtId="7" fontId="79" fillId="0" borderId="56" xfId="54" applyNumberFormat="1" applyFont="1" applyFill="1" applyBorder="1" applyAlignment="1" applyProtection="1">
      <alignment horizontal="right"/>
      <protection/>
    </xf>
    <xf numFmtId="4" fontId="80" fillId="0" borderId="0" xfId="54" applyNumberFormat="1" applyFont="1" applyFill="1" applyBorder="1" applyAlignment="1" applyProtection="1">
      <alignment horizontal="center"/>
      <protection/>
    </xf>
    <xf numFmtId="4" fontId="41" fillId="0" borderId="0" xfId="54" applyNumberFormat="1" applyFont="1" applyFill="1" applyBorder="1" applyAlignment="1" applyProtection="1">
      <alignment horizontal="center"/>
      <protection/>
    </xf>
    <xf numFmtId="4" fontId="17" fillId="0" borderId="11" xfId="54" applyNumberFormat="1" applyFont="1" applyFill="1" applyBorder="1" applyAlignment="1" applyProtection="1">
      <alignment horizontal="center"/>
      <protection/>
    </xf>
    <xf numFmtId="2" fontId="5" fillId="0" borderId="57" xfId="54" applyNumberFormat="1" applyFont="1" applyBorder="1" applyProtection="1">
      <alignment/>
      <protection/>
    </xf>
    <xf numFmtId="4" fontId="81" fillId="0" borderId="0" xfId="54" applyNumberFormat="1" applyFont="1" applyFill="1" applyBorder="1" applyAlignment="1" applyProtection="1">
      <alignment horizontal="center"/>
      <protection/>
    </xf>
    <xf numFmtId="0" fontId="24" fillId="0" borderId="0" xfId="54" applyFont="1" applyBorder="1" applyAlignment="1">
      <alignment horizontal="center"/>
      <protection/>
    </xf>
    <xf numFmtId="0" fontId="83" fillId="0" borderId="0" xfId="54" applyNumberFormat="1" applyFont="1" applyBorder="1" applyAlignment="1">
      <alignment horizontal="left"/>
      <protection/>
    </xf>
    <xf numFmtId="0" fontId="36" fillId="40" borderId="20" xfId="0" applyFont="1" applyFill="1" applyBorder="1" applyAlignment="1" applyProtection="1">
      <alignment horizontal="center" vertical="center"/>
      <protection/>
    </xf>
    <xf numFmtId="0" fontId="85" fillId="40" borderId="29" xfId="0" applyFont="1" applyFill="1" applyBorder="1" applyAlignment="1">
      <alignment/>
    </xf>
    <xf numFmtId="0" fontId="85" fillId="40" borderId="35" xfId="0" applyFont="1" applyFill="1" applyBorder="1" applyAlignment="1">
      <alignment/>
    </xf>
    <xf numFmtId="4" fontId="85" fillId="40" borderId="35" xfId="0" applyNumberFormat="1" applyFont="1" applyFill="1" applyBorder="1" applyAlignment="1" applyProtection="1">
      <alignment horizontal="center"/>
      <protection/>
    </xf>
    <xf numFmtId="0" fontId="85" fillId="40" borderId="38" xfId="0" applyFont="1" applyFill="1" applyBorder="1" applyAlignment="1">
      <alignment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/>
      <protection locked="0"/>
    </xf>
    <xf numFmtId="0" fontId="5" fillId="0" borderId="35" xfId="0" applyFont="1" applyFill="1" applyBorder="1" applyAlignment="1" applyProtection="1">
      <alignment/>
      <protection locked="0"/>
    </xf>
    <xf numFmtId="170" fontId="5" fillId="0" borderId="35" xfId="0" applyNumberFormat="1" applyFon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 applyProtection="1">
      <alignment/>
      <protection locked="0"/>
    </xf>
    <xf numFmtId="0" fontId="5" fillId="41" borderId="22" xfId="54" applyFont="1" applyFill="1" applyBorder="1" applyAlignment="1" applyProtection="1">
      <alignment horizontal="center"/>
      <protection locked="0"/>
    </xf>
    <xf numFmtId="0" fontId="5" fillId="0" borderId="58" xfId="54" applyFont="1" applyBorder="1" applyAlignment="1" applyProtection="1">
      <alignment horizontal="center" vertical="center"/>
      <protection locked="0"/>
    </xf>
    <xf numFmtId="4" fontId="27" fillId="0" borderId="30" xfId="0" applyNumberFormat="1" applyFont="1" applyFill="1" applyBorder="1" applyAlignment="1">
      <alignment horizontal="right"/>
    </xf>
    <xf numFmtId="2" fontId="42" fillId="42" borderId="35" xfId="0" applyNumberFormat="1" applyFont="1" applyFill="1" applyBorder="1" applyAlignment="1">
      <alignment horizontal="center"/>
    </xf>
    <xf numFmtId="170" fontId="7" fillId="43" borderId="34" xfId="0" applyNumberFormat="1" applyFont="1" applyFill="1" applyBorder="1" applyAlignment="1" applyProtection="1" quotePrefix="1">
      <alignment horizontal="center"/>
      <protection/>
    </xf>
    <xf numFmtId="170" fontId="7" fillId="43" borderId="59" xfId="0" applyNumberFormat="1" applyFont="1" applyFill="1" applyBorder="1" applyAlignment="1" applyProtection="1" quotePrefix="1">
      <alignment horizontal="center"/>
      <protection/>
    </xf>
    <xf numFmtId="170" fontId="7" fillId="33" borderId="35" xfId="0" applyNumberFormat="1" applyFont="1" applyFill="1" applyBorder="1" applyAlignment="1" applyProtection="1" quotePrefix="1">
      <alignment horizontal="center"/>
      <protection/>
    </xf>
    <xf numFmtId="0" fontId="35" fillId="43" borderId="15" xfId="54" applyFont="1" applyFill="1" applyBorder="1" applyAlignment="1" applyProtection="1">
      <alignment horizontal="centerContinuous" vertical="center" wrapText="1"/>
      <protection/>
    </xf>
    <xf numFmtId="0" fontId="35" fillId="43" borderId="16" xfId="54" applyFont="1" applyFill="1" applyBorder="1" applyAlignment="1" applyProtection="1">
      <alignment horizontal="centerContinuous" vertical="center"/>
      <protection/>
    </xf>
    <xf numFmtId="0" fontId="56" fillId="43" borderId="41" xfId="54" applyFont="1" applyFill="1" applyBorder="1" applyAlignment="1" applyProtection="1">
      <alignment horizontal="center"/>
      <protection/>
    </xf>
    <xf numFmtId="0" fontId="56" fillId="43" borderId="42" xfId="54" applyFont="1" applyFill="1" applyBorder="1" applyAlignment="1" applyProtection="1">
      <alignment horizontal="left"/>
      <protection/>
    </xf>
    <xf numFmtId="0" fontId="7" fillId="43" borderId="44" xfId="54" applyFont="1" applyFill="1" applyBorder="1" applyAlignment="1" applyProtection="1">
      <alignment horizontal="center"/>
      <protection/>
    </xf>
    <xf numFmtId="0" fontId="7" fillId="43" borderId="24" xfId="54" applyFont="1" applyFill="1" applyBorder="1" applyProtection="1">
      <alignment/>
      <protection/>
    </xf>
    <xf numFmtId="170" fontId="7" fillId="43" borderId="45" xfId="54" applyNumberFormat="1" applyFont="1" applyFill="1" applyBorder="1" applyAlignment="1" applyProtection="1" quotePrefix="1">
      <alignment horizontal="center"/>
      <protection/>
    </xf>
    <xf numFmtId="170" fontId="7" fillId="43" borderId="47" xfId="54" applyNumberFormat="1" applyFont="1" applyFill="1" applyBorder="1" applyAlignment="1" applyProtection="1" quotePrefix="1">
      <alignment horizontal="center"/>
      <protection/>
    </xf>
    <xf numFmtId="0" fontId="33" fillId="44" borderId="20" xfId="54" applyFont="1" applyFill="1" applyBorder="1" applyAlignment="1" applyProtection="1">
      <alignment horizontal="centerContinuous" vertical="center" wrapText="1"/>
      <protection/>
    </xf>
    <xf numFmtId="0" fontId="33" fillId="44" borderId="16" xfId="54" applyFont="1" applyFill="1" applyBorder="1" applyAlignment="1" applyProtection="1">
      <alignment horizontal="centerContinuous" vertical="center"/>
      <protection/>
    </xf>
    <xf numFmtId="0" fontId="55" fillId="44" borderId="41" xfId="54" applyFont="1" applyFill="1" applyBorder="1" applyAlignment="1" applyProtection="1">
      <alignment horizontal="center"/>
      <protection/>
    </xf>
    <xf numFmtId="0" fontId="55" fillId="44" borderId="42" xfId="54" applyFont="1" applyFill="1" applyBorder="1" applyAlignment="1" applyProtection="1">
      <alignment horizontal="left"/>
      <protection/>
    </xf>
    <xf numFmtId="0" fontId="41" fillId="44" borderId="44" xfId="54" applyFont="1" applyFill="1" applyBorder="1" applyAlignment="1" applyProtection="1">
      <alignment horizontal="center"/>
      <protection/>
    </xf>
    <xf numFmtId="0" fontId="41" fillId="44" borderId="24" xfId="54" applyFont="1" applyFill="1" applyBorder="1" applyProtection="1">
      <alignment/>
      <protection/>
    </xf>
    <xf numFmtId="170" fontId="41" fillId="44" borderId="34" xfId="0" applyNumberFormat="1" applyFont="1" applyFill="1" applyBorder="1" applyAlignment="1" applyProtection="1" quotePrefix="1">
      <alignment horizontal="center"/>
      <protection/>
    </xf>
    <xf numFmtId="170" fontId="41" fillId="44" borderId="59" xfId="0" applyNumberFormat="1" applyFont="1" applyFill="1" applyBorder="1" applyAlignment="1" applyProtection="1" quotePrefix="1">
      <alignment horizontal="center"/>
      <protection/>
    </xf>
    <xf numFmtId="170" fontId="41" fillId="44" borderId="45" xfId="54" applyNumberFormat="1" applyFont="1" applyFill="1" applyBorder="1" applyAlignment="1" applyProtection="1" quotePrefix="1">
      <alignment horizontal="center"/>
      <protection/>
    </xf>
    <xf numFmtId="170" fontId="41" fillId="44" borderId="47" xfId="54" applyNumberFormat="1" applyFont="1" applyFill="1" applyBorder="1" applyAlignment="1" applyProtection="1" quotePrefix="1">
      <alignment horizontal="center"/>
      <protection/>
    </xf>
    <xf numFmtId="0" fontId="50" fillId="45" borderId="20" xfId="54" applyFont="1" applyFill="1" applyBorder="1" applyAlignment="1" applyProtection="1">
      <alignment horizontal="center" vertical="center" wrapText="1"/>
      <protection/>
    </xf>
    <xf numFmtId="0" fontId="54" fillId="45" borderId="29" xfId="54" applyFont="1" applyFill="1" applyBorder="1" applyAlignment="1" applyProtection="1">
      <alignment horizontal="center"/>
      <protection/>
    </xf>
    <xf numFmtId="0" fontId="60" fillId="45" borderId="22" xfId="54" applyFont="1" applyFill="1" applyBorder="1" applyProtection="1">
      <alignment/>
      <protection/>
    </xf>
    <xf numFmtId="2" fontId="42" fillId="45" borderId="35" xfId="0" applyNumberFormat="1" applyFont="1" applyFill="1" applyBorder="1" applyAlignment="1">
      <alignment horizontal="center"/>
    </xf>
    <xf numFmtId="2" fontId="60" fillId="45" borderId="26" xfId="54" applyNumberFormat="1" applyFont="1" applyFill="1" applyBorder="1" applyAlignment="1" applyProtection="1">
      <alignment horizontal="center"/>
      <protection/>
    </xf>
    <xf numFmtId="0" fontId="31" fillId="42" borderId="20" xfId="54" applyFont="1" applyFill="1" applyBorder="1" applyAlignment="1" applyProtection="1">
      <alignment horizontal="center" vertical="center" wrapText="1"/>
      <protection/>
    </xf>
    <xf numFmtId="0" fontId="53" fillId="42" borderId="29" xfId="54" applyFont="1" applyFill="1" applyBorder="1" applyAlignment="1" applyProtection="1">
      <alignment horizontal="center"/>
      <protection/>
    </xf>
    <xf numFmtId="0" fontId="39" fillId="42" borderId="22" xfId="54" applyFont="1" applyFill="1" applyBorder="1" applyProtection="1">
      <alignment/>
      <protection/>
    </xf>
    <xf numFmtId="2" fontId="39" fillId="42" borderId="26" xfId="54" applyNumberFormat="1" applyFont="1" applyFill="1" applyBorder="1" applyAlignment="1" applyProtection="1">
      <alignment horizontal="center"/>
      <protection/>
    </xf>
    <xf numFmtId="0" fontId="51" fillId="46" borderId="20" xfId="54" applyFont="1" applyFill="1" applyBorder="1" applyAlignment="1" applyProtection="1">
      <alignment horizontal="center" vertical="center" wrapText="1"/>
      <protection/>
    </xf>
    <xf numFmtId="0" fontId="58" fillId="46" borderId="29" xfId="54" applyFont="1" applyFill="1" applyBorder="1" applyAlignment="1" applyProtection="1">
      <alignment horizontal="left"/>
      <protection/>
    </xf>
    <xf numFmtId="0" fontId="61" fillId="46" borderId="22" xfId="54" applyFont="1" applyFill="1" applyBorder="1" applyProtection="1">
      <alignment/>
      <protection/>
    </xf>
    <xf numFmtId="170" fontId="86" fillId="46" borderId="35" xfId="0" applyNumberFormat="1" applyFont="1" applyFill="1" applyBorder="1" applyAlignment="1" applyProtection="1" quotePrefix="1">
      <alignment horizontal="center"/>
      <protection/>
    </xf>
    <xf numFmtId="170" fontId="61" fillId="46" borderId="26" xfId="54" applyNumberFormat="1" applyFont="1" applyFill="1" applyBorder="1" applyAlignment="1" applyProtection="1" quotePrefix="1">
      <alignment horizontal="center"/>
      <protection/>
    </xf>
    <xf numFmtId="0" fontId="46" fillId="0" borderId="0" xfId="54" applyFont="1" applyBorder="1" applyAlignment="1" applyProtection="1">
      <alignment horizontal="center"/>
      <protection/>
    </xf>
    <xf numFmtId="0" fontId="5" fillId="0" borderId="58" xfId="54" applyFont="1" applyFill="1" applyBorder="1" applyAlignment="1" applyProtection="1">
      <alignment horizontal="center"/>
      <protection locked="0"/>
    </xf>
    <xf numFmtId="0" fontId="5" fillId="0" borderId="25" xfId="54" applyFont="1" applyFill="1" applyBorder="1" applyAlignment="1" applyProtection="1">
      <alignment horizontal="center"/>
      <protection locked="0"/>
    </xf>
    <xf numFmtId="0" fontId="1" fillId="0" borderId="50" xfId="54" applyFont="1" applyFill="1" applyBorder="1" applyProtection="1">
      <alignment/>
      <protection/>
    </xf>
    <xf numFmtId="0" fontId="5" fillId="0" borderId="30" xfId="54" applyFont="1" applyFill="1" applyBorder="1" applyAlignment="1" applyProtection="1">
      <alignment horizontal="center"/>
      <protection locked="0"/>
    </xf>
    <xf numFmtId="0" fontId="28" fillId="0" borderId="20" xfId="0" applyFont="1" applyBorder="1" applyAlignment="1">
      <alignment horizontal="center" vertical="center"/>
    </xf>
    <xf numFmtId="0" fontId="1" fillId="34" borderId="43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43" xfId="0" applyFont="1" applyBorder="1" applyAlignment="1">
      <alignment/>
    </xf>
    <xf numFmtId="0" fontId="1" fillId="0" borderId="43" xfId="0" applyFont="1" applyBorder="1" applyAlignment="1" quotePrefix="1">
      <alignment/>
    </xf>
    <xf numFmtId="0" fontId="87" fillId="34" borderId="43" xfId="0" applyFont="1" applyFill="1" applyBorder="1" applyAlignment="1">
      <alignment horizontal="center"/>
    </xf>
    <xf numFmtId="0" fontId="1" fillId="47" borderId="0" xfId="0" applyFont="1" applyFill="1" applyAlignment="1">
      <alignment/>
    </xf>
    <xf numFmtId="0" fontId="1" fillId="47" borderId="0" xfId="0" applyNumberFormat="1" applyFont="1" applyFill="1" applyAlignment="1">
      <alignment/>
    </xf>
    <xf numFmtId="0" fontId="87" fillId="0" borderId="43" xfId="0" applyFont="1" applyFill="1" applyBorder="1" applyAlignment="1">
      <alignment horizontal="center"/>
    </xf>
    <xf numFmtId="0" fontId="1" fillId="47" borderId="0" xfId="54" applyFont="1" applyFill="1" applyAlignment="1">
      <alignment/>
      <protection/>
    </xf>
    <xf numFmtId="0" fontId="1" fillId="0" borderId="0" xfId="0" applyFont="1" applyFill="1" applyAlignment="1">
      <alignment/>
    </xf>
    <xf numFmtId="0" fontId="34" fillId="0" borderId="43" xfId="0" applyFont="1" applyBorder="1" applyAlignment="1">
      <alignment/>
    </xf>
    <xf numFmtId="0" fontId="34" fillId="0" borderId="43" xfId="0" applyFont="1" applyFill="1" applyBorder="1" applyAlignment="1">
      <alignment/>
    </xf>
    <xf numFmtId="0" fontId="34" fillId="0" borderId="60" xfId="0" applyFont="1" applyBorder="1" applyAlignment="1">
      <alignment/>
    </xf>
    <xf numFmtId="0" fontId="88" fillId="0" borderId="43" xfId="0" applyFont="1" applyFill="1" applyBorder="1" applyAlignment="1">
      <alignment/>
    </xf>
    <xf numFmtId="0" fontId="88" fillId="0" borderId="60" xfId="0" applyFont="1" applyFill="1" applyBorder="1" applyAlignment="1">
      <alignment/>
    </xf>
    <xf numFmtId="0" fontId="85" fillId="0" borderId="0" xfId="54" applyFont="1" applyFill="1" applyBorder="1" applyProtection="1">
      <alignment/>
      <protection/>
    </xf>
    <xf numFmtId="0" fontId="90" fillId="0" borderId="0" xfId="54" applyFont="1" applyFill="1" applyBorder="1" applyProtection="1">
      <alignment/>
      <protection/>
    </xf>
    <xf numFmtId="0" fontId="85" fillId="0" borderId="0" xfId="54" applyFont="1" applyBorder="1" applyProtection="1">
      <alignment/>
      <protection/>
    </xf>
    <xf numFmtId="2" fontId="5" fillId="0" borderId="61" xfId="54" applyNumberFormat="1" applyFont="1" applyBorder="1" applyAlignment="1" applyProtection="1">
      <alignment horizontal="center" vertical="center"/>
      <protection locked="0"/>
    </xf>
    <xf numFmtId="0" fontId="5" fillId="0" borderId="26" xfId="54" applyFont="1" applyFill="1" applyBorder="1" applyProtection="1">
      <alignment/>
      <protection locked="0"/>
    </xf>
    <xf numFmtId="2" fontId="5" fillId="0" borderId="32" xfId="54" applyNumberFormat="1" applyFont="1" applyBorder="1" applyAlignment="1" applyProtection="1">
      <alignment horizontal="center" vertical="center"/>
      <protection locked="0"/>
    </xf>
    <xf numFmtId="0" fontId="91" fillId="0" borderId="0" xfId="54" applyFont="1" applyBorder="1" applyAlignment="1" applyProtection="1">
      <alignment horizontal="left"/>
      <protection/>
    </xf>
    <xf numFmtId="0" fontId="1" fillId="0" borderId="0" xfId="56">
      <alignment/>
      <protection/>
    </xf>
    <xf numFmtId="0" fontId="82" fillId="0" borderId="0" xfId="56" applyFont="1" applyAlignment="1">
      <alignment horizontal="right" vertical="top"/>
      <protection/>
    </xf>
    <xf numFmtId="0" fontId="9" fillId="0" borderId="0" xfId="56" applyFont="1">
      <alignment/>
      <protection/>
    </xf>
    <xf numFmtId="0" fontId="10" fillId="0" borderId="0" xfId="56" applyFont="1" applyAlignment="1">
      <alignment horizontal="centerContinuous"/>
      <protection/>
    </xf>
    <xf numFmtId="0" fontId="87" fillId="0" borderId="0" xfId="56" applyFont="1">
      <alignment/>
      <protection/>
    </xf>
    <xf numFmtId="0" fontId="4" fillId="0" borderId="0" xfId="56" applyFont="1" applyBorder="1" applyAlignment="1" applyProtection="1">
      <alignment horizontal="centerContinuous" vertical="center"/>
      <protection/>
    </xf>
    <xf numFmtId="0" fontId="87" fillId="0" borderId="0" xfId="56" applyFont="1" applyAlignment="1">
      <alignment horizontal="centerContinuous" vertical="center"/>
      <protection/>
    </xf>
    <xf numFmtId="0" fontId="92" fillId="0" borderId="0" xfId="56" applyFont="1" applyBorder="1" applyAlignment="1">
      <alignment horizontal="centerContinuous"/>
      <protection/>
    </xf>
    <xf numFmtId="0" fontId="93" fillId="0" borderId="0" xfId="56" applyFont="1" applyBorder="1" applyAlignment="1" applyProtection="1">
      <alignment horizontal="left"/>
      <protection/>
    </xf>
    <xf numFmtId="0" fontId="94" fillId="0" borderId="0" xfId="56" applyFont="1" applyBorder="1" applyAlignment="1">
      <alignment horizontal="centerContinuous"/>
      <protection/>
    </xf>
    <xf numFmtId="0" fontId="95" fillId="0" borderId="0" xfId="56" applyFont="1" applyAlignment="1">
      <alignment horizontal="centerContinuous"/>
      <protection/>
    </xf>
    <xf numFmtId="0" fontId="1" fillId="0" borderId="0" xfId="56" applyAlignment="1">
      <alignment horizontal="centerContinuous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96" fillId="0" borderId="11" xfId="56" applyFont="1" applyBorder="1">
      <alignment/>
      <protection/>
    </xf>
    <xf numFmtId="0" fontId="1" fillId="0" borderId="12" xfId="56" applyBorder="1">
      <alignment/>
      <protection/>
    </xf>
    <xf numFmtId="0" fontId="23" fillId="0" borderId="13" xfId="56" applyFont="1" applyBorder="1" applyAlignment="1">
      <alignment horizontal="centerContinuous"/>
      <protection/>
    </xf>
    <xf numFmtId="0" fontId="96" fillId="0" borderId="0" xfId="56" applyFont="1" applyBorder="1" applyAlignment="1">
      <alignment horizontal="centerContinuous"/>
      <protection/>
    </xf>
    <xf numFmtId="0" fontId="1" fillId="0" borderId="0" xfId="56" applyBorder="1" applyAlignment="1">
      <alignment horizontal="centerContinuous"/>
      <protection/>
    </xf>
    <xf numFmtId="0" fontId="1" fillId="0" borderId="14" xfId="56" applyBorder="1" applyAlignment="1">
      <alignment horizontal="centerContinuous"/>
      <protection/>
    </xf>
    <xf numFmtId="0" fontId="1" fillId="0" borderId="13" xfId="56" applyBorder="1">
      <alignment/>
      <protection/>
    </xf>
    <xf numFmtId="0" fontId="1" fillId="0" borderId="36" xfId="56" applyBorder="1">
      <alignment/>
      <protection/>
    </xf>
    <xf numFmtId="0" fontId="96" fillId="0" borderId="0" xfId="56" applyFont="1" applyBorder="1" applyAlignment="1" applyProtection="1">
      <alignment horizontal="center"/>
      <protection/>
    </xf>
    <xf numFmtId="0" fontId="96" fillId="0" borderId="0" xfId="56" applyFont="1" applyBorder="1">
      <alignment/>
      <protection/>
    </xf>
    <xf numFmtId="0" fontId="1" fillId="0" borderId="0" xfId="56" applyBorder="1">
      <alignment/>
      <protection/>
    </xf>
    <xf numFmtId="0" fontId="1" fillId="0" borderId="14" xfId="56" applyBorder="1">
      <alignment/>
      <protection/>
    </xf>
    <xf numFmtId="0" fontId="1" fillId="0" borderId="0" xfId="56" applyAlignment="1">
      <alignment horizontal="centerContinuous" vertical="center"/>
      <protection/>
    </xf>
    <xf numFmtId="0" fontId="1" fillId="0" borderId="13" xfId="56" applyBorder="1" applyAlignment="1">
      <alignment horizontal="centerContinuous" vertical="center"/>
      <protection/>
    </xf>
    <xf numFmtId="0" fontId="1" fillId="0" borderId="37" xfId="56" applyBorder="1" applyAlignment="1">
      <alignment horizontal="centerContinuous" vertical="center"/>
      <protection/>
    </xf>
    <xf numFmtId="0" fontId="28" fillId="0" borderId="62" xfId="56" applyFont="1" applyBorder="1" applyAlignment="1" applyProtection="1">
      <alignment horizontal="centerContinuous" vertical="center"/>
      <protection/>
    </xf>
    <xf numFmtId="0" fontId="28" fillId="0" borderId="62" xfId="56" applyFont="1" applyBorder="1" applyAlignment="1" applyProtection="1">
      <alignment horizontal="centerContinuous" vertical="center" wrapText="1"/>
      <protection/>
    </xf>
    <xf numFmtId="170" fontId="28" fillId="0" borderId="20" xfId="56" applyNumberFormat="1" applyFont="1" applyBorder="1" applyAlignment="1" applyProtection="1">
      <alignment horizontal="centerContinuous" vertical="center" wrapText="1"/>
      <protection/>
    </xf>
    <xf numFmtId="17" fontId="28" fillId="0" borderId="20" xfId="56" applyNumberFormat="1" applyFont="1" applyBorder="1" applyAlignment="1">
      <alignment horizontal="center" vertical="center"/>
      <protection/>
    </xf>
    <xf numFmtId="17" fontId="28" fillId="0" borderId="16" xfId="56" applyNumberFormat="1" applyFont="1" applyBorder="1" applyAlignment="1">
      <alignment horizontal="center" vertical="center"/>
      <protection/>
    </xf>
    <xf numFmtId="0" fontId="1" fillId="0" borderId="14" xfId="56" applyBorder="1" applyAlignment="1">
      <alignment vertical="center"/>
      <protection/>
    </xf>
    <xf numFmtId="0" fontId="1" fillId="0" borderId="0" xfId="56" applyAlignment="1">
      <alignment vertical="center"/>
      <protection/>
    </xf>
    <xf numFmtId="0" fontId="1" fillId="0" borderId="63" xfId="56" applyBorder="1" applyAlignment="1">
      <alignment horizontal="centerContinuous" vertical="center"/>
      <protection/>
    </xf>
    <xf numFmtId="0" fontId="28" fillId="0" borderId="64" xfId="56" applyFont="1" applyBorder="1" applyAlignment="1" applyProtection="1">
      <alignment horizontal="centerContinuous" vertical="center"/>
      <protection/>
    </xf>
    <xf numFmtId="0" fontId="28" fillId="0" borderId="64" xfId="56" applyFont="1" applyBorder="1" applyAlignment="1" applyProtection="1">
      <alignment horizontal="centerContinuous" vertical="center" wrapText="1"/>
      <protection/>
    </xf>
    <xf numFmtId="170" fontId="28" fillId="0" borderId="58" xfId="56" applyNumberFormat="1" applyFont="1" applyBorder="1" applyAlignment="1" applyProtection="1">
      <alignment horizontal="centerContinuous" vertical="center" wrapText="1"/>
      <protection/>
    </xf>
    <xf numFmtId="17" fontId="28" fillId="0" borderId="58" xfId="56" applyNumberFormat="1" applyFont="1" applyBorder="1" applyAlignment="1">
      <alignment horizontal="center" vertical="center"/>
      <protection/>
    </xf>
    <xf numFmtId="17" fontId="5" fillId="0" borderId="0" xfId="56" applyNumberFormat="1" applyFont="1" applyBorder="1" applyAlignment="1">
      <alignment vertical="center"/>
      <protection/>
    </xf>
    <xf numFmtId="0" fontId="1" fillId="0" borderId="0" xfId="56" applyBorder="1" applyAlignment="1">
      <alignment vertical="center"/>
      <protection/>
    </xf>
    <xf numFmtId="0" fontId="1" fillId="0" borderId="63" xfId="56" applyBorder="1">
      <alignment/>
      <protection/>
    </xf>
    <xf numFmtId="0" fontId="96" fillId="0" borderId="64" xfId="56" applyFont="1" applyBorder="1">
      <alignment/>
      <protection/>
    </xf>
    <xf numFmtId="0" fontId="96" fillId="0" borderId="58" xfId="56" applyFont="1" applyBorder="1">
      <alignment/>
      <protection/>
    </xf>
    <xf numFmtId="0" fontId="5" fillId="0" borderId="58" xfId="56" applyFont="1" applyBorder="1" applyAlignment="1" applyProtection="1">
      <alignment horizontal="left"/>
      <protection/>
    </xf>
    <xf numFmtId="0" fontId="5" fillId="48" borderId="58" xfId="56" applyFont="1" applyFill="1" applyBorder="1" applyAlignment="1" applyProtection="1">
      <alignment horizontal="left"/>
      <protection/>
    </xf>
    <xf numFmtId="0" fontId="1" fillId="0" borderId="58" xfId="56" applyBorder="1">
      <alignment/>
      <protection/>
    </xf>
    <xf numFmtId="0" fontId="5" fillId="1" borderId="22" xfId="56" applyFont="1" applyFill="1" applyBorder="1" applyAlignment="1">
      <alignment horizontal="center"/>
      <protection/>
    </xf>
    <xf numFmtId="1" fontId="5" fillId="48" borderId="25" xfId="56" applyNumberFormat="1" applyFont="1" applyFill="1" applyBorder="1" applyAlignment="1" applyProtection="1">
      <alignment horizontal="center"/>
      <protection/>
    </xf>
    <xf numFmtId="0" fontId="5" fillId="0" borderId="38" xfId="56" applyFont="1" applyFill="1" applyBorder="1" applyAlignment="1">
      <alignment horizontal="center"/>
      <protection/>
    </xf>
    <xf numFmtId="0" fontId="5" fillId="0" borderId="26" xfId="56" applyFont="1" applyFill="1" applyBorder="1" applyAlignment="1" applyProtection="1">
      <alignment horizontal="center"/>
      <protection/>
    </xf>
    <xf numFmtId="2" fontId="5" fillId="0" borderId="26" xfId="56" applyNumberFormat="1" applyFont="1" applyFill="1" applyBorder="1" applyAlignment="1" applyProtection="1">
      <alignment horizontal="center"/>
      <protection/>
    </xf>
    <xf numFmtId="1" fontId="5" fillId="0" borderId="26" xfId="56" applyNumberFormat="1" applyFont="1" applyFill="1" applyBorder="1" applyAlignment="1" applyProtection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0" xfId="56" applyFont="1" applyFill="1" applyBorder="1" applyAlignment="1" applyProtection="1">
      <alignment horizontal="center"/>
      <protection/>
    </xf>
    <xf numFmtId="0" fontId="3" fillId="0" borderId="0" xfId="56" applyFont="1" applyFill="1" applyBorder="1" applyAlignment="1" applyProtection="1">
      <alignment horizontal="right"/>
      <protection/>
    </xf>
    <xf numFmtId="170" fontId="3" fillId="0" borderId="26" xfId="56" applyNumberFormat="1" applyFont="1" applyBorder="1" applyAlignment="1" applyProtection="1">
      <alignment horizontal="center"/>
      <protection/>
    </xf>
    <xf numFmtId="1" fontId="97" fillId="0" borderId="15" xfId="56" applyNumberFormat="1" applyFont="1" applyFill="1" applyBorder="1" applyAlignment="1" applyProtection="1">
      <alignment horizontal="center"/>
      <protection/>
    </xf>
    <xf numFmtId="1" fontId="1" fillId="0" borderId="20" xfId="56" applyNumberFormat="1" applyBorder="1" applyAlignment="1">
      <alignment horizontal="center"/>
      <protection/>
    </xf>
    <xf numFmtId="0" fontId="1" fillId="0" borderId="20" xfId="56" applyBorder="1">
      <alignment/>
      <protection/>
    </xf>
    <xf numFmtId="0" fontId="5" fillId="0" borderId="0" xfId="56" applyFont="1" applyBorder="1">
      <alignment/>
      <protection/>
    </xf>
    <xf numFmtId="0" fontId="5" fillId="0" borderId="0" xfId="56" applyFont="1" applyBorder="1" applyAlignment="1" applyProtection="1">
      <alignment horizontal="center"/>
      <protection/>
    </xf>
    <xf numFmtId="0" fontId="5" fillId="0" borderId="0" xfId="56" applyFont="1" applyBorder="1" applyAlignment="1" applyProtection="1">
      <alignment horizontal="right"/>
      <protection/>
    </xf>
    <xf numFmtId="1" fontId="3" fillId="0" borderId="0" xfId="56" applyNumberFormat="1" applyFont="1" applyBorder="1" applyAlignment="1" applyProtection="1">
      <alignment horizontal="right"/>
      <protection/>
    </xf>
    <xf numFmtId="1" fontId="5" fillId="0" borderId="20" xfId="56" applyNumberFormat="1" applyFont="1" applyBorder="1" applyAlignment="1" applyProtection="1">
      <alignment horizontal="center"/>
      <protection/>
    </xf>
    <xf numFmtId="0" fontId="1" fillId="0" borderId="38" xfId="56" applyBorder="1">
      <alignment/>
      <protection/>
    </xf>
    <xf numFmtId="17" fontId="98" fillId="0" borderId="0" xfId="56" applyNumberFormat="1" applyFont="1" applyBorder="1" applyAlignment="1">
      <alignment horizontal="right"/>
      <protection/>
    </xf>
    <xf numFmtId="2" fontId="2" fillId="49" borderId="20" xfId="56" applyNumberFormat="1" applyFont="1" applyFill="1" applyBorder="1" applyAlignment="1" quotePrefix="1">
      <alignment horizontal="center"/>
      <protection/>
    </xf>
    <xf numFmtId="0" fontId="5" fillId="0" borderId="0" xfId="56" applyFont="1" applyFill="1" applyBorder="1">
      <alignment/>
      <protection/>
    </xf>
    <xf numFmtId="0" fontId="3" fillId="0" borderId="0" xfId="56" applyFont="1" applyBorder="1" applyAlignment="1" applyProtection="1">
      <alignment horizontal="center"/>
      <protection/>
    </xf>
    <xf numFmtId="170" fontId="3" fillId="0" borderId="0" xfId="56" applyNumberFormat="1" applyFont="1" applyBorder="1" applyAlignment="1" applyProtection="1">
      <alignment horizontal="right"/>
      <protection/>
    </xf>
    <xf numFmtId="0" fontId="1" fillId="0" borderId="0" xfId="56" applyBorder="1" applyAlignment="1">
      <alignment horizontal="center"/>
      <protection/>
    </xf>
    <xf numFmtId="2" fontId="1" fillId="0" borderId="0" xfId="56" applyNumberFormat="1" applyBorder="1" applyAlignment="1">
      <alignment horizontal="center"/>
      <protection/>
    </xf>
    <xf numFmtId="2" fontId="1" fillId="0" borderId="14" xfId="56" applyNumberFormat="1" applyBorder="1" applyAlignment="1">
      <alignment horizontal="center"/>
      <protection/>
    </xf>
    <xf numFmtId="2" fontId="1" fillId="0" borderId="0" xfId="56" applyNumberFormat="1">
      <alignment/>
      <protection/>
    </xf>
    <xf numFmtId="0" fontId="0" fillId="0" borderId="13" xfId="57" applyBorder="1">
      <alignment/>
      <protection/>
    </xf>
    <xf numFmtId="0" fontId="5" fillId="0" borderId="0" xfId="57" applyFont="1" applyFill="1" applyBorder="1">
      <alignment/>
      <protection/>
    </xf>
    <xf numFmtId="0" fontId="5" fillId="0" borderId="0" xfId="55" applyBorder="1" applyAlignment="1">
      <alignment horizontal="center"/>
      <protection/>
    </xf>
    <xf numFmtId="0" fontId="0" fillId="0" borderId="0" xfId="57">
      <alignment/>
      <protection/>
    </xf>
    <xf numFmtId="0" fontId="96" fillId="0" borderId="15" xfId="57" applyFont="1" applyBorder="1">
      <alignment/>
      <protection/>
    </xf>
    <xf numFmtId="0" fontId="0" fillId="0" borderId="21" xfId="57" applyBorder="1">
      <alignment/>
      <protection/>
    </xf>
    <xf numFmtId="2" fontId="99" fillId="0" borderId="21" xfId="57" applyNumberFormat="1" applyFont="1" applyBorder="1" applyAlignment="1">
      <alignment horizontal="center"/>
      <protection/>
    </xf>
    <xf numFmtId="0" fontId="100" fillId="0" borderId="21" xfId="57" applyFont="1" applyBorder="1" applyAlignment="1">
      <alignment horizontal="center"/>
      <protection/>
    </xf>
    <xf numFmtId="0" fontId="100" fillId="0" borderId="16" xfId="57" applyFont="1" applyBorder="1" applyAlignment="1">
      <alignment horizontal="center"/>
      <protection/>
    </xf>
    <xf numFmtId="0" fontId="0" fillId="0" borderId="0" xfId="57" applyBorder="1">
      <alignment/>
      <protection/>
    </xf>
    <xf numFmtId="0" fontId="0" fillId="0" borderId="14" xfId="57" applyBorder="1">
      <alignment/>
      <protection/>
    </xf>
    <xf numFmtId="0" fontId="101" fillId="0" borderId="17" xfId="56" applyFont="1" applyBorder="1">
      <alignment/>
      <protection/>
    </xf>
    <xf numFmtId="0" fontId="3" fillId="0" borderId="18" xfId="56" applyFont="1" applyBorder="1" applyAlignment="1" applyProtection="1">
      <alignment horizontal="left"/>
      <protection/>
    </xf>
    <xf numFmtId="0" fontId="5" fillId="0" borderId="18" xfId="56" applyFont="1" applyBorder="1">
      <alignment/>
      <protection/>
    </xf>
    <xf numFmtId="0" fontId="1" fillId="0" borderId="18" xfId="56" applyBorder="1">
      <alignment/>
      <protection/>
    </xf>
    <xf numFmtId="1" fontId="102" fillId="0" borderId="18" xfId="56" applyNumberFormat="1" applyFont="1" applyBorder="1" applyAlignment="1" applyProtection="1">
      <alignment horizontal="center"/>
      <protection/>
    </xf>
    <xf numFmtId="0" fontId="1" fillId="0" borderId="19" xfId="56" applyBorder="1">
      <alignment/>
      <protection/>
    </xf>
    <xf numFmtId="0" fontId="101" fillId="0" borderId="0" xfId="56" applyFont="1" applyBorder="1" applyAlignment="1" applyProtection="1">
      <alignment horizontal="left"/>
      <protection/>
    </xf>
    <xf numFmtId="1" fontId="102" fillId="0" borderId="0" xfId="56" applyNumberFormat="1" applyFont="1" applyBorder="1" applyAlignment="1" applyProtection="1">
      <alignment horizontal="center"/>
      <protection/>
    </xf>
    <xf numFmtId="0" fontId="101" fillId="0" borderId="0" xfId="56" applyFont="1" applyBorder="1">
      <alignment/>
      <protection/>
    </xf>
    <xf numFmtId="0" fontId="102" fillId="0" borderId="0" xfId="56" applyFont="1" applyBorder="1" applyAlignment="1" applyProtection="1">
      <alignment horizontal="left"/>
      <protection/>
    </xf>
    <xf numFmtId="0" fontId="26" fillId="0" borderId="0" xfId="56" applyFont="1" applyBorder="1">
      <alignment/>
      <protection/>
    </xf>
    <xf numFmtId="0" fontId="103" fillId="0" borderId="0" xfId="56" applyFont="1" applyBorder="1">
      <alignment/>
      <protection/>
    </xf>
    <xf numFmtId="170" fontId="102" fillId="0" borderId="0" xfId="56" applyNumberFormat="1" applyFont="1" applyBorder="1" applyAlignment="1" applyProtection="1">
      <alignment horizontal="center"/>
      <protection/>
    </xf>
    <xf numFmtId="1" fontId="1" fillId="0" borderId="0" xfId="56" applyNumberFormat="1" applyBorder="1" applyAlignment="1">
      <alignment horizontal="center"/>
      <protection/>
    </xf>
    <xf numFmtId="0" fontId="96" fillId="0" borderId="0" xfId="56" applyFont="1" applyBorder="1" applyAlignment="1" applyProtection="1">
      <alignment horizontal="left"/>
      <protection/>
    </xf>
    <xf numFmtId="1" fontId="96" fillId="0" borderId="0" xfId="56" applyNumberFormat="1" applyFont="1" applyBorder="1" applyAlignment="1" applyProtection="1">
      <alignment horizontal="center"/>
      <protection/>
    </xf>
    <xf numFmtId="0" fontId="96" fillId="0" borderId="0" xfId="56" applyFont="1" applyBorder="1" applyAlignment="1" applyProtection="1">
      <alignment horizontal="fill"/>
      <protection/>
    </xf>
    <xf numFmtId="1" fontId="102" fillId="0" borderId="0" xfId="56" applyNumberFormat="1" applyFont="1" applyBorder="1" applyAlignment="1">
      <alignment horizontal="center"/>
      <protection/>
    </xf>
    <xf numFmtId="1" fontId="1" fillId="0" borderId="0" xfId="56" applyNumberFormat="1" applyAlignment="1">
      <alignment horizontal="center"/>
      <protection/>
    </xf>
    <xf numFmtId="7" fontId="102" fillId="0" borderId="0" xfId="56" applyNumberFormat="1" applyFont="1">
      <alignment/>
      <protection/>
    </xf>
    <xf numFmtId="0" fontId="4" fillId="0" borderId="0" xfId="56" applyFont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omahue" xfId="54"/>
    <cellStyle name="Normal_líneas" xfId="55"/>
    <cellStyle name="Normal_T0002COM" xfId="56"/>
    <cellStyle name="Normal_T9911ESJ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0</xdr:rowOff>
    </xdr:from>
    <xdr:to>
      <xdr:col>3</xdr:col>
      <xdr:colOff>628650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4953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0</xdr:rowOff>
    </xdr:from>
    <xdr:to>
      <xdr:col>3</xdr:col>
      <xdr:colOff>628650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4667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0</xdr:rowOff>
    </xdr:from>
    <xdr:to>
      <xdr:col>3</xdr:col>
      <xdr:colOff>628650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0</xdr:rowOff>
    </xdr:from>
    <xdr:to>
      <xdr:col>3</xdr:col>
      <xdr:colOff>628650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0</xdr:row>
      <xdr:rowOff>0</xdr:rowOff>
    </xdr:from>
    <xdr:to>
      <xdr:col>1</xdr:col>
      <xdr:colOff>161925</xdr:colOff>
      <xdr:row>1</xdr:row>
      <xdr:rowOff>314325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48577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Transporte\ARCHIVOS.XLS\P-COMAHU\TBASECOM_DIVIDI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COMAHU\TBASECOM_DIVID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</sheetNames>
    <sheetDataSet>
      <sheetData sheetId="0">
        <row r="15">
          <cell r="CT15">
            <v>41395</v>
          </cell>
          <cell r="CU15">
            <v>41426</v>
          </cell>
          <cell r="CV15">
            <v>41456</v>
          </cell>
          <cell r="CW15">
            <v>41487</v>
          </cell>
          <cell r="CX15">
            <v>41518</v>
          </cell>
          <cell r="CY15">
            <v>41548</v>
          </cell>
          <cell r="CZ15">
            <v>41579</v>
          </cell>
          <cell r="DA15">
            <v>41609</v>
          </cell>
          <cell r="DB15">
            <v>41640</v>
          </cell>
          <cell r="DC15">
            <v>41671</v>
          </cell>
          <cell r="DD15">
            <v>41699</v>
          </cell>
          <cell r="DE15">
            <v>41730</v>
          </cell>
          <cell r="DF15">
            <v>41760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</sheetNames>
    <sheetDataSet>
      <sheetData sheetId="0">
        <row r="19">
          <cell r="C19">
            <v>1</v>
          </cell>
          <cell r="D19" t="str">
            <v>ARROYITO - CHARROYITO 1</v>
          </cell>
          <cell r="E19">
            <v>132</v>
          </cell>
          <cell r="F19">
            <v>1</v>
          </cell>
          <cell r="G19" t="str">
            <v>L</v>
          </cell>
          <cell r="DC19">
            <v>1</v>
          </cell>
        </row>
        <row r="20">
          <cell r="C20">
            <v>2</v>
          </cell>
          <cell r="D20" t="str">
            <v>ARROYITO - CHARROYITO 2</v>
          </cell>
          <cell r="E20">
            <v>132</v>
          </cell>
          <cell r="F20">
            <v>1</v>
          </cell>
          <cell r="G20" t="str">
            <v>L</v>
          </cell>
        </row>
        <row r="21">
          <cell r="C21">
            <v>3</v>
          </cell>
          <cell r="D21" t="str">
            <v>ARROYITO - CHARROYITO 3</v>
          </cell>
          <cell r="E21">
            <v>132</v>
          </cell>
          <cell r="F21">
            <v>1</v>
          </cell>
          <cell r="G21" t="str">
            <v>L</v>
          </cell>
          <cell r="CT21">
            <v>1</v>
          </cell>
          <cell r="DC21">
            <v>1</v>
          </cell>
          <cell r="DE21">
            <v>1</v>
          </cell>
        </row>
        <row r="22">
          <cell r="C22">
            <v>4</v>
          </cell>
          <cell r="D22" t="str">
            <v>ARROYITO - CHOCON 1</v>
          </cell>
          <cell r="E22">
            <v>132</v>
          </cell>
          <cell r="F22">
            <v>25</v>
          </cell>
          <cell r="G22" t="str">
            <v>L</v>
          </cell>
        </row>
        <row r="23">
          <cell r="C23">
            <v>5</v>
          </cell>
          <cell r="D23" t="str">
            <v>ARROYITO - CHOCON 2</v>
          </cell>
          <cell r="E23">
            <v>132</v>
          </cell>
          <cell r="F23">
            <v>25</v>
          </cell>
          <cell r="G23" t="str">
            <v>L</v>
          </cell>
          <cell r="CT23">
            <v>1</v>
          </cell>
        </row>
        <row r="24">
          <cell r="C24">
            <v>6</v>
          </cell>
          <cell r="D24" t="str">
            <v>ARROYITO - PIAP 1</v>
          </cell>
          <cell r="E24">
            <v>132</v>
          </cell>
          <cell r="F24">
            <v>2</v>
          </cell>
          <cell r="G24" t="str">
            <v>L</v>
          </cell>
        </row>
        <row r="25">
          <cell r="C25">
            <v>7</v>
          </cell>
          <cell r="D25" t="str">
            <v>ARROYITO - PIAP 2</v>
          </cell>
          <cell r="E25">
            <v>132</v>
          </cell>
          <cell r="F25">
            <v>2</v>
          </cell>
          <cell r="G25" t="str">
            <v>L</v>
          </cell>
          <cell r="CT25">
            <v>1</v>
          </cell>
        </row>
        <row r="26">
          <cell r="C26">
            <v>8</v>
          </cell>
          <cell r="D26" t="str">
            <v>ALTO VALLE - CENTENARIO</v>
          </cell>
          <cell r="E26">
            <v>132</v>
          </cell>
          <cell r="F26">
            <v>17</v>
          </cell>
          <cell r="G26" t="str">
            <v>L</v>
          </cell>
          <cell r="CU26">
            <v>1</v>
          </cell>
          <cell r="DB26">
            <v>1</v>
          </cell>
        </row>
        <row r="27">
          <cell r="C27">
            <v>10</v>
          </cell>
          <cell r="D27" t="str">
            <v>ALTO VALLE - COLONIA VALENTINA - ARROYITO</v>
          </cell>
          <cell r="E27">
            <v>132</v>
          </cell>
          <cell r="F27">
            <v>58.9</v>
          </cell>
          <cell r="G27" t="str">
            <v>L</v>
          </cell>
          <cell r="CT27">
            <v>2</v>
          </cell>
          <cell r="DB27">
            <v>1</v>
          </cell>
        </row>
        <row r="28">
          <cell r="C28">
            <v>11</v>
          </cell>
          <cell r="D28" t="str">
            <v>CHOCON OESTE - CHOCON</v>
          </cell>
          <cell r="E28">
            <v>132</v>
          </cell>
          <cell r="F28">
            <v>3.5</v>
          </cell>
          <cell r="G28" t="str">
            <v>L</v>
          </cell>
        </row>
        <row r="29">
          <cell r="C29">
            <v>18</v>
          </cell>
          <cell r="D29" t="str">
            <v>MEDANITOS - PTO. SECCIONAMIENTO</v>
          </cell>
          <cell r="E29">
            <v>132</v>
          </cell>
          <cell r="F29">
            <v>41</v>
          </cell>
          <cell r="G29" t="str">
            <v>L</v>
          </cell>
        </row>
        <row r="30">
          <cell r="C30">
            <v>19</v>
          </cell>
          <cell r="D30" t="str">
            <v>PIEDRA DEL AGUILA - EL CHOCON</v>
          </cell>
          <cell r="E30">
            <v>132</v>
          </cell>
          <cell r="F30">
            <v>170</v>
          </cell>
          <cell r="G30" t="str">
            <v>L</v>
          </cell>
        </row>
        <row r="31">
          <cell r="C31">
            <v>20</v>
          </cell>
          <cell r="D31" t="str">
            <v>PLAYA PLANICIE BANDERITA - PCIE. BANDERITA</v>
          </cell>
          <cell r="E31">
            <v>132</v>
          </cell>
          <cell r="F31">
            <v>1.5</v>
          </cell>
          <cell r="G31" t="str">
            <v>L</v>
          </cell>
        </row>
        <row r="32">
          <cell r="C32">
            <v>21</v>
          </cell>
          <cell r="D32" t="str">
            <v>PTO. SECCIONAMIENTO - PTO. HERNANDEZ</v>
          </cell>
          <cell r="E32">
            <v>132</v>
          </cell>
          <cell r="F32">
            <v>89</v>
          </cell>
          <cell r="G32" t="str">
            <v>L</v>
          </cell>
          <cell r="CT32" t="str">
            <v>XXXX</v>
          </cell>
          <cell r="CU32" t="str">
            <v>XXXX</v>
          </cell>
          <cell r="CV32" t="str">
            <v>XXXX</v>
          </cell>
          <cell r="CW32" t="str">
            <v>XXXX</v>
          </cell>
          <cell r="CX32" t="str">
            <v>XXXX</v>
          </cell>
          <cell r="CY32" t="str">
            <v>XXXX</v>
          </cell>
          <cell r="CZ32" t="str">
            <v>XXXX</v>
          </cell>
          <cell r="DA32" t="str">
            <v>XXXX</v>
          </cell>
          <cell r="DB32" t="str">
            <v>XXXX</v>
          </cell>
          <cell r="DC32" t="str">
            <v>XXXX</v>
          </cell>
          <cell r="DD32" t="str">
            <v>XXXX</v>
          </cell>
          <cell r="DE32" t="str">
            <v>XXXX</v>
          </cell>
        </row>
        <row r="33">
          <cell r="C33">
            <v>22</v>
          </cell>
          <cell r="D33" t="str">
            <v>PTO. SECCIONAMIENTO - SEÑAL PICADA</v>
          </cell>
          <cell r="E33">
            <v>132</v>
          </cell>
          <cell r="F33">
            <v>18</v>
          </cell>
          <cell r="G33" t="str">
            <v>L</v>
          </cell>
        </row>
        <row r="34">
          <cell r="C34">
            <v>29</v>
          </cell>
          <cell r="D34" t="str">
            <v>PUESTO HERNANDEZ - CHIUHIDO II</v>
          </cell>
          <cell r="E34">
            <v>132</v>
          </cell>
          <cell r="F34">
            <v>19.5</v>
          </cell>
          <cell r="G34" t="str">
            <v>L</v>
          </cell>
          <cell r="DD34">
            <v>1</v>
          </cell>
        </row>
        <row r="35">
          <cell r="C35">
            <v>30</v>
          </cell>
          <cell r="D35" t="str">
            <v>CHIUHIDO II - EL TRAPIAL</v>
          </cell>
          <cell r="E35">
            <v>132</v>
          </cell>
          <cell r="F35">
            <v>4.9</v>
          </cell>
          <cell r="G35" t="str">
            <v>L</v>
          </cell>
        </row>
        <row r="36">
          <cell r="C36">
            <v>31</v>
          </cell>
          <cell r="D36" t="str">
            <v>EL TRAPIAL - LOMA DE LA LATA 1</v>
          </cell>
          <cell r="E36">
            <v>132</v>
          </cell>
          <cell r="F36">
            <v>142</v>
          </cell>
          <cell r="G36" t="str">
            <v>L</v>
          </cell>
          <cell r="CV36">
            <v>1</v>
          </cell>
        </row>
        <row r="37">
          <cell r="C37">
            <v>32</v>
          </cell>
          <cell r="D37" t="str">
            <v>EL TRAPIAL - LOMA DE LA LATA 2</v>
          </cell>
          <cell r="E37">
            <v>132</v>
          </cell>
          <cell r="F37">
            <v>142</v>
          </cell>
          <cell r="G37" t="str">
            <v>L</v>
          </cell>
          <cell r="CV37">
            <v>1</v>
          </cell>
        </row>
        <row r="38">
          <cell r="C38">
            <v>33</v>
          </cell>
          <cell r="D38" t="str">
            <v>PTO. SECCIONAMIENTO - RINCON DE LOS SAUCES</v>
          </cell>
          <cell r="E38">
            <v>132</v>
          </cell>
          <cell r="F38">
            <v>67.705</v>
          </cell>
          <cell r="G38" t="str">
            <v>L</v>
          </cell>
          <cell r="DB38">
            <v>1</v>
          </cell>
          <cell r="DD38">
            <v>1</v>
          </cell>
        </row>
        <row r="39">
          <cell r="C39">
            <v>34</v>
          </cell>
          <cell r="D39" t="str">
            <v>PTO. HERNANDEZ - RINCON DE LOS SAUCES</v>
          </cell>
          <cell r="E39">
            <v>132</v>
          </cell>
          <cell r="F39">
            <v>21</v>
          </cell>
          <cell r="G39" t="str">
            <v>L</v>
          </cell>
          <cell r="CU39">
            <v>1</v>
          </cell>
          <cell r="DB39">
            <v>1</v>
          </cell>
        </row>
        <row r="43">
          <cell r="CT43">
            <v>2.36</v>
          </cell>
          <cell r="CU43">
            <v>1.96</v>
          </cell>
          <cell r="CV43">
            <v>2.23</v>
          </cell>
          <cell r="CW43">
            <v>2.49</v>
          </cell>
          <cell r="CX43">
            <v>2.36</v>
          </cell>
          <cell r="CY43">
            <v>1.96</v>
          </cell>
          <cell r="CZ43">
            <v>1.83</v>
          </cell>
          <cell r="DA43">
            <v>1.83</v>
          </cell>
          <cell r="DB43">
            <v>1.7</v>
          </cell>
          <cell r="DC43">
            <v>2.09</v>
          </cell>
          <cell r="DD43">
            <v>2.36</v>
          </cell>
          <cell r="DE43">
            <v>2.62</v>
          </cell>
          <cell r="DF43">
            <v>2.36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../../AA%20PROCESO%20AUT/EXCEL/DISTROCUYO/FABIAN" TargetMode="External" /><Relationship Id="rId2" Type="http://schemas.openxmlformats.org/officeDocument/2006/relationships/hyperlink" Target="../../../AA%20PROCESO%20AUT/EXCEL/DISTROCUYO/FABIAN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7" customWidth="1"/>
    <col min="2" max="2" width="7.7109375" style="7" customWidth="1"/>
    <col min="3" max="3" width="10.8515625" style="7" customWidth="1"/>
    <col min="4" max="4" width="10.7109375" style="7" customWidth="1"/>
    <col min="5" max="5" width="8.140625" style="7" customWidth="1"/>
    <col min="6" max="7" width="17.7109375" style="7" customWidth="1"/>
    <col min="8" max="8" width="7.28125" style="7" customWidth="1"/>
    <col min="9" max="9" width="15.7109375" style="7" customWidth="1"/>
    <col min="10" max="10" width="15.140625" style="7" customWidth="1"/>
    <col min="11" max="11" width="15.7109375" style="7" customWidth="1"/>
    <col min="12" max="13" width="11.421875" style="7" customWidth="1"/>
    <col min="14" max="14" width="14.140625" style="7" customWidth="1"/>
    <col min="15" max="15" width="11.421875" style="7" customWidth="1"/>
    <col min="16" max="16" width="14.7109375" style="7" customWidth="1"/>
    <col min="17" max="17" width="11.421875" style="7" customWidth="1"/>
    <col min="18" max="18" width="12.00390625" style="7" customWidth="1"/>
    <col min="19" max="16384" width="11.421875" style="7" customWidth="1"/>
  </cols>
  <sheetData>
    <row r="1" spans="2:11" s="2" customFormat="1" ht="26.25">
      <c r="B1" s="3"/>
      <c r="J1" s="4"/>
      <c r="K1" s="225"/>
    </row>
    <row r="2" spans="2:10" s="2" customFormat="1" ht="26.25">
      <c r="B2" s="3" t="s">
        <v>189</v>
      </c>
      <c r="C2" s="5"/>
      <c r="D2" s="6"/>
      <c r="E2" s="6"/>
      <c r="F2" s="6"/>
      <c r="G2" s="6"/>
      <c r="H2" s="6"/>
      <c r="I2" s="6"/>
      <c r="J2" s="6"/>
    </row>
    <row r="3" spans="3:19" ht="12.75">
      <c r="C3" s="1"/>
      <c r="D3" s="8"/>
      <c r="E3" s="8"/>
      <c r="F3" s="8"/>
      <c r="G3" s="8"/>
      <c r="H3" s="8"/>
      <c r="I3" s="8"/>
      <c r="J3" s="8"/>
      <c r="P3" s="9"/>
      <c r="Q3" s="9"/>
      <c r="R3" s="9"/>
      <c r="S3" s="9"/>
    </row>
    <row r="4" spans="1:19" s="12" customFormat="1" ht="11.25">
      <c r="A4" s="10" t="s">
        <v>2</v>
      </c>
      <c r="B4" s="1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2" customFormat="1" ht="11.25">
      <c r="A5" s="10" t="s">
        <v>3</v>
      </c>
      <c r="B5" s="11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 s="2" customFormat="1" ht="8.25" customHeight="1">
      <c r="B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2:19" s="16" customFormat="1" ht="21">
      <c r="B7" s="17" t="s">
        <v>0</v>
      </c>
      <c r="C7" s="18"/>
      <c r="D7" s="19"/>
      <c r="E7" s="19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</row>
    <row r="8" spans="9:19" ht="12.75"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s="16" customFormat="1" ht="21">
      <c r="B9" s="17" t="s">
        <v>72</v>
      </c>
      <c r="C9" s="18"/>
      <c r="D9" s="19"/>
      <c r="E9" s="19"/>
      <c r="F9" s="19"/>
      <c r="G9" s="19"/>
      <c r="H9" s="19"/>
      <c r="I9" s="20"/>
      <c r="J9" s="20"/>
      <c r="K9" s="21"/>
      <c r="L9" s="21"/>
      <c r="M9" s="21"/>
      <c r="N9" s="21"/>
      <c r="O9" s="21"/>
      <c r="P9" s="21"/>
      <c r="Q9" s="21"/>
      <c r="R9" s="21"/>
      <c r="S9" s="21"/>
    </row>
    <row r="10" spans="4:19" ht="12.75">
      <c r="D10" s="22"/>
      <c r="E10" s="2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s="16" customFormat="1" ht="20.25">
      <c r="B11" s="17" t="s">
        <v>176</v>
      </c>
      <c r="C11" s="23"/>
      <c r="D11" s="24"/>
      <c r="E11" s="24"/>
      <c r="F11" s="19"/>
      <c r="G11" s="19"/>
      <c r="H11" s="19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</row>
    <row r="12" spans="4:19" s="25" customFormat="1" ht="16.5" thickBot="1">
      <c r="D12" s="26"/>
      <c r="E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2:19" s="25" customFormat="1" ht="16.5" thickTop="1">
      <c r="B13" s="28">
        <f>IF(C13=TRUE,2,1)</f>
        <v>1</v>
      </c>
      <c r="C13" s="29"/>
      <c r="D13" s="30"/>
      <c r="E13" s="30"/>
      <c r="F13" s="30"/>
      <c r="G13" s="30"/>
      <c r="H13" s="30"/>
      <c r="I13" s="30"/>
      <c r="J13" s="31"/>
      <c r="K13" s="27"/>
      <c r="L13" s="27"/>
      <c r="M13" s="27"/>
      <c r="N13" s="27"/>
      <c r="O13" s="27"/>
      <c r="P13" s="27"/>
      <c r="Q13" s="27"/>
      <c r="R13" s="27"/>
      <c r="S13" s="27"/>
    </row>
    <row r="14" spans="2:19" s="32" customFormat="1" ht="19.5">
      <c r="B14" s="33" t="s">
        <v>130</v>
      </c>
      <c r="C14" s="34"/>
      <c r="D14" s="35"/>
      <c r="E14" s="36"/>
      <c r="F14" s="36"/>
      <c r="G14" s="36"/>
      <c r="H14" s="36"/>
      <c r="I14" s="37"/>
      <c r="J14" s="38"/>
      <c r="K14" s="39"/>
      <c r="L14" s="39"/>
      <c r="M14" s="39"/>
      <c r="N14" s="39"/>
      <c r="O14" s="39"/>
      <c r="P14" s="39"/>
      <c r="Q14" s="39"/>
      <c r="R14" s="39"/>
      <c r="S14" s="39"/>
    </row>
    <row r="15" spans="2:19" s="32" customFormat="1" ht="19.5">
      <c r="B15" s="40"/>
      <c r="C15" s="41"/>
      <c r="D15" s="41"/>
      <c r="E15" s="39"/>
      <c r="F15" s="42"/>
      <c r="G15" s="42"/>
      <c r="H15" s="42"/>
      <c r="I15" s="39"/>
      <c r="J15" s="43"/>
      <c r="K15" s="39"/>
      <c r="L15" s="39"/>
      <c r="M15" s="39"/>
      <c r="N15" s="39"/>
      <c r="O15" s="39"/>
      <c r="P15" s="39"/>
      <c r="Q15" s="39"/>
      <c r="R15" s="39"/>
      <c r="S15" s="39"/>
    </row>
    <row r="16" spans="2:18" s="32" customFormat="1" ht="19.5">
      <c r="B16" s="33"/>
      <c r="C16" s="44"/>
      <c r="D16" s="44"/>
      <c r="E16" s="37"/>
      <c r="F16" s="36"/>
      <c r="G16" s="36"/>
      <c r="H16" s="37"/>
      <c r="I16" s="23"/>
      <c r="J16" s="38"/>
      <c r="K16" s="39"/>
      <c r="L16" s="39"/>
      <c r="M16" s="39"/>
      <c r="N16" s="39"/>
      <c r="O16" s="39"/>
      <c r="P16" s="39"/>
      <c r="Q16" s="39"/>
      <c r="R16" s="39"/>
    </row>
    <row r="17" spans="2:18" s="32" customFormat="1" ht="19.5">
      <c r="B17" s="40"/>
      <c r="C17" s="41"/>
      <c r="D17" s="41"/>
      <c r="E17" s="39"/>
      <c r="F17" s="42"/>
      <c r="G17" s="42"/>
      <c r="H17" s="39"/>
      <c r="I17" s="1"/>
      <c r="J17" s="43"/>
      <c r="K17" s="39"/>
      <c r="L17" s="39"/>
      <c r="M17" s="39"/>
      <c r="N17" s="39"/>
      <c r="O17" s="39"/>
      <c r="P17" s="39"/>
      <c r="Q17" s="39"/>
      <c r="R17" s="39"/>
    </row>
    <row r="18" spans="2:19" s="32" customFormat="1" ht="19.5">
      <c r="B18" s="40"/>
      <c r="C18" s="45" t="s">
        <v>4</v>
      </c>
      <c r="D18" s="46" t="s">
        <v>1</v>
      </c>
      <c r="E18" s="39"/>
      <c r="F18" s="42"/>
      <c r="G18" s="42"/>
      <c r="H18" s="42"/>
      <c r="I18" s="47">
        <f>'LI-05 (1)'!AB40</f>
        <v>13506.61</v>
      </c>
      <c r="J18" s="43"/>
      <c r="K18" s="39"/>
      <c r="L18" s="39"/>
      <c r="M18" s="39"/>
      <c r="N18" s="39"/>
      <c r="O18" s="39"/>
      <c r="P18" s="39"/>
      <c r="Q18" s="39"/>
      <c r="R18" s="39"/>
      <c r="S18" s="39"/>
    </row>
    <row r="19" spans="2:19" ht="13.5">
      <c r="B19" s="48"/>
      <c r="C19" s="49"/>
      <c r="D19" s="50"/>
      <c r="E19" s="9"/>
      <c r="F19" s="51"/>
      <c r="G19" s="51"/>
      <c r="H19" s="51"/>
      <c r="I19" s="52"/>
      <c r="J19" s="53"/>
      <c r="K19" s="9"/>
      <c r="L19" s="9"/>
      <c r="M19" s="9"/>
      <c r="N19" s="9"/>
      <c r="O19" s="9"/>
      <c r="P19" s="9"/>
      <c r="Q19" s="9"/>
      <c r="R19" s="9"/>
      <c r="S19" s="9"/>
    </row>
    <row r="20" spans="2:19" s="32" customFormat="1" ht="19.5">
      <c r="B20" s="40"/>
      <c r="C20" s="45" t="s">
        <v>5</v>
      </c>
      <c r="D20" s="46" t="s">
        <v>6</v>
      </c>
      <c r="E20" s="39"/>
      <c r="F20" s="42"/>
      <c r="G20" s="42"/>
      <c r="H20" s="42"/>
      <c r="I20" s="47"/>
      <c r="J20" s="43"/>
      <c r="K20" s="39"/>
      <c r="L20" s="39"/>
      <c r="M20" s="39"/>
      <c r="N20" s="39"/>
      <c r="O20" s="39"/>
      <c r="P20" s="39"/>
      <c r="Q20" s="39"/>
      <c r="R20" s="39"/>
      <c r="S20" s="39"/>
    </row>
    <row r="21" spans="2:19" ht="13.5">
      <c r="B21" s="48"/>
      <c r="C21" s="49"/>
      <c r="D21" s="49"/>
      <c r="E21" s="9"/>
      <c r="F21" s="51"/>
      <c r="G21" s="51"/>
      <c r="H21" s="51"/>
      <c r="I21" s="54"/>
      <c r="J21" s="53"/>
      <c r="K21" s="9"/>
      <c r="L21" s="9"/>
      <c r="M21" s="9"/>
      <c r="N21" s="9"/>
      <c r="O21" s="9"/>
      <c r="P21" s="9"/>
      <c r="Q21" s="9"/>
      <c r="R21" s="9"/>
      <c r="S21" s="9"/>
    </row>
    <row r="22" spans="2:19" s="32" customFormat="1" ht="19.5">
      <c r="B22" s="40"/>
      <c r="C22" s="45"/>
      <c r="D22" s="45" t="s">
        <v>7</v>
      </c>
      <c r="E22" s="55" t="s">
        <v>8</v>
      </c>
      <c r="F22" s="42"/>
      <c r="G22" s="42"/>
      <c r="H22" s="42"/>
      <c r="I22" s="47">
        <f>'T-05 (1)'!AC43</f>
        <v>1335.13</v>
      </c>
      <c r="J22" s="43"/>
      <c r="K22" s="39"/>
      <c r="L22" s="39"/>
      <c r="M22" s="39"/>
      <c r="N22" s="39"/>
      <c r="O22" s="39"/>
      <c r="P22" s="39"/>
      <c r="Q22" s="39"/>
      <c r="R22" s="39"/>
      <c r="S22" s="39"/>
    </row>
    <row r="23" spans="2:19" ht="13.5">
      <c r="B23" s="48"/>
      <c r="C23" s="49"/>
      <c r="D23" s="49"/>
      <c r="E23" s="9"/>
      <c r="F23" s="51"/>
      <c r="G23" s="51"/>
      <c r="H23" s="51"/>
      <c r="I23" s="54"/>
      <c r="J23" s="53"/>
      <c r="K23" s="9"/>
      <c r="L23" s="9"/>
      <c r="M23" s="9"/>
      <c r="N23" s="9"/>
      <c r="O23" s="9"/>
      <c r="P23" s="9"/>
      <c r="Q23" s="9"/>
      <c r="R23" s="9"/>
      <c r="S23" s="9"/>
    </row>
    <row r="24" spans="2:19" s="32" customFormat="1" ht="19.5">
      <c r="B24" s="40"/>
      <c r="C24" s="45"/>
      <c r="D24" s="45" t="s">
        <v>9</v>
      </c>
      <c r="E24" s="55" t="s">
        <v>10</v>
      </c>
      <c r="F24" s="42"/>
      <c r="G24" s="42"/>
      <c r="H24" s="42"/>
      <c r="I24" s="47">
        <f>'SA-05 (2)'!V42</f>
        <v>13712.32</v>
      </c>
      <c r="J24" s="43"/>
      <c r="K24" s="39"/>
      <c r="L24" s="39"/>
      <c r="M24" s="39"/>
      <c r="N24" s="39"/>
      <c r="O24" s="39"/>
      <c r="P24" s="39"/>
      <c r="Q24" s="39"/>
      <c r="R24" s="39"/>
      <c r="S24" s="39"/>
    </row>
    <row r="25" spans="2:19" s="32" customFormat="1" ht="19.5">
      <c r="B25" s="40"/>
      <c r="C25" s="41"/>
      <c r="D25" s="41"/>
      <c r="E25" s="55"/>
      <c r="F25" s="42"/>
      <c r="G25" s="42"/>
      <c r="H25" s="42"/>
      <c r="I25" s="47"/>
      <c r="J25" s="43"/>
      <c r="K25" s="39"/>
      <c r="L25" s="39"/>
      <c r="M25" s="39"/>
      <c r="N25" s="39"/>
      <c r="O25" s="39"/>
      <c r="P25" s="39"/>
      <c r="Q25" s="39"/>
      <c r="R25" s="39"/>
      <c r="S25" s="39"/>
    </row>
    <row r="26" spans="2:19" s="32" customFormat="1" ht="19.5">
      <c r="B26" s="40"/>
      <c r="C26" s="41"/>
      <c r="D26" s="41"/>
      <c r="E26" s="39"/>
      <c r="F26" s="42"/>
      <c r="G26" s="42"/>
      <c r="H26" s="42"/>
      <c r="I26" s="56"/>
      <c r="J26" s="43"/>
      <c r="K26" s="39"/>
      <c r="L26" s="39"/>
      <c r="M26" s="39"/>
      <c r="N26" s="39"/>
      <c r="O26" s="39"/>
      <c r="P26" s="39"/>
      <c r="Q26" s="39"/>
      <c r="R26" s="39"/>
      <c r="S26" s="39"/>
    </row>
    <row r="27" spans="2:19" s="32" customFormat="1" ht="20.25" thickBot="1">
      <c r="B27" s="40"/>
      <c r="C27" s="41"/>
      <c r="D27" s="41"/>
      <c r="E27" s="39"/>
      <c r="F27" s="42"/>
      <c r="G27" s="42"/>
      <c r="H27" s="42"/>
      <c r="I27" s="39"/>
      <c r="J27" s="43"/>
      <c r="K27" s="39"/>
      <c r="L27" s="39"/>
      <c r="M27" s="39"/>
      <c r="N27" s="39"/>
      <c r="O27" s="39"/>
      <c r="P27" s="39"/>
      <c r="Q27" s="39"/>
      <c r="R27" s="39"/>
      <c r="S27" s="39"/>
    </row>
    <row r="28" spans="2:19" s="32" customFormat="1" ht="20.25" thickBot="1" thickTop="1">
      <c r="B28" s="40"/>
      <c r="C28" s="45"/>
      <c r="D28" s="45"/>
      <c r="F28" s="57" t="s">
        <v>11</v>
      </c>
      <c r="G28" s="58">
        <f>SUM(I18:I26)</f>
        <v>28554.06</v>
      </c>
      <c r="H28" s="59"/>
      <c r="J28" s="43"/>
      <c r="K28" s="39"/>
      <c r="L28" s="39"/>
      <c r="M28" s="39"/>
      <c r="N28" s="39"/>
      <c r="O28" s="39"/>
      <c r="P28" s="39"/>
      <c r="Q28" s="39"/>
      <c r="R28" s="39"/>
      <c r="S28" s="39"/>
    </row>
    <row r="29" spans="2:19" s="32" customFormat="1" ht="19.5" thickTop="1">
      <c r="B29" s="40"/>
      <c r="C29" s="45"/>
      <c r="D29" s="45"/>
      <c r="F29" s="387"/>
      <c r="G29" s="59"/>
      <c r="H29" s="59"/>
      <c r="J29" s="43"/>
      <c r="K29" s="39"/>
      <c r="L29" s="39"/>
      <c r="M29" s="39"/>
      <c r="N29" s="39"/>
      <c r="O29" s="39"/>
      <c r="P29" s="39"/>
      <c r="Q29" s="39"/>
      <c r="R29" s="39"/>
      <c r="S29" s="39"/>
    </row>
    <row r="30" spans="2:19" s="32" customFormat="1" ht="18.75">
      <c r="B30" s="40"/>
      <c r="C30" s="388" t="s">
        <v>188</v>
      </c>
      <c r="D30" s="45"/>
      <c r="F30" s="387"/>
      <c r="G30" s="59"/>
      <c r="H30" s="59"/>
      <c r="J30" s="43"/>
      <c r="K30" s="39"/>
      <c r="L30" s="39"/>
      <c r="M30" s="39"/>
      <c r="N30" s="39"/>
      <c r="O30" s="39"/>
      <c r="P30" s="39"/>
      <c r="Q30" s="39"/>
      <c r="R30" s="39"/>
      <c r="S30" s="39"/>
    </row>
    <row r="31" spans="2:19" s="25" customFormat="1" ht="16.5" thickBot="1">
      <c r="B31" s="60"/>
      <c r="C31" s="61"/>
      <c r="D31" s="61"/>
      <c r="E31" s="62"/>
      <c r="F31" s="62"/>
      <c r="G31" s="62"/>
      <c r="H31" s="62"/>
      <c r="I31" s="62"/>
      <c r="J31" s="63"/>
      <c r="K31" s="27"/>
      <c r="L31" s="27"/>
      <c r="M31" s="64"/>
      <c r="N31" s="65"/>
      <c r="O31" s="65"/>
      <c r="P31" s="66"/>
      <c r="Q31" s="67"/>
      <c r="R31" s="27"/>
      <c r="S31" s="27"/>
    </row>
    <row r="32" spans="4:19" ht="13.5" thickTop="1">
      <c r="D32" s="9"/>
      <c r="F32" s="9"/>
      <c r="G32" s="9"/>
      <c r="H32" s="9"/>
      <c r="I32" s="9"/>
      <c r="J32" s="9"/>
      <c r="K32" s="9"/>
      <c r="L32" s="9"/>
      <c r="M32" s="68"/>
      <c r="N32" s="69"/>
      <c r="O32" s="69"/>
      <c r="P32" s="9"/>
      <c r="Q32" s="70"/>
      <c r="R32" s="9"/>
      <c r="S32" s="9"/>
    </row>
    <row r="33" spans="4:19" ht="12.75">
      <c r="D33" s="9"/>
      <c r="F33" s="9"/>
      <c r="G33" s="9"/>
      <c r="H33" s="9"/>
      <c r="I33" s="9"/>
      <c r="J33" s="9"/>
      <c r="K33" s="9"/>
      <c r="L33" s="9"/>
      <c r="M33" s="9"/>
      <c r="N33" s="71"/>
      <c r="O33" s="71"/>
      <c r="P33" s="72"/>
      <c r="Q33" s="70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71"/>
      <c r="O34" s="71"/>
      <c r="P34" s="72"/>
      <c r="Q34" s="70"/>
      <c r="R34" s="9"/>
      <c r="S34" s="9"/>
    </row>
    <row r="35" spans="4:19" ht="12.75">
      <c r="D35" s="9"/>
      <c r="E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P36" s="9"/>
      <c r="Q36" s="9"/>
      <c r="R36" s="9"/>
      <c r="S36" s="9"/>
    </row>
    <row r="37" spans="4:19" ht="12.75">
      <c r="D37" s="9"/>
      <c r="E37" s="9"/>
      <c r="P37" s="9"/>
      <c r="Q37" s="9"/>
      <c r="R37" s="9"/>
      <c r="S37" s="9"/>
    </row>
    <row r="38" spans="4:19" ht="12.75">
      <c r="D38" s="9"/>
      <c r="E38" s="9"/>
      <c r="P38" s="9"/>
      <c r="Q38" s="9"/>
      <c r="R38" s="9"/>
      <c r="S38" s="9"/>
    </row>
    <row r="39" spans="4:19" ht="12.75">
      <c r="D39" s="9"/>
      <c r="E39" s="9"/>
      <c r="P39" s="9"/>
      <c r="Q39" s="9"/>
      <c r="R39" s="9"/>
      <c r="S39" s="9"/>
    </row>
    <row r="40" spans="4:19" ht="12.75">
      <c r="D40" s="9"/>
      <c r="E40" s="9"/>
      <c r="P40" s="9"/>
      <c r="Q40" s="9"/>
      <c r="R40" s="9"/>
      <c r="S40" s="9"/>
    </row>
    <row r="41" spans="16:19" ht="12.75">
      <c r="P41" s="9"/>
      <c r="Q41" s="9"/>
      <c r="R41" s="9"/>
      <c r="S41" s="9"/>
    </row>
    <row r="42" spans="16:19" ht="12.75">
      <c r="P42" s="9"/>
      <c r="Q42" s="9"/>
      <c r="R42" s="9"/>
      <c r="S42" s="9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1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AC56"/>
  <sheetViews>
    <sheetView zoomScale="75" zoomScaleNormal="75" zoomScalePageLayoutView="0" workbookViewId="0" topLeftCell="A1">
      <selection activeCell="L28" sqref="L28"/>
    </sheetView>
  </sheetViews>
  <sheetFormatPr defaultColWidth="11.421875" defaultRowHeight="12.75"/>
  <cols>
    <col min="1" max="2" width="4.140625" style="76" customWidth="1"/>
    <col min="3" max="3" width="5.57421875" style="76" customWidth="1"/>
    <col min="4" max="5" width="13.7109375" style="76" customWidth="1"/>
    <col min="6" max="6" width="47.00390625" style="76" customWidth="1"/>
    <col min="7" max="7" width="8.421875" style="76" customWidth="1"/>
    <col min="8" max="8" width="8.7109375" style="76" customWidth="1"/>
    <col min="9" max="9" width="13.7109375" style="76" hidden="1" customWidth="1"/>
    <col min="10" max="10" width="16.421875" style="76" customWidth="1"/>
    <col min="11" max="11" width="16.7109375" style="76" customWidth="1"/>
    <col min="12" max="13" width="9.7109375" style="76" customWidth="1"/>
    <col min="14" max="14" width="8.7109375" style="76" customWidth="1"/>
    <col min="15" max="16" width="7.7109375" style="76" customWidth="1"/>
    <col min="17" max="17" width="14.421875" style="76" hidden="1" customWidth="1"/>
    <col min="18" max="18" width="14.00390625" style="76" hidden="1" customWidth="1"/>
    <col min="19" max="20" width="13.00390625" style="76" hidden="1" customWidth="1"/>
    <col min="21" max="21" width="14.57421875" style="76" hidden="1" customWidth="1"/>
    <col min="22" max="23" width="13.00390625" style="76" hidden="1" customWidth="1"/>
    <col min="24" max="24" width="14.57421875" style="76" hidden="1" customWidth="1"/>
    <col min="25" max="25" width="16.00390625" style="76" hidden="1" customWidth="1"/>
    <col min="26" max="26" width="17.140625" style="76" hidden="1" customWidth="1"/>
    <col min="27" max="27" width="9.421875" style="76" customWidth="1"/>
    <col min="28" max="28" width="15.7109375" style="76" customWidth="1"/>
    <col min="29" max="29" width="4.140625" style="76" customWidth="1"/>
    <col min="30" max="16384" width="11.421875" style="76" customWidth="1"/>
  </cols>
  <sheetData>
    <row r="1" spans="2:29" s="73" customFormat="1" ht="29.25" customHeight="1">
      <c r="B1" s="74"/>
      <c r="AC1" s="226"/>
    </row>
    <row r="2" spans="2:29" s="73" customFormat="1" ht="26.25">
      <c r="B2" s="227" t="str">
        <f>+'TOT-0514'!B2</f>
        <v>ANEXO II al Memorandum D.T.E.E. N°      328   / 2015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ht="13.5" customHeight="1">
      <c r="B3" s="77"/>
    </row>
    <row r="4" spans="2:4" s="78" customFormat="1" ht="11.25">
      <c r="B4" s="228"/>
      <c r="D4" s="10" t="s">
        <v>2</v>
      </c>
    </row>
    <row r="5" spans="2:4" s="78" customFormat="1" ht="11.25">
      <c r="B5" s="228"/>
      <c r="D5" s="10" t="s">
        <v>3</v>
      </c>
    </row>
    <row r="6" ht="13.5" thickBot="1"/>
    <row r="7" spans="2:29" ht="13.5" thickTop="1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1"/>
    </row>
    <row r="8" spans="2:29" ht="20.25">
      <c r="B8" s="82"/>
      <c r="C8" s="83"/>
      <c r="D8" s="83"/>
      <c r="E8" s="83"/>
      <c r="F8" s="84" t="s">
        <v>73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5"/>
    </row>
    <row r="9" spans="2:29" ht="12.75"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5"/>
    </row>
    <row r="10" spans="2:29" ht="20.25">
      <c r="B10" s="82"/>
      <c r="C10" s="83"/>
      <c r="D10" s="83"/>
      <c r="E10" s="83"/>
      <c r="F10" s="86" t="s">
        <v>12</v>
      </c>
      <c r="G10" s="87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5"/>
    </row>
    <row r="11" spans="2:29" ht="12.75"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5"/>
    </row>
    <row r="12" spans="2:29" s="88" customFormat="1" ht="19.5">
      <c r="B12" s="89" t="str">
        <f>+'TOT-0514'!B14</f>
        <v>Desde el 01 al 31 de mayo de 2014</v>
      </c>
      <c r="C12" s="229"/>
      <c r="D12" s="229"/>
      <c r="E12" s="229"/>
      <c r="F12" s="90"/>
      <c r="G12" s="91"/>
      <c r="H12" s="91"/>
      <c r="I12" s="91"/>
      <c r="J12" s="90"/>
      <c r="K12" s="90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2"/>
    </row>
    <row r="13" spans="2:29" ht="13.5" thickBot="1">
      <c r="B13" s="82"/>
      <c r="C13" s="83"/>
      <c r="D13" s="83"/>
      <c r="E13" s="83"/>
      <c r="F13" s="83"/>
      <c r="G13" s="93"/>
      <c r="H13" s="9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5"/>
    </row>
    <row r="14" spans="2:29" ht="16.5" customHeight="1" thickBot="1" thickTop="1">
      <c r="B14" s="82"/>
      <c r="C14" s="94"/>
      <c r="D14" s="94"/>
      <c r="E14" s="94"/>
      <c r="F14" s="95" t="s">
        <v>13</v>
      </c>
      <c r="G14" s="96">
        <v>397.704</v>
      </c>
      <c r="H14" s="97"/>
      <c r="I14" s="94"/>
      <c r="J14" s="98"/>
      <c r="K14" s="99" t="s">
        <v>14</v>
      </c>
      <c r="L14" s="230">
        <f>30*'TOT-0514'!B13</f>
        <v>30</v>
      </c>
      <c r="M14" s="100" t="str">
        <f>IF(L14=30," ",IF(L14=60,"Coeficiente duplicado por tasa de falla &gt;4 Sal. x año/100 km.","REVISAR COEFICIENTE"))</f>
        <v> </v>
      </c>
      <c r="N14" s="101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3"/>
      <c r="AC14" s="85"/>
    </row>
    <row r="15" spans="2:29" ht="16.5" customHeight="1" thickBot="1" thickTop="1">
      <c r="B15" s="82"/>
      <c r="C15" s="461">
        <v>3</v>
      </c>
      <c r="D15" s="461">
        <v>4</v>
      </c>
      <c r="E15" s="461">
        <v>5</v>
      </c>
      <c r="F15" s="461">
        <v>6</v>
      </c>
      <c r="G15" s="461">
        <v>7</v>
      </c>
      <c r="H15" s="461">
        <v>8</v>
      </c>
      <c r="I15" s="461">
        <v>9</v>
      </c>
      <c r="J15" s="461">
        <v>10</v>
      </c>
      <c r="K15" s="461">
        <v>11</v>
      </c>
      <c r="L15" s="461">
        <v>12</v>
      </c>
      <c r="M15" s="461">
        <v>13</v>
      </c>
      <c r="N15" s="461">
        <v>14</v>
      </c>
      <c r="O15" s="461">
        <v>15</v>
      </c>
      <c r="P15" s="461">
        <v>16</v>
      </c>
      <c r="Q15" s="461">
        <v>17</v>
      </c>
      <c r="R15" s="461">
        <v>18</v>
      </c>
      <c r="S15" s="461">
        <v>19</v>
      </c>
      <c r="T15" s="461">
        <v>20</v>
      </c>
      <c r="U15" s="461">
        <v>21</v>
      </c>
      <c r="V15" s="461">
        <v>22</v>
      </c>
      <c r="W15" s="461">
        <v>23</v>
      </c>
      <c r="X15" s="461">
        <v>24</v>
      </c>
      <c r="Y15" s="461">
        <v>25</v>
      </c>
      <c r="Z15" s="461">
        <v>26</v>
      </c>
      <c r="AA15" s="461">
        <v>27</v>
      </c>
      <c r="AB15" s="461">
        <v>28</v>
      </c>
      <c r="AC15" s="85"/>
    </row>
    <row r="16" spans="2:29" s="104" customFormat="1" ht="34.5" customHeight="1" thickBot="1" thickTop="1">
      <c r="B16" s="105"/>
      <c r="C16" s="443" t="s">
        <v>15</v>
      </c>
      <c r="D16" s="443" t="s">
        <v>74</v>
      </c>
      <c r="E16" s="443" t="s">
        <v>75</v>
      </c>
      <c r="F16" s="106" t="s">
        <v>1</v>
      </c>
      <c r="G16" s="107" t="s">
        <v>16</v>
      </c>
      <c r="H16" s="107" t="s">
        <v>17</v>
      </c>
      <c r="I16" s="108" t="s">
        <v>18</v>
      </c>
      <c r="J16" s="106" t="s">
        <v>19</v>
      </c>
      <c r="K16" s="106" t="s">
        <v>20</v>
      </c>
      <c r="L16" s="109" t="s">
        <v>21</v>
      </c>
      <c r="M16" s="107" t="s">
        <v>22</v>
      </c>
      <c r="N16" s="110" t="s">
        <v>68</v>
      </c>
      <c r="O16" s="107" t="s">
        <v>23</v>
      </c>
      <c r="P16" s="106" t="s">
        <v>24</v>
      </c>
      <c r="Q16" s="111" t="s">
        <v>25</v>
      </c>
      <c r="R16" s="112" t="s">
        <v>26</v>
      </c>
      <c r="S16" s="113" t="s">
        <v>27</v>
      </c>
      <c r="T16" s="114"/>
      <c r="U16" s="115"/>
      <c r="V16" s="116" t="s">
        <v>28</v>
      </c>
      <c r="W16" s="117"/>
      <c r="X16" s="118"/>
      <c r="Y16" s="119" t="s">
        <v>29</v>
      </c>
      <c r="Z16" s="120" t="s">
        <v>30</v>
      </c>
      <c r="AA16" s="107" t="s">
        <v>31</v>
      </c>
      <c r="AB16" s="107" t="s">
        <v>32</v>
      </c>
      <c r="AC16" s="121"/>
    </row>
    <row r="17" spans="2:29" ht="16.5" customHeight="1" thickTop="1">
      <c r="B17" s="82"/>
      <c r="C17" s="122"/>
      <c r="D17" s="122"/>
      <c r="E17" s="122"/>
      <c r="F17" s="231"/>
      <c r="G17" s="232"/>
      <c r="H17" s="233"/>
      <c r="I17" s="234"/>
      <c r="J17" s="235"/>
      <c r="K17" s="231"/>
      <c r="L17" s="235"/>
      <c r="M17" s="231"/>
      <c r="N17" s="235"/>
      <c r="O17" s="236"/>
      <c r="P17" s="235"/>
      <c r="Q17" s="237"/>
      <c r="R17" s="238"/>
      <c r="S17" s="239"/>
      <c r="T17" s="240"/>
      <c r="U17" s="241"/>
      <c r="V17" s="242"/>
      <c r="W17" s="243"/>
      <c r="X17" s="244"/>
      <c r="Y17" s="245"/>
      <c r="Z17" s="246"/>
      <c r="AA17" s="235"/>
      <c r="AB17" s="247"/>
      <c r="AC17" s="85"/>
    </row>
    <row r="18" spans="2:29" ht="16.5" customHeight="1">
      <c r="B18" s="82"/>
      <c r="C18" s="122"/>
      <c r="D18" s="122"/>
      <c r="E18" s="122"/>
      <c r="F18" s="249"/>
      <c r="G18" s="248"/>
      <c r="H18" s="248"/>
      <c r="I18" s="250"/>
      <c r="J18" s="248"/>
      <c r="K18" s="251"/>
      <c r="L18" s="252"/>
      <c r="M18" s="251"/>
      <c r="N18" s="248"/>
      <c r="O18" s="249"/>
      <c r="P18" s="252"/>
      <c r="Q18" s="253"/>
      <c r="R18" s="254"/>
      <c r="S18" s="255"/>
      <c r="T18" s="256"/>
      <c r="U18" s="257"/>
      <c r="V18" s="258"/>
      <c r="W18" s="259"/>
      <c r="X18" s="260"/>
      <c r="Y18" s="261"/>
      <c r="Z18" s="262"/>
      <c r="AA18" s="252"/>
      <c r="AB18" s="263"/>
      <c r="AC18" s="85"/>
    </row>
    <row r="19" spans="2:29" ht="16.5" customHeight="1">
      <c r="B19" s="82"/>
      <c r="C19" s="122">
        <v>1</v>
      </c>
      <c r="D19" s="122">
        <v>275124</v>
      </c>
      <c r="E19" s="122">
        <v>4078</v>
      </c>
      <c r="F19" s="122" t="s">
        <v>131</v>
      </c>
      <c r="G19" s="123">
        <v>132</v>
      </c>
      <c r="H19" s="124">
        <v>4.900000095367432</v>
      </c>
      <c r="I19" s="125">
        <f>H19*$G$14/100</f>
        <v>19.487496379280092</v>
      </c>
      <c r="J19" s="126">
        <v>41775.51944444444</v>
      </c>
      <c r="K19" s="126">
        <v>41775.927777777775</v>
      </c>
      <c r="L19" s="127">
        <f aca="true" t="shared" si="0" ref="L19:L38">IF(J19="","",(K19-J19)*24)</f>
        <v>9.799999999988358</v>
      </c>
      <c r="M19" s="128">
        <f aca="true" t="shared" si="1" ref="M19:M38">IF(K19="","",ROUND((K19-J19)*24*60,0))</f>
        <v>588</v>
      </c>
      <c r="N19" s="129" t="s">
        <v>132</v>
      </c>
      <c r="O19" s="129" t="s">
        <v>134</v>
      </c>
      <c r="P19" s="130" t="str">
        <f aca="true" t="shared" si="2" ref="P19:P38">IF(F19="","",IF(OR(N19="P",N19="RP"),"--","NO"))</f>
        <v>NO</v>
      </c>
      <c r="Q19" s="267" t="str">
        <f aca="true" t="shared" si="3" ref="Q19:Q38">IF(N19="P",ROUND(M19/60,2)*I19*$L$14*0.01,"--")</f>
        <v>--</v>
      </c>
      <c r="R19" s="268" t="str">
        <f aca="true" t="shared" si="4" ref="R19:R38">IF(N19="RP",ROUND(M19/60,2)*I19*$L$14*0.01*O19/100,"--")</f>
        <v>--</v>
      </c>
      <c r="S19" s="269">
        <f aca="true" t="shared" si="5" ref="S19:S38">IF(P19="SI","--",IF(N19="F",ROUND(I19*$L$14,2),"--"))</f>
        <v>584.62</v>
      </c>
      <c r="T19" s="270">
        <f aca="true" t="shared" si="6" ref="T19:T38">IF(N19="F",IF(M19&lt;10,"--",IF(M19&gt;180,ROUND(I19*$L$14*3,2),I19*$L$14*ROUND(M19/60,2))),"--")</f>
        <v>1753.87</v>
      </c>
      <c r="U19" s="271">
        <f aca="true" t="shared" si="7" ref="U19:U38">IF(AND(N19="F",M19&gt;180),I19*$L$14*0.1*(ROUND(M19/60,2)-3),"--")</f>
        <v>397.5449261373139</v>
      </c>
      <c r="V19" s="272" t="str">
        <f aca="true" t="shared" si="8" ref="V19:V38">IF(P19="SI","--",IF(N19="R",ROUND(I19*$L$14*O19/100,2),"--"))</f>
        <v>--</v>
      </c>
      <c r="W19" s="273" t="str">
        <f aca="true" t="shared" si="9" ref="W19:W38">IF(N19="R",IF(M19&lt;10,"--",IF(M19&gt;180,ROUND(I19*$L$14*3*O19/100,2),I19*$L$14*O19/100*ROUND(M19/60,2))),"--")</f>
        <v>--</v>
      </c>
      <c r="X19" s="274" t="str">
        <f aca="true" t="shared" si="10" ref="X19:X38">IF(AND(N19="R",M19&gt;180),I19*$L$14*O19/100*0.1*(ROUND(M19/60,2)-3),"--")</f>
        <v>--</v>
      </c>
      <c r="Y19" s="275" t="str">
        <f aca="true" t="shared" si="11" ref="Y19:Y38">IF(N19="RF",I19*$L$14*0.1*ROUND(M19/60,2),"--")</f>
        <v>--</v>
      </c>
      <c r="Z19" s="276" t="str">
        <f aca="true" t="shared" si="12" ref="Z19:Z38">IF(N19="RR",I19*$L$14*0.1*O19/100*ROUND(M19/60,2),"--")</f>
        <v>--</v>
      </c>
      <c r="AA19" s="131" t="s">
        <v>133</v>
      </c>
      <c r="AB19" s="132">
        <f aca="true" t="shared" si="13" ref="AB19:AB38">IF(F19="","",IF(AA19="SI",SUM(Q19:Z19),2*SUM(Q19:Z19)))</f>
        <v>2736.0349261373135</v>
      </c>
      <c r="AC19" s="133"/>
    </row>
    <row r="20" spans="2:29" ht="16.5" customHeight="1">
      <c r="B20" s="82"/>
      <c r="C20" s="122">
        <v>2</v>
      </c>
      <c r="D20" s="122">
        <v>275329</v>
      </c>
      <c r="E20" s="122">
        <v>5029</v>
      </c>
      <c r="F20" s="122" t="s">
        <v>135</v>
      </c>
      <c r="G20" s="123">
        <v>132</v>
      </c>
      <c r="H20" s="124">
        <v>23.2810001373291</v>
      </c>
      <c r="I20" s="125">
        <f aca="true" t="shared" si="14" ref="I20:I38">H20*$G$14/100</f>
        <v>92.58946878616332</v>
      </c>
      <c r="J20" s="126">
        <v>41779.60138888889</v>
      </c>
      <c r="K20" s="126">
        <v>41779.79722222222</v>
      </c>
      <c r="L20" s="127">
        <f t="shared" si="0"/>
        <v>4.699999999953434</v>
      </c>
      <c r="M20" s="128">
        <f t="shared" si="1"/>
        <v>282</v>
      </c>
      <c r="N20" s="129" t="s">
        <v>136</v>
      </c>
      <c r="O20" s="129" t="s">
        <v>134</v>
      </c>
      <c r="P20" s="130" t="str">
        <f t="shared" si="2"/>
        <v>--</v>
      </c>
      <c r="Q20" s="267">
        <f t="shared" si="3"/>
        <v>130.5511509884903</v>
      </c>
      <c r="R20" s="268" t="str">
        <f t="shared" si="4"/>
        <v>--</v>
      </c>
      <c r="S20" s="269" t="str">
        <f t="shared" si="5"/>
        <v>--</v>
      </c>
      <c r="T20" s="270" t="str">
        <f t="shared" si="6"/>
        <v>--</v>
      </c>
      <c r="U20" s="271" t="str">
        <f t="shared" si="7"/>
        <v>--</v>
      </c>
      <c r="V20" s="272" t="str">
        <f t="shared" si="8"/>
        <v>--</v>
      </c>
      <c r="W20" s="273" t="str">
        <f t="shared" si="9"/>
        <v>--</v>
      </c>
      <c r="X20" s="274" t="str">
        <f t="shared" si="10"/>
        <v>--</v>
      </c>
      <c r="Y20" s="275" t="str">
        <f t="shared" si="11"/>
        <v>--</v>
      </c>
      <c r="Z20" s="276" t="str">
        <f t="shared" si="12"/>
        <v>--</v>
      </c>
      <c r="AA20" s="131" t="s">
        <v>133</v>
      </c>
      <c r="AB20" s="132">
        <f t="shared" si="13"/>
        <v>130.5511509884903</v>
      </c>
      <c r="AC20" s="133"/>
    </row>
    <row r="21" spans="2:29" ht="16.5" customHeight="1">
      <c r="B21" s="82"/>
      <c r="C21" s="122">
        <v>3</v>
      </c>
      <c r="D21" s="122">
        <v>275327</v>
      </c>
      <c r="E21" s="122">
        <v>5028</v>
      </c>
      <c r="F21" s="122" t="s">
        <v>137</v>
      </c>
      <c r="G21" s="123">
        <v>132</v>
      </c>
      <c r="H21" s="124">
        <v>69</v>
      </c>
      <c r="I21" s="125">
        <f t="shared" si="14"/>
        <v>274.41576000000003</v>
      </c>
      <c r="J21" s="126">
        <v>41779.74444444444</v>
      </c>
      <c r="K21" s="126">
        <v>41779.75</v>
      </c>
      <c r="L21" s="127">
        <f t="shared" si="0"/>
        <v>0.13333333341870457</v>
      </c>
      <c r="M21" s="128">
        <f t="shared" si="1"/>
        <v>8</v>
      </c>
      <c r="N21" s="129" t="s">
        <v>132</v>
      </c>
      <c r="O21" s="129" t="s">
        <v>134</v>
      </c>
      <c r="P21" s="130" t="str">
        <f t="shared" si="2"/>
        <v>NO</v>
      </c>
      <c r="Q21" s="267" t="str">
        <f t="shared" si="3"/>
        <v>--</v>
      </c>
      <c r="R21" s="268" t="str">
        <f t="shared" si="4"/>
        <v>--</v>
      </c>
      <c r="S21" s="269">
        <f t="shared" si="5"/>
        <v>8232.47</v>
      </c>
      <c r="T21" s="270" t="str">
        <f t="shared" si="6"/>
        <v>--</v>
      </c>
      <c r="U21" s="271" t="str">
        <f t="shared" si="7"/>
        <v>--</v>
      </c>
      <c r="V21" s="272" t="str">
        <f t="shared" si="8"/>
        <v>--</v>
      </c>
      <c r="W21" s="273" t="str">
        <f t="shared" si="9"/>
        <v>--</v>
      </c>
      <c r="X21" s="274" t="str">
        <f t="shared" si="10"/>
        <v>--</v>
      </c>
      <c r="Y21" s="275" t="str">
        <f t="shared" si="11"/>
        <v>--</v>
      </c>
      <c r="Z21" s="276" t="str">
        <f t="shared" si="12"/>
        <v>--</v>
      </c>
      <c r="AA21" s="131" t="s">
        <v>133</v>
      </c>
      <c r="AB21" s="132">
        <f t="shared" si="13"/>
        <v>8232.47</v>
      </c>
      <c r="AC21" s="133"/>
    </row>
    <row r="22" spans="2:29" ht="16.5" customHeight="1">
      <c r="B22" s="82"/>
      <c r="C22" s="122">
        <v>4</v>
      </c>
      <c r="D22" s="122">
        <v>275328</v>
      </c>
      <c r="E22" s="122">
        <v>169</v>
      </c>
      <c r="F22" s="122" t="s">
        <v>138</v>
      </c>
      <c r="G22" s="123">
        <v>132</v>
      </c>
      <c r="H22" s="124">
        <v>18</v>
      </c>
      <c r="I22" s="125">
        <f t="shared" si="14"/>
        <v>71.58672</v>
      </c>
      <c r="J22" s="126">
        <v>41779.74444444444</v>
      </c>
      <c r="K22" s="126">
        <v>41779.75</v>
      </c>
      <c r="L22" s="127">
        <f t="shared" si="0"/>
        <v>0.13333333341870457</v>
      </c>
      <c r="M22" s="128">
        <f t="shared" si="1"/>
        <v>8</v>
      </c>
      <c r="N22" s="129" t="s">
        <v>132</v>
      </c>
      <c r="O22" s="129" t="s">
        <v>134</v>
      </c>
      <c r="P22" s="130" t="str">
        <f t="shared" si="2"/>
        <v>NO</v>
      </c>
      <c r="Q22" s="267" t="str">
        <f t="shared" si="3"/>
        <v>--</v>
      </c>
      <c r="R22" s="268" t="str">
        <f t="shared" si="4"/>
        <v>--</v>
      </c>
      <c r="S22" s="269">
        <f t="shared" si="5"/>
        <v>2147.6</v>
      </c>
      <c r="T22" s="270" t="str">
        <f t="shared" si="6"/>
        <v>--</v>
      </c>
      <c r="U22" s="271" t="str">
        <f t="shared" si="7"/>
        <v>--</v>
      </c>
      <c r="V22" s="272" t="str">
        <f t="shared" si="8"/>
        <v>--</v>
      </c>
      <c r="W22" s="273" t="str">
        <f t="shared" si="9"/>
        <v>--</v>
      </c>
      <c r="X22" s="274" t="str">
        <f t="shared" si="10"/>
        <v>--</v>
      </c>
      <c r="Y22" s="275" t="str">
        <f t="shared" si="11"/>
        <v>--</v>
      </c>
      <c r="Z22" s="276" t="str">
        <f t="shared" si="12"/>
        <v>--</v>
      </c>
      <c r="AA22" s="131" t="s">
        <v>133</v>
      </c>
      <c r="AB22" s="132">
        <f t="shared" si="13"/>
        <v>2147.6</v>
      </c>
      <c r="AC22" s="133"/>
    </row>
    <row r="23" spans="2:29" ht="16.5" customHeight="1">
      <c r="B23" s="82"/>
      <c r="C23" s="122">
        <v>5</v>
      </c>
      <c r="D23" s="122">
        <v>275463</v>
      </c>
      <c r="E23" s="122">
        <v>153</v>
      </c>
      <c r="F23" s="122" t="s">
        <v>139</v>
      </c>
      <c r="G23" s="123">
        <v>132</v>
      </c>
      <c r="H23" s="124">
        <v>24.899999618530273</v>
      </c>
      <c r="I23" s="125">
        <f t="shared" si="14"/>
        <v>99.02829448287964</v>
      </c>
      <c r="J23" s="126">
        <v>41785.43541666667</v>
      </c>
      <c r="K23" s="126">
        <v>41785.64861111111</v>
      </c>
      <c r="L23" s="127">
        <f t="shared" si="0"/>
        <v>5.116666666581295</v>
      </c>
      <c r="M23" s="128">
        <f t="shared" si="1"/>
        <v>307</v>
      </c>
      <c r="N23" s="129" t="s">
        <v>136</v>
      </c>
      <c r="O23" s="129" t="s">
        <v>134</v>
      </c>
      <c r="P23" s="130" t="str">
        <f t="shared" si="2"/>
        <v>--</v>
      </c>
      <c r="Q23" s="267">
        <f t="shared" si="3"/>
        <v>152.10746032570313</v>
      </c>
      <c r="R23" s="268" t="str">
        <f t="shared" si="4"/>
        <v>--</v>
      </c>
      <c r="S23" s="269" t="str">
        <f t="shared" si="5"/>
        <v>--</v>
      </c>
      <c r="T23" s="270" t="str">
        <f t="shared" si="6"/>
        <v>--</v>
      </c>
      <c r="U23" s="271" t="str">
        <f t="shared" si="7"/>
        <v>--</v>
      </c>
      <c r="V23" s="272" t="str">
        <f t="shared" si="8"/>
        <v>--</v>
      </c>
      <c r="W23" s="273" t="str">
        <f t="shared" si="9"/>
        <v>--</v>
      </c>
      <c r="X23" s="274" t="str">
        <f t="shared" si="10"/>
        <v>--</v>
      </c>
      <c r="Y23" s="275" t="str">
        <f t="shared" si="11"/>
        <v>--</v>
      </c>
      <c r="Z23" s="276" t="str">
        <f t="shared" si="12"/>
        <v>--</v>
      </c>
      <c r="AA23" s="131" t="s">
        <v>133</v>
      </c>
      <c r="AB23" s="132">
        <f t="shared" si="13"/>
        <v>152.10746032570313</v>
      </c>
      <c r="AC23" s="133"/>
    </row>
    <row r="24" spans="2:29" ht="16.5" customHeight="1">
      <c r="B24" s="82"/>
      <c r="C24" s="122">
        <v>6</v>
      </c>
      <c r="D24" s="122">
        <v>275464</v>
      </c>
      <c r="E24" s="122">
        <v>154</v>
      </c>
      <c r="F24" s="122" t="s">
        <v>140</v>
      </c>
      <c r="G24" s="123">
        <v>132</v>
      </c>
      <c r="H24" s="124">
        <v>24.899999618530273</v>
      </c>
      <c r="I24" s="125">
        <f t="shared" si="14"/>
        <v>99.02829448287964</v>
      </c>
      <c r="J24" s="126">
        <v>41786.427083333336</v>
      </c>
      <c r="K24" s="126">
        <v>41786.57847222222</v>
      </c>
      <c r="L24" s="127">
        <f t="shared" si="0"/>
        <v>3.6333333333022892</v>
      </c>
      <c r="M24" s="128">
        <f t="shared" si="1"/>
        <v>218</v>
      </c>
      <c r="N24" s="129" t="s">
        <v>136</v>
      </c>
      <c r="O24" s="129" t="s">
        <v>134</v>
      </c>
      <c r="P24" s="130" t="str">
        <f t="shared" si="2"/>
        <v>--</v>
      </c>
      <c r="Q24" s="267">
        <f t="shared" si="3"/>
        <v>107.84181269185594</v>
      </c>
      <c r="R24" s="268" t="str">
        <f t="shared" si="4"/>
        <v>--</v>
      </c>
      <c r="S24" s="269" t="str">
        <f t="shared" si="5"/>
        <v>--</v>
      </c>
      <c r="T24" s="270" t="str">
        <f t="shared" si="6"/>
        <v>--</v>
      </c>
      <c r="U24" s="271" t="str">
        <f t="shared" si="7"/>
        <v>--</v>
      </c>
      <c r="V24" s="272" t="str">
        <f t="shared" si="8"/>
        <v>--</v>
      </c>
      <c r="W24" s="273" t="str">
        <f t="shared" si="9"/>
        <v>--</v>
      </c>
      <c r="X24" s="274" t="str">
        <f t="shared" si="10"/>
        <v>--</v>
      </c>
      <c r="Y24" s="275" t="str">
        <f t="shared" si="11"/>
        <v>--</v>
      </c>
      <c r="Z24" s="276" t="str">
        <f t="shared" si="12"/>
        <v>--</v>
      </c>
      <c r="AA24" s="131" t="s">
        <v>133</v>
      </c>
      <c r="AB24" s="132">
        <f t="shared" si="13"/>
        <v>107.84181269185594</v>
      </c>
      <c r="AC24" s="133"/>
    </row>
    <row r="25" spans="2:29" ht="16.5" customHeight="1">
      <c r="B25" s="82"/>
      <c r="C25" s="122"/>
      <c r="D25" s="122"/>
      <c r="E25" s="122"/>
      <c r="F25" s="122"/>
      <c r="G25" s="123"/>
      <c r="H25" s="124"/>
      <c r="I25" s="125">
        <f t="shared" si="14"/>
        <v>0</v>
      </c>
      <c r="J25" s="126"/>
      <c r="K25" s="126"/>
      <c r="L25" s="127">
        <f t="shared" si="0"/>
      </c>
      <c r="M25" s="128">
        <f t="shared" si="1"/>
      </c>
      <c r="N25" s="129"/>
      <c r="O25" s="129">
        <f aca="true" t="shared" si="15" ref="O25:O38">IF(F25="","","--")</f>
      </c>
      <c r="P25" s="130">
        <f t="shared" si="2"/>
      </c>
      <c r="Q25" s="267" t="str">
        <f t="shared" si="3"/>
        <v>--</v>
      </c>
      <c r="R25" s="268" t="str">
        <f t="shared" si="4"/>
        <v>--</v>
      </c>
      <c r="S25" s="269" t="str">
        <f t="shared" si="5"/>
        <v>--</v>
      </c>
      <c r="T25" s="270" t="str">
        <f t="shared" si="6"/>
        <v>--</v>
      </c>
      <c r="U25" s="271" t="str">
        <f t="shared" si="7"/>
        <v>--</v>
      </c>
      <c r="V25" s="272" t="str">
        <f t="shared" si="8"/>
        <v>--</v>
      </c>
      <c r="W25" s="273" t="str">
        <f t="shared" si="9"/>
        <v>--</v>
      </c>
      <c r="X25" s="274" t="str">
        <f t="shared" si="10"/>
        <v>--</v>
      </c>
      <c r="Y25" s="275" t="str">
        <f t="shared" si="11"/>
        <v>--</v>
      </c>
      <c r="Z25" s="276" t="str">
        <f t="shared" si="12"/>
        <v>--</v>
      </c>
      <c r="AA25" s="131">
        <f aca="true" t="shared" si="16" ref="AA25:AA38">IF(F25="","","SI")</f>
      </c>
      <c r="AB25" s="132">
        <f t="shared" si="13"/>
      </c>
      <c r="AC25" s="133"/>
    </row>
    <row r="26" spans="2:29" ht="16.5" customHeight="1">
      <c r="B26" s="82"/>
      <c r="C26" s="122"/>
      <c r="D26" s="122"/>
      <c r="E26" s="122"/>
      <c r="F26" s="122"/>
      <c r="G26" s="123"/>
      <c r="H26" s="124"/>
      <c r="I26" s="125">
        <f t="shared" si="14"/>
        <v>0</v>
      </c>
      <c r="J26" s="126"/>
      <c r="K26" s="126"/>
      <c r="L26" s="127">
        <f t="shared" si="0"/>
      </c>
      <c r="M26" s="128">
        <f t="shared" si="1"/>
      </c>
      <c r="N26" s="129"/>
      <c r="O26" s="129">
        <f t="shared" si="15"/>
      </c>
      <c r="P26" s="130">
        <f t="shared" si="2"/>
      </c>
      <c r="Q26" s="267" t="str">
        <f t="shared" si="3"/>
        <v>--</v>
      </c>
      <c r="R26" s="268" t="str">
        <f t="shared" si="4"/>
        <v>--</v>
      </c>
      <c r="S26" s="269" t="str">
        <f t="shared" si="5"/>
        <v>--</v>
      </c>
      <c r="T26" s="270" t="str">
        <f t="shared" si="6"/>
        <v>--</v>
      </c>
      <c r="U26" s="271" t="str">
        <f t="shared" si="7"/>
        <v>--</v>
      </c>
      <c r="V26" s="272" t="str">
        <f t="shared" si="8"/>
        <v>--</v>
      </c>
      <c r="W26" s="273" t="str">
        <f t="shared" si="9"/>
        <v>--</v>
      </c>
      <c r="X26" s="274" t="str">
        <f t="shared" si="10"/>
        <v>--</v>
      </c>
      <c r="Y26" s="275" t="str">
        <f t="shared" si="11"/>
        <v>--</v>
      </c>
      <c r="Z26" s="276" t="str">
        <f t="shared" si="12"/>
        <v>--</v>
      </c>
      <c r="AA26" s="131">
        <f t="shared" si="16"/>
      </c>
      <c r="AB26" s="132">
        <f t="shared" si="13"/>
      </c>
      <c r="AC26" s="133"/>
    </row>
    <row r="27" spans="2:29" ht="16.5" customHeight="1">
      <c r="B27" s="82"/>
      <c r="C27" s="122"/>
      <c r="D27" s="122"/>
      <c r="E27" s="122"/>
      <c r="F27" s="122"/>
      <c r="G27" s="123"/>
      <c r="H27" s="124"/>
      <c r="I27" s="125">
        <f t="shared" si="14"/>
        <v>0</v>
      </c>
      <c r="J27" s="126"/>
      <c r="K27" s="126"/>
      <c r="L27" s="127">
        <f t="shared" si="0"/>
      </c>
      <c r="M27" s="128">
        <f t="shared" si="1"/>
      </c>
      <c r="N27" s="129"/>
      <c r="O27" s="129">
        <f t="shared" si="15"/>
      </c>
      <c r="P27" s="130">
        <f t="shared" si="2"/>
      </c>
      <c r="Q27" s="267" t="str">
        <f t="shared" si="3"/>
        <v>--</v>
      </c>
      <c r="R27" s="268" t="str">
        <f t="shared" si="4"/>
        <v>--</v>
      </c>
      <c r="S27" s="269" t="str">
        <f t="shared" si="5"/>
        <v>--</v>
      </c>
      <c r="T27" s="270" t="str">
        <f t="shared" si="6"/>
        <v>--</v>
      </c>
      <c r="U27" s="271" t="str">
        <f t="shared" si="7"/>
        <v>--</v>
      </c>
      <c r="V27" s="272" t="str">
        <f t="shared" si="8"/>
        <v>--</v>
      </c>
      <c r="W27" s="273" t="str">
        <f t="shared" si="9"/>
        <v>--</v>
      </c>
      <c r="X27" s="274" t="str">
        <f t="shared" si="10"/>
        <v>--</v>
      </c>
      <c r="Y27" s="275" t="str">
        <f t="shared" si="11"/>
        <v>--</v>
      </c>
      <c r="Z27" s="276" t="str">
        <f t="shared" si="12"/>
        <v>--</v>
      </c>
      <c r="AA27" s="131">
        <f t="shared" si="16"/>
      </c>
      <c r="AB27" s="132">
        <f t="shared" si="13"/>
      </c>
      <c r="AC27" s="133"/>
    </row>
    <row r="28" spans="2:29" ht="16.5" customHeight="1">
      <c r="B28" s="82"/>
      <c r="C28" s="122"/>
      <c r="D28" s="134"/>
      <c r="E28" s="134"/>
      <c r="F28" s="134"/>
      <c r="G28" s="123"/>
      <c r="H28" s="124"/>
      <c r="I28" s="125">
        <f t="shared" si="14"/>
        <v>0</v>
      </c>
      <c r="J28" s="126"/>
      <c r="K28" s="126"/>
      <c r="L28" s="127">
        <f t="shared" si="0"/>
      </c>
      <c r="M28" s="128">
        <f t="shared" si="1"/>
      </c>
      <c r="N28" s="129"/>
      <c r="O28" s="129">
        <f t="shared" si="15"/>
      </c>
      <c r="P28" s="130">
        <f t="shared" si="2"/>
      </c>
      <c r="Q28" s="267" t="str">
        <f t="shared" si="3"/>
        <v>--</v>
      </c>
      <c r="R28" s="268" t="str">
        <f t="shared" si="4"/>
        <v>--</v>
      </c>
      <c r="S28" s="269" t="str">
        <f t="shared" si="5"/>
        <v>--</v>
      </c>
      <c r="T28" s="270" t="str">
        <f t="shared" si="6"/>
        <v>--</v>
      </c>
      <c r="U28" s="271" t="str">
        <f t="shared" si="7"/>
        <v>--</v>
      </c>
      <c r="V28" s="272" t="str">
        <f t="shared" si="8"/>
        <v>--</v>
      </c>
      <c r="W28" s="273" t="str">
        <f t="shared" si="9"/>
        <v>--</v>
      </c>
      <c r="X28" s="274" t="str">
        <f t="shared" si="10"/>
        <v>--</v>
      </c>
      <c r="Y28" s="275" t="str">
        <f t="shared" si="11"/>
        <v>--</v>
      </c>
      <c r="Z28" s="276" t="str">
        <f t="shared" si="12"/>
        <v>--</v>
      </c>
      <c r="AA28" s="131">
        <f t="shared" si="16"/>
      </c>
      <c r="AB28" s="132">
        <f t="shared" si="13"/>
      </c>
      <c r="AC28" s="133"/>
    </row>
    <row r="29" spans="2:29" ht="16.5" customHeight="1">
      <c r="B29" s="82"/>
      <c r="C29" s="122"/>
      <c r="D29" s="134"/>
      <c r="E29" s="134"/>
      <c r="F29" s="134"/>
      <c r="G29" s="123"/>
      <c r="H29" s="124"/>
      <c r="I29" s="125">
        <f t="shared" si="14"/>
        <v>0</v>
      </c>
      <c r="J29" s="126"/>
      <c r="K29" s="126"/>
      <c r="L29" s="127">
        <f t="shared" si="0"/>
      </c>
      <c r="M29" s="128">
        <f t="shared" si="1"/>
      </c>
      <c r="N29" s="129"/>
      <c r="O29" s="129">
        <f t="shared" si="15"/>
      </c>
      <c r="P29" s="130">
        <f t="shared" si="2"/>
      </c>
      <c r="Q29" s="267" t="str">
        <f t="shared" si="3"/>
        <v>--</v>
      </c>
      <c r="R29" s="268" t="str">
        <f t="shared" si="4"/>
        <v>--</v>
      </c>
      <c r="S29" s="269" t="str">
        <f t="shared" si="5"/>
        <v>--</v>
      </c>
      <c r="T29" s="270" t="str">
        <f t="shared" si="6"/>
        <v>--</v>
      </c>
      <c r="U29" s="271" t="str">
        <f t="shared" si="7"/>
        <v>--</v>
      </c>
      <c r="V29" s="272" t="str">
        <f t="shared" si="8"/>
        <v>--</v>
      </c>
      <c r="W29" s="273" t="str">
        <f t="shared" si="9"/>
        <v>--</v>
      </c>
      <c r="X29" s="274" t="str">
        <f t="shared" si="10"/>
        <v>--</v>
      </c>
      <c r="Y29" s="275" t="str">
        <f t="shared" si="11"/>
        <v>--</v>
      </c>
      <c r="Z29" s="276" t="str">
        <f t="shared" si="12"/>
        <v>--</v>
      </c>
      <c r="AA29" s="131">
        <f t="shared" si="16"/>
      </c>
      <c r="AB29" s="132">
        <f t="shared" si="13"/>
      </c>
      <c r="AC29" s="133"/>
    </row>
    <row r="30" spans="2:29" ht="16.5" customHeight="1">
      <c r="B30" s="82"/>
      <c r="C30" s="122"/>
      <c r="D30" s="134"/>
      <c r="E30" s="134"/>
      <c r="F30" s="134"/>
      <c r="G30" s="123"/>
      <c r="H30" s="124"/>
      <c r="I30" s="125">
        <f t="shared" si="14"/>
        <v>0</v>
      </c>
      <c r="J30" s="126"/>
      <c r="K30" s="126"/>
      <c r="L30" s="127">
        <f t="shared" si="0"/>
      </c>
      <c r="M30" s="128">
        <f t="shared" si="1"/>
      </c>
      <c r="N30" s="129"/>
      <c r="O30" s="129">
        <f t="shared" si="15"/>
      </c>
      <c r="P30" s="130">
        <f t="shared" si="2"/>
      </c>
      <c r="Q30" s="267" t="str">
        <f t="shared" si="3"/>
        <v>--</v>
      </c>
      <c r="R30" s="268" t="str">
        <f t="shared" si="4"/>
        <v>--</v>
      </c>
      <c r="S30" s="269" t="str">
        <f t="shared" si="5"/>
        <v>--</v>
      </c>
      <c r="T30" s="270" t="str">
        <f t="shared" si="6"/>
        <v>--</v>
      </c>
      <c r="U30" s="271" t="str">
        <f t="shared" si="7"/>
        <v>--</v>
      </c>
      <c r="V30" s="272" t="str">
        <f t="shared" si="8"/>
        <v>--</v>
      </c>
      <c r="W30" s="273" t="str">
        <f t="shared" si="9"/>
        <v>--</v>
      </c>
      <c r="X30" s="274" t="str">
        <f t="shared" si="10"/>
        <v>--</v>
      </c>
      <c r="Y30" s="275" t="str">
        <f t="shared" si="11"/>
        <v>--</v>
      </c>
      <c r="Z30" s="276" t="str">
        <f t="shared" si="12"/>
        <v>--</v>
      </c>
      <c r="AA30" s="131">
        <f t="shared" si="16"/>
      </c>
      <c r="AB30" s="132">
        <f t="shared" si="13"/>
      </c>
      <c r="AC30" s="133"/>
    </row>
    <row r="31" spans="2:29" ht="16.5" customHeight="1">
      <c r="B31" s="82"/>
      <c r="C31" s="122"/>
      <c r="D31" s="134"/>
      <c r="E31" s="134"/>
      <c r="F31" s="134"/>
      <c r="G31" s="123"/>
      <c r="H31" s="124"/>
      <c r="I31" s="125">
        <f t="shared" si="14"/>
        <v>0</v>
      </c>
      <c r="J31" s="126"/>
      <c r="K31" s="126"/>
      <c r="L31" s="127">
        <f t="shared" si="0"/>
      </c>
      <c r="M31" s="128">
        <f t="shared" si="1"/>
      </c>
      <c r="N31" s="129"/>
      <c r="O31" s="129">
        <f t="shared" si="15"/>
      </c>
      <c r="P31" s="130">
        <f t="shared" si="2"/>
      </c>
      <c r="Q31" s="267" t="str">
        <f t="shared" si="3"/>
        <v>--</v>
      </c>
      <c r="R31" s="268" t="str">
        <f t="shared" si="4"/>
        <v>--</v>
      </c>
      <c r="S31" s="269" t="str">
        <f t="shared" si="5"/>
        <v>--</v>
      </c>
      <c r="T31" s="270" t="str">
        <f t="shared" si="6"/>
        <v>--</v>
      </c>
      <c r="U31" s="271" t="str">
        <f t="shared" si="7"/>
        <v>--</v>
      </c>
      <c r="V31" s="272" t="str">
        <f t="shared" si="8"/>
        <v>--</v>
      </c>
      <c r="W31" s="273" t="str">
        <f t="shared" si="9"/>
        <v>--</v>
      </c>
      <c r="X31" s="274" t="str">
        <f t="shared" si="10"/>
        <v>--</v>
      </c>
      <c r="Y31" s="275" t="str">
        <f t="shared" si="11"/>
        <v>--</v>
      </c>
      <c r="Z31" s="276" t="str">
        <f t="shared" si="12"/>
        <v>--</v>
      </c>
      <c r="AA31" s="131">
        <f t="shared" si="16"/>
      </c>
      <c r="AB31" s="132">
        <f t="shared" si="13"/>
      </c>
      <c r="AC31" s="133"/>
    </row>
    <row r="32" spans="2:29" ht="16.5" customHeight="1">
      <c r="B32" s="82"/>
      <c r="C32" s="122"/>
      <c r="D32" s="134"/>
      <c r="E32" s="134"/>
      <c r="F32" s="134"/>
      <c r="G32" s="123"/>
      <c r="H32" s="124"/>
      <c r="I32" s="125">
        <f t="shared" si="14"/>
        <v>0</v>
      </c>
      <c r="J32" s="126"/>
      <c r="K32" s="126"/>
      <c r="L32" s="127">
        <f t="shared" si="0"/>
      </c>
      <c r="M32" s="128">
        <f t="shared" si="1"/>
      </c>
      <c r="N32" s="129"/>
      <c r="O32" s="129">
        <f t="shared" si="15"/>
      </c>
      <c r="P32" s="130">
        <f t="shared" si="2"/>
      </c>
      <c r="Q32" s="267" t="str">
        <f t="shared" si="3"/>
        <v>--</v>
      </c>
      <c r="R32" s="268" t="str">
        <f t="shared" si="4"/>
        <v>--</v>
      </c>
      <c r="S32" s="269" t="str">
        <f t="shared" si="5"/>
        <v>--</v>
      </c>
      <c r="T32" s="270" t="str">
        <f t="shared" si="6"/>
        <v>--</v>
      </c>
      <c r="U32" s="271" t="str">
        <f t="shared" si="7"/>
        <v>--</v>
      </c>
      <c r="V32" s="272" t="str">
        <f t="shared" si="8"/>
        <v>--</v>
      </c>
      <c r="W32" s="273" t="str">
        <f t="shared" si="9"/>
        <v>--</v>
      </c>
      <c r="X32" s="274" t="str">
        <f t="shared" si="10"/>
        <v>--</v>
      </c>
      <c r="Y32" s="275" t="str">
        <f t="shared" si="11"/>
        <v>--</v>
      </c>
      <c r="Z32" s="276" t="str">
        <f t="shared" si="12"/>
        <v>--</v>
      </c>
      <c r="AA32" s="131">
        <f t="shared" si="16"/>
      </c>
      <c r="AB32" s="132">
        <f t="shared" si="13"/>
      </c>
      <c r="AC32" s="133"/>
    </row>
    <row r="33" spans="2:29" ht="16.5" customHeight="1">
      <c r="B33" s="82"/>
      <c r="C33" s="122"/>
      <c r="D33" s="134"/>
      <c r="E33" s="134"/>
      <c r="F33" s="134"/>
      <c r="G33" s="123"/>
      <c r="H33" s="124"/>
      <c r="I33" s="125">
        <f t="shared" si="14"/>
        <v>0</v>
      </c>
      <c r="J33" s="126"/>
      <c r="K33" s="126"/>
      <c r="L33" s="127">
        <f t="shared" si="0"/>
      </c>
      <c r="M33" s="128">
        <f t="shared" si="1"/>
      </c>
      <c r="N33" s="129"/>
      <c r="O33" s="129">
        <f t="shared" si="15"/>
      </c>
      <c r="P33" s="130">
        <f t="shared" si="2"/>
      </c>
      <c r="Q33" s="267" t="str">
        <f t="shared" si="3"/>
        <v>--</v>
      </c>
      <c r="R33" s="268" t="str">
        <f t="shared" si="4"/>
        <v>--</v>
      </c>
      <c r="S33" s="269" t="str">
        <f t="shared" si="5"/>
        <v>--</v>
      </c>
      <c r="T33" s="270" t="str">
        <f t="shared" si="6"/>
        <v>--</v>
      </c>
      <c r="U33" s="271" t="str">
        <f t="shared" si="7"/>
        <v>--</v>
      </c>
      <c r="V33" s="272" t="str">
        <f t="shared" si="8"/>
        <v>--</v>
      </c>
      <c r="W33" s="273" t="str">
        <f t="shared" si="9"/>
        <v>--</v>
      </c>
      <c r="X33" s="274" t="str">
        <f t="shared" si="10"/>
        <v>--</v>
      </c>
      <c r="Y33" s="275" t="str">
        <f t="shared" si="11"/>
        <v>--</v>
      </c>
      <c r="Z33" s="276" t="str">
        <f t="shared" si="12"/>
        <v>--</v>
      </c>
      <c r="AA33" s="131">
        <f t="shared" si="16"/>
      </c>
      <c r="AB33" s="132">
        <f t="shared" si="13"/>
      </c>
      <c r="AC33" s="133"/>
    </row>
    <row r="34" spans="2:29" ht="16.5" customHeight="1">
      <c r="B34" s="82"/>
      <c r="C34" s="122"/>
      <c r="D34" s="134"/>
      <c r="E34" s="134"/>
      <c r="F34" s="134"/>
      <c r="G34" s="123"/>
      <c r="H34" s="124"/>
      <c r="I34" s="125">
        <f t="shared" si="14"/>
        <v>0</v>
      </c>
      <c r="J34" s="126"/>
      <c r="K34" s="126"/>
      <c r="L34" s="127">
        <f t="shared" si="0"/>
      </c>
      <c r="M34" s="128">
        <f t="shared" si="1"/>
      </c>
      <c r="N34" s="129"/>
      <c r="O34" s="129">
        <f t="shared" si="15"/>
      </c>
      <c r="P34" s="130">
        <f t="shared" si="2"/>
      </c>
      <c r="Q34" s="267" t="str">
        <f t="shared" si="3"/>
        <v>--</v>
      </c>
      <c r="R34" s="268" t="str">
        <f t="shared" si="4"/>
        <v>--</v>
      </c>
      <c r="S34" s="269" t="str">
        <f t="shared" si="5"/>
        <v>--</v>
      </c>
      <c r="T34" s="270" t="str">
        <f t="shared" si="6"/>
        <v>--</v>
      </c>
      <c r="U34" s="271" t="str">
        <f t="shared" si="7"/>
        <v>--</v>
      </c>
      <c r="V34" s="272" t="str">
        <f t="shared" si="8"/>
        <v>--</v>
      </c>
      <c r="W34" s="273" t="str">
        <f t="shared" si="9"/>
        <v>--</v>
      </c>
      <c r="X34" s="274" t="str">
        <f t="shared" si="10"/>
        <v>--</v>
      </c>
      <c r="Y34" s="275" t="str">
        <f t="shared" si="11"/>
        <v>--</v>
      </c>
      <c r="Z34" s="276" t="str">
        <f t="shared" si="12"/>
        <v>--</v>
      </c>
      <c r="AA34" s="131">
        <f t="shared" si="16"/>
      </c>
      <c r="AB34" s="132">
        <f t="shared" si="13"/>
      </c>
      <c r="AC34" s="133"/>
    </row>
    <row r="35" spans="2:29" ht="16.5" customHeight="1">
      <c r="B35" s="82"/>
      <c r="C35" s="122"/>
      <c r="D35" s="134"/>
      <c r="E35" s="134"/>
      <c r="F35" s="134"/>
      <c r="G35" s="123"/>
      <c r="H35" s="124"/>
      <c r="I35" s="125">
        <f t="shared" si="14"/>
        <v>0</v>
      </c>
      <c r="J35" s="126"/>
      <c r="K35" s="126"/>
      <c r="L35" s="127">
        <f t="shared" si="0"/>
      </c>
      <c r="M35" s="128">
        <f t="shared" si="1"/>
      </c>
      <c r="N35" s="129"/>
      <c r="O35" s="129">
        <f t="shared" si="15"/>
      </c>
      <c r="P35" s="130">
        <f t="shared" si="2"/>
      </c>
      <c r="Q35" s="267" t="str">
        <f t="shared" si="3"/>
        <v>--</v>
      </c>
      <c r="R35" s="268" t="str">
        <f t="shared" si="4"/>
        <v>--</v>
      </c>
      <c r="S35" s="269" t="str">
        <f t="shared" si="5"/>
        <v>--</v>
      </c>
      <c r="T35" s="270" t="str">
        <f t="shared" si="6"/>
        <v>--</v>
      </c>
      <c r="U35" s="271" t="str">
        <f t="shared" si="7"/>
        <v>--</v>
      </c>
      <c r="V35" s="272" t="str">
        <f t="shared" si="8"/>
        <v>--</v>
      </c>
      <c r="W35" s="273" t="str">
        <f t="shared" si="9"/>
        <v>--</v>
      </c>
      <c r="X35" s="274" t="str">
        <f t="shared" si="10"/>
        <v>--</v>
      </c>
      <c r="Y35" s="275" t="str">
        <f t="shared" si="11"/>
        <v>--</v>
      </c>
      <c r="Z35" s="276" t="str">
        <f t="shared" si="12"/>
        <v>--</v>
      </c>
      <c r="AA35" s="131">
        <f t="shared" si="16"/>
      </c>
      <c r="AB35" s="132">
        <f t="shared" si="13"/>
      </c>
      <c r="AC35" s="133"/>
    </row>
    <row r="36" spans="2:29" ht="16.5" customHeight="1">
      <c r="B36" s="82"/>
      <c r="C36" s="122"/>
      <c r="D36" s="134"/>
      <c r="E36" s="134"/>
      <c r="F36" s="134"/>
      <c r="G36" s="123"/>
      <c r="H36" s="124"/>
      <c r="I36" s="125">
        <f t="shared" si="14"/>
        <v>0</v>
      </c>
      <c r="J36" s="126"/>
      <c r="K36" s="126"/>
      <c r="L36" s="127">
        <f t="shared" si="0"/>
      </c>
      <c r="M36" s="128">
        <f t="shared" si="1"/>
      </c>
      <c r="N36" s="129"/>
      <c r="O36" s="129">
        <f t="shared" si="15"/>
      </c>
      <c r="P36" s="130">
        <f t="shared" si="2"/>
      </c>
      <c r="Q36" s="267" t="str">
        <f t="shared" si="3"/>
        <v>--</v>
      </c>
      <c r="R36" s="268" t="str">
        <f t="shared" si="4"/>
        <v>--</v>
      </c>
      <c r="S36" s="269" t="str">
        <f t="shared" si="5"/>
        <v>--</v>
      </c>
      <c r="T36" s="270" t="str">
        <f t="shared" si="6"/>
        <v>--</v>
      </c>
      <c r="U36" s="271" t="str">
        <f t="shared" si="7"/>
        <v>--</v>
      </c>
      <c r="V36" s="272" t="str">
        <f t="shared" si="8"/>
        <v>--</v>
      </c>
      <c r="W36" s="273" t="str">
        <f t="shared" si="9"/>
        <v>--</v>
      </c>
      <c r="X36" s="274" t="str">
        <f t="shared" si="10"/>
        <v>--</v>
      </c>
      <c r="Y36" s="275" t="str">
        <f t="shared" si="11"/>
        <v>--</v>
      </c>
      <c r="Z36" s="276" t="str">
        <f t="shared" si="12"/>
        <v>--</v>
      </c>
      <c r="AA36" s="131">
        <f t="shared" si="16"/>
      </c>
      <c r="AB36" s="132">
        <f t="shared" si="13"/>
      </c>
      <c r="AC36" s="133"/>
    </row>
    <row r="37" spans="2:29" ht="16.5" customHeight="1">
      <c r="B37" s="82"/>
      <c r="C37" s="122"/>
      <c r="D37" s="134"/>
      <c r="E37" s="134"/>
      <c r="F37" s="134"/>
      <c r="G37" s="123"/>
      <c r="H37" s="124"/>
      <c r="I37" s="125">
        <f t="shared" si="14"/>
        <v>0</v>
      </c>
      <c r="J37" s="126"/>
      <c r="K37" s="126"/>
      <c r="L37" s="127">
        <f t="shared" si="0"/>
      </c>
      <c r="M37" s="128">
        <f t="shared" si="1"/>
      </c>
      <c r="N37" s="129"/>
      <c r="O37" s="129">
        <f t="shared" si="15"/>
      </c>
      <c r="P37" s="130">
        <f t="shared" si="2"/>
      </c>
      <c r="Q37" s="267" t="str">
        <f t="shared" si="3"/>
        <v>--</v>
      </c>
      <c r="R37" s="268" t="str">
        <f t="shared" si="4"/>
        <v>--</v>
      </c>
      <c r="S37" s="269" t="str">
        <f t="shared" si="5"/>
        <v>--</v>
      </c>
      <c r="T37" s="270" t="str">
        <f t="shared" si="6"/>
        <v>--</v>
      </c>
      <c r="U37" s="271" t="str">
        <f t="shared" si="7"/>
        <v>--</v>
      </c>
      <c r="V37" s="272" t="str">
        <f t="shared" si="8"/>
        <v>--</v>
      </c>
      <c r="W37" s="273" t="str">
        <f t="shared" si="9"/>
        <v>--</v>
      </c>
      <c r="X37" s="274" t="str">
        <f t="shared" si="10"/>
        <v>--</v>
      </c>
      <c r="Y37" s="275" t="str">
        <f t="shared" si="11"/>
        <v>--</v>
      </c>
      <c r="Z37" s="276" t="str">
        <f t="shared" si="12"/>
        <v>--</v>
      </c>
      <c r="AA37" s="131">
        <f t="shared" si="16"/>
      </c>
      <c r="AB37" s="132">
        <f t="shared" si="13"/>
      </c>
      <c r="AC37" s="133"/>
    </row>
    <row r="38" spans="2:29" ht="16.5" customHeight="1">
      <c r="B38" s="82"/>
      <c r="C38" s="122"/>
      <c r="D38" s="134"/>
      <c r="E38" s="134"/>
      <c r="F38" s="134"/>
      <c r="G38" s="123"/>
      <c r="H38" s="124"/>
      <c r="I38" s="125">
        <f t="shared" si="14"/>
        <v>0</v>
      </c>
      <c r="J38" s="126"/>
      <c r="K38" s="126"/>
      <c r="L38" s="127">
        <f t="shared" si="0"/>
      </c>
      <c r="M38" s="128">
        <f t="shared" si="1"/>
      </c>
      <c r="N38" s="129"/>
      <c r="O38" s="129">
        <f t="shared" si="15"/>
      </c>
      <c r="P38" s="130">
        <f t="shared" si="2"/>
      </c>
      <c r="Q38" s="267" t="str">
        <f t="shared" si="3"/>
        <v>--</v>
      </c>
      <c r="R38" s="268" t="str">
        <f t="shared" si="4"/>
        <v>--</v>
      </c>
      <c r="S38" s="269" t="str">
        <f t="shared" si="5"/>
        <v>--</v>
      </c>
      <c r="T38" s="270" t="str">
        <f t="shared" si="6"/>
        <v>--</v>
      </c>
      <c r="U38" s="271" t="str">
        <f t="shared" si="7"/>
        <v>--</v>
      </c>
      <c r="V38" s="272" t="str">
        <f t="shared" si="8"/>
        <v>--</v>
      </c>
      <c r="W38" s="273" t="str">
        <f t="shared" si="9"/>
        <v>--</v>
      </c>
      <c r="X38" s="274" t="str">
        <f t="shared" si="10"/>
        <v>--</v>
      </c>
      <c r="Y38" s="275" t="str">
        <f t="shared" si="11"/>
        <v>--</v>
      </c>
      <c r="Z38" s="276" t="str">
        <f t="shared" si="12"/>
        <v>--</v>
      </c>
      <c r="AA38" s="131">
        <f t="shared" si="16"/>
      </c>
      <c r="AB38" s="132">
        <f t="shared" si="13"/>
      </c>
      <c r="AC38" s="133"/>
    </row>
    <row r="39" spans="2:29" ht="16.5" customHeight="1" thickBot="1">
      <c r="B39" s="82"/>
      <c r="C39" s="135"/>
      <c r="D39" s="135"/>
      <c r="E39" s="135"/>
      <c r="F39" s="136"/>
      <c r="G39" s="135"/>
      <c r="H39" s="137"/>
      <c r="I39" s="138"/>
      <c r="J39" s="139"/>
      <c r="K39" s="139"/>
      <c r="L39" s="140"/>
      <c r="M39" s="140"/>
      <c r="N39" s="139"/>
      <c r="O39" s="139"/>
      <c r="P39" s="141"/>
      <c r="Q39" s="277"/>
      <c r="R39" s="278"/>
      <c r="S39" s="279"/>
      <c r="T39" s="280"/>
      <c r="U39" s="281"/>
      <c r="V39" s="282"/>
      <c r="W39" s="283"/>
      <c r="X39" s="284"/>
      <c r="Y39" s="285"/>
      <c r="Z39" s="286"/>
      <c r="AA39" s="142"/>
      <c r="AB39" s="143"/>
      <c r="AC39" s="133"/>
    </row>
    <row r="40" spans="2:29" ht="16.5" customHeight="1" thickBot="1" thickTop="1">
      <c r="B40" s="82"/>
      <c r="C40" s="264" t="s">
        <v>69</v>
      </c>
      <c r="D40" s="465" t="s">
        <v>174</v>
      </c>
      <c r="E40" s="438"/>
      <c r="F40" s="144"/>
      <c r="G40" s="93"/>
      <c r="H40" s="145"/>
      <c r="I40" s="146"/>
      <c r="J40" s="146"/>
      <c r="K40" s="146"/>
      <c r="L40" s="146"/>
      <c r="M40" s="146"/>
      <c r="N40" s="146"/>
      <c r="O40" s="146"/>
      <c r="P40" s="147"/>
      <c r="Q40" s="148"/>
      <c r="R40" s="148"/>
      <c r="S40" s="149"/>
      <c r="T40" s="149"/>
      <c r="U40" s="150"/>
      <c r="V40" s="149"/>
      <c r="W40" s="149"/>
      <c r="X40" s="150"/>
      <c r="Y40" s="150"/>
      <c r="Z40" s="150"/>
      <c r="AA40" s="151"/>
      <c r="AB40" s="265">
        <f>ROUND(SUM(AB17:AB39),2)</f>
        <v>13506.61</v>
      </c>
      <c r="AC40" s="133"/>
    </row>
    <row r="41" spans="2:29" s="152" customFormat="1" ht="9.75" thickTop="1">
      <c r="B41" s="153"/>
      <c r="C41" s="266"/>
      <c r="D41" s="266"/>
      <c r="E41" s="266"/>
      <c r="F41" s="154"/>
      <c r="AC41" s="155"/>
    </row>
    <row r="42" spans="2:29" ht="16.5" customHeight="1" thickBot="1"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8"/>
    </row>
    <row r="43" ht="13.5" thickTop="1"/>
    <row r="52" ht="12.75">
      <c r="J52" s="159"/>
    </row>
    <row r="53" ht="12.75">
      <c r="J53" s="159"/>
    </row>
    <row r="54" ht="12.75">
      <c r="J54" s="159"/>
    </row>
    <row r="55" spans="10:11" ht="12.75">
      <c r="J55" s="160"/>
      <c r="K55" s="161"/>
    </row>
    <row r="56" ht="12.75">
      <c r="J56" s="159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6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B1:AD45"/>
  <sheetViews>
    <sheetView zoomScale="75" zoomScaleNormal="75" zoomScalePageLayoutView="0" workbookViewId="0" topLeftCell="A1">
      <selection activeCell="L28" sqref="L28"/>
    </sheetView>
  </sheetViews>
  <sheetFormatPr defaultColWidth="11.421875" defaultRowHeight="12.75"/>
  <cols>
    <col min="1" max="2" width="4.140625" style="76" customWidth="1"/>
    <col min="3" max="3" width="5.421875" style="76" customWidth="1"/>
    <col min="4" max="5" width="13.7109375" style="76" customWidth="1"/>
    <col min="6" max="6" width="30.7109375" style="76" customWidth="1"/>
    <col min="7" max="7" width="15.7109375" style="76" customWidth="1"/>
    <col min="8" max="8" width="8.00390625" style="76" customWidth="1"/>
    <col min="9" max="9" width="12.28125" style="76" customWidth="1"/>
    <col min="10" max="10" width="6.421875" style="76" hidden="1" customWidth="1"/>
    <col min="11" max="12" width="16.421875" style="76" customWidth="1"/>
    <col min="13" max="14" width="9.7109375" style="76" customWidth="1"/>
    <col min="15" max="16" width="8.7109375" style="76" customWidth="1"/>
    <col min="17" max="17" width="6.00390625" style="76" customWidth="1"/>
    <col min="18" max="18" width="10.421875" style="76" bestFit="1" customWidth="1"/>
    <col min="19" max="19" width="12.28125" style="76" hidden="1" customWidth="1"/>
    <col min="20" max="20" width="13.421875" style="76" hidden="1" customWidth="1"/>
    <col min="21" max="22" width="8.421875" style="76" hidden="1" customWidth="1"/>
    <col min="23" max="24" width="9.57421875" style="76" hidden="1" customWidth="1"/>
    <col min="25" max="25" width="12.28125" style="76" hidden="1" customWidth="1"/>
    <col min="26" max="26" width="13.421875" style="76" hidden="1" customWidth="1"/>
    <col min="27" max="27" width="9.28125" style="76" hidden="1" customWidth="1"/>
    <col min="28" max="29" width="15.7109375" style="76" customWidth="1"/>
    <col min="30" max="30" width="4.140625" style="76" customWidth="1"/>
    <col min="31" max="16384" width="11.421875" style="76" customWidth="1"/>
  </cols>
  <sheetData>
    <row r="1" spans="2:30" s="73" customFormat="1" ht="26.25">
      <c r="B1" s="74"/>
      <c r="AD1" s="226"/>
    </row>
    <row r="2" spans="2:30" s="73" customFormat="1" ht="26.25">
      <c r="B2" s="227" t="str">
        <f>+'TOT-0514'!B2</f>
        <v>ANEXO II al Memorandum D.T.E.E. N°      328   / 2015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</row>
    <row r="3" ht="12.75">
      <c r="B3" s="77"/>
    </row>
    <row r="4" spans="2:5" s="78" customFormat="1" ht="11.25">
      <c r="B4" s="228"/>
      <c r="C4" s="287"/>
      <c r="D4" s="10" t="s">
        <v>2</v>
      </c>
      <c r="E4" s="287"/>
    </row>
    <row r="5" spans="2:5" s="78" customFormat="1" ht="11.25">
      <c r="B5" s="228"/>
      <c r="C5" s="287"/>
      <c r="D5" s="10" t="s">
        <v>3</v>
      </c>
      <c r="E5" s="287"/>
    </row>
    <row r="6" ht="13.5" thickBot="1"/>
    <row r="7" spans="2:30" ht="13.5" thickTop="1">
      <c r="B7" s="288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90"/>
    </row>
    <row r="8" spans="2:30" s="291" customFormat="1" ht="20.25">
      <c r="B8" s="292"/>
      <c r="C8" s="162"/>
      <c r="D8" s="162"/>
      <c r="E8" s="162"/>
      <c r="F8" s="84" t="s">
        <v>73</v>
      </c>
      <c r="G8" s="84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293"/>
    </row>
    <row r="9" spans="2:30" ht="12.75">
      <c r="B9" s="294"/>
      <c r="C9" s="163"/>
      <c r="D9" s="163"/>
      <c r="E9" s="163"/>
      <c r="F9" s="163"/>
      <c r="G9" s="295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296"/>
    </row>
    <row r="10" spans="2:30" s="291" customFormat="1" ht="20.25">
      <c r="B10" s="292"/>
      <c r="C10" s="162"/>
      <c r="D10" s="162"/>
      <c r="E10" s="162"/>
      <c r="F10" s="84" t="s">
        <v>33</v>
      </c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293"/>
    </row>
    <row r="11" spans="2:30" ht="12.75">
      <c r="B11" s="294"/>
      <c r="C11" s="163"/>
      <c r="D11" s="163"/>
      <c r="E11" s="163"/>
      <c r="F11" s="295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296"/>
    </row>
    <row r="12" spans="2:30" s="291" customFormat="1" ht="20.25">
      <c r="B12" s="292"/>
      <c r="C12" s="162"/>
      <c r="D12" s="162"/>
      <c r="E12" s="162"/>
      <c r="F12" s="297" t="s">
        <v>34</v>
      </c>
      <c r="G12" s="84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293"/>
    </row>
    <row r="13" spans="2:30" ht="12.75">
      <c r="B13" s="294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296"/>
    </row>
    <row r="14" spans="2:30" s="88" customFormat="1" ht="19.5">
      <c r="B14" s="298" t="str">
        <f>+'TOT-0514'!B14</f>
        <v>Desde el 01 al 31 de mayo de 2014</v>
      </c>
      <c r="C14" s="299"/>
      <c r="D14" s="299"/>
      <c r="E14" s="299"/>
      <c r="F14" s="300"/>
      <c r="G14" s="300"/>
      <c r="H14" s="300"/>
      <c r="I14" s="300"/>
      <c r="J14" s="300"/>
      <c r="K14" s="90"/>
      <c r="L14" s="300"/>
      <c r="M14" s="300"/>
      <c r="N14" s="300"/>
      <c r="O14" s="300"/>
      <c r="P14" s="300"/>
      <c r="Q14" s="300"/>
      <c r="R14" s="163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1"/>
    </row>
    <row r="15" spans="2:30" ht="16.5" thickBot="1">
      <c r="B15" s="294"/>
      <c r="C15" s="163"/>
      <c r="D15" s="163"/>
      <c r="E15" s="163"/>
      <c r="F15" s="163"/>
      <c r="G15" s="163"/>
      <c r="H15" s="163"/>
      <c r="I15" s="205"/>
      <c r="J15" s="163"/>
      <c r="K15" s="302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296"/>
    </row>
    <row r="16" spans="2:30" ht="14.25" thickBot="1" thickTop="1">
      <c r="B16" s="294"/>
      <c r="C16" s="303"/>
      <c r="D16" s="303"/>
      <c r="E16" s="303"/>
      <c r="F16" s="164" t="s">
        <v>35</v>
      </c>
      <c r="G16" s="165"/>
      <c r="H16" s="304"/>
      <c r="I16" s="305">
        <v>1.397</v>
      </c>
      <c r="J16" s="303"/>
      <c r="K16" s="303"/>
      <c r="L16" s="306"/>
      <c r="M16" s="306"/>
      <c r="N16" s="306"/>
      <c r="O16" s="307"/>
      <c r="P16" s="307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296"/>
    </row>
    <row r="17" spans="2:30" ht="14.25" thickBot="1" thickTop="1">
      <c r="B17" s="294"/>
      <c r="C17" s="303"/>
      <c r="D17" s="303"/>
      <c r="E17" s="303"/>
      <c r="F17" s="166" t="s">
        <v>36</v>
      </c>
      <c r="G17" s="167"/>
      <c r="H17" s="167"/>
      <c r="I17" s="308">
        <f>30*'TOT-0514'!B13</f>
        <v>30</v>
      </c>
      <c r="J17" s="303"/>
      <c r="K17" s="100" t="str">
        <f>IF(I17=30," ",IF(I17=60,"    Coeficiente duplicado por tasa de falla &gt;4 Sal. x año/100 km.","   REVISAR COEFICIENTE"))</f>
        <v> </v>
      </c>
      <c r="L17" s="303"/>
      <c r="M17" s="303"/>
      <c r="N17" s="303"/>
      <c r="O17" s="303"/>
      <c r="P17" s="303"/>
      <c r="Q17" s="303" t="s">
        <v>37</v>
      </c>
      <c r="R17" s="303"/>
      <c r="S17" s="303"/>
      <c r="T17" s="303"/>
      <c r="U17" s="303"/>
      <c r="V17" s="309"/>
      <c r="W17" s="303"/>
      <c r="X17" s="309"/>
      <c r="Y17" s="309"/>
      <c r="Z17" s="309"/>
      <c r="AA17" s="309"/>
      <c r="AB17" s="309"/>
      <c r="AC17" s="303"/>
      <c r="AD17" s="296"/>
    </row>
    <row r="18" spans="2:30" ht="16.5" customHeight="1" thickBot="1" thickTop="1">
      <c r="B18" s="294"/>
      <c r="C18" s="460">
        <v>3</v>
      </c>
      <c r="D18" s="460">
        <v>4</v>
      </c>
      <c r="E18" s="460">
        <v>5</v>
      </c>
      <c r="F18" s="460">
        <v>6</v>
      </c>
      <c r="G18" s="460">
        <v>7</v>
      </c>
      <c r="H18" s="460">
        <v>8</v>
      </c>
      <c r="I18" s="460">
        <v>9</v>
      </c>
      <c r="J18" s="460">
        <v>10</v>
      </c>
      <c r="K18" s="460">
        <v>11</v>
      </c>
      <c r="L18" s="460">
        <v>12</v>
      </c>
      <c r="M18" s="460">
        <v>13</v>
      </c>
      <c r="N18" s="460">
        <v>14</v>
      </c>
      <c r="O18" s="460">
        <v>15</v>
      </c>
      <c r="P18" s="460">
        <v>16</v>
      </c>
      <c r="Q18" s="460">
        <v>17</v>
      </c>
      <c r="R18" s="460">
        <v>18</v>
      </c>
      <c r="S18" s="460">
        <v>19</v>
      </c>
      <c r="T18" s="460">
        <v>20</v>
      </c>
      <c r="U18" s="460">
        <v>21</v>
      </c>
      <c r="V18" s="460">
        <v>22</v>
      </c>
      <c r="W18" s="460">
        <v>23</v>
      </c>
      <c r="X18" s="460">
        <v>24</v>
      </c>
      <c r="Y18" s="460">
        <v>25</v>
      </c>
      <c r="Z18" s="460">
        <v>26</v>
      </c>
      <c r="AA18" s="460">
        <v>27</v>
      </c>
      <c r="AB18" s="460">
        <v>28</v>
      </c>
      <c r="AC18" s="460">
        <v>29</v>
      </c>
      <c r="AD18" s="296"/>
    </row>
    <row r="19" spans="2:30" s="313" customFormat="1" ht="34.5" customHeight="1" thickBot="1" thickTop="1">
      <c r="B19" s="310"/>
      <c r="C19" s="443" t="s">
        <v>15</v>
      </c>
      <c r="D19" s="443" t="s">
        <v>74</v>
      </c>
      <c r="E19" s="443" t="s">
        <v>75</v>
      </c>
      <c r="F19" s="169" t="s">
        <v>38</v>
      </c>
      <c r="G19" s="170" t="s">
        <v>39</v>
      </c>
      <c r="H19" s="171" t="s">
        <v>40</v>
      </c>
      <c r="I19" s="169" t="s">
        <v>41</v>
      </c>
      <c r="J19" s="108" t="s">
        <v>18</v>
      </c>
      <c r="K19" s="169" t="s">
        <v>19</v>
      </c>
      <c r="L19" s="169" t="s">
        <v>20</v>
      </c>
      <c r="M19" s="169" t="s">
        <v>42</v>
      </c>
      <c r="N19" s="169" t="s">
        <v>43</v>
      </c>
      <c r="O19" s="110" t="s">
        <v>68</v>
      </c>
      <c r="P19" s="173" t="s">
        <v>24</v>
      </c>
      <c r="Q19" s="172" t="s">
        <v>23</v>
      </c>
      <c r="R19" s="394" t="s">
        <v>71</v>
      </c>
      <c r="S19" s="389" t="s">
        <v>70</v>
      </c>
      <c r="T19" s="429" t="s">
        <v>25</v>
      </c>
      <c r="U19" s="424" t="s">
        <v>26</v>
      </c>
      <c r="V19" s="414" t="s">
        <v>44</v>
      </c>
      <c r="W19" s="415"/>
      <c r="X19" s="406" t="s">
        <v>45</v>
      </c>
      <c r="Y19" s="407"/>
      <c r="Z19" s="311" t="s">
        <v>46</v>
      </c>
      <c r="AA19" s="433" t="s">
        <v>47</v>
      </c>
      <c r="AB19" s="169" t="s">
        <v>48</v>
      </c>
      <c r="AC19" s="169" t="s">
        <v>32</v>
      </c>
      <c r="AD19" s="312"/>
    </row>
    <row r="20" spans="2:30" ht="16.5" customHeight="1" thickTop="1">
      <c r="B20" s="294"/>
      <c r="C20" s="314"/>
      <c r="D20" s="314"/>
      <c r="E20" s="314"/>
      <c r="F20" s="314"/>
      <c r="G20" s="314"/>
      <c r="H20" s="314"/>
      <c r="I20" s="315"/>
      <c r="J20" s="174"/>
      <c r="K20" s="314"/>
      <c r="L20" s="314"/>
      <c r="M20" s="314"/>
      <c r="N20" s="314"/>
      <c r="O20" s="314"/>
      <c r="P20" s="314"/>
      <c r="Q20" s="314"/>
      <c r="R20" s="395"/>
      <c r="S20" s="390"/>
      <c r="T20" s="430"/>
      <c r="U20" s="425"/>
      <c r="V20" s="416"/>
      <c r="W20" s="417"/>
      <c r="X20" s="408"/>
      <c r="Y20" s="409"/>
      <c r="Z20" s="316"/>
      <c r="AA20" s="434"/>
      <c r="AB20" s="314"/>
      <c r="AC20" s="247"/>
      <c r="AD20" s="85"/>
    </row>
    <row r="21" spans="2:30" ht="16.5" customHeight="1">
      <c r="B21" s="294"/>
      <c r="C21" s="175"/>
      <c r="D21" s="175"/>
      <c r="E21" s="175"/>
      <c r="F21" s="175"/>
      <c r="G21" s="175"/>
      <c r="H21" s="175"/>
      <c r="I21" s="175"/>
      <c r="J21" s="176"/>
      <c r="K21" s="175"/>
      <c r="L21" s="177"/>
      <c r="M21" s="317"/>
      <c r="N21" s="317"/>
      <c r="O21" s="177"/>
      <c r="P21" s="177"/>
      <c r="Q21" s="177"/>
      <c r="R21" s="396"/>
      <c r="S21" s="391"/>
      <c r="T21" s="431"/>
      <c r="U21" s="426"/>
      <c r="V21" s="418"/>
      <c r="W21" s="419"/>
      <c r="X21" s="410"/>
      <c r="Y21" s="411"/>
      <c r="Z21" s="319"/>
      <c r="AA21" s="435"/>
      <c r="AB21" s="317"/>
      <c r="AC21" s="317"/>
      <c r="AD21" s="85"/>
    </row>
    <row r="22" spans="2:30" ht="16.5" customHeight="1">
      <c r="B22" s="294"/>
      <c r="C22" s="175">
        <v>7</v>
      </c>
      <c r="D22" s="175">
        <v>274861</v>
      </c>
      <c r="E22" s="175">
        <v>175</v>
      </c>
      <c r="F22" s="399" t="s">
        <v>141</v>
      </c>
      <c r="G22" s="399" t="s">
        <v>142</v>
      </c>
      <c r="H22" s="399">
        <v>30</v>
      </c>
      <c r="I22" s="399" t="s">
        <v>143</v>
      </c>
      <c r="J22" s="182">
        <f>H22*$I$16</f>
        <v>41.910000000000004</v>
      </c>
      <c r="K22" s="183">
        <v>41764.40416666667</v>
      </c>
      <c r="L22" s="183">
        <v>41764.674305555556</v>
      </c>
      <c r="M22" s="184">
        <f aca="true" t="shared" si="0" ref="M22:M41">IF(K22="","",(L22-K22)*24)</f>
        <v>6.483333333337214</v>
      </c>
      <c r="N22" s="185">
        <f aca="true" t="shared" si="1" ref="N22:N41">IF(L22="","",ROUND((L22-K22)*24*60,0))</f>
        <v>389</v>
      </c>
      <c r="O22" s="186" t="s">
        <v>136</v>
      </c>
      <c r="P22" s="186" t="str">
        <f aca="true" t="shared" si="2" ref="P22:P41">IF(O22="","",IF(OR(O22="P",O22="RP"),"--","NO"))</f>
        <v>--</v>
      </c>
      <c r="Q22" s="186" t="s">
        <v>134</v>
      </c>
      <c r="R22" s="397" t="s">
        <v>171</v>
      </c>
      <c r="S22" s="392">
        <f>$I$17*IF(R22="SI",1,0.1)*IF(OR(O22="P",O22="RP"),0.1,1)</f>
        <v>0.30000000000000004</v>
      </c>
      <c r="T22" s="402">
        <f aca="true" t="shared" si="3" ref="T22:T40">IF(O22="P",J22*S22*ROUND(N22/60,2),"--")</f>
        <v>81.47304000000003</v>
      </c>
      <c r="U22" s="427" t="str">
        <f aca="true" t="shared" si="4" ref="U22:U41">IF(O22="RP",J22*S22*Q22/100*ROUND(N22/60,2),"--")</f>
        <v>--</v>
      </c>
      <c r="V22" s="420" t="str">
        <f>IF(AND(O22="F",P22="NO"),J22*S22,"--")</f>
        <v>--</v>
      </c>
      <c r="W22" s="421" t="str">
        <f>IF(O22="F",J22*S22*ROUND(N22/60,2),"--")</f>
        <v>--</v>
      </c>
      <c r="X22" s="403" t="str">
        <f>IF(AND(O22="R",P22="NO"),J22*S22*Q22/100,"--")</f>
        <v>--</v>
      </c>
      <c r="Y22" s="404" t="str">
        <f>IF(O22="R",J22*S22*ROUND(N22/60,2)*Q22/100,"--")</f>
        <v>--</v>
      </c>
      <c r="Z22" s="405" t="str">
        <f>IF(O22="RF",J22*S22*ROUND(N22/60,2),"--")</f>
        <v>--</v>
      </c>
      <c r="AA22" s="436" t="str">
        <f>IF(O22="RR",J22*S22*ROUND(N22/60,2)*Q22/100,"--")</f>
        <v>--</v>
      </c>
      <c r="AB22" s="320" t="s">
        <v>133</v>
      </c>
      <c r="AC22" s="401">
        <f aca="true" t="shared" si="5" ref="AC22:AC41">IF(F22="","",SUM(T22:AA22)*IF(AB22="SI",1,2))</f>
        <v>81.47304000000003</v>
      </c>
      <c r="AD22" s="133"/>
    </row>
    <row r="23" spans="2:30" ht="16.5" customHeight="1">
      <c r="B23" s="294"/>
      <c r="C23" s="175">
        <v>8</v>
      </c>
      <c r="D23" s="175">
        <v>275330</v>
      </c>
      <c r="E23" s="175">
        <v>190</v>
      </c>
      <c r="F23" s="399" t="s">
        <v>144</v>
      </c>
      <c r="G23" s="399" t="s">
        <v>145</v>
      </c>
      <c r="H23" s="399">
        <v>15</v>
      </c>
      <c r="I23" s="399" t="s">
        <v>143</v>
      </c>
      <c r="J23" s="182">
        <f aca="true" t="shared" si="6" ref="J23:J41">H23*$I$16</f>
        <v>20.955000000000002</v>
      </c>
      <c r="K23" s="183">
        <v>41780.36111111111</v>
      </c>
      <c r="L23" s="183">
        <v>41780.68819444445</v>
      </c>
      <c r="M23" s="184">
        <f t="shared" si="0"/>
        <v>7.850000000093132</v>
      </c>
      <c r="N23" s="185">
        <f t="shared" si="1"/>
        <v>471</v>
      </c>
      <c r="O23" s="186" t="s">
        <v>136</v>
      </c>
      <c r="P23" s="186" t="str">
        <f t="shared" si="2"/>
        <v>--</v>
      </c>
      <c r="Q23" s="186" t="s">
        <v>134</v>
      </c>
      <c r="R23" s="397" t="s">
        <v>171</v>
      </c>
      <c r="S23" s="392">
        <f aca="true" t="shared" si="7" ref="S23:S41">$I$17*IF(R23="SI",1,0.1)*IF(OR(O23="P",O23="RP"),0.1,1)</f>
        <v>0.30000000000000004</v>
      </c>
      <c r="T23" s="402">
        <f t="shared" si="3"/>
        <v>49.349025000000005</v>
      </c>
      <c r="U23" s="427" t="str">
        <f t="shared" si="4"/>
        <v>--</v>
      </c>
      <c r="V23" s="420" t="str">
        <f aca="true" t="shared" si="8" ref="V23:V41">IF(AND(O23="F",P23="NO"),J23*S23,"--")</f>
        <v>--</v>
      </c>
      <c r="W23" s="421" t="str">
        <f aca="true" t="shared" si="9" ref="W23:W41">IF(O23="F",J23*S23*ROUND(N23/60,2),"--")</f>
        <v>--</v>
      </c>
      <c r="X23" s="403" t="str">
        <f aca="true" t="shared" si="10" ref="X23:X41">IF(AND(O23="R",P23="NO"),J23*S23*Q23/100,"--")</f>
        <v>--</v>
      </c>
      <c r="Y23" s="404" t="str">
        <f aca="true" t="shared" si="11" ref="Y23:Y41">IF(O23="R",J23*S23*ROUND(N23/60,2)*Q23/100,"--")</f>
        <v>--</v>
      </c>
      <c r="Z23" s="405" t="str">
        <f aca="true" t="shared" si="12" ref="Z23:Z41">IF(O23="RF",J23*S23*ROUND(N23/60,2),"--")</f>
        <v>--</v>
      </c>
      <c r="AA23" s="436" t="str">
        <f aca="true" t="shared" si="13" ref="AA23:AA41">IF(O23="RR",J23*S23*ROUND(N23/60,2)*Q23/100,"--")</f>
        <v>--</v>
      </c>
      <c r="AB23" s="320" t="s">
        <v>133</v>
      </c>
      <c r="AC23" s="401">
        <f t="shared" si="5"/>
        <v>49.349025000000005</v>
      </c>
      <c r="AD23" s="133"/>
    </row>
    <row r="24" spans="2:30" ht="16.5" customHeight="1">
      <c r="B24" s="294"/>
      <c r="C24" s="175">
        <v>9</v>
      </c>
      <c r="D24" s="175">
        <v>275331</v>
      </c>
      <c r="E24" s="175">
        <v>189</v>
      </c>
      <c r="F24" s="399" t="s">
        <v>144</v>
      </c>
      <c r="G24" s="399" t="s">
        <v>142</v>
      </c>
      <c r="H24" s="399">
        <v>15</v>
      </c>
      <c r="I24" s="399" t="s">
        <v>143</v>
      </c>
      <c r="J24" s="182">
        <f t="shared" si="6"/>
        <v>20.955000000000002</v>
      </c>
      <c r="K24" s="183">
        <v>41781.35902777778</v>
      </c>
      <c r="L24" s="183">
        <v>41781.697916666664</v>
      </c>
      <c r="M24" s="184">
        <f t="shared" si="0"/>
        <v>8.13333333330229</v>
      </c>
      <c r="N24" s="185">
        <f t="shared" si="1"/>
        <v>488</v>
      </c>
      <c r="O24" s="186" t="s">
        <v>136</v>
      </c>
      <c r="P24" s="186" t="str">
        <f t="shared" si="2"/>
        <v>--</v>
      </c>
      <c r="Q24" s="186" t="s">
        <v>134</v>
      </c>
      <c r="R24" s="397" t="s">
        <v>171</v>
      </c>
      <c r="S24" s="392">
        <f t="shared" si="7"/>
        <v>0.30000000000000004</v>
      </c>
      <c r="T24" s="402">
        <f t="shared" si="3"/>
        <v>51.109245000000016</v>
      </c>
      <c r="U24" s="427" t="str">
        <f t="shared" si="4"/>
        <v>--</v>
      </c>
      <c r="V24" s="420" t="str">
        <f t="shared" si="8"/>
        <v>--</v>
      </c>
      <c r="W24" s="421" t="str">
        <f t="shared" si="9"/>
        <v>--</v>
      </c>
      <c r="X24" s="403" t="str">
        <f t="shared" si="10"/>
        <v>--</v>
      </c>
      <c r="Y24" s="404" t="str">
        <f t="shared" si="11"/>
        <v>--</v>
      </c>
      <c r="Z24" s="405" t="str">
        <f t="shared" si="12"/>
        <v>--</v>
      </c>
      <c r="AA24" s="436" t="str">
        <f t="shared" si="13"/>
        <v>--</v>
      </c>
      <c r="AB24" s="320" t="s">
        <v>133</v>
      </c>
      <c r="AC24" s="401">
        <f t="shared" si="5"/>
        <v>51.109245000000016</v>
      </c>
      <c r="AD24" s="133"/>
    </row>
    <row r="25" spans="2:30" ht="16.5" customHeight="1">
      <c r="B25" s="294"/>
      <c r="C25" s="175">
        <v>10</v>
      </c>
      <c r="D25" s="175">
        <v>275332</v>
      </c>
      <c r="E25" s="175">
        <v>190</v>
      </c>
      <c r="F25" s="399" t="s">
        <v>144</v>
      </c>
      <c r="G25" s="399" t="s">
        <v>145</v>
      </c>
      <c r="H25" s="399">
        <v>15</v>
      </c>
      <c r="I25" s="399" t="s">
        <v>143</v>
      </c>
      <c r="J25" s="182">
        <f t="shared" si="6"/>
        <v>20.955000000000002</v>
      </c>
      <c r="K25" s="183">
        <v>41781.65625</v>
      </c>
      <c r="L25" s="183">
        <v>41781.65902777778</v>
      </c>
      <c r="M25" s="184">
        <f t="shared" si="0"/>
        <v>0.06666666670935228</v>
      </c>
      <c r="N25" s="185">
        <f t="shared" si="1"/>
        <v>4</v>
      </c>
      <c r="O25" s="186" t="s">
        <v>132</v>
      </c>
      <c r="P25" s="186" t="str">
        <f t="shared" si="2"/>
        <v>NO</v>
      </c>
      <c r="Q25" s="186" t="s">
        <v>134</v>
      </c>
      <c r="R25" s="397" t="s">
        <v>133</v>
      </c>
      <c r="S25" s="392">
        <f t="shared" si="7"/>
        <v>30</v>
      </c>
      <c r="T25" s="402" t="str">
        <f t="shared" si="3"/>
        <v>--</v>
      </c>
      <c r="U25" s="427" t="str">
        <f t="shared" si="4"/>
        <v>--</v>
      </c>
      <c r="V25" s="420">
        <f t="shared" si="8"/>
        <v>628.6500000000001</v>
      </c>
      <c r="W25" s="421">
        <f t="shared" si="9"/>
        <v>44.00550000000001</v>
      </c>
      <c r="X25" s="403" t="str">
        <f t="shared" si="10"/>
        <v>--</v>
      </c>
      <c r="Y25" s="404" t="str">
        <f t="shared" si="11"/>
        <v>--</v>
      </c>
      <c r="Z25" s="405" t="str">
        <f t="shared" si="12"/>
        <v>--</v>
      </c>
      <c r="AA25" s="436" t="str">
        <f t="shared" si="13"/>
        <v>--</v>
      </c>
      <c r="AB25" s="320" t="s">
        <v>133</v>
      </c>
      <c r="AC25" s="401">
        <f t="shared" si="5"/>
        <v>672.6555000000001</v>
      </c>
      <c r="AD25" s="133"/>
    </row>
    <row r="26" spans="2:30" ht="16.5" customHeight="1">
      <c r="B26" s="294"/>
      <c r="C26" s="175">
        <v>11</v>
      </c>
      <c r="D26" s="439">
        <v>275335</v>
      </c>
      <c r="E26" s="439">
        <v>2637</v>
      </c>
      <c r="F26" s="400" t="s">
        <v>144</v>
      </c>
      <c r="G26" s="179" t="s">
        <v>146</v>
      </c>
      <c r="H26" s="179">
        <v>30</v>
      </c>
      <c r="I26" s="462" t="s">
        <v>143</v>
      </c>
      <c r="J26" s="182">
        <f t="shared" si="6"/>
        <v>41.910000000000004</v>
      </c>
      <c r="K26" s="183">
        <v>41782.36319444444</v>
      </c>
      <c r="L26" s="183">
        <v>41782.705555555556</v>
      </c>
      <c r="M26" s="184">
        <f t="shared" si="0"/>
        <v>8.216666666732635</v>
      </c>
      <c r="N26" s="185">
        <f t="shared" si="1"/>
        <v>493</v>
      </c>
      <c r="O26" s="186" t="s">
        <v>136</v>
      </c>
      <c r="P26" s="186" t="str">
        <f t="shared" si="2"/>
        <v>--</v>
      </c>
      <c r="Q26" s="186" t="s">
        <v>134</v>
      </c>
      <c r="R26" s="397" t="s">
        <v>171</v>
      </c>
      <c r="S26" s="392">
        <f t="shared" si="7"/>
        <v>0.30000000000000004</v>
      </c>
      <c r="T26" s="402">
        <f t="shared" si="3"/>
        <v>103.35006000000003</v>
      </c>
      <c r="U26" s="427" t="str">
        <f t="shared" si="4"/>
        <v>--</v>
      </c>
      <c r="V26" s="420" t="str">
        <f t="shared" si="8"/>
        <v>--</v>
      </c>
      <c r="W26" s="421" t="str">
        <f t="shared" si="9"/>
        <v>--</v>
      </c>
      <c r="X26" s="403" t="str">
        <f t="shared" si="10"/>
        <v>--</v>
      </c>
      <c r="Y26" s="404" t="str">
        <f t="shared" si="11"/>
        <v>--</v>
      </c>
      <c r="Z26" s="405" t="str">
        <f t="shared" si="12"/>
        <v>--</v>
      </c>
      <c r="AA26" s="436" t="str">
        <f t="shared" si="13"/>
        <v>--</v>
      </c>
      <c r="AB26" s="320" t="s">
        <v>133</v>
      </c>
      <c r="AC26" s="401">
        <f t="shared" si="5"/>
        <v>103.35006000000003</v>
      </c>
      <c r="AD26" s="133"/>
    </row>
    <row r="27" spans="2:30" ht="16.5" customHeight="1">
      <c r="B27" s="294"/>
      <c r="C27" s="175">
        <v>12</v>
      </c>
      <c r="D27" s="440">
        <v>275466</v>
      </c>
      <c r="E27" s="440">
        <v>2637</v>
      </c>
      <c r="F27" s="178" t="s">
        <v>144</v>
      </c>
      <c r="G27" s="179" t="s">
        <v>169</v>
      </c>
      <c r="H27" s="179">
        <v>30</v>
      </c>
      <c r="I27" s="464" t="s">
        <v>143</v>
      </c>
      <c r="J27" s="182">
        <f t="shared" si="6"/>
        <v>41.910000000000004</v>
      </c>
      <c r="K27" s="183">
        <v>41790.13958333333</v>
      </c>
      <c r="L27" s="183">
        <v>41790.160416666666</v>
      </c>
      <c r="M27" s="184">
        <f t="shared" si="0"/>
        <v>0.5000000000582077</v>
      </c>
      <c r="N27" s="185">
        <f t="shared" si="1"/>
        <v>30</v>
      </c>
      <c r="O27" s="186" t="s">
        <v>132</v>
      </c>
      <c r="P27" s="186" t="str">
        <f t="shared" si="2"/>
        <v>NO</v>
      </c>
      <c r="Q27" s="186" t="s">
        <v>134</v>
      </c>
      <c r="R27" s="397" t="s">
        <v>171</v>
      </c>
      <c r="S27" s="392">
        <f t="shared" si="7"/>
        <v>3</v>
      </c>
      <c r="T27" s="402" t="str">
        <f t="shared" si="3"/>
        <v>--</v>
      </c>
      <c r="U27" s="427" t="str">
        <f t="shared" si="4"/>
        <v>--</v>
      </c>
      <c r="V27" s="420">
        <f t="shared" si="8"/>
        <v>125.73000000000002</v>
      </c>
      <c r="W27" s="421">
        <f t="shared" si="9"/>
        <v>62.86500000000001</v>
      </c>
      <c r="X27" s="403" t="str">
        <f t="shared" si="10"/>
        <v>--</v>
      </c>
      <c r="Y27" s="404" t="str">
        <f t="shared" si="11"/>
        <v>--</v>
      </c>
      <c r="Z27" s="405" t="str">
        <f t="shared" si="12"/>
        <v>--</v>
      </c>
      <c r="AA27" s="436" t="str">
        <f t="shared" si="13"/>
        <v>--</v>
      </c>
      <c r="AB27" s="320" t="str">
        <f aca="true" t="shared" si="14" ref="AB27:AB41">IF(F27="","","SI")</f>
        <v>SI</v>
      </c>
      <c r="AC27" s="401">
        <f t="shared" si="5"/>
        <v>188.59500000000003</v>
      </c>
      <c r="AD27" s="133"/>
    </row>
    <row r="28" spans="2:30" ht="16.5" customHeight="1">
      <c r="B28" s="294"/>
      <c r="C28" s="175">
        <v>13</v>
      </c>
      <c r="D28" s="440">
        <v>275467</v>
      </c>
      <c r="E28" s="440">
        <v>2738</v>
      </c>
      <c r="F28" s="178" t="s">
        <v>144</v>
      </c>
      <c r="G28" s="179" t="s">
        <v>170</v>
      </c>
      <c r="H28" s="179">
        <v>30</v>
      </c>
      <c r="I28" s="464" t="s">
        <v>143</v>
      </c>
      <c r="J28" s="182">
        <f t="shared" si="6"/>
        <v>41.910000000000004</v>
      </c>
      <c r="K28" s="183">
        <v>41790.13958333333</v>
      </c>
      <c r="L28" s="183">
        <v>41790.160416666666</v>
      </c>
      <c r="M28" s="184">
        <f t="shared" si="0"/>
        <v>0.5000000000582077</v>
      </c>
      <c r="N28" s="185">
        <f t="shared" si="1"/>
        <v>30</v>
      </c>
      <c r="O28" s="186" t="s">
        <v>132</v>
      </c>
      <c r="P28" s="186" t="str">
        <f t="shared" si="2"/>
        <v>NO</v>
      </c>
      <c r="Q28" s="186" t="s">
        <v>134</v>
      </c>
      <c r="R28" s="397" t="s">
        <v>171</v>
      </c>
      <c r="S28" s="392">
        <f t="shared" si="7"/>
        <v>3</v>
      </c>
      <c r="T28" s="402" t="str">
        <f t="shared" si="3"/>
        <v>--</v>
      </c>
      <c r="U28" s="427" t="str">
        <f t="shared" si="4"/>
        <v>--</v>
      </c>
      <c r="V28" s="420">
        <f t="shared" si="8"/>
        <v>125.73000000000002</v>
      </c>
      <c r="W28" s="421">
        <f t="shared" si="9"/>
        <v>62.86500000000001</v>
      </c>
      <c r="X28" s="403" t="str">
        <f t="shared" si="10"/>
        <v>--</v>
      </c>
      <c r="Y28" s="404" t="str">
        <f t="shared" si="11"/>
        <v>--</v>
      </c>
      <c r="Z28" s="405" t="str">
        <f t="shared" si="12"/>
        <v>--</v>
      </c>
      <c r="AA28" s="436" t="str">
        <f t="shared" si="13"/>
        <v>--</v>
      </c>
      <c r="AB28" s="320" t="str">
        <f t="shared" si="14"/>
        <v>SI</v>
      </c>
      <c r="AC28" s="401">
        <f t="shared" si="5"/>
        <v>188.59500000000003</v>
      </c>
      <c r="AD28" s="133"/>
    </row>
    <row r="29" spans="2:30" ht="16.5" customHeight="1">
      <c r="B29" s="294"/>
      <c r="C29" s="175"/>
      <c r="D29" s="440"/>
      <c r="E29" s="440"/>
      <c r="F29" s="178"/>
      <c r="G29" s="179"/>
      <c r="H29" s="191"/>
      <c r="I29" s="192"/>
      <c r="J29" s="182">
        <f t="shared" si="6"/>
        <v>0</v>
      </c>
      <c r="K29" s="183"/>
      <c r="L29" s="183"/>
      <c r="M29" s="184">
        <f t="shared" si="0"/>
      </c>
      <c r="N29" s="185">
        <f t="shared" si="1"/>
      </c>
      <c r="O29" s="186"/>
      <c r="P29" s="186">
        <f t="shared" si="2"/>
      </c>
      <c r="Q29" s="187">
        <f aca="true" t="shared" si="15" ref="Q29:Q41">IF(F29="","","--")</f>
      </c>
      <c r="R29" s="397"/>
      <c r="S29" s="392">
        <f t="shared" si="7"/>
        <v>3</v>
      </c>
      <c r="T29" s="402" t="str">
        <f t="shared" si="3"/>
        <v>--</v>
      </c>
      <c r="U29" s="427" t="str">
        <f t="shared" si="4"/>
        <v>--</v>
      </c>
      <c r="V29" s="420" t="str">
        <f t="shared" si="8"/>
        <v>--</v>
      </c>
      <c r="W29" s="421" t="str">
        <f t="shared" si="9"/>
        <v>--</v>
      </c>
      <c r="X29" s="403" t="str">
        <f t="shared" si="10"/>
        <v>--</v>
      </c>
      <c r="Y29" s="404" t="str">
        <f t="shared" si="11"/>
        <v>--</v>
      </c>
      <c r="Z29" s="405" t="str">
        <f t="shared" si="12"/>
        <v>--</v>
      </c>
      <c r="AA29" s="436" t="str">
        <f t="shared" si="13"/>
        <v>--</v>
      </c>
      <c r="AB29" s="320">
        <f t="shared" si="14"/>
      </c>
      <c r="AC29" s="401">
        <f t="shared" si="5"/>
      </c>
      <c r="AD29" s="133"/>
    </row>
    <row r="30" spans="2:30" ht="16.5" customHeight="1">
      <c r="B30" s="294"/>
      <c r="C30" s="175"/>
      <c r="D30" s="440"/>
      <c r="E30" s="440"/>
      <c r="F30" s="178"/>
      <c r="G30" s="179"/>
      <c r="H30" s="191"/>
      <c r="I30" s="192"/>
      <c r="J30" s="182">
        <f t="shared" si="6"/>
        <v>0</v>
      </c>
      <c r="K30" s="183"/>
      <c r="L30" s="183"/>
      <c r="M30" s="184">
        <f t="shared" si="0"/>
      </c>
      <c r="N30" s="185">
        <f t="shared" si="1"/>
      </c>
      <c r="O30" s="186"/>
      <c r="P30" s="186">
        <f t="shared" si="2"/>
      </c>
      <c r="Q30" s="187">
        <f t="shared" si="15"/>
      </c>
      <c r="R30" s="397"/>
      <c r="S30" s="392">
        <f t="shared" si="7"/>
        <v>3</v>
      </c>
      <c r="T30" s="402" t="str">
        <f t="shared" si="3"/>
        <v>--</v>
      </c>
      <c r="U30" s="427" t="str">
        <f t="shared" si="4"/>
        <v>--</v>
      </c>
      <c r="V30" s="420" t="str">
        <f t="shared" si="8"/>
        <v>--</v>
      </c>
      <c r="W30" s="421" t="str">
        <f t="shared" si="9"/>
        <v>--</v>
      </c>
      <c r="X30" s="403" t="str">
        <f t="shared" si="10"/>
        <v>--</v>
      </c>
      <c r="Y30" s="404" t="str">
        <f t="shared" si="11"/>
        <v>--</v>
      </c>
      <c r="Z30" s="405" t="str">
        <f t="shared" si="12"/>
        <v>--</v>
      </c>
      <c r="AA30" s="436" t="str">
        <f t="shared" si="13"/>
        <v>--</v>
      </c>
      <c r="AB30" s="320">
        <f t="shared" si="14"/>
      </c>
      <c r="AC30" s="401">
        <f t="shared" si="5"/>
      </c>
      <c r="AD30" s="133"/>
    </row>
    <row r="31" spans="2:30" ht="16.5" customHeight="1">
      <c r="B31" s="294"/>
      <c r="C31" s="175"/>
      <c r="D31" s="440"/>
      <c r="E31" s="440"/>
      <c r="F31" s="178"/>
      <c r="G31" s="179"/>
      <c r="H31" s="191"/>
      <c r="I31" s="192"/>
      <c r="J31" s="182">
        <f t="shared" si="6"/>
        <v>0</v>
      </c>
      <c r="K31" s="183"/>
      <c r="L31" s="183"/>
      <c r="M31" s="184">
        <f t="shared" si="0"/>
      </c>
      <c r="N31" s="185">
        <f t="shared" si="1"/>
      </c>
      <c r="O31" s="186"/>
      <c r="P31" s="186">
        <f t="shared" si="2"/>
      </c>
      <c r="Q31" s="187">
        <f t="shared" si="15"/>
      </c>
      <c r="R31" s="397"/>
      <c r="S31" s="392">
        <f t="shared" si="7"/>
        <v>3</v>
      </c>
      <c r="T31" s="402" t="str">
        <f t="shared" si="3"/>
        <v>--</v>
      </c>
      <c r="U31" s="427" t="str">
        <f t="shared" si="4"/>
        <v>--</v>
      </c>
      <c r="V31" s="420" t="str">
        <f t="shared" si="8"/>
        <v>--</v>
      </c>
      <c r="W31" s="421" t="str">
        <f t="shared" si="9"/>
        <v>--</v>
      </c>
      <c r="X31" s="403" t="str">
        <f t="shared" si="10"/>
        <v>--</v>
      </c>
      <c r="Y31" s="404" t="str">
        <f t="shared" si="11"/>
        <v>--</v>
      </c>
      <c r="Z31" s="405" t="str">
        <f t="shared" si="12"/>
        <v>--</v>
      </c>
      <c r="AA31" s="436" t="str">
        <f t="shared" si="13"/>
        <v>--</v>
      </c>
      <c r="AB31" s="320">
        <f t="shared" si="14"/>
      </c>
      <c r="AC31" s="401">
        <f t="shared" si="5"/>
      </c>
      <c r="AD31" s="133"/>
    </row>
    <row r="32" spans="2:30" ht="16.5" customHeight="1">
      <c r="B32" s="294"/>
      <c r="C32" s="175"/>
      <c r="D32" s="440"/>
      <c r="E32" s="440"/>
      <c r="F32" s="178"/>
      <c r="G32" s="179"/>
      <c r="H32" s="191"/>
      <c r="I32" s="192"/>
      <c r="J32" s="182">
        <f t="shared" si="6"/>
        <v>0</v>
      </c>
      <c r="K32" s="183"/>
      <c r="L32" s="183"/>
      <c r="M32" s="184">
        <f t="shared" si="0"/>
      </c>
      <c r="N32" s="185">
        <f t="shared" si="1"/>
      </c>
      <c r="O32" s="186"/>
      <c r="P32" s="186">
        <f t="shared" si="2"/>
      </c>
      <c r="Q32" s="187">
        <f t="shared" si="15"/>
      </c>
      <c r="R32" s="397"/>
      <c r="S32" s="392">
        <f t="shared" si="7"/>
        <v>3</v>
      </c>
      <c r="T32" s="402" t="str">
        <f t="shared" si="3"/>
        <v>--</v>
      </c>
      <c r="U32" s="427" t="str">
        <f t="shared" si="4"/>
        <v>--</v>
      </c>
      <c r="V32" s="420" t="str">
        <f t="shared" si="8"/>
        <v>--</v>
      </c>
      <c r="W32" s="421" t="str">
        <f t="shared" si="9"/>
        <v>--</v>
      </c>
      <c r="X32" s="403" t="str">
        <f t="shared" si="10"/>
        <v>--</v>
      </c>
      <c r="Y32" s="404" t="str">
        <f t="shared" si="11"/>
        <v>--</v>
      </c>
      <c r="Z32" s="405" t="str">
        <f t="shared" si="12"/>
        <v>--</v>
      </c>
      <c r="AA32" s="436" t="str">
        <f t="shared" si="13"/>
        <v>--</v>
      </c>
      <c r="AB32" s="320">
        <f t="shared" si="14"/>
      </c>
      <c r="AC32" s="401">
        <f t="shared" si="5"/>
      </c>
      <c r="AD32" s="133"/>
    </row>
    <row r="33" spans="2:30" ht="16.5" customHeight="1">
      <c r="B33" s="294"/>
      <c r="C33" s="175"/>
      <c r="D33" s="440"/>
      <c r="E33" s="440"/>
      <c r="F33" s="178"/>
      <c r="G33" s="179"/>
      <c r="H33" s="191"/>
      <c r="I33" s="192"/>
      <c r="J33" s="182">
        <f t="shared" si="6"/>
        <v>0</v>
      </c>
      <c r="K33" s="183"/>
      <c r="L33" s="183"/>
      <c r="M33" s="184">
        <f t="shared" si="0"/>
      </c>
      <c r="N33" s="185">
        <f t="shared" si="1"/>
      </c>
      <c r="O33" s="186"/>
      <c r="P33" s="186">
        <f t="shared" si="2"/>
      </c>
      <c r="Q33" s="187">
        <f t="shared" si="15"/>
      </c>
      <c r="R33" s="397"/>
      <c r="S33" s="392">
        <f t="shared" si="7"/>
        <v>3</v>
      </c>
      <c r="T33" s="402" t="str">
        <f t="shared" si="3"/>
        <v>--</v>
      </c>
      <c r="U33" s="427" t="str">
        <f t="shared" si="4"/>
        <v>--</v>
      </c>
      <c r="V33" s="420" t="str">
        <f t="shared" si="8"/>
        <v>--</v>
      </c>
      <c r="W33" s="421" t="str">
        <f t="shared" si="9"/>
        <v>--</v>
      </c>
      <c r="X33" s="403" t="str">
        <f t="shared" si="10"/>
        <v>--</v>
      </c>
      <c r="Y33" s="404" t="str">
        <f t="shared" si="11"/>
        <v>--</v>
      </c>
      <c r="Z33" s="405" t="str">
        <f t="shared" si="12"/>
        <v>--</v>
      </c>
      <c r="AA33" s="436" t="str">
        <f t="shared" si="13"/>
        <v>--</v>
      </c>
      <c r="AB33" s="320">
        <f t="shared" si="14"/>
      </c>
      <c r="AC33" s="401">
        <f t="shared" si="5"/>
      </c>
      <c r="AD33" s="133"/>
    </row>
    <row r="34" spans="2:30" ht="16.5" customHeight="1">
      <c r="B34" s="294"/>
      <c r="C34" s="175"/>
      <c r="D34" s="440"/>
      <c r="E34" s="440"/>
      <c r="F34" s="178"/>
      <c r="G34" s="179"/>
      <c r="H34" s="191"/>
      <c r="I34" s="192"/>
      <c r="J34" s="182">
        <f t="shared" si="6"/>
        <v>0</v>
      </c>
      <c r="K34" s="183"/>
      <c r="L34" s="183"/>
      <c r="M34" s="184">
        <f t="shared" si="0"/>
      </c>
      <c r="N34" s="185">
        <f t="shared" si="1"/>
      </c>
      <c r="O34" s="186"/>
      <c r="P34" s="186">
        <f t="shared" si="2"/>
      </c>
      <c r="Q34" s="187">
        <f t="shared" si="15"/>
      </c>
      <c r="R34" s="397"/>
      <c r="S34" s="392">
        <f t="shared" si="7"/>
        <v>3</v>
      </c>
      <c r="T34" s="402" t="str">
        <f t="shared" si="3"/>
        <v>--</v>
      </c>
      <c r="U34" s="427" t="str">
        <f t="shared" si="4"/>
        <v>--</v>
      </c>
      <c r="V34" s="420" t="str">
        <f t="shared" si="8"/>
        <v>--</v>
      </c>
      <c r="W34" s="421" t="str">
        <f t="shared" si="9"/>
        <v>--</v>
      </c>
      <c r="X34" s="403" t="str">
        <f t="shared" si="10"/>
        <v>--</v>
      </c>
      <c r="Y34" s="404" t="str">
        <f t="shared" si="11"/>
        <v>--</v>
      </c>
      <c r="Z34" s="405" t="str">
        <f t="shared" si="12"/>
        <v>--</v>
      </c>
      <c r="AA34" s="436" t="str">
        <f t="shared" si="13"/>
        <v>--</v>
      </c>
      <c r="AB34" s="320">
        <f t="shared" si="14"/>
      </c>
      <c r="AC34" s="401">
        <f t="shared" si="5"/>
      </c>
      <c r="AD34" s="133"/>
    </row>
    <row r="35" spans="2:30" ht="16.5" customHeight="1">
      <c r="B35" s="294"/>
      <c r="C35" s="175"/>
      <c r="D35" s="440"/>
      <c r="E35" s="440"/>
      <c r="F35" s="178"/>
      <c r="G35" s="179"/>
      <c r="H35" s="191"/>
      <c r="I35" s="192"/>
      <c r="J35" s="182">
        <f t="shared" si="6"/>
        <v>0</v>
      </c>
      <c r="K35" s="183"/>
      <c r="L35" s="183"/>
      <c r="M35" s="184">
        <f t="shared" si="0"/>
      </c>
      <c r="N35" s="185">
        <f t="shared" si="1"/>
      </c>
      <c r="O35" s="186"/>
      <c r="P35" s="186">
        <f t="shared" si="2"/>
      </c>
      <c r="Q35" s="187">
        <f t="shared" si="15"/>
      </c>
      <c r="R35" s="397"/>
      <c r="S35" s="392">
        <f t="shared" si="7"/>
        <v>3</v>
      </c>
      <c r="T35" s="402" t="str">
        <f t="shared" si="3"/>
        <v>--</v>
      </c>
      <c r="U35" s="427" t="str">
        <f t="shared" si="4"/>
        <v>--</v>
      </c>
      <c r="V35" s="420" t="str">
        <f t="shared" si="8"/>
        <v>--</v>
      </c>
      <c r="W35" s="421" t="str">
        <f t="shared" si="9"/>
        <v>--</v>
      </c>
      <c r="X35" s="403" t="str">
        <f t="shared" si="10"/>
        <v>--</v>
      </c>
      <c r="Y35" s="404" t="str">
        <f t="shared" si="11"/>
        <v>--</v>
      </c>
      <c r="Z35" s="405" t="str">
        <f t="shared" si="12"/>
        <v>--</v>
      </c>
      <c r="AA35" s="436" t="str">
        <f t="shared" si="13"/>
        <v>--</v>
      </c>
      <c r="AB35" s="320">
        <f t="shared" si="14"/>
      </c>
      <c r="AC35" s="401">
        <f t="shared" si="5"/>
      </c>
      <c r="AD35" s="133"/>
    </row>
    <row r="36" spans="2:30" ht="16.5" customHeight="1">
      <c r="B36" s="294"/>
      <c r="C36" s="175"/>
      <c r="D36" s="440"/>
      <c r="E36" s="440"/>
      <c r="F36" s="178"/>
      <c r="G36" s="179"/>
      <c r="H36" s="191"/>
      <c r="I36" s="192"/>
      <c r="J36" s="182">
        <f t="shared" si="6"/>
        <v>0</v>
      </c>
      <c r="K36" s="183"/>
      <c r="L36" s="183"/>
      <c r="M36" s="184">
        <f t="shared" si="0"/>
      </c>
      <c r="N36" s="185">
        <f t="shared" si="1"/>
      </c>
      <c r="O36" s="186"/>
      <c r="P36" s="186">
        <f t="shared" si="2"/>
      </c>
      <c r="Q36" s="187">
        <f t="shared" si="15"/>
      </c>
      <c r="R36" s="397"/>
      <c r="S36" s="392">
        <f t="shared" si="7"/>
        <v>3</v>
      </c>
      <c r="T36" s="402" t="str">
        <f t="shared" si="3"/>
        <v>--</v>
      </c>
      <c r="U36" s="427" t="str">
        <f t="shared" si="4"/>
        <v>--</v>
      </c>
      <c r="V36" s="420" t="str">
        <f t="shared" si="8"/>
        <v>--</v>
      </c>
      <c r="W36" s="421" t="str">
        <f t="shared" si="9"/>
        <v>--</v>
      </c>
      <c r="X36" s="403" t="str">
        <f t="shared" si="10"/>
        <v>--</v>
      </c>
      <c r="Y36" s="404" t="str">
        <f t="shared" si="11"/>
        <v>--</v>
      </c>
      <c r="Z36" s="405" t="str">
        <f t="shared" si="12"/>
        <v>--</v>
      </c>
      <c r="AA36" s="436" t="str">
        <f t="shared" si="13"/>
        <v>--</v>
      </c>
      <c r="AB36" s="320">
        <f t="shared" si="14"/>
      </c>
      <c r="AC36" s="401">
        <f t="shared" si="5"/>
      </c>
      <c r="AD36" s="133"/>
    </row>
    <row r="37" spans="2:30" ht="16.5" customHeight="1">
      <c r="B37" s="294"/>
      <c r="C37" s="175"/>
      <c r="D37" s="440"/>
      <c r="E37" s="440"/>
      <c r="F37" s="178"/>
      <c r="G37" s="179"/>
      <c r="H37" s="191"/>
      <c r="I37" s="192"/>
      <c r="J37" s="182">
        <f t="shared" si="6"/>
        <v>0</v>
      </c>
      <c r="K37" s="183"/>
      <c r="L37" s="183"/>
      <c r="M37" s="184">
        <f t="shared" si="0"/>
      </c>
      <c r="N37" s="185">
        <f t="shared" si="1"/>
      </c>
      <c r="O37" s="186"/>
      <c r="P37" s="186">
        <f t="shared" si="2"/>
      </c>
      <c r="Q37" s="187">
        <f t="shared" si="15"/>
      </c>
      <c r="R37" s="397"/>
      <c r="S37" s="392">
        <f t="shared" si="7"/>
        <v>3</v>
      </c>
      <c r="T37" s="402" t="str">
        <f t="shared" si="3"/>
        <v>--</v>
      </c>
      <c r="U37" s="427" t="str">
        <f t="shared" si="4"/>
        <v>--</v>
      </c>
      <c r="V37" s="420" t="str">
        <f t="shared" si="8"/>
        <v>--</v>
      </c>
      <c r="W37" s="421" t="str">
        <f t="shared" si="9"/>
        <v>--</v>
      </c>
      <c r="X37" s="403" t="str">
        <f t="shared" si="10"/>
        <v>--</v>
      </c>
      <c r="Y37" s="404" t="str">
        <f t="shared" si="11"/>
        <v>--</v>
      </c>
      <c r="Z37" s="405" t="str">
        <f t="shared" si="12"/>
        <v>--</v>
      </c>
      <c r="AA37" s="436" t="str">
        <f t="shared" si="13"/>
        <v>--</v>
      </c>
      <c r="AB37" s="320">
        <f t="shared" si="14"/>
      </c>
      <c r="AC37" s="401">
        <f t="shared" si="5"/>
      </c>
      <c r="AD37" s="133"/>
    </row>
    <row r="38" spans="2:30" ht="16.5" customHeight="1">
      <c r="B38" s="294"/>
      <c r="C38" s="175"/>
      <c r="D38" s="440"/>
      <c r="E38" s="440"/>
      <c r="F38" s="178"/>
      <c r="G38" s="179"/>
      <c r="H38" s="191"/>
      <c r="I38" s="192"/>
      <c r="J38" s="182">
        <f t="shared" si="6"/>
        <v>0</v>
      </c>
      <c r="K38" s="183"/>
      <c r="L38" s="183"/>
      <c r="M38" s="184">
        <f t="shared" si="0"/>
      </c>
      <c r="N38" s="185">
        <f t="shared" si="1"/>
      </c>
      <c r="O38" s="186"/>
      <c r="P38" s="186">
        <f t="shared" si="2"/>
      </c>
      <c r="Q38" s="187">
        <f t="shared" si="15"/>
      </c>
      <c r="R38" s="397"/>
      <c r="S38" s="392">
        <f t="shared" si="7"/>
        <v>3</v>
      </c>
      <c r="T38" s="402" t="str">
        <f t="shared" si="3"/>
        <v>--</v>
      </c>
      <c r="U38" s="427" t="str">
        <f t="shared" si="4"/>
        <v>--</v>
      </c>
      <c r="V38" s="420" t="str">
        <f t="shared" si="8"/>
        <v>--</v>
      </c>
      <c r="W38" s="421" t="str">
        <f t="shared" si="9"/>
        <v>--</v>
      </c>
      <c r="X38" s="403" t="str">
        <f t="shared" si="10"/>
        <v>--</v>
      </c>
      <c r="Y38" s="404" t="str">
        <f t="shared" si="11"/>
        <v>--</v>
      </c>
      <c r="Z38" s="405" t="str">
        <f t="shared" si="12"/>
        <v>--</v>
      </c>
      <c r="AA38" s="436" t="str">
        <f t="shared" si="13"/>
        <v>--</v>
      </c>
      <c r="AB38" s="320">
        <f t="shared" si="14"/>
      </c>
      <c r="AC38" s="401">
        <f t="shared" si="5"/>
      </c>
      <c r="AD38" s="133"/>
    </row>
    <row r="39" spans="2:30" ht="16.5" customHeight="1">
      <c r="B39" s="294"/>
      <c r="C39" s="175"/>
      <c r="D39" s="440"/>
      <c r="E39" s="440"/>
      <c r="F39" s="178"/>
      <c r="G39" s="179"/>
      <c r="H39" s="180"/>
      <c r="I39" s="181"/>
      <c r="J39" s="182">
        <f t="shared" si="6"/>
        <v>0</v>
      </c>
      <c r="K39" s="183"/>
      <c r="L39" s="183"/>
      <c r="M39" s="184">
        <f t="shared" si="0"/>
      </c>
      <c r="N39" s="185">
        <f t="shared" si="1"/>
      </c>
      <c r="O39" s="186"/>
      <c r="P39" s="186">
        <f t="shared" si="2"/>
      </c>
      <c r="Q39" s="187">
        <f t="shared" si="15"/>
      </c>
      <c r="R39" s="397"/>
      <c r="S39" s="392">
        <f t="shared" si="7"/>
        <v>3</v>
      </c>
      <c r="T39" s="402" t="str">
        <f t="shared" si="3"/>
        <v>--</v>
      </c>
      <c r="U39" s="427" t="str">
        <f t="shared" si="4"/>
        <v>--</v>
      </c>
      <c r="V39" s="420" t="str">
        <f t="shared" si="8"/>
        <v>--</v>
      </c>
      <c r="W39" s="421" t="str">
        <f t="shared" si="9"/>
        <v>--</v>
      </c>
      <c r="X39" s="403" t="str">
        <f t="shared" si="10"/>
        <v>--</v>
      </c>
      <c r="Y39" s="404" t="str">
        <f t="shared" si="11"/>
        <v>--</v>
      </c>
      <c r="Z39" s="405" t="str">
        <f t="shared" si="12"/>
        <v>--</v>
      </c>
      <c r="AA39" s="436" t="str">
        <f t="shared" si="13"/>
        <v>--</v>
      </c>
      <c r="AB39" s="320">
        <f t="shared" si="14"/>
      </c>
      <c r="AC39" s="401">
        <f t="shared" si="5"/>
      </c>
      <c r="AD39" s="133"/>
    </row>
    <row r="40" spans="2:30" ht="16.5" customHeight="1">
      <c r="B40" s="294"/>
      <c r="C40" s="175"/>
      <c r="D40" s="440"/>
      <c r="E40" s="440"/>
      <c r="F40" s="178"/>
      <c r="G40" s="179"/>
      <c r="H40" s="188"/>
      <c r="I40" s="181"/>
      <c r="J40" s="182">
        <f t="shared" si="6"/>
        <v>0</v>
      </c>
      <c r="K40" s="183"/>
      <c r="L40" s="183"/>
      <c r="M40" s="184">
        <f t="shared" si="0"/>
      </c>
      <c r="N40" s="185">
        <f t="shared" si="1"/>
      </c>
      <c r="O40" s="186"/>
      <c r="P40" s="186">
        <f t="shared" si="2"/>
      </c>
      <c r="Q40" s="187">
        <f t="shared" si="15"/>
      </c>
      <c r="R40" s="397"/>
      <c r="S40" s="392">
        <f t="shared" si="7"/>
        <v>3</v>
      </c>
      <c r="T40" s="402" t="str">
        <f t="shared" si="3"/>
        <v>--</v>
      </c>
      <c r="U40" s="427" t="str">
        <f t="shared" si="4"/>
        <v>--</v>
      </c>
      <c r="V40" s="420" t="str">
        <f t="shared" si="8"/>
        <v>--</v>
      </c>
      <c r="W40" s="421" t="str">
        <f t="shared" si="9"/>
        <v>--</v>
      </c>
      <c r="X40" s="403" t="str">
        <f t="shared" si="10"/>
        <v>--</v>
      </c>
      <c r="Y40" s="404" t="str">
        <f t="shared" si="11"/>
        <v>--</v>
      </c>
      <c r="Z40" s="405" t="str">
        <f t="shared" si="12"/>
        <v>--</v>
      </c>
      <c r="AA40" s="436" t="str">
        <f t="shared" si="13"/>
        <v>--</v>
      </c>
      <c r="AB40" s="320">
        <f t="shared" si="14"/>
      </c>
      <c r="AC40" s="401">
        <f t="shared" si="5"/>
      </c>
      <c r="AD40" s="133"/>
    </row>
    <row r="41" spans="2:30" ht="16.5" customHeight="1">
      <c r="B41" s="294"/>
      <c r="C41" s="175"/>
      <c r="D41" s="440"/>
      <c r="E41" s="440"/>
      <c r="F41" s="178"/>
      <c r="G41" s="179"/>
      <c r="H41" s="189"/>
      <c r="I41" s="181"/>
      <c r="J41" s="182">
        <f t="shared" si="6"/>
        <v>0</v>
      </c>
      <c r="K41" s="183"/>
      <c r="L41" s="183"/>
      <c r="M41" s="184">
        <f t="shared" si="0"/>
      </c>
      <c r="N41" s="185">
        <f t="shared" si="1"/>
      </c>
      <c r="O41" s="186"/>
      <c r="P41" s="186">
        <f t="shared" si="2"/>
      </c>
      <c r="Q41" s="187">
        <f t="shared" si="15"/>
      </c>
      <c r="R41" s="397"/>
      <c r="S41" s="392">
        <f t="shared" si="7"/>
        <v>3</v>
      </c>
      <c r="T41" s="402" t="str">
        <f>IF(O41="P",J41*S41*ROUND(N41/60,2),"--")</f>
        <v>--</v>
      </c>
      <c r="U41" s="427" t="str">
        <f t="shared" si="4"/>
        <v>--</v>
      </c>
      <c r="V41" s="420" t="str">
        <f t="shared" si="8"/>
        <v>--</v>
      </c>
      <c r="W41" s="421" t="str">
        <f t="shared" si="9"/>
        <v>--</v>
      </c>
      <c r="X41" s="403" t="str">
        <f t="shared" si="10"/>
        <v>--</v>
      </c>
      <c r="Y41" s="404" t="str">
        <f t="shared" si="11"/>
        <v>--</v>
      </c>
      <c r="Z41" s="405" t="str">
        <f t="shared" si="12"/>
        <v>--</v>
      </c>
      <c r="AA41" s="436" t="str">
        <f t="shared" si="13"/>
        <v>--</v>
      </c>
      <c r="AB41" s="320">
        <f t="shared" si="14"/>
      </c>
      <c r="AC41" s="401">
        <f t="shared" si="5"/>
      </c>
      <c r="AD41" s="133"/>
    </row>
    <row r="42" spans="2:30" ht="16.5" customHeight="1" thickBot="1">
      <c r="B42" s="294"/>
      <c r="C42" s="193"/>
      <c r="D42" s="193"/>
      <c r="E42" s="193"/>
      <c r="F42" s="194"/>
      <c r="G42" s="195"/>
      <c r="H42" s="194"/>
      <c r="I42" s="196"/>
      <c r="J42" s="197"/>
      <c r="K42" s="198"/>
      <c r="L42" s="198"/>
      <c r="M42" s="199"/>
      <c r="N42" s="199"/>
      <c r="O42" s="198"/>
      <c r="P42" s="198"/>
      <c r="Q42" s="200"/>
      <c r="R42" s="398"/>
      <c r="S42" s="393"/>
      <c r="T42" s="432"/>
      <c r="U42" s="428"/>
      <c r="V42" s="422"/>
      <c r="W42" s="423"/>
      <c r="X42" s="412"/>
      <c r="Y42" s="413"/>
      <c r="Z42" s="201"/>
      <c r="AA42" s="437"/>
      <c r="AB42" s="199"/>
      <c r="AC42" s="321"/>
      <c r="AD42" s="133"/>
    </row>
    <row r="43" spans="2:30" ht="16.5" customHeight="1" thickBot="1" thickTop="1">
      <c r="B43" s="294"/>
      <c r="C43" s="264" t="s">
        <v>69</v>
      </c>
      <c r="D43" s="465" t="s">
        <v>174</v>
      </c>
      <c r="E43" s="438"/>
      <c r="F43" s="144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322">
        <f>ROUND(SUM(AC20:AC42),2)</f>
        <v>1335.13</v>
      </c>
      <c r="AD43" s="133"/>
    </row>
    <row r="44" spans="2:30" s="152" customFormat="1" ht="9.75" thickTop="1">
      <c r="B44" s="323"/>
      <c r="C44" s="266"/>
      <c r="D44" s="266"/>
      <c r="E44" s="266"/>
      <c r="F44" s="15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5"/>
      <c r="AD44" s="155"/>
    </row>
    <row r="45" spans="2:30" ht="16.5" customHeight="1" thickBot="1">
      <c r="B45" s="326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8"/>
    </row>
    <row r="46" ht="13.5" thickTop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W16381"/>
  <sheetViews>
    <sheetView zoomScale="75" zoomScaleNormal="75" zoomScalePageLayoutView="0" workbookViewId="0" topLeftCell="A1">
      <selection activeCell="L28" sqref="L28"/>
    </sheetView>
  </sheetViews>
  <sheetFormatPr defaultColWidth="11.421875" defaultRowHeight="12.75"/>
  <cols>
    <col min="1" max="2" width="4.140625" style="76" customWidth="1"/>
    <col min="3" max="3" width="5.57421875" style="76" customWidth="1"/>
    <col min="4" max="5" width="13.7109375" style="76" customWidth="1"/>
    <col min="6" max="6" width="30.7109375" style="76" customWidth="1"/>
    <col min="7" max="7" width="35.7109375" style="76" customWidth="1"/>
    <col min="8" max="8" width="8.7109375" style="76" customWidth="1"/>
    <col min="9" max="9" width="14.421875" style="76" hidden="1" customWidth="1"/>
    <col min="10" max="10" width="16.421875" style="76" customWidth="1"/>
    <col min="11" max="11" width="16.7109375" style="76" customWidth="1"/>
    <col min="12" max="14" width="9.7109375" style="76" customWidth="1"/>
    <col min="15" max="15" width="6.00390625" style="76" customWidth="1"/>
    <col min="16" max="16" width="7.7109375" style="76" hidden="1" customWidth="1"/>
    <col min="17" max="17" width="12.28125" style="76" hidden="1" customWidth="1"/>
    <col min="18" max="18" width="13.8515625" style="76" hidden="1" customWidth="1"/>
    <col min="19" max="20" width="14.00390625" style="76" hidden="1" customWidth="1"/>
    <col min="21" max="21" width="9.7109375" style="76" customWidth="1"/>
    <col min="22" max="22" width="15.7109375" style="76" customWidth="1"/>
    <col min="23" max="23" width="4.140625" style="76" customWidth="1"/>
    <col min="24" max="24" width="11.57421875" style="76" customWidth="1"/>
    <col min="25" max="16384" width="11.421875" style="76" customWidth="1"/>
  </cols>
  <sheetData>
    <row r="1" spans="2:23" s="73" customFormat="1" ht="26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226"/>
    </row>
    <row r="2" spans="2:23" s="73" customFormat="1" ht="26.25">
      <c r="B2" s="227" t="str">
        <f>+'TOT-0514'!B2</f>
        <v>ANEXO II al Memorandum D.T.E.E. N°      328   / 2015</v>
      </c>
      <c r="C2" s="329"/>
      <c r="D2" s="329"/>
      <c r="E2" s="329"/>
      <c r="F2" s="329"/>
      <c r="G2" s="75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75"/>
    </row>
    <row r="3" spans="2:22" ht="12.7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2:22" s="78" customFormat="1" ht="11.25">
      <c r="B4" s="228"/>
      <c r="C4" s="330"/>
      <c r="D4" s="10" t="s">
        <v>2</v>
      </c>
      <c r="E4" s="330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</row>
    <row r="5" spans="2:22" s="78" customFormat="1" ht="11.25">
      <c r="B5" s="228"/>
      <c r="C5" s="330"/>
      <c r="D5" s="10" t="s">
        <v>3</v>
      </c>
      <c r="E5" s="330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</row>
    <row r="6" spans="2:22" ht="13.5" thickBo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</row>
    <row r="7" spans="2:23" ht="13.5" thickTop="1">
      <c r="B7" s="288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81"/>
    </row>
    <row r="8" spans="2:23" s="291" customFormat="1" ht="20.25">
      <c r="B8" s="292"/>
      <c r="C8" s="162"/>
      <c r="D8" s="162"/>
      <c r="E8" s="162"/>
      <c r="F8" s="84" t="s">
        <v>73</v>
      </c>
      <c r="N8" s="332"/>
      <c r="O8" s="332"/>
      <c r="P8" s="332"/>
      <c r="Q8" s="162"/>
      <c r="R8" s="162"/>
      <c r="S8" s="162"/>
      <c r="T8" s="162"/>
      <c r="U8" s="162"/>
      <c r="V8" s="162"/>
      <c r="W8" s="333"/>
    </row>
    <row r="9" spans="2:23" ht="12.75">
      <c r="B9" s="294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85"/>
    </row>
    <row r="10" spans="2:23" s="291" customFormat="1" ht="20.25">
      <c r="B10" s="292"/>
      <c r="C10" s="162"/>
      <c r="D10" s="162"/>
      <c r="E10" s="162"/>
      <c r="F10" s="86" t="s">
        <v>49</v>
      </c>
      <c r="G10" s="202"/>
      <c r="H10" s="332"/>
      <c r="I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333"/>
    </row>
    <row r="11" spans="2:23" ht="12.75">
      <c r="B11" s="294"/>
      <c r="C11" s="163"/>
      <c r="D11" s="163"/>
      <c r="E11" s="163"/>
      <c r="F11" s="77"/>
      <c r="G11" s="77"/>
      <c r="H11" s="77"/>
      <c r="I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85"/>
    </row>
    <row r="12" spans="2:23" s="88" customFormat="1" ht="19.5">
      <c r="B12" s="298" t="str">
        <f>+'TOT-0514'!B14</f>
        <v>Desde el 01 al 31 de mayo de 2014</v>
      </c>
      <c r="C12" s="299"/>
      <c r="D12" s="299"/>
      <c r="E12" s="299"/>
      <c r="F12" s="300"/>
      <c r="G12" s="300"/>
      <c r="H12" s="300"/>
      <c r="I12" s="334"/>
      <c r="J12" s="90"/>
      <c r="K12" s="334"/>
      <c r="L12" s="334"/>
      <c r="M12" s="334"/>
      <c r="N12" s="300"/>
      <c r="O12" s="300"/>
      <c r="P12" s="300"/>
      <c r="Q12" s="300"/>
      <c r="R12" s="300"/>
      <c r="S12" s="300"/>
      <c r="T12" s="300"/>
      <c r="U12" s="300"/>
      <c r="V12" s="300"/>
      <c r="W12" s="92"/>
    </row>
    <row r="13" spans="2:23" ht="16.5" thickBot="1">
      <c r="B13" s="294"/>
      <c r="C13" s="163"/>
      <c r="D13" s="163"/>
      <c r="E13" s="163"/>
      <c r="F13" s="163"/>
      <c r="G13" s="163"/>
      <c r="H13" s="205"/>
      <c r="I13" s="77"/>
      <c r="J13" s="302"/>
      <c r="K13" s="77"/>
      <c r="L13" s="77"/>
      <c r="M13" s="77"/>
      <c r="N13" s="163"/>
      <c r="O13" s="163"/>
      <c r="P13" s="163"/>
      <c r="Q13" s="163"/>
      <c r="R13" s="163"/>
      <c r="S13" s="163"/>
      <c r="T13" s="163"/>
      <c r="U13" s="163"/>
      <c r="V13" s="163"/>
      <c r="W13" s="85"/>
    </row>
    <row r="14" spans="2:23" ht="16.5" customHeight="1" thickBot="1" thickTop="1">
      <c r="B14" s="294"/>
      <c r="C14" s="303"/>
      <c r="D14" s="303"/>
      <c r="E14" s="303"/>
      <c r="F14" s="203" t="s">
        <v>50</v>
      </c>
      <c r="G14" s="204">
        <v>18.498</v>
      </c>
      <c r="H14" s="305">
        <f>50*'TOT-0514'!B13</f>
        <v>50</v>
      </c>
      <c r="I14" s="335"/>
      <c r="J14" s="100" t="str">
        <f>IF(H14=50," ",IF(H14=100,"  Coeficiente duplicado por tasa de falla &gt;4 Sal. x año/100 km.","REVISAR COEFICIENTE"))</f>
        <v> </v>
      </c>
      <c r="K14" s="335"/>
      <c r="L14" s="335"/>
      <c r="M14" s="335"/>
      <c r="N14" s="335"/>
      <c r="O14" s="335"/>
      <c r="P14" s="335"/>
      <c r="Q14" s="335"/>
      <c r="R14" s="335"/>
      <c r="S14" s="303"/>
      <c r="T14" s="303"/>
      <c r="U14" s="336"/>
      <c r="V14" s="303"/>
      <c r="W14" s="85"/>
    </row>
    <row r="15" spans="2:23" ht="16.5" customHeight="1" thickBot="1" thickTop="1">
      <c r="B15" s="294"/>
      <c r="C15" s="303"/>
      <c r="D15" s="303"/>
      <c r="E15" s="303"/>
      <c r="F15" s="203" t="s">
        <v>51</v>
      </c>
      <c r="G15" s="204">
        <v>13.873</v>
      </c>
      <c r="H15" s="305">
        <f>25*'TOT-0514'!B13</f>
        <v>25</v>
      </c>
      <c r="I15" s="335"/>
      <c r="J15" s="100" t="str">
        <f>IF(H15=25," ",IF(H15=50,"  Coeficiente duplicado por tasa de falla &gt;4 Sal. x año/100 km.","REVISAR COEFICIENTE"))</f>
        <v> </v>
      </c>
      <c r="K15" s="335"/>
      <c r="L15" s="335"/>
      <c r="M15" s="335"/>
      <c r="N15" s="335"/>
      <c r="O15" s="303"/>
      <c r="P15" s="303"/>
      <c r="Q15" s="337"/>
      <c r="R15" s="168"/>
      <c r="S15" s="303"/>
      <c r="T15" s="303"/>
      <c r="U15" s="336"/>
      <c r="V15" s="303"/>
      <c r="W15" s="85"/>
    </row>
    <row r="16" spans="2:23" ht="16.5" customHeight="1" thickBot="1" thickTop="1">
      <c r="B16" s="294"/>
      <c r="C16" s="303"/>
      <c r="D16" s="303"/>
      <c r="E16" s="303"/>
      <c r="F16" s="203" t="s">
        <v>52</v>
      </c>
      <c r="G16" s="338">
        <v>13.873</v>
      </c>
      <c r="H16" s="305">
        <f>20*'TOT-0514'!B13</f>
        <v>20</v>
      </c>
      <c r="I16" s="335"/>
      <c r="J16" s="100" t="str">
        <f>IF(H16=20," ",IF(H16=40,"  Coeficiente duplicado por tasa de falla &gt;4 Sal. x año/100 km.","REVISAR COEFICIENTE"))</f>
        <v> </v>
      </c>
      <c r="K16" s="335"/>
      <c r="L16" s="335"/>
      <c r="M16" s="335"/>
      <c r="N16" s="335"/>
      <c r="O16" s="303"/>
      <c r="P16" s="303"/>
      <c r="Q16" s="337"/>
      <c r="R16" s="168"/>
      <c r="S16" s="303"/>
      <c r="T16" s="303"/>
      <c r="U16" s="336"/>
      <c r="V16" s="303"/>
      <c r="W16" s="85"/>
    </row>
    <row r="17" spans="2:23" ht="16.5" customHeight="1" thickBot="1" thickTop="1">
      <c r="B17" s="294"/>
      <c r="C17" s="459">
        <v>3</v>
      </c>
      <c r="D17" s="459">
        <v>4</v>
      </c>
      <c r="E17" s="459">
        <v>5</v>
      </c>
      <c r="F17" s="459">
        <v>6</v>
      </c>
      <c r="G17" s="459">
        <v>7</v>
      </c>
      <c r="H17" s="459">
        <v>8</v>
      </c>
      <c r="I17" s="459">
        <v>9</v>
      </c>
      <c r="J17" s="459">
        <v>10</v>
      </c>
      <c r="K17" s="459">
        <v>11</v>
      </c>
      <c r="L17" s="459">
        <v>12</v>
      </c>
      <c r="M17" s="459">
        <v>13</v>
      </c>
      <c r="N17" s="459">
        <v>14</v>
      </c>
      <c r="O17" s="459">
        <v>15</v>
      </c>
      <c r="P17" s="459">
        <v>16</v>
      </c>
      <c r="Q17" s="459">
        <v>17</v>
      </c>
      <c r="R17" s="459">
        <v>18</v>
      </c>
      <c r="S17" s="459">
        <v>19</v>
      </c>
      <c r="T17" s="459">
        <v>20</v>
      </c>
      <c r="U17" s="459">
        <v>21</v>
      </c>
      <c r="V17" s="459">
        <v>22</v>
      </c>
      <c r="W17" s="85"/>
    </row>
    <row r="18" spans="2:23" s="160" customFormat="1" ht="34.5" customHeight="1" thickBot="1" thickTop="1">
      <c r="B18" s="339"/>
      <c r="C18" s="443" t="s">
        <v>15</v>
      </c>
      <c r="D18" s="443" t="s">
        <v>74</v>
      </c>
      <c r="E18" s="443" t="s">
        <v>75</v>
      </c>
      <c r="F18" s="169" t="s">
        <v>53</v>
      </c>
      <c r="G18" s="206" t="s">
        <v>39</v>
      </c>
      <c r="H18" s="207" t="s">
        <v>16</v>
      </c>
      <c r="I18" s="208" t="s">
        <v>18</v>
      </c>
      <c r="J18" s="170" t="s">
        <v>19</v>
      </c>
      <c r="K18" s="206" t="s">
        <v>20</v>
      </c>
      <c r="L18" s="209" t="s">
        <v>42</v>
      </c>
      <c r="M18" s="209" t="s">
        <v>43</v>
      </c>
      <c r="N18" s="110" t="s">
        <v>68</v>
      </c>
      <c r="O18" s="170" t="s">
        <v>24</v>
      </c>
      <c r="P18" s="210" t="s">
        <v>54</v>
      </c>
      <c r="Q18" s="340" t="s">
        <v>25</v>
      </c>
      <c r="R18" s="341" t="s">
        <v>55</v>
      </c>
      <c r="S18" s="342"/>
      <c r="T18" s="343" t="s">
        <v>46</v>
      </c>
      <c r="U18" s="209" t="s">
        <v>31</v>
      </c>
      <c r="V18" s="169" t="s">
        <v>32</v>
      </c>
      <c r="W18" s="344"/>
    </row>
    <row r="19" spans="2:23" ht="16.5" customHeight="1" thickTop="1">
      <c r="B19" s="345"/>
      <c r="C19" s="346"/>
      <c r="D19" s="441"/>
      <c r="E19" s="441"/>
      <c r="F19" s="314"/>
      <c r="G19" s="347"/>
      <c r="H19" s="348"/>
      <c r="I19" s="349"/>
      <c r="J19" s="314"/>
      <c r="K19" s="314"/>
      <c r="L19" s="314"/>
      <c r="M19" s="314"/>
      <c r="N19" s="314"/>
      <c r="O19" s="314"/>
      <c r="P19" s="350"/>
      <c r="Q19" s="351"/>
      <c r="R19" s="352"/>
      <c r="S19" s="353"/>
      <c r="T19" s="354"/>
      <c r="U19" s="347"/>
      <c r="V19" s="247"/>
      <c r="W19" s="85"/>
    </row>
    <row r="20" spans="2:23" ht="16.5" customHeight="1">
      <c r="B20" s="345"/>
      <c r="C20" s="355"/>
      <c r="D20" s="442"/>
      <c r="E20" s="442"/>
      <c r="F20" s="356"/>
      <c r="G20" s="356"/>
      <c r="H20" s="318"/>
      <c r="I20" s="357"/>
      <c r="J20" s="318"/>
      <c r="K20" s="358"/>
      <c r="L20" s="317"/>
      <c r="M20" s="359"/>
      <c r="N20" s="360"/>
      <c r="O20" s="318"/>
      <c r="P20" s="361"/>
      <c r="Q20" s="362"/>
      <c r="R20" s="363"/>
      <c r="S20" s="364"/>
      <c r="T20" s="365"/>
      <c r="U20" s="317"/>
      <c r="V20" s="317"/>
      <c r="W20" s="85"/>
    </row>
    <row r="21" spans="2:23" ht="16.5" customHeight="1">
      <c r="B21" s="345"/>
      <c r="C21" s="211">
        <v>14</v>
      </c>
      <c r="D21" s="442">
        <v>274863</v>
      </c>
      <c r="E21" s="442">
        <v>251</v>
      </c>
      <c r="F21" s="190" t="s">
        <v>147</v>
      </c>
      <c r="G21" s="179" t="s">
        <v>148</v>
      </c>
      <c r="H21" s="179">
        <v>13.199999809265137</v>
      </c>
      <c r="I21" s="366">
        <f>IF(OR(H21=132,H21=66),$G$14,IF(H21=33,$G$15,$G$16))</f>
        <v>13.873</v>
      </c>
      <c r="J21" s="212">
        <v>41767.549305555556</v>
      </c>
      <c r="K21" s="212">
        <v>41767.83541666667</v>
      </c>
      <c r="L21" s="213">
        <f aca="true" t="shared" si="0" ref="L21:L40">IF(J21="","",(K21-J21)*24)</f>
        <v>6.866666666697711</v>
      </c>
      <c r="M21" s="214">
        <f aca="true" t="shared" si="1" ref="M21:M40">IF(K21="","",ROUND((K21-J21)*24*60,0))</f>
        <v>412</v>
      </c>
      <c r="N21" s="215" t="s">
        <v>136</v>
      </c>
      <c r="O21" s="216" t="str">
        <f>IF(N21="","",IF(OR(N21="P",N21="RP"),"--","NO"))</f>
        <v>--</v>
      </c>
      <c r="P21" s="367">
        <f aca="true" t="shared" si="2" ref="P21:P40">IF(OR(H21=132,H21=66),$H$14,IF(H21=33,$H$15,$H$16))</f>
        <v>20</v>
      </c>
      <c r="Q21" s="368">
        <f aca="true" t="shared" si="3" ref="Q21:Q40">IF(N21="P",I21*P21*0.1*ROUND(M21/60,2),"--")</f>
        <v>190.61502</v>
      </c>
      <c r="R21" s="369" t="str">
        <f aca="true" t="shared" si="4" ref="R21:R40">IF(O21="NO",IF(N21="F",I21*P21,"--"),"--")</f>
        <v>--</v>
      </c>
      <c r="S21" s="370" t="str">
        <f aca="true" t="shared" si="5" ref="S21:S40">IF(N21="F",I21*P21*ROUND(M21/60,2),"--")</f>
        <v>--</v>
      </c>
      <c r="T21" s="371" t="str">
        <f aca="true" t="shared" si="6" ref="T21:T40">IF(N21="RF",I21*P21*ROUND(M21/60,2),"--")</f>
        <v>--</v>
      </c>
      <c r="U21" s="372" t="s">
        <v>133</v>
      </c>
      <c r="V21" s="373">
        <f aca="true" t="shared" si="7" ref="V21:V40">IF(F21="","",IF(H21="500/220",0,IF(U21="SI",SUM(Q21:T21),2*SUM(Q21:T21))))</f>
        <v>190.61502</v>
      </c>
      <c r="W21" s="133"/>
    </row>
    <row r="22" spans="2:23" ht="16.5" customHeight="1">
      <c r="B22" s="345"/>
      <c r="C22" s="211">
        <v>15</v>
      </c>
      <c r="D22" s="442">
        <v>274865</v>
      </c>
      <c r="E22" s="442">
        <v>250</v>
      </c>
      <c r="F22" s="190" t="s">
        <v>147</v>
      </c>
      <c r="G22" s="179" t="s">
        <v>149</v>
      </c>
      <c r="H22" s="179">
        <v>13.199999809265137</v>
      </c>
      <c r="I22" s="366">
        <f aca="true" t="shared" si="8" ref="I22:I40">IF(OR(H22=132,H22=66),$G$14,IF(H22=33,$G$15,$G$16))</f>
        <v>13.873</v>
      </c>
      <c r="J22" s="212">
        <v>41767.549305555556</v>
      </c>
      <c r="K22" s="212">
        <v>41767.81041666667</v>
      </c>
      <c r="L22" s="213">
        <f t="shared" si="0"/>
        <v>6.266666666662786</v>
      </c>
      <c r="M22" s="214">
        <f t="shared" si="1"/>
        <v>376</v>
      </c>
      <c r="N22" s="215" t="s">
        <v>136</v>
      </c>
      <c r="O22" s="216" t="str">
        <f aca="true" t="shared" si="9" ref="O22:O40">IF(N22="","",IF(OR(N22="P",N22="RP"),"--","NO"))</f>
        <v>--</v>
      </c>
      <c r="P22" s="367">
        <f t="shared" si="2"/>
        <v>20</v>
      </c>
      <c r="Q22" s="368">
        <f t="shared" si="3"/>
        <v>173.96741999999998</v>
      </c>
      <c r="R22" s="369" t="str">
        <f t="shared" si="4"/>
        <v>--</v>
      </c>
      <c r="S22" s="370" t="str">
        <f t="shared" si="5"/>
        <v>--</v>
      </c>
      <c r="T22" s="371" t="str">
        <f t="shared" si="6"/>
        <v>--</v>
      </c>
      <c r="U22" s="372" t="s">
        <v>133</v>
      </c>
      <c r="V22" s="373">
        <f t="shared" si="7"/>
        <v>173.96741999999998</v>
      </c>
      <c r="W22" s="133"/>
    </row>
    <row r="23" spans="2:23" ht="16.5" customHeight="1">
      <c r="B23" s="345"/>
      <c r="C23" s="211">
        <v>16</v>
      </c>
      <c r="D23" s="442">
        <v>274864</v>
      </c>
      <c r="E23" s="442">
        <v>4578</v>
      </c>
      <c r="F23" s="190" t="s">
        <v>147</v>
      </c>
      <c r="G23" s="179" t="s">
        <v>150</v>
      </c>
      <c r="H23" s="179">
        <v>13.199999809265137</v>
      </c>
      <c r="I23" s="366">
        <f t="shared" si="8"/>
        <v>13.873</v>
      </c>
      <c r="J23" s="212">
        <v>41767.55347222222</v>
      </c>
      <c r="K23" s="212">
        <v>41767.81041666667</v>
      </c>
      <c r="L23" s="213">
        <f t="shared" si="0"/>
        <v>6.166666666686069</v>
      </c>
      <c r="M23" s="214">
        <f t="shared" si="1"/>
        <v>370</v>
      </c>
      <c r="N23" s="215" t="s">
        <v>136</v>
      </c>
      <c r="O23" s="216" t="str">
        <f t="shared" si="9"/>
        <v>--</v>
      </c>
      <c r="P23" s="367">
        <f t="shared" si="2"/>
        <v>20</v>
      </c>
      <c r="Q23" s="368">
        <f t="shared" si="3"/>
        <v>171.19281999999998</v>
      </c>
      <c r="R23" s="369" t="str">
        <f t="shared" si="4"/>
        <v>--</v>
      </c>
      <c r="S23" s="370" t="str">
        <f t="shared" si="5"/>
        <v>--</v>
      </c>
      <c r="T23" s="371" t="str">
        <f t="shared" si="6"/>
        <v>--</v>
      </c>
      <c r="U23" s="372" t="s">
        <v>133</v>
      </c>
      <c r="V23" s="373">
        <f t="shared" si="7"/>
        <v>171.19281999999998</v>
      </c>
      <c r="W23" s="133"/>
    </row>
    <row r="24" spans="2:23" ht="16.5" customHeight="1">
      <c r="B24" s="339"/>
      <c r="C24" s="211">
        <v>17</v>
      </c>
      <c r="D24" s="442">
        <v>274866</v>
      </c>
      <c r="E24" s="442">
        <v>248</v>
      </c>
      <c r="F24" s="190" t="s">
        <v>147</v>
      </c>
      <c r="G24" s="179" t="s">
        <v>151</v>
      </c>
      <c r="H24" s="179">
        <v>13.199999809265137</v>
      </c>
      <c r="I24" s="366">
        <f t="shared" si="8"/>
        <v>13.873</v>
      </c>
      <c r="J24" s="212">
        <v>41767.555555555555</v>
      </c>
      <c r="K24" s="212">
        <v>41767.81041666667</v>
      </c>
      <c r="L24" s="213">
        <f t="shared" si="0"/>
        <v>6.116666666697711</v>
      </c>
      <c r="M24" s="214">
        <f t="shared" si="1"/>
        <v>367</v>
      </c>
      <c r="N24" s="215" t="s">
        <v>136</v>
      </c>
      <c r="O24" s="216" t="str">
        <f t="shared" si="9"/>
        <v>--</v>
      </c>
      <c r="P24" s="367">
        <f t="shared" si="2"/>
        <v>20</v>
      </c>
      <c r="Q24" s="368">
        <f t="shared" si="3"/>
        <v>169.80552</v>
      </c>
      <c r="R24" s="369" t="str">
        <f t="shared" si="4"/>
        <v>--</v>
      </c>
      <c r="S24" s="370" t="str">
        <f t="shared" si="5"/>
        <v>--</v>
      </c>
      <c r="T24" s="371" t="str">
        <f t="shared" si="6"/>
        <v>--</v>
      </c>
      <c r="U24" s="372" t="s">
        <v>133</v>
      </c>
      <c r="V24" s="373">
        <f t="shared" si="7"/>
        <v>169.80552</v>
      </c>
      <c r="W24" s="133"/>
    </row>
    <row r="25" spans="2:23" ht="16.5" customHeight="1">
      <c r="B25" s="345"/>
      <c r="C25" s="211">
        <v>18</v>
      </c>
      <c r="D25" s="442">
        <v>274868</v>
      </c>
      <c r="E25" s="442">
        <v>249</v>
      </c>
      <c r="F25" s="190" t="s">
        <v>147</v>
      </c>
      <c r="G25" s="179" t="s">
        <v>152</v>
      </c>
      <c r="H25" s="179">
        <v>13.199999809265137</v>
      </c>
      <c r="I25" s="366">
        <f t="shared" si="8"/>
        <v>13.873</v>
      </c>
      <c r="J25" s="212">
        <v>41767.561111111114</v>
      </c>
      <c r="K25" s="212">
        <v>41767.81041666667</v>
      </c>
      <c r="L25" s="213">
        <f t="shared" si="0"/>
        <v>5.983333333279006</v>
      </c>
      <c r="M25" s="214">
        <f t="shared" si="1"/>
        <v>359</v>
      </c>
      <c r="N25" s="215" t="s">
        <v>136</v>
      </c>
      <c r="O25" s="216" t="str">
        <f t="shared" si="9"/>
        <v>--</v>
      </c>
      <c r="P25" s="367">
        <f t="shared" si="2"/>
        <v>20</v>
      </c>
      <c r="Q25" s="368">
        <f t="shared" si="3"/>
        <v>165.92108000000002</v>
      </c>
      <c r="R25" s="369" t="str">
        <f t="shared" si="4"/>
        <v>--</v>
      </c>
      <c r="S25" s="370" t="str">
        <f t="shared" si="5"/>
        <v>--</v>
      </c>
      <c r="T25" s="371" t="str">
        <f t="shared" si="6"/>
        <v>--</v>
      </c>
      <c r="U25" s="372" t="s">
        <v>133</v>
      </c>
      <c r="V25" s="373">
        <f t="shared" si="7"/>
        <v>165.92108000000002</v>
      </c>
      <c r="W25" s="133"/>
    </row>
    <row r="26" spans="2:23" ht="16.5" customHeight="1">
      <c r="B26" s="345"/>
      <c r="C26" s="211">
        <v>19</v>
      </c>
      <c r="D26" s="442">
        <v>274867</v>
      </c>
      <c r="E26" s="442">
        <v>252</v>
      </c>
      <c r="F26" s="190" t="s">
        <v>147</v>
      </c>
      <c r="G26" s="179" t="s">
        <v>153</v>
      </c>
      <c r="H26" s="179">
        <v>13.199999809265137</v>
      </c>
      <c r="I26" s="366">
        <f t="shared" si="8"/>
        <v>13.873</v>
      </c>
      <c r="J26" s="212">
        <v>41767.5625</v>
      </c>
      <c r="K26" s="212">
        <v>41767.81041666667</v>
      </c>
      <c r="L26" s="213">
        <f t="shared" si="0"/>
        <v>5.9500000000116415</v>
      </c>
      <c r="M26" s="214">
        <f t="shared" si="1"/>
        <v>357</v>
      </c>
      <c r="N26" s="215" t="s">
        <v>136</v>
      </c>
      <c r="O26" s="216" t="str">
        <f t="shared" si="9"/>
        <v>--</v>
      </c>
      <c r="P26" s="367">
        <f t="shared" si="2"/>
        <v>20</v>
      </c>
      <c r="Q26" s="368">
        <f t="shared" si="3"/>
        <v>165.0887</v>
      </c>
      <c r="R26" s="369" t="str">
        <f t="shared" si="4"/>
        <v>--</v>
      </c>
      <c r="S26" s="370" t="str">
        <f t="shared" si="5"/>
        <v>--</v>
      </c>
      <c r="T26" s="371" t="str">
        <f t="shared" si="6"/>
        <v>--</v>
      </c>
      <c r="U26" s="372" t="s">
        <v>133</v>
      </c>
      <c r="V26" s="373">
        <f t="shared" si="7"/>
        <v>165.0887</v>
      </c>
      <c r="W26" s="133"/>
    </row>
    <row r="27" spans="2:23" ht="16.5" customHeight="1">
      <c r="B27" s="345"/>
      <c r="C27" s="211">
        <v>20</v>
      </c>
      <c r="D27" s="442">
        <v>274869</v>
      </c>
      <c r="E27" s="442">
        <v>257</v>
      </c>
      <c r="F27" s="190" t="s">
        <v>147</v>
      </c>
      <c r="G27" s="179" t="s">
        <v>172</v>
      </c>
      <c r="H27" s="179">
        <v>13.199999809265137</v>
      </c>
      <c r="I27" s="366">
        <f t="shared" si="8"/>
        <v>13.873</v>
      </c>
      <c r="J27" s="212">
        <v>41767.56458333333</v>
      </c>
      <c r="K27" s="212">
        <v>41767.81527777778</v>
      </c>
      <c r="L27" s="213">
        <f t="shared" si="0"/>
        <v>6.016666666720994</v>
      </c>
      <c r="M27" s="214">
        <f t="shared" si="1"/>
        <v>361</v>
      </c>
      <c r="N27" s="215" t="s">
        <v>136</v>
      </c>
      <c r="O27" s="216" t="str">
        <f t="shared" si="9"/>
        <v>--</v>
      </c>
      <c r="P27" s="367">
        <f t="shared" si="2"/>
        <v>20</v>
      </c>
      <c r="Q27" s="368">
        <f t="shared" si="3"/>
        <v>167.03091999999998</v>
      </c>
      <c r="R27" s="369" t="str">
        <f t="shared" si="4"/>
        <v>--</v>
      </c>
      <c r="S27" s="370" t="str">
        <f t="shared" si="5"/>
        <v>--</v>
      </c>
      <c r="T27" s="371" t="str">
        <f t="shared" si="6"/>
        <v>--</v>
      </c>
      <c r="U27" s="372" t="s">
        <v>133</v>
      </c>
      <c r="V27" s="373">
        <f t="shared" si="7"/>
        <v>167.03091999999998</v>
      </c>
      <c r="W27" s="133"/>
    </row>
    <row r="28" spans="2:23" ht="16.5" customHeight="1">
      <c r="B28" s="345"/>
      <c r="C28" s="211">
        <v>21</v>
      </c>
      <c r="D28" s="442">
        <v>275120</v>
      </c>
      <c r="E28" s="442">
        <v>197</v>
      </c>
      <c r="F28" s="190" t="s">
        <v>141</v>
      </c>
      <c r="G28" s="179" t="s">
        <v>154</v>
      </c>
      <c r="H28" s="179">
        <v>13.199999809265137</v>
      </c>
      <c r="I28" s="366">
        <f t="shared" si="8"/>
        <v>13.873</v>
      </c>
      <c r="J28" s="212">
        <v>41771.410416666666</v>
      </c>
      <c r="K28" s="212">
        <v>41771.459027777775</v>
      </c>
      <c r="L28" s="213">
        <f t="shared" si="0"/>
        <v>1.1666666666278616</v>
      </c>
      <c r="M28" s="214">
        <f t="shared" si="1"/>
        <v>70</v>
      </c>
      <c r="N28" s="215" t="s">
        <v>136</v>
      </c>
      <c r="O28" s="216" t="str">
        <f t="shared" si="9"/>
        <v>--</v>
      </c>
      <c r="P28" s="367">
        <f t="shared" si="2"/>
        <v>20</v>
      </c>
      <c r="Q28" s="368">
        <f t="shared" si="3"/>
        <v>32.462819999999994</v>
      </c>
      <c r="R28" s="369" t="str">
        <f t="shared" si="4"/>
        <v>--</v>
      </c>
      <c r="S28" s="370" t="str">
        <f t="shared" si="5"/>
        <v>--</v>
      </c>
      <c r="T28" s="371" t="str">
        <f t="shared" si="6"/>
        <v>--</v>
      </c>
      <c r="U28" s="372" t="s">
        <v>133</v>
      </c>
      <c r="V28" s="373">
        <f t="shared" si="7"/>
        <v>32.462819999999994</v>
      </c>
      <c r="W28" s="133"/>
    </row>
    <row r="29" spans="2:23" ht="16.5" customHeight="1">
      <c r="B29" s="345"/>
      <c r="C29" s="211">
        <v>22</v>
      </c>
      <c r="D29" s="442">
        <v>275121</v>
      </c>
      <c r="E29" s="442">
        <v>198</v>
      </c>
      <c r="F29" s="190" t="s">
        <v>141</v>
      </c>
      <c r="G29" s="179" t="s">
        <v>155</v>
      </c>
      <c r="H29" s="217">
        <v>13.199999809265137</v>
      </c>
      <c r="I29" s="366">
        <f t="shared" si="8"/>
        <v>13.873</v>
      </c>
      <c r="J29" s="212">
        <v>41771.46111111111</v>
      </c>
      <c r="K29" s="212">
        <v>41771.47361111111</v>
      </c>
      <c r="L29" s="213">
        <f t="shared" si="0"/>
        <v>0.3000000001047738</v>
      </c>
      <c r="M29" s="214">
        <f t="shared" si="1"/>
        <v>18</v>
      </c>
      <c r="N29" s="215" t="s">
        <v>136</v>
      </c>
      <c r="O29" s="216" t="str">
        <f t="shared" si="9"/>
        <v>--</v>
      </c>
      <c r="P29" s="367">
        <f t="shared" si="2"/>
        <v>20</v>
      </c>
      <c r="Q29" s="368">
        <f t="shared" si="3"/>
        <v>8.323799999999999</v>
      </c>
      <c r="R29" s="369" t="str">
        <f t="shared" si="4"/>
        <v>--</v>
      </c>
      <c r="S29" s="370" t="str">
        <f t="shared" si="5"/>
        <v>--</v>
      </c>
      <c r="T29" s="371" t="str">
        <f t="shared" si="6"/>
        <v>--</v>
      </c>
      <c r="U29" s="372" t="s">
        <v>133</v>
      </c>
      <c r="V29" s="373">
        <f t="shared" si="7"/>
        <v>8.323799999999999</v>
      </c>
      <c r="W29" s="133"/>
    </row>
    <row r="30" spans="2:23" ht="16.5" customHeight="1">
      <c r="B30" s="345"/>
      <c r="C30" s="211">
        <v>23</v>
      </c>
      <c r="D30" s="442">
        <v>275122</v>
      </c>
      <c r="E30" s="442">
        <v>246</v>
      </c>
      <c r="F30" s="190" t="s">
        <v>147</v>
      </c>
      <c r="G30" s="179" t="s">
        <v>156</v>
      </c>
      <c r="H30" s="217">
        <v>33</v>
      </c>
      <c r="I30" s="366">
        <f t="shared" si="8"/>
        <v>13.873</v>
      </c>
      <c r="J30" s="212">
        <v>41771.55625</v>
      </c>
      <c r="K30" s="212">
        <v>41771.72430555556</v>
      </c>
      <c r="L30" s="213">
        <f t="shared" si="0"/>
        <v>4.03333333338378</v>
      </c>
      <c r="M30" s="214">
        <f t="shared" si="1"/>
        <v>242</v>
      </c>
      <c r="N30" s="215" t="s">
        <v>136</v>
      </c>
      <c r="O30" s="216" t="str">
        <f t="shared" si="9"/>
        <v>--</v>
      </c>
      <c r="P30" s="367">
        <f t="shared" si="2"/>
        <v>25</v>
      </c>
      <c r="Q30" s="368">
        <f t="shared" si="3"/>
        <v>139.770475</v>
      </c>
      <c r="R30" s="369" t="str">
        <f t="shared" si="4"/>
        <v>--</v>
      </c>
      <c r="S30" s="370" t="str">
        <f t="shared" si="5"/>
        <v>--</v>
      </c>
      <c r="T30" s="371" t="str">
        <f t="shared" si="6"/>
        <v>--</v>
      </c>
      <c r="U30" s="372" t="s">
        <v>133</v>
      </c>
      <c r="V30" s="373">
        <f t="shared" si="7"/>
        <v>139.770475</v>
      </c>
      <c r="W30" s="133"/>
    </row>
    <row r="31" spans="2:23" ht="16.5" customHeight="1">
      <c r="B31" s="345"/>
      <c r="C31" s="211">
        <v>24</v>
      </c>
      <c r="D31" s="442">
        <v>275123</v>
      </c>
      <c r="E31" s="442">
        <v>4255</v>
      </c>
      <c r="F31" s="190" t="s">
        <v>141</v>
      </c>
      <c r="G31" s="179" t="s">
        <v>157</v>
      </c>
      <c r="H31" s="217">
        <v>13.199999809265137</v>
      </c>
      <c r="I31" s="366">
        <f t="shared" si="8"/>
        <v>13.873</v>
      </c>
      <c r="J31" s="212">
        <v>41772.37777777778</v>
      </c>
      <c r="K31" s="212">
        <v>41772.44305555556</v>
      </c>
      <c r="L31" s="213">
        <f t="shared" si="0"/>
        <v>1.5666666667093523</v>
      </c>
      <c r="M31" s="214">
        <f t="shared" si="1"/>
        <v>94</v>
      </c>
      <c r="N31" s="215" t="s">
        <v>136</v>
      </c>
      <c r="O31" s="216" t="str">
        <f t="shared" si="9"/>
        <v>--</v>
      </c>
      <c r="P31" s="367">
        <f t="shared" si="2"/>
        <v>20</v>
      </c>
      <c r="Q31" s="368">
        <f t="shared" si="3"/>
        <v>43.56122</v>
      </c>
      <c r="R31" s="369" t="str">
        <f t="shared" si="4"/>
        <v>--</v>
      </c>
      <c r="S31" s="370" t="str">
        <f t="shared" si="5"/>
        <v>--</v>
      </c>
      <c r="T31" s="371" t="str">
        <f t="shared" si="6"/>
        <v>--</v>
      </c>
      <c r="U31" s="372" t="s">
        <v>133</v>
      </c>
      <c r="V31" s="373">
        <f t="shared" si="7"/>
        <v>43.56122</v>
      </c>
      <c r="W31" s="133"/>
    </row>
    <row r="32" spans="2:23" ht="16.5" customHeight="1">
      <c r="B32" s="345"/>
      <c r="C32" s="211">
        <v>25</v>
      </c>
      <c r="D32" s="442">
        <v>275465</v>
      </c>
      <c r="E32" s="442">
        <v>232</v>
      </c>
      <c r="F32" s="190" t="s">
        <v>158</v>
      </c>
      <c r="G32" s="179" t="s">
        <v>159</v>
      </c>
      <c r="H32" s="217">
        <v>132</v>
      </c>
      <c r="I32" s="366">
        <f t="shared" si="8"/>
        <v>18.498</v>
      </c>
      <c r="J32" s="212">
        <v>41786.63402777778</v>
      </c>
      <c r="K32" s="212">
        <v>41786.67916666667</v>
      </c>
      <c r="L32" s="213">
        <f t="shared" si="0"/>
        <v>1.0833333333721384</v>
      </c>
      <c r="M32" s="214">
        <f t="shared" si="1"/>
        <v>65</v>
      </c>
      <c r="N32" s="215" t="s">
        <v>132</v>
      </c>
      <c r="O32" s="216" t="s">
        <v>133</v>
      </c>
      <c r="P32" s="367">
        <f t="shared" si="2"/>
        <v>50</v>
      </c>
      <c r="Q32" s="368" t="str">
        <f t="shared" si="3"/>
        <v>--</v>
      </c>
      <c r="R32" s="369" t="str">
        <f t="shared" si="4"/>
        <v>--</v>
      </c>
      <c r="S32" s="370">
        <f t="shared" si="5"/>
        <v>998.8920000000002</v>
      </c>
      <c r="T32" s="371" t="str">
        <f t="shared" si="6"/>
        <v>--</v>
      </c>
      <c r="U32" s="372" t="s">
        <v>133</v>
      </c>
      <c r="V32" s="373">
        <f t="shared" si="7"/>
        <v>998.8920000000002</v>
      </c>
      <c r="W32" s="133"/>
    </row>
    <row r="33" spans="2:23" ht="16.5" customHeight="1">
      <c r="B33" s="345"/>
      <c r="C33" s="211">
        <v>26</v>
      </c>
      <c r="D33" s="442">
        <v>275477</v>
      </c>
      <c r="E33" s="442">
        <v>4623</v>
      </c>
      <c r="F33" s="190" t="s">
        <v>160</v>
      </c>
      <c r="G33" s="179" t="s">
        <v>161</v>
      </c>
      <c r="H33" s="217">
        <v>33</v>
      </c>
      <c r="I33" s="366">
        <f t="shared" si="8"/>
        <v>13.873</v>
      </c>
      <c r="J33" s="212">
        <v>41790.13958333333</v>
      </c>
      <c r="K33" s="212">
        <v>41790.177083333336</v>
      </c>
      <c r="L33" s="213">
        <f t="shared" si="0"/>
        <v>0.9000000001396984</v>
      </c>
      <c r="M33" s="214">
        <f t="shared" si="1"/>
        <v>54</v>
      </c>
      <c r="N33" s="215" t="s">
        <v>132</v>
      </c>
      <c r="O33" s="216" t="str">
        <f t="shared" si="9"/>
        <v>NO</v>
      </c>
      <c r="P33" s="367">
        <f t="shared" si="2"/>
        <v>25</v>
      </c>
      <c r="Q33" s="368" t="str">
        <f t="shared" si="3"/>
        <v>--</v>
      </c>
      <c r="R33" s="369">
        <f t="shared" si="4"/>
        <v>346.825</v>
      </c>
      <c r="S33" s="370">
        <f t="shared" si="5"/>
        <v>312.1425</v>
      </c>
      <c r="T33" s="371" t="str">
        <f t="shared" si="6"/>
        <v>--</v>
      </c>
      <c r="U33" s="372" t="s">
        <v>133</v>
      </c>
      <c r="V33" s="373">
        <f t="shared" si="7"/>
        <v>658.9675</v>
      </c>
      <c r="W33" s="133"/>
    </row>
    <row r="34" spans="2:23" ht="16.5" customHeight="1">
      <c r="B34" s="345"/>
      <c r="C34" s="211">
        <v>27</v>
      </c>
      <c r="D34" s="442">
        <v>275468</v>
      </c>
      <c r="E34" s="442">
        <v>243</v>
      </c>
      <c r="F34" s="190" t="s">
        <v>147</v>
      </c>
      <c r="G34" s="179" t="s">
        <v>162</v>
      </c>
      <c r="H34" s="217">
        <v>33</v>
      </c>
      <c r="I34" s="366">
        <f t="shared" si="8"/>
        <v>13.873</v>
      </c>
      <c r="J34" s="212">
        <v>41790.15972222222</v>
      </c>
      <c r="K34" s="212">
        <v>41790.17361111111</v>
      </c>
      <c r="L34" s="213">
        <f t="shared" si="0"/>
        <v>0.33333333337213844</v>
      </c>
      <c r="M34" s="214">
        <f t="shared" si="1"/>
        <v>20</v>
      </c>
      <c r="N34" s="215" t="s">
        <v>132</v>
      </c>
      <c r="O34" s="216" t="str">
        <f t="shared" si="9"/>
        <v>NO</v>
      </c>
      <c r="P34" s="367">
        <f t="shared" si="2"/>
        <v>25</v>
      </c>
      <c r="Q34" s="368" t="str">
        <f t="shared" si="3"/>
        <v>--</v>
      </c>
      <c r="R34" s="369">
        <f t="shared" si="4"/>
        <v>346.825</v>
      </c>
      <c r="S34" s="370">
        <f t="shared" si="5"/>
        <v>114.45225</v>
      </c>
      <c r="T34" s="371" t="str">
        <f t="shared" si="6"/>
        <v>--</v>
      </c>
      <c r="U34" s="372" t="s">
        <v>133</v>
      </c>
      <c r="V34" s="373">
        <f t="shared" si="7"/>
        <v>461.27725</v>
      </c>
      <c r="W34" s="133"/>
    </row>
    <row r="35" spans="2:23" ht="16.5" customHeight="1">
      <c r="B35" s="345"/>
      <c r="C35" s="211">
        <v>28</v>
      </c>
      <c r="D35" s="442">
        <v>275469</v>
      </c>
      <c r="E35" s="442">
        <v>244</v>
      </c>
      <c r="F35" s="190" t="s">
        <v>147</v>
      </c>
      <c r="G35" s="179" t="s">
        <v>163</v>
      </c>
      <c r="H35" s="217">
        <v>33</v>
      </c>
      <c r="I35" s="366">
        <f t="shared" si="8"/>
        <v>13.873</v>
      </c>
      <c r="J35" s="212">
        <v>41790.15972222222</v>
      </c>
      <c r="K35" s="212">
        <v>41790.18402777778</v>
      </c>
      <c r="L35" s="213">
        <f t="shared" si="0"/>
        <v>0.5833333334885538</v>
      </c>
      <c r="M35" s="214">
        <f t="shared" si="1"/>
        <v>35</v>
      </c>
      <c r="N35" s="215" t="s">
        <v>132</v>
      </c>
      <c r="O35" s="216" t="str">
        <f t="shared" si="9"/>
        <v>NO</v>
      </c>
      <c r="P35" s="367">
        <f t="shared" si="2"/>
        <v>25</v>
      </c>
      <c r="Q35" s="368" t="str">
        <f t="shared" si="3"/>
        <v>--</v>
      </c>
      <c r="R35" s="369">
        <f t="shared" si="4"/>
        <v>346.825</v>
      </c>
      <c r="S35" s="370">
        <f t="shared" si="5"/>
        <v>201.15849999999998</v>
      </c>
      <c r="T35" s="371" t="str">
        <f t="shared" si="6"/>
        <v>--</v>
      </c>
      <c r="U35" s="372" t="s">
        <v>133</v>
      </c>
      <c r="V35" s="373">
        <f t="shared" si="7"/>
        <v>547.9834999999999</v>
      </c>
      <c r="W35" s="133"/>
    </row>
    <row r="36" spans="2:23" ht="16.5" customHeight="1">
      <c r="B36" s="345"/>
      <c r="C36" s="211">
        <v>29</v>
      </c>
      <c r="D36" s="442">
        <v>275470</v>
      </c>
      <c r="E36" s="442">
        <v>245</v>
      </c>
      <c r="F36" s="190" t="s">
        <v>147</v>
      </c>
      <c r="G36" s="179" t="s">
        <v>164</v>
      </c>
      <c r="H36" s="217">
        <v>33</v>
      </c>
      <c r="I36" s="366">
        <f t="shared" si="8"/>
        <v>13.873</v>
      </c>
      <c r="J36" s="212">
        <v>41790.15972222222</v>
      </c>
      <c r="K36" s="212">
        <v>41790.16111111111</v>
      </c>
      <c r="L36" s="213">
        <f t="shared" si="0"/>
        <v>0.033333333441987634</v>
      </c>
      <c r="M36" s="214">
        <f t="shared" si="1"/>
        <v>2</v>
      </c>
      <c r="N36" s="215" t="s">
        <v>132</v>
      </c>
      <c r="O36" s="216" t="str">
        <f t="shared" si="9"/>
        <v>NO</v>
      </c>
      <c r="P36" s="367">
        <f t="shared" si="2"/>
        <v>25</v>
      </c>
      <c r="Q36" s="368" t="str">
        <f t="shared" si="3"/>
        <v>--</v>
      </c>
      <c r="R36" s="369">
        <f t="shared" si="4"/>
        <v>346.825</v>
      </c>
      <c r="S36" s="370">
        <f t="shared" si="5"/>
        <v>10.40475</v>
      </c>
      <c r="T36" s="371" t="str">
        <f t="shared" si="6"/>
        <v>--</v>
      </c>
      <c r="U36" s="372" t="s">
        <v>133</v>
      </c>
      <c r="V36" s="373">
        <f t="shared" si="7"/>
        <v>357.22974999999997</v>
      </c>
      <c r="W36" s="133"/>
    </row>
    <row r="37" spans="2:23" ht="16.5" customHeight="1">
      <c r="B37" s="345"/>
      <c r="C37" s="211">
        <v>30</v>
      </c>
      <c r="D37" s="442">
        <v>275471</v>
      </c>
      <c r="E37" s="442">
        <v>246</v>
      </c>
      <c r="F37" s="190" t="s">
        <v>147</v>
      </c>
      <c r="G37" s="179" t="s">
        <v>156</v>
      </c>
      <c r="H37" s="217">
        <v>33</v>
      </c>
      <c r="I37" s="366">
        <f t="shared" si="8"/>
        <v>13.873</v>
      </c>
      <c r="J37" s="212">
        <v>41790.15972222222</v>
      </c>
      <c r="K37" s="212">
        <v>41790.166666666664</v>
      </c>
      <c r="L37" s="213">
        <f t="shared" si="0"/>
        <v>0.16666666668606922</v>
      </c>
      <c r="M37" s="214">
        <f t="shared" si="1"/>
        <v>10</v>
      </c>
      <c r="N37" s="215" t="s">
        <v>132</v>
      </c>
      <c r="O37" s="216" t="str">
        <f t="shared" si="9"/>
        <v>NO</v>
      </c>
      <c r="P37" s="367">
        <f t="shared" si="2"/>
        <v>25</v>
      </c>
      <c r="Q37" s="368" t="str">
        <f t="shared" si="3"/>
        <v>--</v>
      </c>
      <c r="R37" s="369">
        <f t="shared" si="4"/>
        <v>346.825</v>
      </c>
      <c r="S37" s="370">
        <f t="shared" si="5"/>
        <v>58.96025</v>
      </c>
      <c r="T37" s="371" t="str">
        <f t="shared" si="6"/>
        <v>--</v>
      </c>
      <c r="U37" s="372" t="s">
        <v>133</v>
      </c>
      <c r="V37" s="373">
        <f t="shared" si="7"/>
        <v>405.78525</v>
      </c>
      <c r="W37" s="133"/>
    </row>
    <row r="38" spans="2:23" ht="16.5" customHeight="1">
      <c r="B38" s="345"/>
      <c r="C38" s="211">
        <v>31</v>
      </c>
      <c r="D38" s="442">
        <v>275472</v>
      </c>
      <c r="E38" s="442">
        <v>247</v>
      </c>
      <c r="F38" s="190" t="s">
        <v>147</v>
      </c>
      <c r="G38" s="179" t="s">
        <v>165</v>
      </c>
      <c r="H38" s="217">
        <v>33</v>
      </c>
      <c r="I38" s="366">
        <f t="shared" si="8"/>
        <v>13.873</v>
      </c>
      <c r="J38" s="212">
        <v>41790.15972222222</v>
      </c>
      <c r="K38" s="212">
        <v>41790.175</v>
      </c>
      <c r="L38" s="213">
        <f t="shared" si="0"/>
        <v>0.3666666668141261</v>
      </c>
      <c r="M38" s="214">
        <f t="shared" si="1"/>
        <v>22</v>
      </c>
      <c r="N38" s="215" t="s">
        <v>132</v>
      </c>
      <c r="O38" s="216" t="str">
        <f t="shared" si="9"/>
        <v>NO</v>
      </c>
      <c r="P38" s="367">
        <f t="shared" si="2"/>
        <v>25</v>
      </c>
      <c r="Q38" s="368" t="str">
        <f t="shared" si="3"/>
        <v>--</v>
      </c>
      <c r="R38" s="369">
        <f t="shared" si="4"/>
        <v>346.825</v>
      </c>
      <c r="S38" s="370">
        <f t="shared" si="5"/>
        <v>128.32524999999998</v>
      </c>
      <c r="T38" s="371" t="str">
        <f t="shared" si="6"/>
        <v>--</v>
      </c>
      <c r="U38" s="372" t="s">
        <v>133</v>
      </c>
      <c r="V38" s="373">
        <f t="shared" si="7"/>
        <v>475.15024999999997</v>
      </c>
      <c r="W38" s="133"/>
    </row>
    <row r="39" spans="2:23" ht="16.5" customHeight="1">
      <c r="B39" s="345"/>
      <c r="C39" s="211"/>
      <c r="D39" s="442"/>
      <c r="E39" s="442"/>
      <c r="F39" s="190"/>
      <c r="G39" s="179"/>
      <c r="H39" s="217"/>
      <c r="I39" s="366">
        <f t="shared" si="8"/>
        <v>13.873</v>
      </c>
      <c r="J39" s="212"/>
      <c r="K39" s="212"/>
      <c r="L39" s="213">
        <f t="shared" si="0"/>
      </c>
      <c r="M39" s="214">
        <f t="shared" si="1"/>
      </c>
      <c r="N39" s="215"/>
      <c r="O39" s="216">
        <f t="shared" si="9"/>
      </c>
      <c r="P39" s="367">
        <f t="shared" si="2"/>
        <v>20</v>
      </c>
      <c r="Q39" s="368" t="str">
        <f t="shared" si="3"/>
        <v>--</v>
      </c>
      <c r="R39" s="369" t="str">
        <f t="shared" si="4"/>
        <v>--</v>
      </c>
      <c r="S39" s="370" t="str">
        <f t="shared" si="5"/>
        <v>--</v>
      </c>
      <c r="T39" s="371" t="str">
        <f t="shared" si="6"/>
        <v>--</v>
      </c>
      <c r="U39" s="372">
        <f>IF(F39="","","SI")</f>
      </c>
      <c r="V39" s="373">
        <f t="shared" si="7"/>
      </c>
      <c r="W39" s="133"/>
    </row>
    <row r="40" spans="2:23" ht="16.5" customHeight="1">
      <c r="B40" s="345"/>
      <c r="C40" s="211"/>
      <c r="D40" s="442"/>
      <c r="E40" s="442"/>
      <c r="F40" s="190"/>
      <c r="G40" s="179"/>
      <c r="H40" s="217"/>
      <c r="I40" s="366">
        <f t="shared" si="8"/>
        <v>13.873</v>
      </c>
      <c r="J40" s="212"/>
      <c r="K40" s="212"/>
      <c r="L40" s="213">
        <f t="shared" si="0"/>
      </c>
      <c r="M40" s="214">
        <f t="shared" si="1"/>
      </c>
      <c r="N40" s="215"/>
      <c r="O40" s="216">
        <f t="shared" si="9"/>
      </c>
      <c r="P40" s="367">
        <f t="shared" si="2"/>
        <v>20</v>
      </c>
      <c r="Q40" s="368" t="str">
        <f t="shared" si="3"/>
        <v>--</v>
      </c>
      <c r="R40" s="369" t="str">
        <f t="shared" si="4"/>
        <v>--</v>
      </c>
      <c r="S40" s="370" t="str">
        <f t="shared" si="5"/>
        <v>--</v>
      </c>
      <c r="T40" s="371" t="str">
        <f t="shared" si="6"/>
        <v>--</v>
      </c>
      <c r="U40" s="372">
        <f>IF(F40="","","SI")</f>
      </c>
      <c r="V40" s="373">
        <f t="shared" si="7"/>
      </c>
      <c r="W40" s="133"/>
    </row>
    <row r="41" spans="2:23" ht="16.5" customHeight="1" thickBot="1">
      <c r="B41" s="345"/>
      <c r="C41" s="218"/>
      <c r="D41" s="463"/>
      <c r="E41" s="218"/>
      <c r="F41" s="219"/>
      <c r="G41" s="220"/>
      <c r="H41" s="220"/>
      <c r="I41" s="374"/>
      <c r="J41" s="220"/>
      <c r="K41" s="221"/>
      <c r="L41" s="222"/>
      <c r="M41" s="222"/>
      <c r="N41" s="221"/>
      <c r="O41" s="223"/>
      <c r="P41" s="375"/>
      <c r="Q41" s="376"/>
      <c r="R41" s="377"/>
      <c r="S41" s="378"/>
      <c r="T41" s="379"/>
      <c r="U41" s="380"/>
      <c r="V41" s="381"/>
      <c r="W41" s="133"/>
    </row>
    <row r="42" spans="2:23" ht="16.5" customHeight="1" thickBot="1" thickTop="1">
      <c r="B42" s="294"/>
      <c r="C42" s="264" t="s">
        <v>69</v>
      </c>
      <c r="D42" s="465" t="s">
        <v>174</v>
      </c>
      <c r="E42" s="438"/>
      <c r="F42" s="144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382"/>
      <c r="R42" s="383"/>
      <c r="S42" s="383"/>
      <c r="T42" s="383"/>
      <c r="U42" s="384"/>
      <c r="V42" s="322">
        <f>ROUND(SUM(V19:V41),2)</f>
        <v>5333.03</v>
      </c>
      <c r="W42" s="385"/>
    </row>
    <row r="43" spans="2:23" s="152" customFormat="1" ht="9.75" thickTop="1">
      <c r="B43" s="323"/>
      <c r="C43" s="266"/>
      <c r="D43" s="266"/>
      <c r="E43" s="266"/>
      <c r="F43" s="15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86"/>
      <c r="R43" s="386"/>
      <c r="S43" s="386"/>
      <c r="T43" s="386"/>
      <c r="U43" s="386"/>
      <c r="V43" s="325"/>
      <c r="W43" s="155"/>
    </row>
    <row r="44" spans="2:23" ht="16.5" customHeight="1" thickBot="1">
      <c r="B44" s="326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158"/>
    </row>
    <row r="45" ht="13.5" thickTop="1"/>
    <row r="16381" ht="12.75">
      <c r="F16381" s="224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1:W16381"/>
  <sheetViews>
    <sheetView zoomScale="75" zoomScaleNormal="75" zoomScalePageLayoutView="0" workbookViewId="0" topLeftCell="A1">
      <selection activeCell="L28" sqref="L28"/>
    </sheetView>
  </sheetViews>
  <sheetFormatPr defaultColWidth="11.421875" defaultRowHeight="12.75"/>
  <cols>
    <col min="1" max="2" width="4.140625" style="76" customWidth="1"/>
    <col min="3" max="3" width="5.57421875" style="76" customWidth="1"/>
    <col min="4" max="5" width="13.7109375" style="76" customWidth="1"/>
    <col min="6" max="6" width="30.7109375" style="76" customWidth="1"/>
    <col min="7" max="7" width="35.7109375" style="76" customWidth="1"/>
    <col min="8" max="8" width="8.7109375" style="76" customWidth="1"/>
    <col min="9" max="9" width="14.421875" style="76" hidden="1" customWidth="1"/>
    <col min="10" max="10" width="16.7109375" style="76" customWidth="1"/>
    <col min="11" max="11" width="16.28125" style="76" customWidth="1"/>
    <col min="12" max="14" width="9.7109375" style="76" customWidth="1"/>
    <col min="15" max="15" width="6.00390625" style="76" customWidth="1"/>
    <col min="16" max="16" width="7.7109375" style="76" hidden="1" customWidth="1"/>
    <col min="17" max="17" width="12.28125" style="76" hidden="1" customWidth="1"/>
    <col min="18" max="18" width="13.8515625" style="76" hidden="1" customWidth="1"/>
    <col min="19" max="20" width="14.00390625" style="76" hidden="1" customWidth="1"/>
    <col min="21" max="21" width="9.7109375" style="76" customWidth="1"/>
    <col min="22" max="22" width="15.7109375" style="76" customWidth="1"/>
    <col min="23" max="23" width="4.140625" style="76" customWidth="1"/>
    <col min="24" max="24" width="11.57421875" style="76" customWidth="1"/>
    <col min="25" max="16384" width="11.421875" style="76" customWidth="1"/>
  </cols>
  <sheetData>
    <row r="1" spans="2:23" s="73" customFormat="1" ht="26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226"/>
    </row>
    <row r="2" spans="2:23" s="73" customFormat="1" ht="26.25">
      <c r="B2" s="227" t="str">
        <f>+'TOT-0514'!B2</f>
        <v>ANEXO II al Memorandum D.T.E.E. N°      328   / 2015</v>
      </c>
      <c r="C2" s="329"/>
      <c r="D2" s="329"/>
      <c r="E2" s="329"/>
      <c r="F2" s="329"/>
      <c r="G2" s="75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75"/>
    </row>
    <row r="3" spans="2:22" ht="12.7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2:22" s="78" customFormat="1" ht="11.25">
      <c r="B4" s="228"/>
      <c r="C4" s="330"/>
      <c r="D4" s="10" t="s">
        <v>2</v>
      </c>
      <c r="E4" s="330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</row>
    <row r="5" spans="2:22" s="78" customFormat="1" ht="11.25">
      <c r="B5" s="228"/>
      <c r="C5" s="330"/>
      <c r="D5" s="10" t="s">
        <v>3</v>
      </c>
      <c r="E5" s="330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</row>
    <row r="6" spans="2:22" ht="13.5" thickBo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</row>
    <row r="7" spans="2:23" ht="13.5" thickTop="1">
      <c r="B7" s="288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81"/>
    </row>
    <row r="8" spans="2:23" s="291" customFormat="1" ht="20.25">
      <c r="B8" s="292"/>
      <c r="C8" s="162"/>
      <c r="D8" s="162"/>
      <c r="E8" s="162"/>
      <c r="F8" s="84" t="s">
        <v>73</v>
      </c>
      <c r="N8" s="332"/>
      <c r="O8" s="332"/>
      <c r="P8" s="332"/>
      <c r="Q8" s="162"/>
      <c r="R8" s="162"/>
      <c r="S8" s="162"/>
      <c r="T8" s="162"/>
      <c r="U8" s="162"/>
      <c r="V8" s="162"/>
      <c r="W8" s="333"/>
    </row>
    <row r="9" spans="2:23" ht="12.75">
      <c r="B9" s="294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85"/>
    </row>
    <row r="10" spans="2:23" s="291" customFormat="1" ht="20.25">
      <c r="B10" s="292"/>
      <c r="C10" s="162"/>
      <c r="D10" s="162"/>
      <c r="E10" s="162"/>
      <c r="F10" s="86" t="s">
        <v>49</v>
      </c>
      <c r="G10" s="202"/>
      <c r="H10" s="332"/>
      <c r="I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333"/>
    </row>
    <row r="11" spans="2:23" ht="12.75">
      <c r="B11" s="294"/>
      <c r="C11" s="163"/>
      <c r="D11" s="163"/>
      <c r="E11" s="163"/>
      <c r="F11" s="77"/>
      <c r="G11" s="77"/>
      <c r="H11" s="77"/>
      <c r="I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85"/>
    </row>
    <row r="12" spans="2:23" s="88" customFormat="1" ht="19.5">
      <c r="B12" s="298" t="str">
        <f>+'TOT-0514'!B14</f>
        <v>Desde el 01 al 31 de mayo de 2014</v>
      </c>
      <c r="C12" s="299"/>
      <c r="D12" s="299"/>
      <c r="E12" s="299"/>
      <c r="F12" s="300"/>
      <c r="G12" s="300"/>
      <c r="H12" s="300"/>
      <c r="I12" s="334"/>
      <c r="J12" s="90"/>
      <c r="K12" s="334"/>
      <c r="L12" s="334"/>
      <c r="M12" s="334"/>
      <c r="N12" s="300"/>
      <c r="O12" s="300"/>
      <c r="P12" s="300"/>
      <c r="Q12" s="300"/>
      <c r="R12" s="300"/>
      <c r="S12" s="300"/>
      <c r="T12" s="300"/>
      <c r="U12" s="300"/>
      <c r="V12" s="300"/>
      <c r="W12" s="92"/>
    </row>
    <row r="13" spans="2:23" ht="16.5" thickBot="1">
      <c r="B13" s="294"/>
      <c r="C13" s="163"/>
      <c r="D13" s="163"/>
      <c r="E13" s="163"/>
      <c r="F13" s="163"/>
      <c r="G13" s="163"/>
      <c r="H13" s="205"/>
      <c r="I13" s="77"/>
      <c r="J13" s="302"/>
      <c r="K13" s="77"/>
      <c r="L13" s="77"/>
      <c r="M13" s="77"/>
      <c r="N13" s="163"/>
      <c r="O13" s="163"/>
      <c r="P13" s="163"/>
      <c r="Q13" s="163"/>
      <c r="R13" s="163"/>
      <c r="S13" s="163"/>
      <c r="T13" s="163"/>
      <c r="U13" s="163"/>
      <c r="V13" s="163"/>
      <c r="W13" s="85"/>
    </row>
    <row r="14" spans="2:23" ht="16.5" customHeight="1" thickBot="1" thickTop="1">
      <c r="B14" s="294"/>
      <c r="C14" s="303"/>
      <c r="D14" s="303"/>
      <c r="E14" s="303"/>
      <c r="F14" s="203" t="s">
        <v>50</v>
      </c>
      <c r="G14" s="204">
        <v>18.498</v>
      </c>
      <c r="H14" s="305">
        <f>50*'TOT-0514'!B13</f>
        <v>50</v>
      </c>
      <c r="I14" s="335"/>
      <c r="J14" s="100" t="str">
        <f>IF(H14=50," ",IF(H14=100,"  Coeficiente duplicado por tasa de falla &gt;4 Sal. x año/100 km.","REVISAR COEFICIENTE"))</f>
        <v> </v>
      </c>
      <c r="K14" s="335"/>
      <c r="L14" s="335"/>
      <c r="M14" s="335"/>
      <c r="N14" s="335"/>
      <c r="O14" s="335"/>
      <c r="P14" s="335"/>
      <c r="Q14" s="335"/>
      <c r="R14" s="335"/>
      <c r="S14" s="303"/>
      <c r="T14" s="303"/>
      <c r="U14" s="336"/>
      <c r="V14" s="303"/>
      <c r="W14" s="85"/>
    </row>
    <row r="15" spans="2:23" ht="16.5" customHeight="1" thickBot="1" thickTop="1">
      <c r="B15" s="294"/>
      <c r="C15" s="303"/>
      <c r="D15" s="303"/>
      <c r="E15" s="303"/>
      <c r="F15" s="203" t="s">
        <v>51</v>
      </c>
      <c r="G15" s="204">
        <v>13.873</v>
      </c>
      <c r="H15" s="305">
        <f>25*'TOT-0514'!B13</f>
        <v>25</v>
      </c>
      <c r="I15" s="335"/>
      <c r="J15" s="100" t="str">
        <f>IF(H15=25," ",IF(H15=50,"  Coeficiente duplicado por tasa de falla &gt;4 Sal. x año/100 km.","REVISAR COEFICIENTE"))</f>
        <v> </v>
      </c>
      <c r="K15" s="335"/>
      <c r="L15" s="335"/>
      <c r="M15" s="335"/>
      <c r="N15" s="335"/>
      <c r="O15" s="303"/>
      <c r="P15" s="303"/>
      <c r="Q15" s="337"/>
      <c r="R15" s="168"/>
      <c r="S15" s="303"/>
      <c r="T15" s="303"/>
      <c r="U15" s="336"/>
      <c r="V15" s="303"/>
      <c r="W15" s="85"/>
    </row>
    <row r="16" spans="2:23" ht="16.5" customHeight="1" thickBot="1" thickTop="1">
      <c r="B16" s="294"/>
      <c r="C16" s="303"/>
      <c r="D16" s="303"/>
      <c r="E16" s="303"/>
      <c r="F16" s="203" t="s">
        <v>52</v>
      </c>
      <c r="G16" s="338">
        <v>13.873</v>
      </c>
      <c r="H16" s="305">
        <f>20*'TOT-0514'!B13</f>
        <v>20</v>
      </c>
      <c r="I16" s="335"/>
      <c r="J16" s="100" t="str">
        <f>IF(H16=20," ",IF(H16=40,"  Coeficiente duplicado por tasa de falla &gt;4 Sal. x año/100 km.","REVISAR COEFICIENTE"))</f>
        <v> </v>
      </c>
      <c r="K16" s="335"/>
      <c r="L16" s="335"/>
      <c r="M16" s="335"/>
      <c r="N16" s="335"/>
      <c r="O16" s="303"/>
      <c r="P16" s="303"/>
      <c r="Q16" s="337"/>
      <c r="R16" s="168"/>
      <c r="S16" s="303"/>
      <c r="T16" s="303"/>
      <c r="U16" s="336"/>
      <c r="V16" s="303"/>
      <c r="W16" s="85"/>
    </row>
    <row r="17" spans="2:23" ht="16.5" customHeight="1" thickBot="1" thickTop="1">
      <c r="B17" s="294"/>
      <c r="C17" s="459">
        <v>3</v>
      </c>
      <c r="D17" s="459">
        <v>4</v>
      </c>
      <c r="E17" s="459">
        <v>5</v>
      </c>
      <c r="F17" s="459">
        <v>6</v>
      </c>
      <c r="G17" s="459">
        <v>7</v>
      </c>
      <c r="H17" s="459">
        <v>8</v>
      </c>
      <c r="I17" s="459">
        <v>9</v>
      </c>
      <c r="J17" s="459">
        <v>10</v>
      </c>
      <c r="K17" s="459">
        <v>11</v>
      </c>
      <c r="L17" s="459">
        <v>12</v>
      </c>
      <c r="M17" s="459">
        <v>13</v>
      </c>
      <c r="N17" s="459">
        <v>14</v>
      </c>
      <c r="O17" s="459">
        <v>15</v>
      </c>
      <c r="P17" s="459">
        <v>16</v>
      </c>
      <c r="Q17" s="459">
        <v>17</v>
      </c>
      <c r="R17" s="459">
        <v>18</v>
      </c>
      <c r="S17" s="459">
        <v>19</v>
      </c>
      <c r="T17" s="459">
        <v>20</v>
      </c>
      <c r="U17" s="459">
        <v>21</v>
      </c>
      <c r="V17" s="459">
        <v>22</v>
      </c>
      <c r="W17" s="85"/>
    </row>
    <row r="18" spans="2:23" s="160" customFormat="1" ht="34.5" customHeight="1" thickBot="1" thickTop="1">
      <c r="B18" s="339"/>
      <c r="C18" s="443" t="s">
        <v>15</v>
      </c>
      <c r="D18" s="443" t="s">
        <v>74</v>
      </c>
      <c r="E18" s="443" t="s">
        <v>75</v>
      </c>
      <c r="F18" s="169" t="s">
        <v>53</v>
      </c>
      <c r="G18" s="206" t="s">
        <v>39</v>
      </c>
      <c r="H18" s="207" t="s">
        <v>16</v>
      </c>
      <c r="I18" s="208" t="s">
        <v>18</v>
      </c>
      <c r="J18" s="170" t="s">
        <v>19</v>
      </c>
      <c r="K18" s="206" t="s">
        <v>20</v>
      </c>
      <c r="L18" s="209" t="s">
        <v>42</v>
      </c>
      <c r="M18" s="209" t="s">
        <v>43</v>
      </c>
      <c r="N18" s="110" t="s">
        <v>68</v>
      </c>
      <c r="O18" s="170" t="s">
        <v>24</v>
      </c>
      <c r="P18" s="210" t="s">
        <v>54</v>
      </c>
      <c r="Q18" s="340" t="s">
        <v>25</v>
      </c>
      <c r="R18" s="341" t="s">
        <v>55</v>
      </c>
      <c r="S18" s="342"/>
      <c r="T18" s="343" t="s">
        <v>46</v>
      </c>
      <c r="U18" s="209" t="s">
        <v>31</v>
      </c>
      <c r="V18" s="169" t="s">
        <v>32</v>
      </c>
      <c r="W18" s="344"/>
    </row>
    <row r="19" spans="2:23" ht="16.5" customHeight="1" thickTop="1">
      <c r="B19" s="345"/>
      <c r="C19" s="346"/>
      <c r="D19" s="441"/>
      <c r="E19" s="441"/>
      <c r="F19" s="314"/>
      <c r="G19" s="347"/>
      <c r="H19" s="348"/>
      <c r="I19" s="349"/>
      <c r="J19" s="314"/>
      <c r="K19" s="314"/>
      <c r="L19" s="314"/>
      <c r="M19" s="314"/>
      <c r="N19" s="314"/>
      <c r="O19" s="314"/>
      <c r="P19" s="350"/>
      <c r="Q19" s="351"/>
      <c r="R19" s="352"/>
      <c r="S19" s="353"/>
      <c r="T19" s="354"/>
      <c r="U19" s="347"/>
      <c r="V19" s="247">
        <f>'SA-05 (1)'!V42</f>
        <v>5333.03</v>
      </c>
      <c r="W19" s="85"/>
    </row>
    <row r="20" spans="2:23" ht="16.5" customHeight="1">
      <c r="B20" s="345"/>
      <c r="C20" s="355"/>
      <c r="D20" s="442"/>
      <c r="E20" s="442"/>
      <c r="F20" s="356"/>
      <c r="G20" s="356"/>
      <c r="H20" s="318"/>
      <c r="I20" s="357"/>
      <c r="J20" s="318"/>
      <c r="K20" s="358"/>
      <c r="L20" s="317"/>
      <c r="M20" s="359"/>
      <c r="N20" s="360"/>
      <c r="O20" s="318"/>
      <c r="P20" s="361"/>
      <c r="Q20" s="362"/>
      <c r="R20" s="363"/>
      <c r="S20" s="364"/>
      <c r="T20" s="365"/>
      <c r="U20" s="317"/>
      <c r="V20" s="317"/>
      <c r="W20" s="85"/>
    </row>
    <row r="21" spans="2:23" ht="16.5" customHeight="1">
      <c r="B21" s="345"/>
      <c r="C21" s="211">
        <v>32</v>
      </c>
      <c r="D21" s="442">
        <v>275473</v>
      </c>
      <c r="E21" s="442">
        <v>1601</v>
      </c>
      <c r="F21" s="190" t="s">
        <v>147</v>
      </c>
      <c r="G21" s="179" t="s">
        <v>173</v>
      </c>
      <c r="H21" s="179">
        <v>33</v>
      </c>
      <c r="I21" s="366">
        <f>IF(OR(H21=132,H21=66),$G$14,IF(H21=33,$G$15,$G$16))</f>
        <v>13.873</v>
      </c>
      <c r="J21" s="212">
        <v>41790.15972222222</v>
      </c>
      <c r="K21" s="212">
        <v>41790.53888888889</v>
      </c>
      <c r="L21" s="213">
        <f aca="true" t="shared" si="0" ref="L21:L40">IF(J21="","",(K21-J21)*24)</f>
        <v>9.10000000015134</v>
      </c>
      <c r="M21" s="214">
        <f aca="true" t="shared" si="1" ref="M21:M40">IF(K21="","",ROUND((K21-J21)*24*60,0))</f>
        <v>546</v>
      </c>
      <c r="N21" s="215" t="s">
        <v>132</v>
      </c>
      <c r="O21" s="216" t="str">
        <f>IF(N21="","",IF(OR(N21="P",N21="RP"),"--","NO"))</f>
        <v>NO</v>
      </c>
      <c r="P21" s="367">
        <f aca="true" t="shared" si="2" ref="P21:P40">IF(OR(H21=132,H21=66),$H$14,IF(H21=33,$H$15,$H$16))</f>
        <v>25</v>
      </c>
      <c r="Q21" s="368" t="str">
        <f aca="true" t="shared" si="3" ref="Q21:Q40">IF(N21="P",I21*P21*0.1*ROUND(M21/60,2),"--")</f>
        <v>--</v>
      </c>
      <c r="R21" s="369">
        <f aca="true" t="shared" si="4" ref="R21:R40">IF(O21="NO",IF(N21="F",I21*P21,"--"),"--")</f>
        <v>346.825</v>
      </c>
      <c r="S21" s="370">
        <f aca="true" t="shared" si="5" ref="S21:S40">IF(N21="F",I21*P21*ROUND(M21/60,2),"--")</f>
        <v>3156.1074999999996</v>
      </c>
      <c r="T21" s="371" t="str">
        <f aca="true" t="shared" si="6" ref="T21:T40">IF(N21="RF",I21*P21*ROUND(M21/60,2),"--")</f>
        <v>--</v>
      </c>
      <c r="U21" s="372" t="s">
        <v>133</v>
      </c>
      <c r="V21" s="373">
        <f aca="true" t="shared" si="7" ref="V21:V40">IF(F21="","",IF(H21="500/220",0,IF(U21="SI",SUM(Q21:T21),2*SUM(Q21:T21))))</f>
        <v>3502.9324999999994</v>
      </c>
      <c r="W21" s="133"/>
    </row>
    <row r="22" spans="2:23" ht="16.5" customHeight="1">
      <c r="B22" s="345"/>
      <c r="C22" s="211">
        <v>33</v>
      </c>
      <c r="D22" s="442">
        <v>275474</v>
      </c>
      <c r="E22" s="442">
        <v>3465</v>
      </c>
      <c r="F22" s="190" t="s">
        <v>147</v>
      </c>
      <c r="G22" s="179" t="s">
        <v>166</v>
      </c>
      <c r="H22" s="179">
        <v>33</v>
      </c>
      <c r="I22" s="366">
        <f aca="true" t="shared" si="8" ref="I22:I40">IF(OR(H22=132,H22=66),$G$14,IF(H22=33,$G$15,$G$16))</f>
        <v>13.873</v>
      </c>
      <c r="J22" s="212">
        <v>41790.15972222222</v>
      </c>
      <c r="K22" s="212">
        <v>41790.54791666667</v>
      </c>
      <c r="L22" s="213">
        <f t="shared" si="0"/>
        <v>9.316666666825768</v>
      </c>
      <c r="M22" s="214">
        <f t="shared" si="1"/>
        <v>559</v>
      </c>
      <c r="N22" s="215" t="s">
        <v>132</v>
      </c>
      <c r="O22" s="216" t="str">
        <f aca="true" t="shared" si="9" ref="O22:O40">IF(N22="","",IF(OR(N22="P",N22="RP"),"--","NO"))</f>
        <v>NO</v>
      </c>
      <c r="P22" s="367">
        <f t="shared" si="2"/>
        <v>25</v>
      </c>
      <c r="Q22" s="368" t="str">
        <f t="shared" si="3"/>
        <v>--</v>
      </c>
      <c r="R22" s="369">
        <f t="shared" si="4"/>
        <v>346.825</v>
      </c>
      <c r="S22" s="370">
        <f t="shared" si="5"/>
        <v>3232.409</v>
      </c>
      <c r="T22" s="371" t="str">
        <f t="shared" si="6"/>
        <v>--</v>
      </c>
      <c r="U22" s="372" t="s">
        <v>133</v>
      </c>
      <c r="V22" s="373">
        <f t="shared" si="7"/>
        <v>3579.234</v>
      </c>
      <c r="W22" s="133"/>
    </row>
    <row r="23" spans="2:23" ht="16.5" customHeight="1">
      <c r="B23" s="345"/>
      <c r="C23" s="211">
        <v>34</v>
      </c>
      <c r="D23" s="442">
        <v>275475</v>
      </c>
      <c r="E23" s="442">
        <v>1600</v>
      </c>
      <c r="F23" s="190" t="s">
        <v>147</v>
      </c>
      <c r="G23" s="179" t="s">
        <v>167</v>
      </c>
      <c r="H23" s="179">
        <v>33</v>
      </c>
      <c r="I23" s="366">
        <f t="shared" si="8"/>
        <v>13.873</v>
      </c>
      <c r="J23" s="212">
        <v>41790.15972222222</v>
      </c>
      <c r="K23" s="212">
        <v>41790.19583333333</v>
      </c>
      <c r="L23" s="213">
        <f t="shared" si="0"/>
        <v>0.8666666666977108</v>
      </c>
      <c r="M23" s="214">
        <f t="shared" si="1"/>
        <v>52</v>
      </c>
      <c r="N23" s="215" t="s">
        <v>132</v>
      </c>
      <c r="O23" s="216" t="str">
        <f t="shared" si="9"/>
        <v>NO</v>
      </c>
      <c r="P23" s="367">
        <f t="shared" si="2"/>
        <v>25</v>
      </c>
      <c r="Q23" s="368" t="str">
        <f t="shared" si="3"/>
        <v>--</v>
      </c>
      <c r="R23" s="369">
        <f t="shared" si="4"/>
        <v>346.825</v>
      </c>
      <c r="S23" s="370">
        <f t="shared" si="5"/>
        <v>301.73775</v>
      </c>
      <c r="T23" s="371" t="str">
        <f t="shared" si="6"/>
        <v>--</v>
      </c>
      <c r="U23" s="372" t="s">
        <v>133</v>
      </c>
      <c r="V23" s="373">
        <f t="shared" si="7"/>
        <v>648.56275</v>
      </c>
      <c r="W23" s="133"/>
    </row>
    <row r="24" spans="2:23" ht="16.5" customHeight="1">
      <c r="B24" s="339"/>
      <c r="C24" s="211">
        <v>35</v>
      </c>
      <c r="D24" s="442">
        <v>275476</v>
      </c>
      <c r="E24" s="442">
        <v>3466</v>
      </c>
      <c r="F24" s="190" t="s">
        <v>147</v>
      </c>
      <c r="G24" s="179" t="s">
        <v>168</v>
      </c>
      <c r="H24" s="179">
        <v>33</v>
      </c>
      <c r="I24" s="366">
        <f t="shared" si="8"/>
        <v>13.873</v>
      </c>
      <c r="J24" s="212">
        <v>41790.15972222222</v>
      </c>
      <c r="K24" s="212">
        <v>41790.19583333333</v>
      </c>
      <c r="L24" s="213">
        <f t="shared" si="0"/>
        <v>0.8666666666977108</v>
      </c>
      <c r="M24" s="214">
        <f t="shared" si="1"/>
        <v>52</v>
      </c>
      <c r="N24" s="215" t="s">
        <v>132</v>
      </c>
      <c r="O24" s="216" t="str">
        <f t="shared" si="9"/>
        <v>NO</v>
      </c>
      <c r="P24" s="367">
        <f t="shared" si="2"/>
        <v>25</v>
      </c>
      <c r="Q24" s="368" t="str">
        <f t="shared" si="3"/>
        <v>--</v>
      </c>
      <c r="R24" s="369">
        <f t="shared" si="4"/>
        <v>346.825</v>
      </c>
      <c r="S24" s="370">
        <f t="shared" si="5"/>
        <v>301.73775</v>
      </c>
      <c r="T24" s="371" t="str">
        <f t="shared" si="6"/>
        <v>--</v>
      </c>
      <c r="U24" s="372" t="s">
        <v>133</v>
      </c>
      <c r="V24" s="373">
        <f t="shared" si="7"/>
        <v>648.56275</v>
      </c>
      <c r="W24" s="133"/>
    </row>
    <row r="25" spans="2:23" ht="16.5" customHeight="1">
      <c r="B25" s="345"/>
      <c r="C25" s="211"/>
      <c r="D25" s="442"/>
      <c r="E25" s="442"/>
      <c r="F25" s="190"/>
      <c r="G25" s="179"/>
      <c r="H25" s="179"/>
      <c r="I25" s="366">
        <f t="shared" si="8"/>
        <v>13.873</v>
      </c>
      <c r="J25" s="212"/>
      <c r="K25" s="212"/>
      <c r="L25" s="213">
        <f t="shared" si="0"/>
      </c>
      <c r="M25" s="214">
        <f t="shared" si="1"/>
      </c>
      <c r="N25" s="215"/>
      <c r="O25" s="216">
        <f t="shared" si="9"/>
      </c>
      <c r="P25" s="367">
        <f t="shared" si="2"/>
        <v>20</v>
      </c>
      <c r="Q25" s="368" t="str">
        <f t="shared" si="3"/>
        <v>--</v>
      </c>
      <c r="R25" s="369" t="str">
        <f t="shared" si="4"/>
        <v>--</v>
      </c>
      <c r="S25" s="370" t="str">
        <f t="shared" si="5"/>
        <v>--</v>
      </c>
      <c r="T25" s="371" t="str">
        <f t="shared" si="6"/>
        <v>--</v>
      </c>
      <c r="U25" s="372">
        <f aca="true" t="shared" si="10" ref="U25:U40">IF(F25="","","SI")</f>
      </c>
      <c r="V25" s="373">
        <f t="shared" si="7"/>
      </c>
      <c r="W25" s="133"/>
    </row>
    <row r="26" spans="2:23" ht="16.5" customHeight="1">
      <c r="B26" s="345"/>
      <c r="C26" s="211"/>
      <c r="D26" s="442"/>
      <c r="E26" s="442"/>
      <c r="F26" s="190"/>
      <c r="G26" s="179"/>
      <c r="H26" s="179"/>
      <c r="I26" s="366">
        <f t="shared" si="8"/>
        <v>13.873</v>
      </c>
      <c r="J26" s="212"/>
      <c r="K26" s="212"/>
      <c r="L26" s="213">
        <f t="shared" si="0"/>
      </c>
      <c r="M26" s="214">
        <f t="shared" si="1"/>
      </c>
      <c r="N26" s="215"/>
      <c r="O26" s="216">
        <f t="shared" si="9"/>
      </c>
      <c r="P26" s="367">
        <f t="shared" si="2"/>
        <v>20</v>
      </c>
      <c r="Q26" s="368" t="str">
        <f t="shared" si="3"/>
        <v>--</v>
      </c>
      <c r="R26" s="369" t="str">
        <f t="shared" si="4"/>
        <v>--</v>
      </c>
      <c r="S26" s="370" t="str">
        <f t="shared" si="5"/>
        <v>--</v>
      </c>
      <c r="T26" s="371" t="str">
        <f t="shared" si="6"/>
        <v>--</v>
      </c>
      <c r="U26" s="372">
        <f t="shared" si="10"/>
      </c>
      <c r="V26" s="373">
        <f t="shared" si="7"/>
      </c>
      <c r="W26" s="133"/>
    </row>
    <row r="27" spans="2:23" ht="16.5" customHeight="1">
      <c r="B27" s="345"/>
      <c r="C27" s="211"/>
      <c r="D27" s="442"/>
      <c r="E27" s="442"/>
      <c r="F27" s="190"/>
      <c r="G27" s="179"/>
      <c r="H27" s="179"/>
      <c r="I27" s="366">
        <f t="shared" si="8"/>
        <v>13.873</v>
      </c>
      <c r="J27" s="212"/>
      <c r="K27" s="212"/>
      <c r="L27" s="213">
        <f t="shared" si="0"/>
      </c>
      <c r="M27" s="214">
        <f t="shared" si="1"/>
      </c>
      <c r="N27" s="215"/>
      <c r="O27" s="216">
        <f t="shared" si="9"/>
      </c>
      <c r="P27" s="367">
        <f t="shared" si="2"/>
        <v>20</v>
      </c>
      <c r="Q27" s="368" t="str">
        <f t="shared" si="3"/>
        <v>--</v>
      </c>
      <c r="R27" s="369" t="str">
        <f t="shared" si="4"/>
        <v>--</v>
      </c>
      <c r="S27" s="370" t="str">
        <f t="shared" si="5"/>
        <v>--</v>
      </c>
      <c r="T27" s="371" t="str">
        <f t="shared" si="6"/>
        <v>--</v>
      </c>
      <c r="U27" s="372">
        <f t="shared" si="10"/>
      </c>
      <c r="V27" s="373">
        <f t="shared" si="7"/>
      </c>
      <c r="W27" s="133"/>
    </row>
    <row r="28" spans="2:23" ht="16.5" customHeight="1">
      <c r="B28" s="345"/>
      <c r="C28" s="211"/>
      <c r="D28" s="442"/>
      <c r="E28" s="442"/>
      <c r="F28" s="190"/>
      <c r="G28" s="179"/>
      <c r="H28" s="179"/>
      <c r="I28" s="366">
        <f t="shared" si="8"/>
        <v>13.873</v>
      </c>
      <c r="J28" s="212"/>
      <c r="K28" s="212"/>
      <c r="L28" s="213">
        <f t="shared" si="0"/>
      </c>
      <c r="M28" s="214">
        <f t="shared" si="1"/>
      </c>
      <c r="N28" s="215"/>
      <c r="O28" s="216">
        <f t="shared" si="9"/>
      </c>
      <c r="P28" s="367">
        <f t="shared" si="2"/>
        <v>20</v>
      </c>
      <c r="Q28" s="368" t="str">
        <f t="shared" si="3"/>
        <v>--</v>
      </c>
      <c r="R28" s="369" t="str">
        <f t="shared" si="4"/>
        <v>--</v>
      </c>
      <c r="S28" s="370" t="str">
        <f t="shared" si="5"/>
        <v>--</v>
      </c>
      <c r="T28" s="371" t="str">
        <f t="shared" si="6"/>
        <v>--</v>
      </c>
      <c r="U28" s="372">
        <f t="shared" si="10"/>
      </c>
      <c r="V28" s="373">
        <f t="shared" si="7"/>
      </c>
      <c r="W28" s="133"/>
    </row>
    <row r="29" spans="2:23" ht="16.5" customHeight="1">
      <c r="B29" s="345"/>
      <c r="C29" s="211"/>
      <c r="D29" s="442"/>
      <c r="E29" s="442"/>
      <c r="F29" s="190"/>
      <c r="G29" s="179"/>
      <c r="H29" s="217"/>
      <c r="I29" s="366">
        <f t="shared" si="8"/>
        <v>13.873</v>
      </c>
      <c r="J29" s="212"/>
      <c r="K29" s="212"/>
      <c r="L29" s="213">
        <f t="shared" si="0"/>
      </c>
      <c r="M29" s="214">
        <f t="shared" si="1"/>
      </c>
      <c r="N29" s="215"/>
      <c r="O29" s="216">
        <f t="shared" si="9"/>
      </c>
      <c r="P29" s="367">
        <f t="shared" si="2"/>
        <v>20</v>
      </c>
      <c r="Q29" s="368" t="str">
        <f t="shared" si="3"/>
        <v>--</v>
      </c>
      <c r="R29" s="369" t="str">
        <f t="shared" si="4"/>
        <v>--</v>
      </c>
      <c r="S29" s="370" t="str">
        <f t="shared" si="5"/>
        <v>--</v>
      </c>
      <c r="T29" s="371" t="str">
        <f t="shared" si="6"/>
        <v>--</v>
      </c>
      <c r="U29" s="372">
        <f t="shared" si="10"/>
      </c>
      <c r="V29" s="373">
        <f t="shared" si="7"/>
      </c>
      <c r="W29" s="133"/>
    </row>
    <row r="30" spans="2:23" ht="16.5" customHeight="1">
      <c r="B30" s="345"/>
      <c r="C30" s="211"/>
      <c r="D30" s="442"/>
      <c r="E30" s="442"/>
      <c r="F30" s="190"/>
      <c r="G30" s="179"/>
      <c r="H30" s="217"/>
      <c r="I30" s="366">
        <f t="shared" si="8"/>
        <v>13.873</v>
      </c>
      <c r="J30" s="212"/>
      <c r="K30" s="212"/>
      <c r="L30" s="213">
        <f t="shared" si="0"/>
      </c>
      <c r="M30" s="214">
        <f t="shared" si="1"/>
      </c>
      <c r="N30" s="215"/>
      <c r="O30" s="216">
        <f t="shared" si="9"/>
      </c>
      <c r="P30" s="367">
        <f t="shared" si="2"/>
        <v>20</v>
      </c>
      <c r="Q30" s="368" t="str">
        <f t="shared" si="3"/>
        <v>--</v>
      </c>
      <c r="R30" s="369" t="str">
        <f t="shared" si="4"/>
        <v>--</v>
      </c>
      <c r="S30" s="370" t="str">
        <f t="shared" si="5"/>
        <v>--</v>
      </c>
      <c r="T30" s="371" t="str">
        <f t="shared" si="6"/>
        <v>--</v>
      </c>
      <c r="U30" s="372">
        <f t="shared" si="10"/>
      </c>
      <c r="V30" s="373">
        <f t="shared" si="7"/>
      </c>
      <c r="W30" s="133"/>
    </row>
    <row r="31" spans="2:23" ht="16.5" customHeight="1">
      <c r="B31" s="345"/>
      <c r="C31" s="211"/>
      <c r="D31" s="442"/>
      <c r="E31" s="442"/>
      <c r="F31" s="190"/>
      <c r="G31" s="179"/>
      <c r="H31" s="217"/>
      <c r="I31" s="366">
        <f t="shared" si="8"/>
        <v>13.873</v>
      </c>
      <c r="J31" s="212"/>
      <c r="K31" s="212"/>
      <c r="L31" s="213">
        <f t="shared" si="0"/>
      </c>
      <c r="M31" s="214">
        <f t="shared" si="1"/>
      </c>
      <c r="N31" s="215"/>
      <c r="O31" s="216">
        <f t="shared" si="9"/>
      </c>
      <c r="P31" s="367">
        <f t="shared" si="2"/>
        <v>20</v>
      </c>
      <c r="Q31" s="368" t="str">
        <f t="shared" si="3"/>
        <v>--</v>
      </c>
      <c r="R31" s="369" t="str">
        <f t="shared" si="4"/>
        <v>--</v>
      </c>
      <c r="S31" s="370" t="str">
        <f t="shared" si="5"/>
        <v>--</v>
      </c>
      <c r="T31" s="371" t="str">
        <f t="shared" si="6"/>
        <v>--</v>
      </c>
      <c r="U31" s="372">
        <f t="shared" si="10"/>
      </c>
      <c r="V31" s="373">
        <f t="shared" si="7"/>
      </c>
      <c r="W31" s="133"/>
    </row>
    <row r="32" spans="2:23" ht="16.5" customHeight="1">
      <c r="B32" s="345"/>
      <c r="C32" s="211"/>
      <c r="D32" s="442"/>
      <c r="E32" s="442"/>
      <c r="F32" s="190"/>
      <c r="G32" s="179"/>
      <c r="H32" s="217"/>
      <c r="I32" s="366">
        <f t="shared" si="8"/>
        <v>13.873</v>
      </c>
      <c r="J32" s="212"/>
      <c r="K32" s="212"/>
      <c r="L32" s="213">
        <f t="shared" si="0"/>
      </c>
      <c r="M32" s="214">
        <f t="shared" si="1"/>
      </c>
      <c r="N32" s="215"/>
      <c r="O32" s="216">
        <f t="shared" si="9"/>
      </c>
      <c r="P32" s="367">
        <f t="shared" si="2"/>
        <v>20</v>
      </c>
      <c r="Q32" s="368" t="str">
        <f t="shared" si="3"/>
        <v>--</v>
      </c>
      <c r="R32" s="369" t="str">
        <f t="shared" si="4"/>
        <v>--</v>
      </c>
      <c r="S32" s="370" t="str">
        <f t="shared" si="5"/>
        <v>--</v>
      </c>
      <c r="T32" s="371" t="str">
        <f t="shared" si="6"/>
        <v>--</v>
      </c>
      <c r="U32" s="372">
        <f t="shared" si="10"/>
      </c>
      <c r="V32" s="373">
        <f t="shared" si="7"/>
      </c>
      <c r="W32" s="133"/>
    </row>
    <row r="33" spans="2:23" ht="16.5" customHeight="1">
      <c r="B33" s="345"/>
      <c r="C33" s="211"/>
      <c r="D33" s="442"/>
      <c r="E33" s="442"/>
      <c r="F33" s="190"/>
      <c r="G33" s="179"/>
      <c r="H33" s="217"/>
      <c r="I33" s="366">
        <f t="shared" si="8"/>
        <v>13.873</v>
      </c>
      <c r="J33" s="212"/>
      <c r="K33" s="212"/>
      <c r="L33" s="213">
        <f t="shared" si="0"/>
      </c>
      <c r="M33" s="214">
        <f t="shared" si="1"/>
      </c>
      <c r="N33" s="215"/>
      <c r="O33" s="216">
        <f t="shared" si="9"/>
      </c>
      <c r="P33" s="367">
        <f t="shared" si="2"/>
        <v>20</v>
      </c>
      <c r="Q33" s="368" t="str">
        <f t="shared" si="3"/>
        <v>--</v>
      </c>
      <c r="R33" s="369" t="str">
        <f t="shared" si="4"/>
        <v>--</v>
      </c>
      <c r="S33" s="370" t="str">
        <f t="shared" si="5"/>
        <v>--</v>
      </c>
      <c r="T33" s="371" t="str">
        <f t="shared" si="6"/>
        <v>--</v>
      </c>
      <c r="U33" s="372">
        <f t="shared" si="10"/>
      </c>
      <c r="V33" s="373">
        <f t="shared" si="7"/>
      </c>
      <c r="W33" s="133"/>
    </row>
    <row r="34" spans="2:23" ht="16.5" customHeight="1">
      <c r="B34" s="345"/>
      <c r="C34" s="211"/>
      <c r="D34" s="442"/>
      <c r="E34" s="442"/>
      <c r="F34" s="190"/>
      <c r="G34" s="179"/>
      <c r="H34" s="217"/>
      <c r="I34" s="366">
        <f t="shared" si="8"/>
        <v>13.873</v>
      </c>
      <c r="J34" s="212"/>
      <c r="K34" s="212"/>
      <c r="L34" s="213">
        <f t="shared" si="0"/>
      </c>
      <c r="M34" s="214">
        <f t="shared" si="1"/>
      </c>
      <c r="N34" s="215"/>
      <c r="O34" s="216">
        <f t="shared" si="9"/>
      </c>
      <c r="P34" s="367">
        <f t="shared" si="2"/>
        <v>20</v>
      </c>
      <c r="Q34" s="368" t="str">
        <f t="shared" si="3"/>
        <v>--</v>
      </c>
      <c r="R34" s="369" t="str">
        <f t="shared" si="4"/>
        <v>--</v>
      </c>
      <c r="S34" s="370" t="str">
        <f t="shared" si="5"/>
        <v>--</v>
      </c>
      <c r="T34" s="371" t="str">
        <f t="shared" si="6"/>
        <v>--</v>
      </c>
      <c r="U34" s="372">
        <f t="shared" si="10"/>
      </c>
      <c r="V34" s="373">
        <f t="shared" si="7"/>
      </c>
      <c r="W34" s="133"/>
    </row>
    <row r="35" spans="2:23" ht="16.5" customHeight="1">
      <c r="B35" s="345"/>
      <c r="C35" s="211"/>
      <c r="D35" s="442"/>
      <c r="E35" s="442"/>
      <c r="F35" s="190"/>
      <c r="G35" s="179"/>
      <c r="H35" s="217"/>
      <c r="I35" s="366">
        <f t="shared" si="8"/>
        <v>13.873</v>
      </c>
      <c r="J35" s="212"/>
      <c r="K35" s="212"/>
      <c r="L35" s="213">
        <f t="shared" si="0"/>
      </c>
      <c r="M35" s="214">
        <f t="shared" si="1"/>
      </c>
      <c r="N35" s="215"/>
      <c r="O35" s="216">
        <f t="shared" si="9"/>
      </c>
      <c r="P35" s="367">
        <f t="shared" si="2"/>
        <v>20</v>
      </c>
      <c r="Q35" s="368" t="str">
        <f t="shared" si="3"/>
        <v>--</v>
      </c>
      <c r="R35" s="369" t="str">
        <f t="shared" si="4"/>
        <v>--</v>
      </c>
      <c r="S35" s="370" t="str">
        <f t="shared" si="5"/>
        <v>--</v>
      </c>
      <c r="T35" s="371" t="str">
        <f t="shared" si="6"/>
        <v>--</v>
      </c>
      <c r="U35" s="372">
        <f t="shared" si="10"/>
      </c>
      <c r="V35" s="373">
        <f t="shared" si="7"/>
      </c>
      <c r="W35" s="133"/>
    </row>
    <row r="36" spans="2:23" ht="16.5" customHeight="1">
      <c r="B36" s="345"/>
      <c r="C36" s="211"/>
      <c r="D36" s="442"/>
      <c r="E36" s="442"/>
      <c r="F36" s="190"/>
      <c r="G36" s="179"/>
      <c r="H36" s="217"/>
      <c r="I36" s="366">
        <f t="shared" si="8"/>
        <v>13.873</v>
      </c>
      <c r="J36" s="212"/>
      <c r="K36" s="212"/>
      <c r="L36" s="213">
        <f t="shared" si="0"/>
      </c>
      <c r="M36" s="214">
        <f t="shared" si="1"/>
      </c>
      <c r="N36" s="215"/>
      <c r="O36" s="216">
        <f t="shared" si="9"/>
      </c>
      <c r="P36" s="367">
        <f t="shared" si="2"/>
        <v>20</v>
      </c>
      <c r="Q36" s="368" t="str">
        <f t="shared" si="3"/>
        <v>--</v>
      </c>
      <c r="R36" s="369" t="str">
        <f t="shared" si="4"/>
        <v>--</v>
      </c>
      <c r="S36" s="370" t="str">
        <f t="shared" si="5"/>
        <v>--</v>
      </c>
      <c r="T36" s="371" t="str">
        <f t="shared" si="6"/>
        <v>--</v>
      </c>
      <c r="U36" s="372">
        <f t="shared" si="10"/>
      </c>
      <c r="V36" s="373">
        <f t="shared" si="7"/>
      </c>
      <c r="W36" s="133"/>
    </row>
    <row r="37" spans="2:23" ht="16.5" customHeight="1">
      <c r="B37" s="345"/>
      <c r="C37" s="211"/>
      <c r="D37" s="442"/>
      <c r="E37" s="442"/>
      <c r="F37" s="190"/>
      <c r="G37" s="179"/>
      <c r="H37" s="217"/>
      <c r="I37" s="366">
        <f t="shared" si="8"/>
        <v>13.873</v>
      </c>
      <c r="J37" s="212"/>
      <c r="K37" s="212"/>
      <c r="L37" s="213">
        <f t="shared" si="0"/>
      </c>
      <c r="M37" s="214">
        <f t="shared" si="1"/>
      </c>
      <c r="N37" s="215"/>
      <c r="O37" s="216">
        <f t="shared" si="9"/>
      </c>
      <c r="P37" s="367">
        <f t="shared" si="2"/>
        <v>20</v>
      </c>
      <c r="Q37" s="368" t="str">
        <f t="shared" si="3"/>
        <v>--</v>
      </c>
      <c r="R37" s="369" t="str">
        <f t="shared" si="4"/>
        <v>--</v>
      </c>
      <c r="S37" s="370" t="str">
        <f t="shared" si="5"/>
        <v>--</v>
      </c>
      <c r="T37" s="371" t="str">
        <f t="shared" si="6"/>
        <v>--</v>
      </c>
      <c r="U37" s="372">
        <f t="shared" si="10"/>
      </c>
      <c r="V37" s="373">
        <f t="shared" si="7"/>
      </c>
      <c r="W37" s="133"/>
    </row>
    <row r="38" spans="2:23" ht="16.5" customHeight="1">
      <c r="B38" s="345"/>
      <c r="C38" s="211"/>
      <c r="D38" s="442"/>
      <c r="E38" s="442"/>
      <c r="F38" s="190"/>
      <c r="G38" s="179"/>
      <c r="H38" s="217"/>
      <c r="I38" s="366">
        <f t="shared" si="8"/>
        <v>13.873</v>
      </c>
      <c r="J38" s="212"/>
      <c r="K38" s="212"/>
      <c r="L38" s="213">
        <f t="shared" si="0"/>
      </c>
      <c r="M38" s="214">
        <f t="shared" si="1"/>
      </c>
      <c r="N38" s="215"/>
      <c r="O38" s="216">
        <f t="shared" si="9"/>
      </c>
      <c r="P38" s="367">
        <f t="shared" si="2"/>
        <v>20</v>
      </c>
      <c r="Q38" s="368" t="str">
        <f t="shared" si="3"/>
        <v>--</v>
      </c>
      <c r="R38" s="369" t="str">
        <f t="shared" si="4"/>
        <v>--</v>
      </c>
      <c r="S38" s="370" t="str">
        <f t="shared" si="5"/>
        <v>--</v>
      </c>
      <c r="T38" s="371" t="str">
        <f t="shared" si="6"/>
        <v>--</v>
      </c>
      <c r="U38" s="372">
        <f t="shared" si="10"/>
      </c>
      <c r="V38" s="373">
        <f t="shared" si="7"/>
      </c>
      <c r="W38" s="133"/>
    </row>
    <row r="39" spans="2:23" ht="16.5" customHeight="1">
      <c r="B39" s="345"/>
      <c r="C39" s="211"/>
      <c r="D39" s="442"/>
      <c r="E39" s="442"/>
      <c r="F39" s="190"/>
      <c r="G39" s="179"/>
      <c r="H39" s="217"/>
      <c r="I39" s="366">
        <f t="shared" si="8"/>
        <v>13.873</v>
      </c>
      <c r="J39" s="212"/>
      <c r="K39" s="212"/>
      <c r="L39" s="213">
        <f t="shared" si="0"/>
      </c>
      <c r="M39" s="214">
        <f t="shared" si="1"/>
      </c>
      <c r="N39" s="215"/>
      <c r="O39" s="216">
        <f t="shared" si="9"/>
      </c>
      <c r="P39" s="367">
        <f t="shared" si="2"/>
        <v>20</v>
      </c>
      <c r="Q39" s="368" t="str">
        <f t="shared" si="3"/>
        <v>--</v>
      </c>
      <c r="R39" s="369" t="str">
        <f t="shared" si="4"/>
        <v>--</v>
      </c>
      <c r="S39" s="370" t="str">
        <f t="shared" si="5"/>
        <v>--</v>
      </c>
      <c r="T39" s="371" t="str">
        <f t="shared" si="6"/>
        <v>--</v>
      </c>
      <c r="U39" s="372">
        <f t="shared" si="10"/>
      </c>
      <c r="V39" s="373">
        <f t="shared" si="7"/>
      </c>
      <c r="W39" s="133"/>
    </row>
    <row r="40" spans="2:23" ht="16.5" customHeight="1">
      <c r="B40" s="345"/>
      <c r="C40" s="211"/>
      <c r="D40" s="442"/>
      <c r="E40" s="442"/>
      <c r="F40" s="190"/>
      <c r="G40" s="179"/>
      <c r="H40" s="217"/>
      <c r="I40" s="366">
        <f t="shared" si="8"/>
        <v>13.873</v>
      </c>
      <c r="J40" s="212"/>
      <c r="K40" s="212"/>
      <c r="L40" s="213">
        <f t="shared" si="0"/>
      </c>
      <c r="M40" s="214">
        <f t="shared" si="1"/>
      </c>
      <c r="N40" s="215"/>
      <c r="O40" s="216">
        <f t="shared" si="9"/>
      </c>
      <c r="P40" s="367">
        <f t="shared" si="2"/>
        <v>20</v>
      </c>
      <c r="Q40" s="368" t="str">
        <f t="shared" si="3"/>
        <v>--</v>
      </c>
      <c r="R40" s="369" t="str">
        <f t="shared" si="4"/>
        <v>--</v>
      </c>
      <c r="S40" s="370" t="str">
        <f t="shared" si="5"/>
        <v>--</v>
      </c>
      <c r="T40" s="371" t="str">
        <f t="shared" si="6"/>
        <v>--</v>
      </c>
      <c r="U40" s="372">
        <f t="shared" si="10"/>
      </c>
      <c r="V40" s="373">
        <f t="shared" si="7"/>
      </c>
      <c r="W40" s="133"/>
    </row>
    <row r="41" spans="2:23" ht="16.5" customHeight="1" thickBot="1">
      <c r="B41" s="345"/>
      <c r="C41" s="218"/>
      <c r="D41" s="463"/>
      <c r="E41" s="218"/>
      <c r="F41" s="219"/>
      <c r="G41" s="220"/>
      <c r="H41" s="220"/>
      <c r="I41" s="374"/>
      <c r="J41" s="220"/>
      <c r="K41" s="221"/>
      <c r="L41" s="222"/>
      <c r="M41" s="222"/>
      <c r="N41" s="221"/>
      <c r="O41" s="223"/>
      <c r="P41" s="375"/>
      <c r="Q41" s="376"/>
      <c r="R41" s="377"/>
      <c r="S41" s="378"/>
      <c r="T41" s="379"/>
      <c r="U41" s="380"/>
      <c r="V41" s="381"/>
      <c r="W41" s="133"/>
    </row>
    <row r="42" spans="2:23" ht="16.5" customHeight="1" thickBot="1" thickTop="1">
      <c r="B42" s="294"/>
      <c r="C42" s="264" t="s">
        <v>69</v>
      </c>
      <c r="D42" s="465" t="s">
        <v>175</v>
      </c>
      <c r="E42" s="438"/>
      <c r="F42" s="144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382"/>
      <c r="R42" s="383"/>
      <c r="S42" s="383"/>
      <c r="T42" s="383"/>
      <c r="U42" s="384"/>
      <c r="V42" s="322">
        <f>ROUND(SUM(V19:V41),2)</f>
        <v>13712.32</v>
      </c>
      <c r="W42" s="385"/>
    </row>
    <row r="43" spans="2:23" s="152" customFormat="1" ht="9.75" thickTop="1">
      <c r="B43" s="323"/>
      <c r="C43" s="266"/>
      <c r="D43" s="266"/>
      <c r="E43" s="266"/>
      <c r="F43" s="15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86"/>
      <c r="R43" s="386"/>
      <c r="S43" s="386"/>
      <c r="T43" s="386"/>
      <c r="U43" s="386"/>
      <c r="V43" s="325"/>
      <c r="W43" s="155"/>
    </row>
    <row r="44" spans="2:23" ht="16.5" customHeight="1" thickBot="1">
      <c r="B44" s="326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158"/>
    </row>
    <row r="45" ht="13.5" thickTop="1"/>
    <row r="16381" ht="12.75">
      <c r="F16381" s="224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="65" zoomScaleNormal="65" zoomScalePageLayoutView="0" workbookViewId="0" topLeftCell="A13">
      <selection activeCell="N14" sqref="N14"/>
    </sheetView>
  </sheetViews>
  <sheetFormatPr defaultColWidth="11.421875" defaultRowHeight="12.75"/>
  <cols>
    <col min="1" max="1" width="20.7109375" style="466" customWidth="1"/>
    <col min="2" max="2" width="15.7109375" style="466" customWidth="1"/>
    <col min="3" max="3" width="5.7109375" style="466" customWidth="1"/>
    <col min="4" max="4" width="49.8515625" style="466" customWidth="1"/>
    <col min="5" max="5" width="7.7109375" style="466" customWidth="1"/>
    <col min="6" max="20" width="10.7109375" style="466" customWidth="1"/>
    <col min="21" max="21" width="15.7109375" style="466" customWidth="1"/>
    <col min="22" max="16384" width="11.421875" style="466" customWidth="1"/>
  </cols>
  <sheetData>
    <row r="1" ht="43.5" customHeight="1">
      <c r="U1" s="467"/>
    </row>
    <row r="2" spans="2:21" s="468" customFormat="1" ht="26.25">
      <c r="B2" s="469" t="str">
        <f>'TOT-0514'!B2</f>
        <v>ANEXO II al Memorandum D.T.E.E. N°      328   / 2015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</row>
    <row r="3" spans="1:2" s="470" customFormat="1" ht="10.5">
      <c r="A3" s="574" t="s">
        <v>2</v>
      </c>
      <c r="B3" s="574"/>
    </row>
    <row r="4" spans="1:4" s="470" customFormat="1" ht="11.25">
      <c r="A4" s="471" t="s">
        <v>3</v>
      </c>
      <c r="B4" s="472"/>
      <c r="D4" s="473"/>
    </row>
    <row r="5" spans="1:4" ht="18.75" customHeight="1">
      <c r="A5" s="474"/>
      <c r="D5" s="475"/>
    </row>
    <row r="6" spans="1:21" ht="26.25">
      <c r="A6" s="474"/>
      <c r="B6" s="476" t="s">
        <v>177</v>
      </c>
      <c r="C6" s="477"/>
      <c r="D6" s="475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</row>
    <row r="7" spans="1:4" ht="18.75" customHeight="1">
      <c r="A7" s="474"/>
      <c r="B7" s="476"/>
      <c r="D7" s="475"/>
    </row>
    <row r="8" spans="1:21" ht="26.25">
      <c r="A8" s="474"/>
      <c r="B8" s="476" t="s">
        <v>178</v>
      </c>
      <c r="C8" s="477"/>
      <c r="D8" s="475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477"/>
    </row>
    <row r="9" spans="1:4" ht="18.75" customHeight="1">
      <c r="A9" s="474"/>
      <c r="D9" s="475"/>
    </row>
    <row r="10" spans="1:21" ht="26.25">
      <c r="A10" s="474"/>
      <c r="B10" s="476" t="s">
        <v>179</v>
      </c>
      <c r="C10" s="477"/>
      <c r="D10" s="475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7"/>
      <c r="U10" s="477"/>
    </row>
    <row r="11" ht="18.75" customHeight="1" thickBot="1"/>
    <row r="12" spans="2:21" ht="18.75" customHeight="1" thickTop="1">
      <c r="B12" s="478"/>
      <c r="C12" s="479"/>
      <c r="D12" s="480"/>
      <c r="E12" s="480"/>
      <c r="F12" s="480"/>
      <c r="G12" s="480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81"/>
    </row>
    <row r="13" spans="2:21" ht="19.5">
      <c r="B13" s="482" t="s">
        <v>187</v>
      </c>
      <c r="C13" s="477"/>
      <c r="D13" s="483"/>
      <c r="E13" s="483"/>
      <c r="F13" s="483"/>
      <c r="G13" s="483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485"/>
    </row>
    <row r="14" spans="2:21" ht="18.75" customHeight="1" thickBot="1">
      <c r="B14" s="486"/>
      <c r="C14" s="487"/>
      <c r="D14" s="488"/>
      <c r="E14" s="488"/>
      <c r="F14" s="489"/>
      <c r="G14" s="489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1"/>
    </row>
    <row r="15" spans="1:21" s="501" customFormat="1" ht="34.5" customHeight="1" thickBot="1" thickTop="1">
      <c r="A15" s="492"/>
      <c r="B15" s="493"/>
      <c r="C15" s="494"/>
      <c r="D15" s="495" t="s">
        <v>1</v>
      </c>
      <c r="E15" s="496" t="s">
        <v>180</v>
      </c>
      <c r="F15" s="497" t="s">
        <v>17</v>
      </c>
      <c r="G15" s="498" t="s">
        <v>181</v>
      </c>
      <c r="H15" s="499">
        <f>'[1]TASA DE FALLA'!CT15</f>
        <v>41395</v>
      </c>
      <c r="I15" s="499">
        <f>'[1]TASA DE FALLA'!CU15</f>
        <v>41426</v>
      </c>
      <c r="J15" s="499">
        <f>'[1]TASA DE FALLA'!CV15</f>
        <v>41456</v>
      </c>
      <c r="K15" s="499">
        <f>'[1]TASA DE FALLA'!CW15</f>
        <v>41487</v>
      </c>
      <c r="L15" s="499">
        <f>'[1]TASA DE FALLA'!CX15</f>
        <v>41518</v>
      </c>
      <c r="M15" s="499">
        <f>'[1]TASA DE FALLA'!CY15</f>
        <v>41548</v>
      </c>
      <c r="N15" s="499">
        <f>'[1]TASA DE FALLA'!CZ15</f>
        <v>41579</v>
      </c>
      <c r="O15" s="499">
        <f>'[1]TASA DE FALLA'!DA15</f>
        <v>41609</v>
      </c>
      <c r="P15" s="499">
        <f>'[1]TASA DE FALLA'!DB15</f>
        <v>41640</v>
      </c>
      <c r="Q15" s="499">
        <f>'[1]TASA DE FALLA'!DC15</f>
        <v>41671</v>
      </c>
      <c r="R15" s="499">
        <f>'[1]TASA DE FALLA'!DD15</f>
        <v>41699</v>
      </c>
      <c r="S15" s="499">
        <f>'[1]TASA DE FALLA'!DE15</f>
        <v>41730</v>
      </c>
      <c r="T15" s="499">
        <f>'[1]TASA DE FALLA'!DF15</f>
        <v>41760</v>
      </c>
      <c r="U15" s="500"/>
    </row>
    <row r="16" spans="1:21" s="501" customFormat="1" ht="34.5" customHeight="1" hidden="1">
      <c r="A16" s="492"/>
      <c r="B16" s="493"/>
      <c r="C16" s="502"/>
      <c r="D16" s="503"/>
      <c r="E16" s="504"/>
      <c r="F16" s="505"/>
      <c r="G16" s="506"/>
      <c r="H16" s="507"/>
      <c r="I16" s="508"/>
      <c r="J16" s="507"/>
      <c r="K16" s="508"/>
      <c r="L16" s="507"/>
      <c r="M16" s="508"/>
      <c r="N16" s="507"/>
      <c r="O16" s="508"/>
      <c r="P16" s="507"/>
      <c r="Q16" s="508"/>
      <c r="R16" s="507"/>
      <c r="S16" s="508"/>
      <c r="T16" s="508"/>
      <c r="U16" s="500"/>
    </row>
    <row r="17" spans="1:21" s="501" customFormat="1" ht="34.5" customHeight="1" hidden="1">
      <c r="A17" s="492"/>
      <c r="B17" s="493"/>
      <c r="C17" s="502"/>
      <c r="D17" s="503"/>
      <c r="E17" s="504"/>
      <c r="F17" s="505"/>
      <c r="G17" s="506"/>
      <c r="H17" s="507"/>
      <c r="I17" s="508"/>
      <c r="J17" s="507"/>
      <c r="K17" s="508"/>
      <c r="L17" s="507"/>
      <c r="M17" s="508"/>
      <c r="N17" s="507"/>
      <c r="O17" s="508"/>
      <c r="P17" s="507"/>
      <c r="Q17" s="508"/>
      <c r="R17" s="507"/>
      <c r="S17" s="508"/>
      <c r="T17" s="508"/>
      <c r="U17" s="500"/>
    </row>
    <row r="18" spans="2:21" ht="15" customHeight="1" thickTop="1">
      <c r="B18" s="486"/>
      <c r="C18" s="509"/>
      <c r="D18" s="510"/>
      <c r="E18" s="510"/>
      <c r="F18" s="511"/>
      <c r="G18" s="512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4"/>
      <c r="U18" s="491"/>
    </row>
    <row r="19" spans="2:21" ht="15" customHeight="1">
      <c r="B19" s="486"/>
      <c r="C19" s="515">
        <f>'[2]TASA DE FALLA'!C19</f>
        <v>1</v>
      </c>
      <c r="D19" s="515" t="str">
        <f>'[2]TASA DE FALLA'!D19</f>
        <v>ARROYITO - CHARROYITO 1</v>
      </c>
      <c r="E19" s="515">
        <f>'[2]TASA DE FALLA'!E19</f>
        <v>132</v>
      </c>
      <c r="F19" s="515">
        <f>'[2]TASA DE FALLA'!F19</f>
        <v>1</v>
      </c>
      <c r="G19" s="515" t="str">
        <f>'[2]TASA DE FALLA'!G19</f>
        <v>L</v>
      </c>
      <c r="H19" s="516">
        <f>+IF('[2]TASA DE FALLA'!CT19=0,"",'[2]TASA DE FALLA'!CT19)</f>
      </c>
      <c r="I19" s="516">
        <f>+IF('[2]TASA DE FALLA'!CU19=0,"",'[2]TASA DE FALLA'!CU19)</f>
      </c>
      <c r="J19" s="516">
        <f>+IF('[2]TASA DE FALLA'!CV19=0,"",'[2]TASA DE FALLA'!CV19)</f>
      </c>
      <c r="K19" s="516">
        <f>+IF('[2]TASA DE FALLA'!CW19=0,"",'[2]TASA DE FALLA'!CW19)</f>
      </c>
      <c r="L19" s="516">
        <f>+IF('[2]TASA DE FALLA'!CX19=0,"",'[2]TASA DE FALLA'!CX19)</f>
      </c>
      <c r="M19" s="516">
        <f>+IF('[2]TASA DE FALLA'!CY19=0,"",'[2]TASA DE FALLA'!CY19)</f>
      </c>
      <c r="N19" s="516">
        <f>+IF('[2]TASA DE FALLA'!CZ19=0,"",'[2]TASA DE FALLA'!CZ19)</f>
      </c>
      <c r="O19" s="516">
        <f>+IF('[2]TASA DE FALLA'!DA19=0,"",'[2]TASA DE FALLA'!DA19)</f>
      </c>
      <c r="P19" s="516">
        <f>+IF('[2]TASA DE FALLA'!DB19=0,"",'[2]TASA DE FALLA'!DB19)</f>
      </c>
      <c r="Q19" s="516">
        <f>+IF('[2]TASA DE FALLA'!DC19=0,"",'[2]TASA DE FALLA'!DC19)</f>
        <v>1</v>
      </c>
      <c r="R19" s="516">
        <f>+IF('[2]TASA DE FALLA'!DD19=0,"",'[2]TASA DE FALLA'!DD19)</f>
      </c>
      <c r="S19" s="516">
        <f>+IF('[2]TASA DE FALLA'!DE19=0,"",'[2]TASA DE FALLA'!DE19)</f>
      </c>
      <c r="T19" s="514"/>
      <c r="U19" s="491"/>
    </row>
    <row r="20" spans="2:21" ht="15" customHeight="1">
      <c r="B20" s="486"/>
      <c r="C20" s="515">
        <f>'[2]TASA DE FALLA'!C20</f>
        <v>2</v>
      </c>
      <c r="D20" s="515" t="str">
        <f>'[2]TASA DE FALLA'!D20</f>
        <v>ARROYITO - CHARROYITO 2</v>
      </c>
      <c r="E20" s="515">
        <f>'[2]TASA DE FALLA'!E20</f>
        <v>132</v>
      </c>
      <c r="F20" s="515">
        <f>'[2]TASA DE FALLA'!F20</f>
        <v>1</v>
      </c>
      <c r="G20" s="515" t="str">
        <f>'[2]TASA DE FALLA'!G20</f>
        <v>L</v>
      </c>
      <c r="H20" s="516">
        <f>+IF('[2]TASA DE FALLA'!CT20=0,"",'[2]TASA DE FALLA'!CT20)</f>
      </c>
      <c r="I20" s="516">
        <f>+IF('[2]TASA DE FALLA'!CU20=0,"",'[2]TASA DE FALLA'!CU20)</f>
      </c>
      <c r="J20" s="516">
        <f>+IF('[2]TASA DE FALLA'!CV20=0,"",'[2]TASA DE FALLA'!CV20)</f>
      </c>
      <c r="K20" s="516">
        <f>+IF('[2]TASA DE FALLA'!CW20=0,"",'[2]TASA DE FALLA'!CW20)</f>
      </c>
      <c r="L20" s="516">
        <f>+IF('[2]TASA DE FALLA'!CX20=0,"",'[2]TASA DE FALLA'!CX20)</f>
      </c>
      <c r="M20" s="516">
        <f>+IF('[2]TASA DE FALLA'!CY20=0,"",'[2]TASA DE FALLA'!CY20)</f>
      </c>
      <c r="N20" s="516">
        <f>+IF('[2]TASA DE FALLA'!CZ20=0,"",'[2]TASA DE FALLA'!CZ20)</f>
      </c>
      <c r="O20" s="516">
        <f>+IF('[2]TASA DE FALLA'!DA20=0,"",'[2]TASA DE FALLA'!DA20)</f>
      </c>
      <c r="P20" s="516">
        <f>+IF('[2]TASA DE FALLA'!DB20=0,"",'[2]TASA DE FALLA'!DB20)</f>
      </c>
      <c r="Q20" s="516">
        <f>+IF('[2]TASA DE FALLA'!DC20=0,"",'[2]TASA DE FALLA'!DC20)</f>
      </c>
      <c r="R20" s="516">
        <f>+IF('[2]TASA DE FALLA'!DD20=0,"",'[2]TASA DE FALLA'!DD20)</f>
      </c>
      <c r="S20" s="516">
        <f>+IF('[2]TASA DE FALLA'!DE20=0,"",'[2]TASA DE FALLA'!DE20)</f>
      </c>
      <c r="T20" s="514"/>
      <c r="U20" s="491"/>
    </row>
    <row r="21" spans="2:21" ht="15" customHeight="1">
      <c r="B21" s="486"/>
      <c r="C21" s="515">
        <f>'[2]TASA DE FALLA'!C21</f>
        <v>3</v>
      </c>
      <c r="D21" s="515" t="str">
        <f>'[2]TASA DE FALLA'!D21</f>
        <v>ARROYITO - CHARROYITO 3</v>
      </c>
      <c r="E21" s="515">
        <f>'[2]TASA DE FALLA'!E21</f>
        <v>132</v>
      </c>
      <c r="F21" s="515">
        <f>'[2]TASA DE FALLA'!F21</f>
        <v>1</v>
      </c>
      <c r="G21" s="515" t="str">
        <f>'[2]TASA DE FALLA'!G21</f>
        <v>L</v>
      </c>
      <c r="H21" s="516">
        <f>+IF('[2]TASA DE FALLA'!CT21=0,"",'[2]TASA DE FALLA'!CT21)</f>
        <v>1</v>
      </c>
      <c r="I21" s="516">
        <f>+IF('[2]TASA DE FALLA'!CU21=0,"",'[2]TASA DE FALLA'!CU21)</f>
      </c>
      <c r="J21" s="516">
        <f>+IF('[2]TASA DE FALLA'!CV21=0,"",'[2]TASA DE FALLA'!CV21)</f>
      </c>
      <c r="K21" s="516">
        <f>+IF('[2]TASA DE FALLA'!CW21=0,"",'[2]TASA DE FALLA'!CW21)</f>
      </c>
      <c r="L21" s="516">
        <f>+IF('[2]TASA DE FALLA'!CX21=0,"",'[2]TASA DE FALLA'!CX21)</f>
      </c>
      <c r="M21" s="516">
        <f>+IF('[2]TASA DE FALLA'!CY21=0,"",'[2]TASA DE FALLA'!CY21)</f>
      </c>
      <c r="N21" s="516">
        <f>+IF('[2]TASA DE FALLA'!CZ21=0,"",'[2]TASA DE FALLA'!CZ21)</f>
      </c>
      <c r="O21" s="516">
        <f>+IF('[2]TASA DE FALLA'!DA21=0,"",'[2]TASA DE FALLA'!DA21)</f>
      </c>
      <c r="P21" s="516">
        <f>+IF('[2]TASA DE FALLA'!DB21=0,"",'[2]TASA DE FALLA'!DB21)</f>
      </c>
      <c r="Q21" s="516">
        <f>+IF('[2]TASA DE FALLA'!DC21=0,"",'[2]TASA DE FALLA'!DC21)</f>
        <v>1</v>
      </c>
      <c r="R21" s="516">
        <f>+IF('[2]TASA DE FALLA'!DD21=0,"",'[2]TASA DE FALLA'!DD21)</f>
      </c>
      <c r="S21" s="516">
        <f>+IF('[2]TASA DE FALLA'!DE21=0,"",'[2]TASA DE FALLA'!DE21)</f>
        <v>1</v>
      </c>
      <c r="T21" s="514"/>
      <c r="U21" s="491"/>
    </row>
    <row r="22" spans="2:21" ht="15" customHeight="1">
      <c r="B22" s="486"/>
      <c r="C22" s="515">
        <f>'[2]TASA DE FALLA'!C22</f>
        <v>4</v>
      </c>
      <c r="D22" s="515" t="str">
        <f>'[2]TASA DE FALLA'!D22</f>
        <v>ARROYITO - CHOCON 1</v>
      </c>
      <c r="E22" s="515">
        <f>'[2]TASA DE FALLA'!E22</f>
        <v>132</v>
      </c>
      <c r="F22" s="515">
        <f>'[2]TASA DE FALLA'!F22</f>
        <v>25</v>
      </c>
      <c r="G22" s="515" t="str">
        <f>'[2]TASA DE FALLA'!G22</f>
        <v>L</v>
      </c>
      <c r="H22" s="516">
        <f>+IF('[2]TASA DE FALLA'!CT22=0,"",'[2]TASA DE FALLA'!CT22)</f>
      </c>
      <c r="I22" s="516">
        <f>+IF('[2]TASA DE FALLA'!CU22=0,"",'[2]TASA DE FALLA'!CU22)</f>
      </c>
      <c r="J22" s="516">
        <f>+IF('[2]TASA DE FALLA'!CV22=0,"",'[2]TASA DE FALLA'!CV22)</f>
      </c>
      <c r="K22" s="516">
        <f>+IF('[2]TASA DE FALLA'!CW22=0,"",'[2]TASA DE FALLA'!CW22)</f>
      </c>
      <c r="L22" s="516">
        <f>+IF('[2]TASA DE FALLA'!CX22=0,"",'[2]TASA DE FALLA'!CX22)</f>
      </c>
      <c r="M22" s="516">
        <f>+IF('[2]TASA DE FALLA'!CY22=0,"",'[2]TASA DE FALLA'!CY22)</f>
      </c>
      <c r="N22" s="516">
        <f>+IF('[2]TASA DE FALLA'!CZ22=0,"",'[2]TASA DE FALLA'!CZ22)</f>
      </c>
      <c r="O22" s="516">
        <f>+IF('[2]TASA DE FALLA'!DA22=0,"",'[2]TASA DE FALLA'!DA22)</f>
      </c>
      <c r="P22" s="516">
        <f>+IF('[2]TASA DE FALLA'!DB22=0,"",'[2]TASA DE FALLA'!DB22)</f>
      </c>
      <c r="Q22" s="516">
        <f>+IF('[2]TASA DE FALLA'!DC22=0,"",'[2]TASA DE FALLA'!DC22)</f>
      </c>
      <c r="R22" s="516">
        <f>+IF('[2]TASA DE FALLA'!DD22=0,"",'[2]TASA DE FALLA'!DD22)</f>
      </c>
      <c r="S22" s="516">
        <f>+IF('[2]TASA DE FALLA'!DE22=0,"",'[2]TASA DE FALLA'!DE22)</f>
      </c>
      <c r="T22" s="514"/>
      <c r="U22" s="491"/>
    </row>
    <row r="23" spans="2:21" ht="15" customHeight="1">
      <c r="B23" s="486"/>
      <c r="C23" s="515">
        <f>'[2]TASA DE FALLA'!C23</f>
        <v>5</v>
      </c>
      <c r="D23" s="515" t="str">
        <f>'[2]TASA DE FALLA'!D23</f>
        <v>ARROYITO - CHOCON 2</v>
      </c>
      <c r="E23" s="515">
        <f>'[2]TASA DE FALLA'!E23</f>
        <v>132</v>
      </c>
      <c r="F23" s="515">
        <f>'[2]TASA DE FALLA'!F23</f>
        <v>25</v>
      </c>
      <c r="G23" s="515" t="str">
        <f>'[2]TASA DE FALLA'!G23</f>
        <v>L</v>
      </c>
      <c r="H23" s="516">
        <f>+IF('[2]TASA DE FALLA'!CT23=0,"",'[2]TASA DE FALLA'!CT23)</f>
        <v>1</v>
      </c>
      <c r="I23" s="516">
        <f>+IF('[2]TASA DE FALLA'!CU23=0,"",'[2]TASA DE FALLA'!CU23)</f>
      </c>
      <c r="J23" s="516">
        <f>+IF('[2]TASA DE FALLA'!CV23=0,"",'[2]TASA DE FALLA'!CV23)</f>
      </c>
      <c r="K23" s="516">
        <f>+IF('[2]TASA DE FALLA'!CW23=0,"",'[2]TASA DE FALLA'!CW23)</f>
      </c>
      <c r="L23" s="516">
        <f>+IF('[2]TASA DE FALLA'!CX23=0,"",'[2]TASA DE FALLA'!CX23)</f>
      </c>
      <c r="M23" s="516">
        <f>+IF('[2]TASA DE FALLA'!CY23=0,"",'[2]TASA DE FALLA'!CY23)</f>
      </c>
      <c r="N23" s="516">
        <f>+IF('[2]TASA DE FALLA'!CZ23=0,"",'[2]TASA DE FALLA'!CZ23)</f>
      </c>
      <c r="O23" s="516">
        <f>+IF('[2]TASA DE FALLA'!DA23=0,"",'[2]TASA DE FALLA'!DA23)</f>
      </c>
      <c r="P23" s="516">
        <f>+IF('[2]TASA DE FALLA'!DB23=0,"",'[2]TASA DE FALLA'!DB23)</f>
      </c>
      <c r="Q23" s="516">
        <f>+IF('[2]TASA DE FALLA'!DC23=0,"",'[2]TASA DE FALLA'!DC23)</f>
      </c>
      <c r="R23" s="516">
        <f>+IF('[2]TASA DE FALLA'!DD23=0,"",'[2]TASA DE FALLA'!DD23)</f>
      </c>
      <c r="S23" s="516">
        <f>+IF('[2]TASA DE FALLA'!DE23=0,"",'[2]TASA DE FALLA'!DE23)</f>
      </c>
      <c r="T23" s="514"/>
      <c r="U23" s="491"/>
    </row>
    <row r="24" spans="2:21" ht="15" customHeight="1">
      <c r="B24" s="486"/>
      <c r="C24" s="515">
        <f>'[2]TASA DE FALLA'!C24</f>
        <v>6</v>
      </c>
      <c r="D24" s="515" t="str">
        <f>'[2]TASA DE FALLA'!D24</f>
        <v>ARROYITO - PIAP 1</v>
      </c>
      <c r="E24" s="515">
        <f>'[2]TASA DE FALLA'!E24</f>
        <v>132</v>
      </c>
      <c r="F24" s="515">
        <f>'[2]TASA DE FALLA'!F24</f>
        <v>2</v>
      </c>
      <c r="G24" s="515" t="str">
        <f>'[2]TASA DE FALLA'!G24</f>
        <v>L</v>
      </c>
      <c r="H24" s="516">
        <f>+IF('[2]TASA DE FALLA'!CT24=0,"",'[2]TASA DE FALLA'!CT24)</f>
      </c>
      <c r="I24" s="516">
        <f>+IF('[2]TASA DE FALLA'!CU24=0,"",'[2]TASA DE FALLA'!CU24)</f>
      </c>
      <c r="J24" s="516">
        <f>+IF('[2]TASA DE FALLA'!CV24=0,"",'[2]TASA DE FALLA'!CV24)</f>
      </c>
      <c r="K24" s="516">
        <f>+IF('[2]TASA DE FALLA'!CW24=0,"",'[2]TASA DE FALLA'!CW24)</f>
      </c>
      <c r="L24" s="516">
        <f>+IF('[2]TASA DE FALLA'!CX24=0,"",'[2]TASA DE FALLA'!CX24)</f>
      </c>
      <c r="M24" s="516">
        <f>+IF('[2]TASA DE FALLA'!CY24=0,"",'[2]TASA DE FALLA'!CY24)</f>
      </c>
      <c r="N24" s="516">
        <f>+IF('[2]TASA DE FALLA'!CZ24=0,"",'[2]TASA DE FALLA'!CZ24)</f>
      </c>
      <c r="O24" s="516">
        <f>+IF('[2]TASA DE FALLA'!DA24=0,"",'[2]TASA DE FALLA'!DA24)</f>
      </c>
      <c r="P24" s="516">
        <f>+IF('[2]TASA DE FALLA'!DB24=0,"",'[2]TASA DE FALLA'!DB24)</f>
      </c>
      <c r="Q24" s="516">
        <f>+IF('[2]TASA DE FALLA'!DC24=0,"",'[2]TASA DE FALLA'!DC24)</f>
      </c>
      <c r="R24" s="516">
        <f>+IF('[2]TASA DE FALLA'!DD24=0,"",'[2]TASA DE FALLA'!DD24)</f>
      </c>
      <c r="S24" s="516">
        <f>+IF('[2]TASA DE FALLA'!DE24=0,"",'[2]TASA DE FALLA'!DE24)</f>
      </c>
      <c r="T24" s="514"/>
      <c r="U24" s="491"/>
    </row>
    <row r="25" spans="2:21" ht="15" customHeight="1">
      <c r="B25" s="486"/>
      <c r="C25" s="515">
        <f>'[2]TASA DE FALLA'!C25</f>
        <v>7</v>
      </c>
      <c r="D25" s="515" t="str">
        <f>'[2]TASA DE FALLA'!D25</f>
        <v>ARROYITO - PIAP 2</v>
      </c>
      <c r="E25" s="515">
        <f>'[2]TASA DE FALLA'!E25</f>
        <v>132</v>
      </c>
      <c r="F25" s="515">
        <f>'[2]TASA DE FALLA'!F25</f>
        <v>2</v>
      </c>
      <c r="G25" s="515" t="str">
        <f>'[2]TASA DE FALLA'!G25</f>
        <v>L</v>
      </c>
      <c r="H25" s="516">
        <f>+IF('[2]TASA DE FALLA'!CT25=0,"",'[2]TASA DE FALLA'!CT25)</f>
        <v>1</v>
      </c>
      <c r="I25" s="516">
        <f>+IF('[2]TASA DE FALLA'!CU25=0,"",'[2]TASA DE FALLA'!CU25)</f>
      </c>
      <c r="J25" s="516">
        <f>+IF('[2]TASA DE FALLA'!CV25=0,"",'[2]TASA DE FALLA'!CV25)</f>
      </c>
      <c r="K25" s="516">
        <f>+IF('[2]TASA DE FALLA'!CW25=0,"",'[2]TASA DE FALLA'!CW25)</f>
      </c>
      <c r="L25" s="516">
        <f>+IF('[2]TASA DE FALLA'!CX25=0,"",'[2]TASA DE FALLA'!CX25)</f>
      </c>
      <c r="M25" s="516">
        <f>+IF('[2]TASA DE FALLA'!CY25=0,"",'[2]TASA DE FALLA'!CY25)</f>
      </c>
      <c r="N25" s="516">
        <f>+IF('[2]TASA DE FALLA'!CZ25=0,"",'[2]TASA DE FALLA'!CZ25)</f>
      </c>
      <c r="O25" s="516">
        <f>+IF('[2]TASA DE FALLA'!DA25=0,"",'[2]TASA DE FALLA'!DA25)</f>
      </c>
      <c r="P25" s="516">
        <f>+IF('[2]TASA DE FALLA'!DB25=0,"",'[2]TASA DE FALLA'!DB25)</f>
      </c>
      <c r="Q25" s="516">
        <f>+IF('[2]TASA DE FALLA'!DC25=0,"",'[2]TASA DE FALLA'!DC25)</f>
      </c>
      <c r="R25" s="516">
        <f>+IF('[2]TASA DE FALLA'!DD25=0,"",'[2]TASA DE FALLA'!DD25)</f>
      </c>
      <c r="S25" s="516">
        <f>+IF('[2]TASA DE FALLA'!DE25=0,"",'[2]TASA DE FALLA'!DE25)</f>
      </c>
      <c r="T25" s="514"/>
      <c r="U25" s="491"/>
    </row>
    <row r="26" spans="2:21" ht="15" customHeight="1">
      <c r="B26" s="486"/>
      <c r="C26" s="515">
        <f>'[2]TASA DE FALLA'!C26</f>
        <v>8</v>
      </c>
      <c r="D26" s="515" t="str">
        <f>'[2]TASA DE FALLA'!D26</f>
        <v>ALTO VALLE - CENTENARIO</v>
      </c>
      <c r="E26" s="515">
        <f>'[2]TASA DE FALLA'!E26</f>
        <v>132</v>
      </c>
      <c r="F26" s="515">
        <f>'[2]TASA DE FALLA'!F26</f>
        <v>17</v>
      </c>
      <c r="G26" s="515" t="str">
        <f>'[2]TASA DE FALLA'!G26</f>
        <v>L</v>
      </c>
      <c r="H26" s="516">
        <f>+IF('[2]TASA DE FALLA'!CT26=0,"",'[2]TASA DE FALLA'!CT26)</f>
      </c>
      <c r="I26" s="516">
        <f>+IF('[2]TASA DE FALLA'!CU26=0,"",'[2]TASA DE FALLA'!CU26)</f>
        <v>1</v>
      </c>
      <c r="J26" s="516">
        <f>+IF('[2]TASA DE FALLA'!CV26=0,"",'[2]TASA DE FALLA'!CV26)</f>
      </c>
      <c r="K26" s="516">
        <f>+IF('[2]TASA DE FALLA'!CW26=0,"",'[2]TASA DE FALLA'!CW26)</f>
      </c>
      <c r="L26" s="516">
        <f>+IF('[2]TASA DE FALLA'!CX26=0,"",'[2]TASA DE FALLA'!CX26)</f>
      </c>
      <c r="M26" s="516">
        <f>+IF('[2]TASA DE FALLA'!CY26=0,"",'[2]TASA DE FALLA'!CY26)</f>
      </c>
      <c r="N26" s="516">
        <f>+IF('[2]TASA DE FALLA'!CZ26=0,"",'[2]TASA DE FALLA'!CZ26)</f>
      </c>
      <c r="O26" s="516">
        <f>+IF('[2]TASA DE FALLA'!DA26=0,"",'[2]TASA DE FALLA'!DA26)</f>
      </c>
      <c r="P26" s="516">
        <f>+IF('[2]TASA DE FALLA'!DB26=0,"",'[2]TASA DE FALLA'!DB26)</f>
        <v>1</v>
      </c>
      <c r="Q26" s="516">
        <f>+IF('[2]TASA DE FALLA'!DC26=0,"",'[2]TASA DE FALLA'!DC26)</f>
      </c>
      <c r="R26" s="516">
        <f>+IF('[2]TASA DE FALLA'!DD26=0,"",'[2]TASA DE FALLA'!DD26)</f>
      </c>
      <c r="S26" s="516">
        <f>+IF('[2]TASA DE FALLA'!DE26=0,"",'[2]TASA DE FALLA'!DE26)</f>
      </c>
      <c r="T26" s="514"/>
      <c r="U26" s="491"/>
    </row>
    <row r="27" spans="2:21" ht="15" customHeight="1">
      <c r="B27" s="486"/>
      <c r="C27" s="515">
        <f>'[2]TASA DE FALLA'!C27</f>
        <v>10</v>
      </c>
      <c r="D27" s="515" t="str">
        <f>'[2]TASA DE FALLA'!D27</f>
        <v>ALTO VALLE - COLONIA VALENTINA - ARROYITO</v>
      </c>
      <c r="E27" s="515">
        <f>'[2]TASA DE FALLA'!E27</f>
        <v>132</v>
      </c>
      <c r="F27" s="515">
        <f>'[2]TASA DE FALLA'!F27</f>
        <v>58.9</v>
      </c>
      <c r="G27" s="515" t="str">
        <f>'[2]TASA DE FALLA'!G27</f>
        <v>L</v>
      </c>
      <c r="H27" s="516">
        <f>+IF('[2]TASA DE FALLA'!CT27=0,"",'[2]TASA DE FALLA'!CT27)</f>
        <v>2</v>
      </c>
      <c r="I27" s="516">
        <f>+IF('[2]TASA DE FALLA'!CU27=0,"",'[2]TASA DE FALLA'!CU27)</f>
      </c>
      <c r="J27" s="516">
        <f>+IF('[2]TASA DE FALLA'!CV27=0,"",'[2]TASA DE FALLA'!CV27)</f>
      </c>
      <c r="K27" s="516">
        <f>+IF('[2]TASA DE FALLA'!CW27=0,"",'[2]TASA DE FALLA'!CW27)</f>
      </c>
      <c r="L27" s="516">
        <f>+IF('[2]TASA DE FALLA'!CX27=0,"",'[2]TASA DE FALLA'!CX27)</f>
      </c>
      <c r="M27" s="516">
        <f>+IF('[2]TASA DE FALLA'!CY27=0,"",'[2]TASA DE FALLA'!CY27)</f>
      </c>
      <c r="N27" s="516">
        <f>+IF('[2]TASA DE FALLA'!CZ27=0,"",'[2]TASA DE FALLA'!CZ27)</f>
      </c>
      <c r="O27" s="516">
        <f>+IF('[2]TASA DE FALLA'!DA27=0,"",'[2]TASA DE FALLA'!DA27)</f>
      </c>
      <c r="P27" s="516">
        <f>+IF('[2]TASA DE FALLA'!DB27=0,"",'[2]TASA DE FALLA'!DB27)</f>
        <v>1</v>
      </c>
      <c r="Q27" s="516">
        <f>+IF('[2]TASA DE FALLA'!DC27=0,"",'[2]TASA DE FALLA'!DC27)</f>
      </c>
      <c r="R27" s="516">
        <f>+IF('[2]TASA DE FALLA'!DD27=0,"",'[2]TASA DE FALLA'!DD27)</f>
      </c>
      <c r="S27" s="516">
        <f>+IF('[2]TASA DE FALLA'!DE27=0,"",'[2]TASA DE FALLA'!DE27)</f>
      </c>
      <c r="T27" s="514"/>
      <c r="U27" s="491"/>
    </row>
    <row r="28" spans="2:21" ht="15" customHeight="1">
      <c r="B28" s="486"/>
      <c r="C28" s="515">
        <f>'[2]TASA DE FALLA'!C28</f>
        <v>11</v>
      </c>
      <c r="D28" s="515" t="str">
        <f>'[2]TASA DE FALLA'!D28</f>
        <v>CHOCON OESTE - CHOCON</v>
      </c>
      <c r="E28" s="515">
        <f>'[2]TASA DE FALLA'!E28</f>
        <v>132</v>
      </c>
      <c r="F28" s="515">
        <f>'[2]TASA DE FALLA'!F28</f>
        <v>3.5</v>
      </c>
      <c r="G28" s="515" t="str">
        <f>'[2]TASA DE FALLA'!G28</f>
        <v>L</v>
      </c>
      <c r="H28" s="516">
        <f>+IF('[2]TASA DE FALLA'!CT28=0,"",'[2]TASA DE FALLA'!CT28)</f>
      </c>
      <c r="I28" s="516">
        <f>+IF('[2]TASA DE FALLA'!CU28=0,"",'[2]TASA DE FALLA'!CU28)</f>
      </c>
      <c r="J28" s="516">
        <f>+IF('[2]TASA DE FALLA'!CV28=0,"",'[2]TASA DE FALLA'!CV28)</f>
      </c>
      <c r="K28" s="516">
        <f>+IF('[2]TASA DE FALLA'!CW28=0,"",'[2]TASA DE FALLA'!CW28)</f>
      </c>
      <c r="L28" s="516">
        <f>+IF('[2]TASA DE FALLA'!CX28=0,"",'[2]TASA DE FALLA'!CX28)</f>
      </c>
      <c r="M28" s="516">
        <f>+IF('[2]TASA DE FALLA'!CY28=0,"",'[2]TASA DE FALLA'!CY28)</f>
      </c>
      <c r="N28" s="516">
        <f>+IF('[2]TASA DE FALLA'!CZ28=0,"",'[2]TASA DE FALLA'!CZ28)</f>
      </c>
      <c r="O28" s="516">
        <f>+IF('[2]TASA DE FALLA'!DA28=0,"",'[2]TASA DE FALLA'!DA28)</f>
      </c>
      <c r="P28" s="516">
        <f>+IF('[2]TASA DE FALLA'!DB28=0,"",'[2]TASA DE FALLA'!DB28)</f>
      </c>
      <c r="Q28" s="516">
        <f>+IF('[2]TASA DE FALLA'!DC28=0,"",'[2]TASA DE FALLA'!DC28)</f>
      </c>
      <c r="R28" s="516">
        <f>+IF('[2]TASA DE FALLA'!DD28=0,"",'[2]TASA DE FALLA'!DD28)</f>
      </c>
      <c r="S28" s="516">
        <f>+IF('[2]TASA DE FALLA'!DE28=0,"",'[2]TASA DE FALLA'!DE28)</f>
      </c>
      <c r="T28" s="514"/>
      <c r="U28" s="491"/>
    </row>
    <row r="29" spans="2:21" ht="15" customHeight="1">
      <c r="B29" s="486"/>
      <c r="C29" s="515">
        <f>'[2]TASA DE FALLA'!C29</f>
        <v>18</v>
      </c>
      <c r="D29" s="515" t="str">
        <f>'[2]TASA DE FALLA'!D29</f>
        <v>MEDANITOS - PTO. SECCIONAMIENTO</v>
      </c>
      <c r="E29" s="515">
        <f>'[2]TASA DE FALLA'!E29</f>
        <v>132</v>
      </c>
      <c r="F29" s="515">
        <f>'[2]TASA DE FALLA'!F29</f>
        <v>41</v>
      </c>
      <c r="G29" s="515" t="str">
        <f>'[2]TASA DE FALLA'!G29</f>
        <v>L</v>
      </c>
      <c r="H29" s="516">
        <f>+IF('[2]TASA DE FALLA'!CT29=0,"",'[2]TASA DE FALLA'!CT29)</f>
      </c>
      <c r="I29" s="516">
        <f>+IF('[2]TASA DE FALLA'!CU29=0,"",'[2]TASA DE FALLA'!CU29)</f>
      </c>
      <c r="J29" s="516">
        <f>+IF('[2]TASA DE FALLA'!CV29=0,"",'[2]TASA DE FALLA'!CV29)</f>
      </c>
      <c r="K29" s="516">
        <f>+IF('[2]TASA DE FALLA'!CW29=0,"",'[2]TASA DE FALLA'!CW29)</f>
      </c>
      <c r="L29" s="516">
        <f>+IF('[2]TASA DE FALLA'!CX29=0,"",'[2]TASA DE FALLA'!CX29)</f>
      </c>
      <c r="M29" s="516">
        <f>+IF('[2]TASA DE FALLA'!CY29=0,"",'[2]TASA DE FALLA'!CY29)</f>
      </c>
      <c r="N29" s="516">
        <f>+IF('[2]TASA DE FALLA'!CZ29=0,"",'[2]TASA DE FALLA'!CZ29)</f>
      </c>
      <c r="O29" s="516">
        <f>+IF('[2]TASA DE FALLA'!DA29=0,"",'[2]TASA DE FALLA'!DA29)</f>
      </c>
      <c r="P29" s="516">
        <f>+IF('[2]TASA DE FALLA'!DB29=0,"",'[2]TASA DE FALLA'!DB29)</f>
      </c>
      <c r="Q29" s="516">
        <f>+IF('[2]TASA DE FALLA'!DC29=0,"",'[2]TASA DE FALLA'!DC29)</f>
      </c>
      <c r="R29" s="516">
        <f>+IF('[2]TASA DE FALLA'!DD29=0,"",'[2]TASA DE FALLA'!DD29)</f>
      </c>
      <c r="S29" s="516">
        <f>+IF('[2]TASA DE FALLA'!DE29=0,"",'[2]TASA DE FALLA'!DE29)</f>
      </c>
      <c r="T29" s="514"/>
      <c r="U29" s="491"/>
    </row>
    <row r="30" spans="2:21" ht="15" customHeight="1">
      <c r="B30" s="486"/>
      <c r="C30" s="515">
        <f>'[2]TASA DE FALLA'!C30</f>
        <v>19</v>
      </c>
      <c r="D30" s="515" t="str">
        <f>'[2]TASA DE FALLA'!D30</f>
        <v>PIEDRA DEL AGUILA - EL CHOCON</v>
      </c>
      <c r="E30" s="515">
        <f>'[2]TASA DE FALLA'!E30</f>
        <v>132</v>
      </c>
      <c r="F30" s="515">
        <f>'[2]TASA DE FALLA'!F30</f>
        <v>170</v>
      </c>
      <c r="G30" s="515" t="str">
        <f>'[2]TASA DE FALLA'!G30</f>
        <v>L</v>
      </c>
      <c r="H30" s="516">
        <f>+IF('[2]TASA DE FALLA'!CT30=0,"",'[2]TASA DE FALLA'!CT30)</f>
      </c>
      <c r="I30" s="516">
        <f>+IF('[2]TASA DE FALLA'!CU30=0,"",'[2]TASA DE FALLA'!CU30)</f>
      </c>
      <c r="J30" s="516">
        <f>+IF('[2]TASA DE FALLA'!CV30=0,"",'[2]TASA DE FALLA'!CV30)</f>
      </c>
      <c r="K30" s="516">
        <f>+IF('[2]TASA DE FALLA'!CW30=0,"",'[2]TASA DE FALLA'!CW30)</f>
      </c>
      <c r="L30" s="516">
        <f>+IF('[2]TASA DE FALLA'!CX30=0,"",'[2]TASA DE FALLA'!CX30)</f>
      </c>
      <c r="M30" s="516">
        <f>+IF('[2]TASA DE FALLA'!CY30=0,"",'[2]TASA DE FALLA'!CY30)</f>
      </c>
      <c r="N30" s="516">
        <f>+IF('[2]TASA DE FALLA'!CZ30=0,"",'[2]TASA DE FALLA'!CZ30)</f>
      </c>
      <c r="O30" s="516">
        <f>+IF('[2]TASA DE FALLA'!DA30=0,"",'[2]TASA DE FALLA'!DA30)</f>
      </c>
      <c r="P30" s="516">
        <f>+IF('[2]TASA DE FALLA'!DB30=0,"",'[2]TASA DE FALLA'!DB30)</f>
      </c>
      <c r="Q30" s="516">
        <f>+IF('[2]TASA DE FALLA'!DC30=0,"",'[2]TASA DE FALLA'!DC30)</f>
      </c>
      <c r="R30" s="516">
        <f>+IF('[2]TASA DE FALLA'!DD30=0,"",'[2]TASA DE FALLA'!DD30)</f>
      </c>
      <c r="S30" s="516">
        <f>+IF('[2]TASA DE FALLA'!DE30=0,"",'[2]TASA DE FALLA'!DE30)</f>
      </c>
      <c r="T30" s="514"/>
      <c r="U30" s="491"/>
    </row>
    <row r="31" spans="2:21" ht="15" customHeight="1">
      <c r="B31" s="486"/>
      <c r="C31" s="515">
        <f>'[2]TASA DE FALLA'!C31</f>
        <v>20</v>
      </c>
      <c r="D31" s="515" t="str">
        <f>'[2]TASA DE FALLA'!D31</f>
        <v>PLAYA PLANICIE BANDERITA - PCIE. BANDERITA</v>
      </c>
      <c r="E31" s="515">
        <f>'[2]TASA DE FALLA'!E31</f>
        <v>132</v>
      </c>
      <c r="F31" s="515">
        <f>'[2]TASA DE FALLA'!F31</f>
        <v>1.5</v>
      </c>
      <c r="G31" s="515" t="str">
        <f>'[2]TASA DE FALLA'!G31</f>
        <v>L</v>
      </c>
      <c r="H31" s="516">
        <f>+IF('[2]TASA DE FALLA'!CT31=0,"",'[2]TASA DE FALLA'!CT31)</f>
      </c>
      <c r="I31" s="516">
        <f>+IF('[2]TASA DE FALLA'!CU31=0,"",'[2]TASA DE FALLA'!CU31)</f>
      </c>
      <c r="J31" s="516">
        <f>+IF('[2]TASA DE FALLA'!CV31=0,"",'[2]TASA DE FALLA'!CV31)</f>
      </c>
      <c r="K31" s="516">
        <f>+IF('[2]TASA DE FALLA'!CW31=0,"",'[2]TASA DE FALLA'!CW31)</f>
      </c>
      <c r="L31" s="516">
        <f>+IF('[2]TASA DE FALLA'!CX31=0,"",'[2]TASA DE FALLA'!CX31)</f>
      </c>
      <c r="M31" s="516">
        <f>+IF('[2]TASA DE FALLA'!CY31=0,"",'[2]TASA DE FALLA'!CY31)</f>
      </c>
      <c r="N31" s="516">
        <f>+IF('[2]TASA DE FALLA'!CZ31=0,"",'[2]TASA DE FALLA'!CZ31)</f>
      </c>
      <c r="O31" s="516">
        <f>+IF('[2]TASA DE FALLA'!DA31=0,"",'[2]TASA DE FALLA'!DA31)</f>
      </c>
      <c r="P31" s="516">
        <f>+IF('[2]TASA DE FALLA'!DB31=0,"",'[2]TASA DE FALLA'!DB31)</f>
      </c>
      <c r="Q31" s="516">
        <f>+IF('[2]TASA DE FALLA'!DC31=0,"",'[2]TASA DE FALLA'!DC31)</f>
      </c>
      <c r="R31" s="516">
        <f>+IF('[2]TASA DE FALLA'!DD31=0,"",'[2]TASA DE FALLA'!DD31)</f>
      </c>
      <c r="S31" s="516">
        <f>+IF('[2]TASA DE FALLA'!DE31=0,"",'[2]TASA DE FALLA'!DE31)</f>
      </c>
      <c r="T31" s="514"/>
      <c r="U31" s="491"/>
    </row>
    <row r="32" spans="2:21" ht="15" customHeight="1">
      <c r="B32" s="486"/>
      <c r="C32" s="515">
        <f>'[2]TASA DE FALLA'!C32</f>
        <v>21</v>
      </c>
      <c r="D32" s="515" t="str">
        <f>'[2]TASA DE FALLA'!D32</f>
        <v>PTO. SECCIONAMIENTO - PTO. HERNANDEZ</v>
      </c>
      <c r="E32" s="515">
        <f>'[2]TASA DE FALLA'!E32</f>
        <v>132</v>
      </c>
      <c r="F32" s="515">
        <f>'[2]TASA DE FALLA'!F32</f>
        <v>89</v>
      </c>
      <c r="G32" s="515" t="str">
        <f>'[2]TASA DE FALLA'!G32</f>
        <v>L</v>
      </c>
      <c r="H32" s="516" t="str">
        <f>+IF('[2]TASA DE FALLA'!CT32=0,"",'[2]TASA DE FALLA'!CT32)</f>
        <v>XXXX</v>
      </c>
      <c r="I32" s="516" t="str">
        <f>+IF('[2]TASA DE FALLA'!CU32=0,"",'[2]TASA DE FALLA'!CU32)</f>
        <v>XXXX</v>
      </c>
      <c r="J32" s="516" t="str">
        <f>+IF('[2]TASA DE FALLA'!CV32=0,"",'[2]TASA DE FALLA'!CV32)</f>
        <v>XXXX</v>
      </c>
      <c r="K32" s="516" t="str">
        <f>+IF('[2]TASA DE FALLA'!CW32=0,"",'[2]TASA DE FALLA'!CW32)</f>
        <v>XXXX</v>
      </c>
      <c r="L32" s="516" t="str">
        <f>+IF('[2]TASA DE FALLA'!CX32=0,"",'[2]TASA DE FALLA'!CX32)</f>
        <v>XXXX</v>
      </c>
      <c r="M32" s="516" t="str">
        <f>+IF('[2]TASA DE FALLA'!CY32=0,"",'[2]TASA DE FALLA'!CY32)</f>
        <v>XXXX</v>
      </c>
      <c r="N32" s="516" t="str">
        <f>+IF('[2]TASA DE FALLA'!CZ32=0,"",'[2]TASA DE FALLA'!CZ32)</f>
        <v>XXXX</v>
      </c>
      <c r="O32" s="516" t="str">
        <f>+IF('[2]TASA DE FALLA'!DA32=0,"",'[2]TASA DE FALLA'!DA32)</f>
        <v>XXXX</v>
      </c>
      <c r="P32" s="516" t="str">
        <f>+IF('[2]TASA DE FALLA'!DB32=0,"",'[2]TASA DE FALLA'!DB32)</f>
        <v>XXXX</v>
      </c>
      <c r="Q32" s="516" t="str">
        <f>+IF('[2]TASA DE FALLA'!DC32=0,"",'[2]TASA DE FALLA'!DC32)</f>
        <v>XXXX</v>
      </c>
      <c r="R32" s="516" t="str">
        <f>+IF('[2]TASA DE FALLA'!DD32=0,"",'[2]TASA DE FALLA'!DD32)</f>
        <v>XXXX</v>
      </c>
      <c r="S32" s="516" t="str">
        <f>+IF('[2]TASA DE FALLA'!DE32=0,"",'[2]TASA DE FALLA'!DE32)</f>
        <v>XXXX</v>
      </c>
      <c r="T32" s="514"/>
      <c r="U32" s="491"/>
    </row>
    <row r="33" spans="2:21" ht="15" customHeight="1">
      <c r="B33" s="486"/>
      <c r="C33" s="515">
        <f>'[2]TASA DE FALLA'!C33</f>
        <v>22</v>
      </c>
      <c r="D33" s="515" t="str">
        <f>'[2]TASA DE FALLA'!D33</f>
        <v>PTO. SECCIONAMIENTO - SEÑAL PICADA</v>
      </c>
      <c r="E33" s="515">
        <f>'[2]TASA DE FALLA'!E33</f>
        <v>132</v>
      </c>
      <c r="F33" s="515">
        <f>'[2]TASA DE FALLA'!F33</f>
        <v>18</v>
      </c>
      <c r="G33" s="515" t="str">
        <f>'[2]TASA DE FALLA'!G33</f>
        <v>L</v>
      </c>
      <c r="H33" s="516">
        <f>+IF('[2]TASA DE FALLA'!CT33=0,"",'[2]TASA DE FALLA'!CT33)</f>
      </c>
      <c r="I33" s="516">
        <f>+IF('[2]TASA DE FALLA'!CU33=0,"",'[2]TASA DE FALLA'!CU33)</f>
      </c>
      <c r="J33" s="516">
        <f>+IF('[2]TASA DE FALLA'!CV33=0,"",'[2]TASA DE FALLA'!CV33)</f>
      </c>
      <c r="K33" s="516">
        <f>+IF('[2]TASA DE FALLA'!CW33=0,"",'[2]TASA DE FALLA'!CW33)</f>
      </c>
      <c r="L33" s="516">
        <f>+IF('[2]TASA DE FALLA'!CX33=0,"",'[2]TASA DE FALLA'!CX33)</f>
      </c>
      <c r="M33" s="516">
        <f>+IF('[2]TASA DE FALLA'!CY33=0,"",'[2]TASA DE FALLA'!CY33)</f>
      </c>
      <c r="N33" s="516">
        <f>+IF('[2]TASA DE FALLA'!CZ33=0,"",'[2]TASA DE FALLA'!CZ33)</f>
      </c>
      <c r="O33" s="516">
        <f>+IF('[2]TASA DE FALLA'!DA33=0,"",'[2]TASA DE FALLA'!DA33)</f>
      </c>
      <c r="P33" s="516">
        <f>+IF('[2]TASA DE FALLA'!DB33=0,"",'[2]TASA DE FALLA'!DB33)</f>
      </c>
      <c r="Q33" s="516">
        <f>+IF('[2]TASA DE FALLA'!DC33=0,"",'[2]TASA DE FALLA'!DC33)</f>
      </c>
      <c r="R33" s="516">
        <f>+IF('[2]TASA DE FALLA'!DD33=0,"",'[2]TASA DE FALLA'!DD33)</f>
      </c>
      <c r="S33" s="516">
        <f>+IF('[2]TASA DE FALLA'!DE33=0,"",'[2]TASA DE FALLA'!DE33)</f>
      </c>
      <c r="T33" s="514"/>
      <c r="U33" s="491"/>
    </row>
    <row r="34" spans="2:21" ht="15" customHeight="1">
      <c r="B34" s="486"/>
      <c r="C34" s="515">
        <f>'[2]TASA DE FALLA'!C34</f>
        <v>29</v>
      </c>
      <c r="D34" s="515" t="str">
        <f>'[2]TASA DE FALLA'!D34</f>
        <v>PUESTO HERNANDEZ - CHIUHIDO II</v>
      </c>
      <c r="E34" s="515">
        <f>'[2]TASA DE FALLA'!E34</f>
        <v>132</v>
      </c>
      <c r="F34" s="515">
        <f>'[2]TASA DE FALLA'!F34</f>
        <v>19.5</v>
      </c>
      <c r="G34" s="515" t="str">
        <f>'[2]TASA DE FALLA'!G34</f>
        <v>L</v>
      </c>
      <c r="H34" s="516">
        <f>+IF('[2]TASA DE FALLA'!CT34=0,"",'[2]TASA DE FALLA'!CT34)</f>
      </c>
      <c r="I34" s="516">
        <f>+IF('[2]TASA DE FALLA'!CU34=0,"",'[2]TASA DE FALLA'!CU34)</f>
      </c>
      <c r="J34" s="516">
        <f>+IF('[2]TASA DE FALLA'!CV34=0,"",'[2]TASA DE FALLA'!CV34)</f>
      </c>
      <c r="K34" s="516">
        <f>+IF('[2]TASA DE FALLA'!CW34=0,"",'[2]TASA DE FALLA'!CW34)</f>
      </c>
      <c r="L34" s="516">
        <f>+IF('[2]TASA DE FALLA'!CX34=0,"",'[2]TASA DE FALLA'!CX34)</f>
      </c>
      <c r="M34" s="516">
        <f>+IF('[2]TASA DE FALLA'!CY34=0,"",'[2]TASA DE FALLA'!CY34)</f>
      </c>
      <c r="N34" s="516">
        <f>+IF('[2]TASA DE FALLA'!CZ34=0,"",'[2]TASA DE FALLA'!CZ34)</f>
      </c>
      <c r="O34" s="516">
        <f>+IF('[2]TASA DE FALLA'!DA34=0,"",'[2]TASA DE FALLA'!DA34)</f>
      </c>
      <c r="P34" s="516">
        <f>+IF('[2]TASA DE FALLA'!DB34=0,"",'[2]TASA DE FALLA'!DB34)</f>
      </c>
      <c r="Q34" s="516">
        <f>+IF('[2]TASA DE FALLA'!DC34=0,"",'[2]TASA DE FALLA'!DC34)</f>
      </c>
      <c r="R34" s="516">
        <f>+IF('[2]TASA DE FALLA'!DD34=0,"",'[2]TASA DE FALLA'!DD34)</f>
        <v>1</v>
      </c>
      <c r="S34" s="516">
        <f>+IF('[2]TASA DE FALLA'!DE34=0,"",'[2]TASA DE FALLA'!DE34)</f>
      </c>
      <c r="T34" s="514"/>
      <c r="U34" s="491"/>
    </row>
    <row r="35" spans="2:21" ht="15" customHeight="1">
      <c r="B35" s="486"/>
      <c r="C35" s="515">
        <f>'[2]TASA DE FALLA'!C35</f>
        <v>30</v>
      </c>
      <c r="D35" s="515" t="str">
        <f>'[2]TASA DE FALLA'!D35</f>
        <v>CHIUHIDO II - EL TRAPIAL</v>
      </c>
      <c r="E35" s="515">
        <f>'[2]TASA DE FALLA'!E35</f>
        <v>132</v>
      </c>
      <c r="F35" s="515">
        <f>'[2]TASA DE FALLA'!F35</f>
        <v>4.9</v>
      </c>
      <c r="G35" s="515" t="str">
        <f>'[2]TASA DE FALLA'!G35</f>
        <v>L</v>
      </c>
      <c r="H35" s="516">
        <f>+IF('[2]TASA DE FALLA'!CT35=0,"",'[2]TASA DE FALLA'!CT35)</f>
      </c>
      <c r="I35" s="516">
        <f>+IF('[2]TASA DE FALLA'!CU35=0,"",'[2]TASA DE FALLA'!CU35)</f>
      </c>
      <c r="J35" s="516">
        <f>+IF('[2]TASA DE FALLA'!CV35=0,"",'[2]TASA DE FALLA'!CV35)</f>
      </c>
      <c r="K35" s="516">
        <f>+IF('[2]TASA DE FALLA'!CW35=0,"",'[2]TASA DE FALLA'!CW35)</f>
      </c>
      <c r="L35" s="516">
        <f>+IF('[2]TASA DE FALLA'!CX35=0,"",'[2]TASA DE FALLA'!CX35)</f>
      </c>
      <c r="M35" s="516">
        <f>+IF('[2]TASA DE FALLA'!CY35=0,"",'[2]TASA DE FALLA'!CY35)</f>
      </c>
      <c r="N35" s="516">
        <f>+IF('[2]TASA DE FALLA'!CZ35=0,"",'[2]TASA DE FALLA'!CZ35)</f>
      </c>
      <c r="O35" s="516">
        <f>+IF('[2]TASA DE FALLA'!DA35=0,"",'[2]TASA DE FALLA'!DA35)</f>
      </c>
      <c r="P35" s="516">
        <f>+IF('[2]TASA DE FALLA'!DB35=0,"",'[2]TASA DE FALLA'!DB35)</f>
      </c>
      <c r="Q35" s="516">
        <f>+IF('[2]TASA DE FALLA'!DC35=0,"",'[2]TASA DE FALLA'!DC35)</f>
      </c>
      <c r="R35" s="516">
        <f>+IF('[2]TASA DE FALLA'!DD35=0,"",'[2]TASA DE FALLA'!DD35)</f>
      </c>
      <c r="S35" s="516">
        <f>+IF('[2]TASA DE FALLA'!DE35=0,"",'[2]TASA DE FALLA'!DE35)</f>
      </c>
      <c r="T35" s="514"/>
      <c r="U35" s="491"/>
    </row>
    <row r="36" spans="2:21" ht="15" customHeight="1">
      <c r="B36" s="486"/>
      <c r="C36" s="515">
        <f>'[2]TASA DE FALLA'!C36</f>
        <v>31</v>
      </c>
      <c r="D36" s="515" t="str">
        <f>'[2]TASA DE FALLA'!D36</f>
        <v>EL TRAPIAL - LOMA DE LA LATA 1</v>
      </c>
      <c r="E36" s="515">
        <f>'[2]TASA DE FALLA'!E36</f>
        <v>132</v>
      </c>
      <c r="F36" s="515">
        <f>'[2]TASA DE FALLA'!F36</f>
        <v>142</v>
      </c>
      <c r="G36" s="515" t="str">
        <f>'[2]TASA DE FALLA'!G36</f>
        <v>L</v>
      </c>
      <c r="H36" s="516">
        <f>+IF('[2]TASA DE FALLA'!CT36=0,"",'[2]TASA DE FALLA'!CT36)</f>
      </c>
      <c r="I36" s="516">
        <f>+IF('[2]TASA DE FALLA'!CU36=0,"",'[2]TASA DE FALLA'!CU36)</f>
      </c>
      <c r="J36" s="516">
        <f>+IF('[2]TASA DE FALLA'!CV36=0,"",'[2]TASA DE FALLA'!CV36)</f>
        <v>1</v>
      </c>
      <c r="K36" s="516">
        <f>+IF('[2]TASA DE FALLA'!CW36=0,"",'[2]TASA DE FALLA'!CW36)</f>
      </c>
      <c r="L36" s="516">
        <f>+IF('[2]TASA DE FALLA'!CX36=0,"",'[2]TASA DE FALLA'!CX36)</f>
      </c>
      <c r="M36" s="516">
        <f>+IF('[2]TASA DE FALLA'!CY36=0,"",'[2]TASA DE FALLA'!CY36)</f>
      </c>
      <c r="N36" s="516">
        <f>+IF('[2]TASA DE FALLA'!CZ36=0,"",'[2]TASA DE FALLA'!CZ36)</f>
      </c>
      <c r="O36" s="516">
        <f>+IF('[2]TASA DE FALLA'!DA36=0,"",'[2]TASA DE FALLA'!DA36)</f>
      </c>
      <c r="P36" s="516">
        <f>+IF('[2]TASA DE FALLA'!DB36=0,"",'[2]TASA DE FALLA'!DB36)</f>
      </c>
      <c r="Q36" s="516">
        <f>+IF('[2]TASA DE FALLA'!DC36=0,"",'[2]TASA DE FALLA'!DC36)</f>
      </c>
      <c r="R36" s="516">
        <f>+IF('[2]TASA DE FALLA'!DD36=0,"",'[2]TASA DE FALLA'!DD36)</f>
      </c>
      <c r="S36" s="516">
        <f>+IF('[2]TASA DE FALLA'!DE36=0,"",'[2]TASA DE FALLA'!DE36)</f>
      </c>
      <c r="T36" s="514"/>
      <c r="U36" s="491"/>
    </row>
    <row r="37" spans="2:21" ht="15" customHeight="1">
      <c r="B37" s="486"/>
      <c r="C37" s="515">
        <f>'[2]TASA DE FALLA'!C37</f>
        <v>32</v>
      </c>
      <c r="D37" s="515" t="str">
        <f>'[2]TASA DE FALLA'!D37</f>
        <v>EL TRAPIAL - LOMA DE LA LATA 2</v>
      </c>
      <c r="E37" s="515">
        <f>'[2]TASA DE FALLA'!E37</f>
        <v>132</v>
      </c>
      <c r="F37" s="515">
        <f>'[2]TASA DE FALLA'!F37</f>
        <v>142</v>
      </c>
      <c r="G37" s="515" t="str">
        <f>'[2]TASA DE FALLA'!G37</f>
        <v>L</v>
      </c>
      <c r="H37" s="516">
        <f>+IF('[2]TASA DE FALLA'!CT37=0,"",'[2]TASA DE FALLA'!CT37)</f>
      </c>
      <c r="I37" s="516">
        <f>+IF('[2]TASA DE FALLA'!CU37=0,"",'[2]TASA DE FALLA'!CU37)</f>
      </c>
      <c r="J37" s="516">
        <f>+IF('[2]TASA DE FALLA'!CV37=0,"",'[2]TASA DE FALLA'!CV37)</f>
        <v>1</v>
      </c>
      <c r="K37" s="516">
        <f>+IF('[2]TASA DE FALLA'!CW37=0,"",'[2]TASA DE FALLA'!CW37)</f>
      </c>
      <c r="L37" s="516">
        <f>+IF('[2]TASA DE FALLA'!CX37=0,"",'[2]TASA DE FALLA'!CX37)</f>
      </c>
      <c r="M37" s="516">
        <f>+IF('[2]TASA DE FALLA'!CY37=0,"",'[2]TASA DE FALLA'!CY37)</f>
      </c>
      <c r="N37" s="516">
        <f>+IF('[2]TASA DE FALLA'!CZ37=0,"",'[2]TASA DE FALLA'!CZ37)</f>
      </c>
      <c r="O37" s="516">
        <f>+IF('[2]TASA DE FALLA'!DA37=0,"",'[2]TASA DE FALLA'!DA37)</f>
      </c>
      <c r="P37" s="516">
        <f>+IF('[2]TASA DE FALLA'!DB37=0,"",'[2]TASA DE FALLA'!DB37)</f>
      </c>
      <c r="Q37" s="516">
        <f>+IF('[2]TASA DE FALLA'!DC37=0,"",'[2]TASA DE FALLA'!DC37)</f>
      </c>
      <c r="R37" s="516">
        <f>+IF('[2]TASA DE FALLA'!DD37=0,"",'[2]TASA DE FALLA'!DD37)</f>
      </c>
      <c r="S37" s="516">
        <f>+IF('[2]TASA DE FALLA'!DE37=0,"",'[2]TASA DE FALLA'!DE37)</f>
      </c>
      <c r="T37" s="514"/>
      <c r="U37" s="491"/>
    </row>
    <row r="38" spans="2:21" ht="15" customHeight="1">
      <c r="B38" s="486"/>
      <c r="C38" s="515">
        <f>'[2]TASA DE FALLA'!C38</f>
        <v>33</v>
      </c>
      <c r="D38" s="515" t="str">
        <f>'[2]TASA DE FALLA'!D38</f>
        <v>PTO. SECCIONAMIENTO - RINCON DE LOS SAUCES</v>
      </c>
      <c r="E38" s="515">
        <f>'[2]TASA DE FALLA'!E38</f>
        <v>132</v>
      </c>
      <c r="F38" s="515">
        <f>'[2]TASA DE FALLA'!F38</f>
        <v>67.705</v>
      </c>
      <c r="G38" s="515" t="str">
        <f>'[2]TASA DE FALLA'!G38</f>
        <v>L</v>
      </c>
      <c r="H38" s="516">
        <f>+IF('[2]TASA DE FALLA'!CT38=0,"",'[2]TASA DE FALLA'!CT38)</f>
      </c>
      <c r="I38" s="516">
        <f>+IF('[2]TASA DE FALLA'!CU38=0,"",'[2]TASA DE FALLA'!CU38)</f>
      </c>
      <c r="J38" s="516">
        <f>+IF('[2]TASA DE FALLA'!CV38=0,"",'[2]TASA DE FALLA'!CV38)</f>
      </c>
      <c r="K38" s="516">
        <f>+IF('[2]TASA DE FALLA'!CW38=0,"",'[2]TASA DE FALLA'!CW38)</f>
      </c>
      <c r="L38" s="516">
        <f>+IF('[2]TASA DE FALLA'!CX38=0,"",'[2]TASA DE FALLA'!CX38)</f>
      </c>
      <c r="M38" s="516">
        <f>+IF('[2]TASA DE FALLA'!CY38=0,"",'[2]TASA DE FALLA'!CY38)</f>
      </c>
      <c r="N38" s="516">
        <f>+IF('[2]TASA DE FALLA'!CZ38=0,"",'[2]TASA DE FALLA'!CZ38)</f>
      </c>
      <c r="O38" s="516">
        <f>+IF('[2]TASA DE FALLA'!DA38=0,"",'[2]TASA DE FALLA'!DA38)</f>
      </c>
      <c r="P38" s="516">
        <f>+IF('[2]TASA DE FALLA'!DB38=0,"",'[2]TASA DE FALLA'!DB38)</f>
        <v>1</v>
      </c>
      <c r="Q38" s="516">
        <f>+IF('[2]TASA DE FALLA'!DC38=0,"",'[2]TASA DE FALLA'!DC38)</f>
      </c>
      <c r="R38" s="516">
        <f>+IF('[2]TASA DE FALLA'!DD38=0,"",'[2]TASA DE FALLA'!DD38)</f>
        <v>1</v>
      </c>
      <c r="S38" s="516">
        <f>+IF('[2]TASA DE FALLA'!DE38=0,"",'[2]TASA DE FALLA'!DE38)</f>
      </c>
      <c r="T38" s="514"/>
      <c r="U38" s="491"/>
    </row>
    <row r="39" spans="2:21" ht="15" customHeight="1">
      <c r="B39" s="486"/>
      <c r="C39" s="515">
        <f>'[2]TASA DE FALLA'!C39</f>
        <v>34</v>
      </c>
      <c r="D39" s="515" t="str">
        <f>'[2]TASA DE FALLA'!D39</f>
        <v>PTO. HERNANDEZ - RINCON DE LOS SAUCES</v>
      </c>
      <c r="E39" s="515">
        <f>'[2]TASA DE FALLA'!E39</f>
        <v>132</v>
      </c>
      <c r="F39" s="515">
        <f>'[2]TASA DE FALLA'!F39</f>
        <v>21</v>
      </c>
      <c r="G39" s="515" t="str">
        <f>'[2]TASA DE FALLA'!G39</f>
        <v>L</v>
      </c>
      <c r="H39" s="516">
        <f>+IF('[2]TASA DE FALLA'!CT39=0,"",'[2]TASA DE FALLA'!CT39)</f>
      </c>
      <c r="I39" s="516">
        <f>+IF('[2]TASA DE FALLA'!CU39=0,"",'[2]TASA DE FALLA'!CU39)</f>
        <v>1</v>
      </c>
      <c r="J39" s="516">
        <f>+IF('[2]TASA DE FALLA'!CV39=0,"",'[2]TASA DE FALLA'!CV39)</f>
      </c>
      <c r="K39" s="516">
        <f>+IF('[2]TASA DE FALLA'!CW39=0,"",'[2]TASA DE FALLA'!CW39)</f>
      </c>
      <c r="L39" s="516">
        <f>+IF('[2]TASA DE FALLA'!CX39=0,"",'[2]TASA DE FALLA'!CX39)</f>
      </c>
      <c r="M39" s="516">
        <f>+IF('[2]TASA DE FALLA'!CY39=0,"",'[2]TASA DE FALLA'!CY39)</f>
      </c>
      <c r="N39" s="516">
        <f>+IF('[2]TASA DE FALLA'!CZ39=0,"",'[2]TASA DE FALLA'!CZ39)</f>
      </c>
      <c r="O39" s="516">
        <f>+IF('[2]TASA DE FALLA'!DA39=0,"",'[2]TASA DE FALLA'!DA39)</f>
      </c>
      <c r="P39" s="516">
        <f>+IF('[2]TASA DE FALLA'!DB39=0,"",'[2]TASA DE FALLA'!DB39)</f>
        <v>1</v>
      </c>
      <c r="Q39" s="516">
        <f>+IF('[2]TASA DE FALLA'!DC39=0,"",'[2]TASA DE FALLA'!DC39)</f>
      </c>
      <c r="R39" s="516">
        <f>+IF('[2]TASA DE FALLA'!DD39=0,"",'[2]TASA DE FALLA'!DD39)</f>
      </c>
      <c r="S39" s="516">
        <f>+IF('[2]TASA DE FALLA'!DE39=0,"",'[2]TASA DE FALLA'!DE39)</f>
      </c>
      <c r="T39" s="514"/>
      <c r="U39" s="491"/>
    </row>
    <row r="40" spans="2:21" ht="15" customHeight="1" thickBot="1">
      <c r="B40" s="486"/>
      <c r="C40" s="517"/>
      <c r="D40" s="518"/>
      <c r="E40" s="518"/>
      <c r="F40" s="519"/>
      <c r="G40" s="520"/>
      <c r="H40" s="516">
        <f>+IF('[2]TASA DE FALLA'!CT40=0,"",'[2]TASA DE FALLA'!CT40)</f>
      </c>
      <c r="I40" s="516">
        <f>+IF('[2]TASA DE FALLA'!CU40=0,"",'[2]TASA DE FALLA'!CU40)</f>
      </c>
      <c r="J40" s="516">
        <f>+IF('[2]TASA DE FALLA'!CV40=0,"",'[2]TASA DE FALLA'!CV40)</f>
      </c>
      <c r="K40" s="516">
        <f>+IF('[2]TASA DE FALLA'!CW40=0,"",'[2]TASA DE FALLA'!CW40)</f>
      </c>
      <c r="L40" s="516">
        <f>+IF('[2]TASA DE FALLA'!CX40=0,"",'[2]TASA DE FALLA'!CX40)</f>
      </c>
      <c r="M40" s="516">
        <f>+IF('[2]TASA DE FALLA'!CY40=0,"",'[2]TASA DE FALLA'!CY40)</f>
      </c>
      <c r="N40" s="516">
        <f>+IF('[2]TASA DE FALLA'!CZ40=0,"",'[2]TASA DE FALLA'!CZ40)</f>
      </c>
      <c r="O40" s="516">
        <f>+IF('[2]TASA DE FALLA'!DA40=0,"",'[2]TASA DE FALLA'!DA40)</f>
      </c>
      <c r="P40" s="516">
        <f>+IF('[2]TASA DE FALLA'!DB40=0,"",'[2]TASA DE FALLA'!DB40)</f>
      </c>
      <c r="Q40" s="516">
        <f>+IF('[2]TASA DE FALLA'!DC40=0,"",'[2]TASA DE FALLA'!DC40)</f>
      </c>
      <c r="R40" s="516">
        <f>+IF('[2]TASA DE FALLA'!DD40=0,"",'[2]TASA DE FALLA'!DD40)</f>
      </c>
      <c r="S40" s="516">
        <f>+IF('[2]TASA DE FALLA'!DE40=0,"",'[2]TASA DE FALLA'!DE40)</f>
      </c>
      <c r="T40" s="514"/>
      <c r="U40" s="491"/>
    </row>
    <row r="41" spans="2:21" ht="15" customHeight="1" thickBot="1" thickTop="1">
      <c r="B41" s="486"/>
      <c r="C41" s="521"/>
      <c r="D41" s="522"/>
      <c r="E41" s="523" t="s">
        <v>182</v>
      </c>
      <c r="F41" s="524">
        <f>SUM(F19:F40)-F32</f>
        <v>764.005</v>
      </c>
      <c r="G41" s="525"/>
      <c r="H41" s="526"/>
      <c r="I41" s="527"/>
      <c r="J41" s="526"/>
      <c r="K41" s="527"/>
      <c r="L41" s="526"/>
      <c r="M41" s="527"/>
      <c r="N41" s="526"/>
      <c r="O41" s="527"/>
      <c r="P41" s="526"/>
      <c r="Q41" s="527"/>
      <c r="R41" s="526"/>
      <c r="S41" s="527"/>
      <c r="T41" s="514"/>
      <c r="U41" s="491"/>
    </row>
    <row r="42" spans="2:21" ht="15" customHeight="1" thickBot="1" thickTop="1">
      <c r="B42" s="486"/>
      <c r="C42" s="528"/>
      <c r="D42" s="529"/>
      <c r="E42" s="530"/>
      <c r="F42" s="490"/>
      <c r="G42" s="531" t="s">
        <v>183</v>
      </c>
      <c r="H42" s="532">
        <f aca="true" t="shared" si="0" ref="H42:S42">SUM(H19:H40)</f>
        <v>5</v>
      </c>
      <c r="I42" s="532">
        <f t="shared" si="0"/>
        <v>2</v>
      </c>
      <c r="J42" s="532">
        <f t="shared" si="0"/>
        <v>2</v>
      </c>
      <c r="K42" s="532">
        <f t="shared" si="0"/>
        <v>0</v>
      </c>
      <c r="L42" s="532">
        <f t="shared" si="0"/>
        <v>0</v>
      </c>
      <c r="M42" s="532">
        <f t="shared" si="0"/>
        <v>0</v>
      </c>
      <c r="N42" s="532">
        <f t="shared" si="0"/>
        <v>0</v>
      </c>
      <c r="O42" s="532">
        <f t="shared" si="0"/>
        <v>0</v>
      </c>
      <c r="P42" s="532">
        <f t="shared" si="0"/>
        <v>4</v>
      </c>
      <c r="Q42" s="532">
        <f t="shared" si="0"/>
        <v>2</v>
      </c>
      <c r="R42" s="532">
        <f t="shared" si="0"/>
        <v>2</v>
      </c>
      <c r="S42" s="532">
        <f t="shared" si="0"/>
        <v>1</v>
      </c>
      <c r="T42" s="533"/>
      <c r="U42" s="491"/>
    </row>
    <row r="43" spans="2:21" ht="17.25" thickBot="1" thickTop="1">
      <c r="B43" s="486"/>
      <c r="C43" s="528"/>
      <c r="D43" s="528"/>
      <c r="E43" s="528"/>
      <c r="G43" s="534" t="s">
        <v>184</v>
      </c>
      <c r="H43" s="535">
        <f>'[2]TASA DE FALLA'!CT43</f>
        <v>2.36</v>
      </c>
      <c r="I43" s="535">
        <f>'[2]TASA DE FALLA'!CU43</f>
        <v>1.96</v>
      </c>
      <c r="J43" s="535">
        <f>'[2]TASA DE FALLA'!CV43</f>
        <v>2.23</v>
      </c>
      <c r="K43" s="535">
        <f>'[2]TASA DE FALLA'!CW43</f>
        <v>2.49</v>
      </c>
      <c r="L43" s="535">
        <f>'[2]TASA DE FALLA'!CX43</f>
        <v>2.36</v>
      </c>
      <c r="M43" s="535">
        <f>'[2]TASA DE FALLA'!CY43</f>
        <v>1.96</v>
      </c>
      <c r="N43" s="535">
        <f>'[2]TASA DE FALLA'!CZ43</f>
        <v>1.83</v>
      </c>
      <c r="O43" s="535">
        <f>'[2]TASA DE FALLA'!DA43</f>
        <v>1.83</v>
      </c>
      <c r="P43" s="535">
        <f>'[2]TASA DE FALLA'!DB43</f>
        <v>1.7</v>
      </c>
      <c r="Q43" s="535">
        <f>'[2]TASA DE FALLA'!DC43</f>
        <v>2.09</v>
      </c>
      <c r="R43" s="535">
        <f>'[2]TASA DE FALLA'!DD43</f>
        <v>2.36</v>
      </c>
      <c r="S43" s="535">
        <f>'[2]TASA DE FALLA'!DE43</f>
        <v>2.62</v>
      </c>
      <c r="T43" s="535">
        <f>'[2]TASA DE FALLA'!DF43</f>
        <v>2.36</v>
      </c>
      <c r="U43" s="491"/>
    </row>
    <row r="44" spans="2:22" ht="18.75" customHeight="1" thickBot="1" thickTop="1">
      <c r="B44" s="486"/>
      <c r="C44" s="536"/>
      <c r="D44" s="536"/>
      <c r="E44" s="537"/>
      <c r="F44" s="538"/>
      <c r="G44" s="539"/>
      <c r="H44" s="540"/>
      <c r="I44" s="540"/>
      <c r="J44" s="540"/>
      <c r="K44" s="540"/>
      <c r="L44" s="540"/>
      <c r="M44" s="540"/>
      <c r="N44" s="540"/>
      <c r="O44" s="540"/>
      <c r="P44" s="540"/>
      <c r="Q44" s="540"/>
      <c r="R44" s="540"/>
      <c r="S44" s="540"/>
      <c r="T44" s="540"/>
      <c r="U44" s="541"/>
      <c r="V44" s="542"/>
    </row>
    <row r="45" spans="2:23" s="546" customFormat="1" ht="21.75" thickBot="1" thickTop="1">
      <c r="B45" s="543"/>
      <c r="C45" s="544"/>
      <c r="D45" s="544"/>
      <c r="E45" s="545"/>
      <c r="H45" s="547" t="s">
        <v>185</v>
      </c>
      <c r="I45" s="548"/>
      <c r="J45" s="549">
        <f>+T43</f>
        <v>2.36</v>
      </c>
      <c r="K45" s="548"/>
      <c r="L45" s="550" t="s">
        <v>186</v>
      </c>
      <c r="M45" s="551"/>
      <c r="T45" s="552"/>
      <c r="U45" s="553"/>
      <c r="V45" s="552"/>
      <c r="W45" s="552"/>
    </row>
    <row r="46" spans="2:21" ht="18.75" customHeight="1" thickBot="1" thickTop="1">
      <c r="B46" s="554"/>
      <c r="C46" s="555"/>
      <c r="D46" s="556"/>
      <c r="E46" s="556"/>
      <c r="F46" s="557"/>
      <c r="G46" s="558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  <c r="S46" s="557"/>
      <c r="T46" s="557"/>
      <c r="U46" s="559"/>
    </row>
    <row r="47" spans="2:22" ht="15" customHeight="1" thickTop="1">
      <c r="B47" s="560"/>
      <c r="C47" s="490"/>
      <c r="D47" s="490"/>
      <c r="E47" s="490"/>
      <c r="F47" s="561"/>
      <c r="G47" s="561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</row>
    <row r="48" spans="2:22" ht="22.5" customHeight="1">
      <c r="B48" s="562"/>
      <c r="C48" s="563"/>
      <c r="D48" s="490"/>
      <c r="E48" s="490"/>
      <c r="F48" s="564"/>
      <c r="G48" s="561"/>
      <c r="H48" s="490"/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</row>
    <row r="49" spans="2:22" ht="22.5" customHeight="1">
      <c r="B49" s="563"/>
      <c r="C49" s="563"/>
      <c r="D49" s="565"/>
      <c r="E49" s="490"/>
      <c r="F49" s="566"/>
      <c r="G49" s="561"/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</row>
    <row r="50" spans="2:22" ht="22.5" customHeight="1">
      <c r="B50" s="490"/>
      <c r="D50" s="490"/>
      <c r="E50" s="490"/>
      <c r="F50" s="490"/>
      <c r="G50" s="567"/>
      <c r="H50" s="490"/>
      <c r="I50" s="490"/>
      <c r="J50" s="490"/>
      <c r="K50" s="490"/>
      <c r="L50" s="490"/>
      <c r="M50" s="490"/>
      <c r="N50" s="490"/>
      <c r="O50" s="490"/>
      <c r="P50" s="490"/>
      <c r="Q50" s="490"/>
      <c r="R50" s="490"/>
      <c r="S50" s="490"/>
      <c r="T50" s="490"/>
      <c r="U50" s="490"/>
      <c r="V50" s="490"/>
    </row>
    <row r="51" spans="2:22" ht="22.5" customHeight="1">
      <c r="B51" s="490"/>
      <c r="C51" s="490"/>
      <c r="D51" s="568"/>
      <c r="E51" s="568"/>
      <c r="F51" s="488"/>
      <c r="G51" s="569"/>
      <c r="H51" s="569"/>
      <c r="I51" s="569"/>
      <c r="J51" s="569"/>
      <c r="K51" s="569"/>
      <c r="L51" s="569"/>
      <c r="M51" s="569"/>
      <c r="N51" s="569"/>
      <c r="O51" s="569"/>
      <c r="P51" s="569"/>
      <c r="Q51" s="569"/>
      <c r="R51" s="569"/>
      <c r="S51" s="569"/>
      <c r="T51" s="569"/>
      <c r="U51" s="569"/>
      <c r="V51" s="569"/>
    </row>
    <row r="52" spans="2:22" ht="22.5" customHeight="1">
      <c r="B52" s="490"/>
      <c r="C52" s="490"/>
      <c r="D52" s="568"/>
      <c r="E52" s="568"/>
      <c r="F52" s="570"/>
      <c r="G52" s="567"/>
      <c r="H52" s="490"/>
      <c r="I52" s="490"/>
      <c r="J52" s="490"/>
      <c r="K52" s="490"/>
      <c r="L52" s="490"/>
      <c r="M52" s="490"/>
      <c r="N52" s="490"/>
      <c r="O52" s="490"/>
      <c r="P52" s="490"/>
      <c r="Q52" s="490"/>
      <c r="R52" s="490"/>
      <c r="S52" s="490"/>
      <c r="T52" s="490"/>
      <c r="U52" s="490"/>
      <c r="V52" s="490"/>
    </row>
    <row r="53" spans="2:22" ht="22.5" customHeight="1">
      <c r="B53" s="490"/>
      <c r="C53" s="490"/>
      <c r="D53" s="489"/>
      <c r="E53" s="489"/>
      <c r="F53" s="489"/>
      <c r="G53" s="567"/>
      <c r="H53" s="490"/>
      <c r="I53" s="490"/>
      <c r="J53" s="490"/>
      <c r="K53" s="490"/>
      <c r="L53" s="490"/>
      <c r="M53" s="490"/>
      <c r="N53" s="490"/>
      <c r="O53" s="490"/>
      <c r="P53" s="490"/>
      <c r="Q53" s="490"/>
      <c r="R53" s="490"/>
      <c r="S53" s="490"/>
      <c r="T53" s="490"/>
      <c r="U53" s="490"/>
      <c r="V53" s="490"/>
    </row>
    <row r="54" spans="2:22" ht="22.5" customHeight="1">
      <c r="B54" s="490"/>
      <c r="C54" s="490"/>
      <c r="D54" s="568"/>
      <c r="E54" s="568"/>
      <c r="F54" s="489"/>
      <c r="G54" s="571"/>
      <c r="H54" s="490"/>
      <c r="I54" s="490"/>
      <c r="J54" s="490"/>
      <c r="K54" s="490"/>
      <c r="L54" s="490"/>
      <c r="M54" s="490"/>
      <c r="N54" s="490"/>
      <c r="O54" s="490"/>
      <c r="P54" s="490"/>
      <c r="Q54" s="490"/>
      <c r="R54" s="490"/>
      <c r="S54" s="490"/>
      <c r="T54" s="490"/>
      <c r="U54" s="490"/>
      <c r="V54" s="490"/>
    </row>
    <row r="55" ht="22.5" customHeight="1">
      <c r="G55" s="572"/>
    </row>
    <row r="56" ht="22.5" customHeight="1">
      <c r="G56" s="572"/>
    </row>
    <row r="57" ht="22.5" customHeight="1">
      <c r="G57" s="573"/>
    </row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</sheetData>
  <sheetProtection/>
  <mergeCells count="1">
    <mergeCell ref="A3:B3"/>
  </mergeCells>
  <printOptions/>
  <pageMargins left="0.75" right="0.75" top="1.34" bottom="1" header="0" footer="0"/>
  <pageSetup fitToHeight="1" fitToWidth="1" orientation="landscape" scale="43" r:id="rId2"/>
  <headerFooter alignWithMargins="0">
    <oddFooter>&amp;L&amp;F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1:AC2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1.7109375" style="445" customWidth="1"/>
    <col min="2" max="2" width="9.28125" style="445" customWidth="1"/>
    <col min="3" max="3" width="11.8515625" style="445" bestFit="1" customWidth="1"/>
    <col min="4" max="4" width="9.57421875" style="445" bestFit="1" customWidth="1"/>
    <col min="5" max="5" width="14.8515625" style="445" bestFit="1" customWidth="1"/>
    <col min="6" max="6" width="64.00390625" style="445" bestFit="1" customWidth="1"/>
    <col min="7" max="16384" width="11.421875" style="445" customWidth="1"/>
  </cols>
  <sheetData>
    <row r="1" spans="1:4" ht="12.75">
      <c r="A1" s="444" t="s">
        <v>76</v>
      </c>
      <c r="B1" s="444" t="s">
        <v>76</v>
      </c>
      <c r="C1" s="444" t="s">
        <v>77</v>
      </c>
      <c r="D1" s="444" t="s">
        <v>78</v>
      </c>
    </row>
    <row r="2" spans="1:4" ht="12.75">
      <c r="A2" s="446" t="s">
        <v>56</v>
      </c>
      <c r="B2" s="447" t="s">
        <v>79</v>
      </c>
      <c r="C2" s="446">
        <v>31</v>
      </c>
      <c r="D2" s="446">
        <v>2006</v>
      </c>
    </row>
    <row r="3" spans="1:4" ht="12.75">
      <c r="A3" s="446" t="s">
        <v>57</v>
      </c>
      <c r="B3" s="447" t="s">
        <v>80</v>
      </c>
      <c r="C3" s="446">
        <f>IF(MOD(E14,4)=0,29,28)</f>
        <v>28</v>
      </c>
      <c r="D3" s="446">
        <f>+D2+1</f>
        <v>2007</v>
      </c>
    </row>
    <row r="4" spans="1:4" ht="12.75">
      <c r="A4" s="446" t="s">
        <v>58</v>
      </c>
      <c r="B4" s="447" t="s">
        <v>81</v>
      </c>
      <c r="C4" s="446">
        <v>31</v>
      </c>
      <c r="D4" s="446">
        <v>2008</v>
      </c>
    </row>
    <row r="5" spans="1:4" ht="12.75">
      <c r="A5" s="446" t="s">
        <v>59</v>
      </c>
      <c r="B5" s="447" t="s">
        <v>82</v>
      </c>
      <c r="C5" s="446">
        <v>30</v>
      </c>
      <c r="D5" s="446">
        <v>2009</v>
      </c>
    </row>
    <row r="6" spans="1:4" ht="12.75">
      <c r="A6" s="446" t="s">
        <v>60</v>
      </c>
      <c r="B6" s="447" t="s">
        <v>83</v>
      </c>
      <c r="C6" s="446">
        <v>31</v>
      </c>
      <c r="D6" s="446">
        <v>2010</v>
      </c>
    </row>
    <row r="7" spans="1:4" ht="12.75">
      <c r="A7" s="446" t="s">
        <v>61</v>
      </c>
      <c r="B7" s="447" t="s">
        <v>84</v>
      </c>
      <c r="C7" s="446">
        <v>30</v>
      </c>
      <c r="D7" s="446">
        <v>2011</v>
      </c>
    </row>
    <row r="8" spans="1:4" ht="12.75">
      <c r="A8" s="446" t="s">
        <v>62</v>
      </c>
      <c r="B8" s="447" t="s">
        <v>85</v>
      </c>
      <c r="C8" s="446">
        <v>31</v>
      </c>
      <c r="D8" s="446">
        <v>2012</v>
      </c>
    </row>
    <row r="9" spans="1:4" ht="12.75">
      <c r="A9" s="446" t="s">
        <v>63</v>
      </c>
      <c r="B9" s="447" t="s">
        <v>86</v>
      </c>
      <c r="C9" s="446">
        <v>31</v>
      </c>
      <c r="D9" s="446">
        <v>2013</v>
      </c>
    </row>
    <row r="10" spans="1:4" ht="12.75">
      <c r="A10" s="446" t="s">
        <v>64</v>
      </c>
      <c r="B10" s="447" t="s">
        <v>87</v>
      </c>
      <c r="C10" s="446">
        <v>30</v>
      </c>
      <c r="D10" s="446">
        <v>2014</v>
      </c>
    </row>
    <row r="11" spans="1:4" ht="12.75">
      <c r="A11" s="446" t="s">
        <v>65</v>
      </c>
      <c r="B11" s="447" t="s">
        <v>88</v>
      </c>
      <c r="C11" s="446">
        <v>31</v>
      </c>
      <c r="D11" s="446"/>
    </row>
    <row r="12" spans="1:4" ht="12.75">
      <c r="A12" s="446" t="s">
        <v>66</v>
      </c>
      <c r="B12" s="447" t="s">
        <v>89</v>
      </c>
      <c r="C12" s="446">
        <v>30</v>
      </c>
      <c r="D12" s="446"/>
    </row>
    <row r="13" spans="1:9" ht="12.75">
      <c r="A13" s="446" t="s">
        <v>67</v>
      </c>
      <c r="B13" s="447" t="s">
        <v>90</v>
      </c>
      <c r="C13" s="446">
        <v>31</v>
      </c>
      <c r="D13" s="446"/>
      <c r="I13" s="448" t="s">
        <v>91</v>
      </c>
    </row>
    <row r="14" spans="1:9" ht="12.75">
      <c r="A14" s="449">
        <v>9</v>
      </c>
      <c r="B14" s="450">
        <v>5</v>
      </c>
      <c r="C14" s="449" t="str">
        <f ca="1">CELL("CONTENIDO",OFFSET(A1,B14,0))</f>
        <v>mayo</v>
      </c>
      <c r="D14" s="449">
        <f ca="1">CELL("CONTENIDO",OFFSET(C1,B14,0))</f>
        <v>31</v>
      </c>
      <c r="E14" s="449">
        <f ca="1">CELL("CONTENIDO",OFFSET(D1,A14,0))</f>
        <v>2014</v>
      </c>
      <c r="F14" s="449" t="str">
        <f>"Desde el 01 al "&amp;D14&amp;" de "&amp;C14&amp;" de "&amp;E14</f>
        <v>Desde el 01 al 31 de mayo de 2014</v>
      </c>
      <c r="G14" s="449" t="str">
        <f ca="1">CELL("CONTENIDO",OFFSET(B1,B14,0))</f>
        <v>05</v>
      </c>
      <c r="H14" s="449" t="str">
        <f>RIGHT(E14,2)</f>
        <v>14</v>
      </c>
      <c r="I14" s="451" t="s">
        <v>92</v>
      </c>
    </row>
    <row r="15" spans="1:8" ht="12.75">
      <c r="A15" s="449"/>
      <c r="B15" s="452" t="str">
        <f>"\\rugor\files\Transporte\Transporte\AA PROCESO AUT ARCHIVOS J\EPEN_TRONCAL\"&amp;E14</f>
        <v>\\rugor\files\Transporte\Transporte\AA PROCESO AUT ARCHIVOS J\EPEN_TRONCAL\2014</v>
      </c>
      <c r="C15" s="449"/>
      <c r="D15" s="449"/>
      <c r="E15" s="449"/>
      <c r="F15" s="449"/>
      <c r="G15" s="449" t="str">
        <f>"J"&amp;G14&amp;H14&amp;"PEN"</f>
        <v>J0514PEN</v>
      </c>
      <c r="H15" s="449"/>
    </row>
    <row r="16" spans="1:8" ht="12.75">
      <c r="A16" s="449"/>
      <c r="B16" s="452" t="str">
        <f>"\\rugor\files\Transporte\transporte\AA PROCESO AUT\INTERCAMBIO\"&amp;H14&amp;G14</f>
        <v>\\rugor\files\Transporte\transporte\AA PROCESO AUT\INTERCAMBIO\1405</v>
      </c>
      <c r="C16" s="449"/>
      <c r="D16" s="449"/>
      <c r="E16" s="449"/>
      <c r="F16" s="449"/>
      <c r="G16" s="449"/>
      <c r="H16" s="449"/>
    </row>
    <row r="17" spans="1:29" s="453" customFormat="1" ht="12.75">
      <c r="A17" s="444" t="s">
        <v>93</v>
      </c>
      <c r="B17" s="444" t="s">
        <v>94</v>
      </c>
      <c r="C17" s="444" t="s">
        <v>95</v>
      </c>
      <c r="D17" s="444" t="s">
        <v>96</v>
      </c>
      <c r="E17" s="444" t="s">
        <v>97</v>
      </c>
      <c r="F17" s="444" t="s">
        <v>98</v>
      </c>
      <c r="G17" s="444" t="s">
        <v>99</v>
      </c>
      <c r="H17" s="444" t="s">
        <v>100</v>
      </c>
      <c r="I17" s="444" t="s">
        <v>101</v>
      </c>
      <c r="J17" s="444" t="s">
        <v>102</v>
      </c>
      <c r="K17" s="444" t="s">
        <v>103</v>
      </c>
      <c r="L17" s="444" t="s">
        <v>104</v>
      </c>
      <c r="M17" s="444" t="s">
        <v>105</v>
      </c>
      <c r="N17" s="444" t="s">
        <v>106</v>
      </c>
      <c r="O17" s="444" t="s">
        <v>107</v>
      </c>
      <c r="P17" s="444" t="s">
        <v>108</v>
      </c>
      <c r="Q17" s="444" t="s">
        <v>109</v>
      </c>
      <c r="R17" s="444" t="s">
        <v>110</v>
      </c>
      <c r="S17" s="444" t="s">
        <v>111</v>
      </c>
      <c r="T17" s="444" t="s">
        <v>112</v>
      </c>
      <c r="U17" s="444" t="s">
        <v>113</v>
      </c>
      <c r="V17" s="444" t="s">
        <v>114</v>
      </c>
      <c r="W17" s="444" t="s">
        <v>115</v>
      </c>
      <c r="X17" s="444" t="s">
        <v>116</v>
      </c>
      <c r="Y17" s="444" t="s">
        <v>117</v>
      </c>
      <c r="Z17" s="444" t="s">
        <v>118</v>
      </c>
      <c r="AA17" s="444" t="s">
        <v>119</v>
      </c>
      <c r="AB17" s="444" t="s">
        <v>120</v>
      </c>
      <c r="AC17" s="444" t="s">
        <v>121</v>
      </c>
    </row>
    <row r="18" spans="1:29" ht="12.75">
      <c r="A18" s="454" t="s">
        <v>122</v>
      </c>
      <c r="B18" s="454">
        <v>19</v>
      </c>
      <c r="C18" s="454">
        <v>19</v>
      </c>
      <c r="D18" s="454">
        <v>12</v>
      </c>
      <c r="E18" s="454" t="str">
        <f>"LI-"&amp;$G$14</f>
        <v>LI-05</v>
      </c>
      <c r="F18" s="454" t="s">
        <v>127</v>
      </c>
      <c r="G18" s="454">
        <v>3</v>
      </c>
      <c r="H18" s="455">
        <v>5</v>
      </c>
      <c r="I18" s="455">
        <v>4</v>
      </c>
      <c r="J18" s="454">
        <v>6</v>
      </c>
      <c r="K18" s="454">
        <v>7</v>
      </c>
      <c r="L18" s="454">
        <v>8</v>
      </c>
      <c r="M18" s="454">
        <v>0</v>
      </c>
      <c r="N18" s="454">
        <v>10</v>
      </c>
      <c r="O18" s="454">
        <v>11</v>
      </c>
      <c r="P18" s="454">
        <v>14</v>
      </c>
      <c r="Q18" s="454">
        <v>16</v>
      </c>
      <c r="R18" s="454">
        <v>27</v>
      </c>
      <c r="S18" s="454">
        <v>15</v>
      </c>
      <c r="T18" s="454">
        <v>0</v>
      </c>
      <c r="U18" s="454">
        <v>0</v>
      </c>
      <c r="V18" s="454">
        <v>0</v>
      </c>
      <c r="W18" s="454">
        <v>18</v>
      </c>
      <c r="X18" s="454">
        <v>9</v>
      </c>
      <c r="Y18" s="454">
        <v>40</v>
      </c>
      <c r="Z18" s="454">
        <v>28</v>
      </c>
      <c r="AA18" s="454">
        <v>17</v>
      </c>
      <c r="AB18" s="454">
        <v>28</v>
      </c>
      <c r="AC18" s="454">
        <v>14</v>
      </c>
    </row>
    <row r="19" spans="1:29" ht="12.75">
      <c r="A19" s="456" t="s">
        <v>123</v>
      </c>
      <c r="B19" s="456">
        <v>22</v>
      </c>
      <c r="C19" s="456">
        <v>19</v>
      </c>
      <c r="D19" s="456">
        <v>13</v>
      </c>
      <c r="E19" s="456" t="str">
        <f>"T-"&amp;$G$14</f>
        <v>T-05</v>
      </c>
      <c r="F19" s="456" t="s">
        <v>128</v>
      </c>
      <c r="G19" s="454">
        <v>3</v>
      </c>
      <c r="H19" s="455">
        <v>5</v>
      </c>
      <c r="I19" s="455">
        <v>4</v>
      </c>
      <c r="J19" s="456">
        <v>6</v>
      </c>
      <c r="K19" s="456">
        <v>7</v>
      </c>
      <c r="L19" s="456">
        <v>8</v>
      </c>
      <c r="M19" s="456">
        <v>9</v>
      </c>
      <c r="N19" s="456">
        <v>11</v>
      </c>
      <c r="O19" s="456">
        <v>12</v>
      </c>
      <c r="P19" s="456">
        <v>15</v>
      </c>
      <c r="Q19" s="456">
        <v>16</v>
      </c>
      <c r="R19" s="456">
        <v>18</v>
      </c>
      <c r="S19" s="456">
        <v>28</v>
      </c>
      <c r="T19" s="456">
        <v>17</v>
      </c>
      <c r="U19" s="456">
        <v>0</v>
      </c>
      <c r="V19" s="456">
        <v>0</v>
      </c>
      <c r="W19" s="456">
        <v>22</v>
      </c>
      <c r="X19" s="454">
        <v>9</v>
      </c>
      <c r="Y19" s="456">
        <v>43</v>
      </c>
      <c r="Z19" s="456">
        <v>29</v>
      </c>
      <c r="AA19" s="456">
        <v>20</v>
      </c>
      <c r="AB19" s="456">
        <v>29</v>
      </c>
      <c r="AC19" s="456">
        <v>15</v>
      </c>
    </row>
    <row r="20" spans="1:29" ht="12.75">
      <c r="A20" s="454" t="s">
        <v>124</v>
      </c>
      <c r="B20" s="454">
        <v>21</v>
      </c>
      <c r="C20" s="454">
        <v>19</v>
      </c>
      <c r="D20" s="454">
        <v>10</v>
      </c>
      <c r="E20" s="454" t="str">
        <f>"SA-"&amp;$G$14</f>
        <v>SA-05</v>
      </c>
      <c r="F20" s="454" t="s">
        <v>129</v>
      </c>
      <c r="G20" s="454">
        <v>3</v>
      </c>
      <c r="H20" s="455">
        <v>5</v>
      </c>
      <c r="I20" s="455">
        <v>4</v>
      </c>
      <c r="J20" s="454">
        <v>6</v>
      </c>
      <c r="K20" s="454">
        <v>7</v>
      </c>
      <c r="L20" s="454">
        <v>8</v>
      </c>
      <c r="M20" s="454">
        <v>10</v>
      </c>
      <c r="N20" s="454">
        <v>11</v>
      </c>
      <c r="O20" s="454">
        <v>14</v>
      </c>
      <c r="P20" s="454">
        <v>15</v>
      </c>
      <c r="Q20" s="454">
        <v>21</v>
      </c>
      <c r="R20" s="454">
        <v>0</v>
      </c>
      <c r="S20" s="454">
        <v>0</v>
      </c>
      <c r="T20" s="454">
        <v>0</v>
      </c>
      <c r="U20" s="454">
        <v>0</v>
      </c>
      <c r="V20" s="454">
        <v>0</v>
      </c>
      <c r="W20" s="454">
        <v>24</v>
      </c>
      <c r="X20" s="454">
        <v>9</v>
      </c>
      <c r="Y20" s="454">
        <v>42</v>
      </c>
      <c r="Z20" s="454">
        <v>22</v>
      </c>
      <c r="AA20" s="454">
        <v>19</v>
      </c>
      <c r="AB20" s="454">
        <v>22</v>
      </c>
      <c r="AC20" s="454">
        <v>14</v>
      </c>
    </row>
    <row r="21" spans="1:29" s="453" customFormat="1" ht="12.75">
      <c r="A21" s="457" t="s">
        <v>125</v>
      </c>
      <c r="B21" s="457">
        <v>19</v>
      </c>
      <c r="C21" s="457">
        <v>24</v>
      </c>
      <c r="D21" s="458">
        <v>4</v>
      </c>
      <c r="E21" s="457" t="str">
        <f>"CAUSAS-VST-"&amp;$G$14</f>
        <v>CAUSAS-VST-05</v>
      </c>
      <c r="F21" s="457" t="s">
        <v>126</v>
      </c>
      <c r="G21" s="457">
        <v>3</v>
      </c>
      <c r="H21" s="457">
        <v>4</v>
      </c>
      <c r="I21" s="457">
        <v>5</v>
      </c>
      <c r="J21" s="457">
        <v>6</v>
      </c>
      <c r="K21" s="457">
        <v>7</v>
      </c>
      <c r="L21" s="457">
        <v>0</v>
      </c>
      <c r="M21" s="457">
        <v>0</v>
      </c>
      <c r="N21" s="457">
        <v>0</v>
      </c>
      <c r="O21" s="457">
        <v>0</v>
      </c>
      <c r="P21" s="457">
        <v>0</v>
      </c>
      <c r="Q21" s="457">
        <v>0</v>
      </c>
      <c r="R21" s="457">
        <v>0</v>
      </c>
      <c r="S21" s="457">
        <v>0</v>
      </c>
      <c r="T21" s="457">
        <v>0</v>
      </c>
      <c r="U21" s="457">
        <v>0</v>
      </c>
      <c r="V21" s="457">
        <v>0</v>
      </c>
      <c r="W21" s="457">
        <v>999</v>
      </c>
      <c r="X21" s="457">
        <v>999</v>
      </c>
      <c r="Y21" s="457">
        <v>0</v>
      </c>
      <c r="Z21" s="457">
        <v>0</v>
      </c>
      <c r="AA21" s="457">
        <v>0</v>
      </c>
      <c r="AB21" s="457">
        <v>0</v>
      </c>
      <c r="AC21" s="457">
        <v>0</v>
      </c>
    </row>
  </sheetData>
  <sheetProtection/>
  <hyperlinks>
    <hyperlink ref="D5" r:id="rId1" display="\\fileserver\files\Transporte\transporte\AA PROCESO AUT\DISTROCUYO\FABIAN"/>
    <hyperlink ref="D7" r:id="rId2" display="\\fileserver\files\Transporte\transporte\AA PROCESO AUT\DISTROCUYO\FABIAN"/>
  </hyperlinks>
  <printOptions gridLines="1"/>
  <pageMargins left="0.75" right="0.75" top="1" bottom="1" header="0.511811024" footer="0.511811024"/>
  <pageSetup horizontalDpi="600" verticalDpi="600" orientation="portrait" paperSize="9" r:id="rId3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Carola Giordano</cp:lastModifiedBy>
  <cp:lastPrinted>2015-04-21T15:41:16Z</cp:lastPrinted>
  <dcterms:created xsi:type="dcterms:W3CDTF">1998-09-02T19:31:06Z</dcterms:created>
  <dcterms:modified xsi:type="dcterms:W3CDTF">2015-05-20T14:35:12Z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