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1000" activeTab="2"/>
  </bookViews>
  <sheets>
    <sheet name="TOT-1206" sheetId="1" r:id="rId1"/>
    <sheet name="SUP-YACYLEC" sheetId="2" r:id="rId2"/>
    <sheet name="SUP-TIBA" sheetId="3" r:id="rId3"/>
  </sheets>
  <definedNames>
    <definedName name="_xlnm.Print_Area" localSheetId="2">'SUP-TIBA'!$A$1:$W$67</definedName>
    <definedName name="_xlnm.Print_Area" localSheetId="1">'SUP-YACYLEC'!$A$1:$AD$61</definedName>
    <definedName name="_xlnm.Print_Area" localSheetId="0">'TOT-1206'!$A$1:$K$24</definedName>
    <definedName name="DD">[0]!DD</definedName>
    <definedName name="DDD">[0]!DDD</definedName>
    <definedName name="DISTROCUYO">[0]!DISTROCUYO</definedName>
    <definedName name="INICIO" localSheetId="0">'TOT-1206'!INICIO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<sst xmlns="http://schemas.openxmlformats.org/spreadsheetml/2006/main" count="201" uniqueCount="120">
  <si>
    <t>LÍNEAS</t>
  </si>
  <si>
    <t xml:space="preserve">ENTE NACIONAL REGULADOR </t>
  </si>
  <si>
    <t>DE LA ELECTRICIDAD</t>
  </si>
  <si>
    <t xml:space="preserve">TOTAL 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</si>
  <si>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</si>
  <si>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</si>
  <si>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</si>
  <si>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</si>
  <si>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</si>
  <si>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</si>
  <si>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</si>
  <si>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</si>
  <si>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</si>
  <si>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</si>
  <si>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</si>
  <si>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</si>
  <si>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</si>
  <si>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</si>
  <si>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</si>
  <si>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</si>
  <si>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</si>
  <si>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</si>
  <si>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</si>
  <si>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</si>
  <si>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</si>
  <si>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</si>
  <si>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</si>
  <si>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</si>
  <si>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</si>
  <si>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</si>
  <si>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</si>
  <si>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</si>
  <si>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</si>
  <si>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</si>
  <si>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</si>
  <si>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Rest.
%</t>
  </si>
  <si>
    <t>R.D.</t>
  </si>
  <si>
    <t>E.T.</t>
  </si>
  <si>
    <t>TRANSENER S.A.</t>
  </si>
  <si>
    <t>SISTEMA DE TRANSPORTE DE ENERGÍA ELÉCTRICA EN ALTA TENSIÓN</t>
  </si>
  <si>
    <t>Transportista Independiente YACYLEC S.A.</t>
  </si>
  <si>
    <t>4.-</t>
  </si>
  <si>
    <t>SUPERVISIÓN</t>
  </si>
  <si>
    <t>Transportista Independiente TIBA S.A.</t>
  </si>
  <si>
    <t>PENALIZAC.
PROGRAM.</t>
  </si>
  <si>
    <t>CL</t>
  </si>
  <si>
    <t>PENALIZACION FORZADA
Por Salida      1ras 5 hs.     hs. Restantes</t>
  </si>
  <si>
    <t>Informó
enTérm.</t>
  </si>
  <si>
    <t>Salida en 220 kV en $/h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</si>
  <si>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</si>
  <si>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</si>
  <si>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</si>
  <si>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</si>
  <si>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</si>
  <si>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</si>
  <si>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</si>
  <si>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Valor Mensual del Canon                        =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</si>
  <si>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</si>
  <si>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</si>
  <si>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</si>
  <si>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</si>
  <si>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</si>
  <si>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</si>
  <si>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</si>
  <si>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</si>
  <si>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</si>
  <si>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</si>
  <si>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</si>
  <si>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</si>
  <si>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</si>
  <si>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 S.A.</t>
  </si>
  <si>
    <t>SANCIÓN =</t>
  </si>
  <si>
    <t>$/MVA</t>
  </si>
  <si>
    <t>TRANSFORMADOR</t>
  </si>
  <si>
    <t>POT. [MVA]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</si>
  <si>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</si>
  <si>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</si>
  <si>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</si>
  <si>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</si>
  <si>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</si>
  <si>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</si>
  <si>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</si>
  <si>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</si>
  <si>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</si>
  <si>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</si>
  <si>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</si>
  <si>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TOTAL A PENALIZAR A TRANSENER S.A POR SUPERVISIÓN A T.I.B.A.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</si>
  <si>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</si>
  <si>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</si>
  <si>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</si>
  <si>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</si>
  <si>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</si>
  <si>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</si>
  <si>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</si>
  <si>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</si>
  <si>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</si>
  <si>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Desde el 01 al 31 de diciembre de 2006</t>
  </si>
  <si>
    <t>C</t>
  </si>
  <si>
    <t>P</t>
  </si>
  <si>
    <t>SI</t>
  </si>
  <si>
    <t>RESISTENCIA      P. DE LA PATRIA</t>
  </si>
  <si>
    <t>TR2</t>
  </si>
  <si>
    <t>500/132/13,2</t>
  </si>
  <si>
    <t>OLAVARRIA</t>
  </si>
  <si>
    <t>Valores remuneratorios según Decretos PEN  1462/05 y 1460/05</t>
  </si>
  <si>
    <t xml:space="preserve">SALIDA Salida a Azul          </t>
  </si>
  <si>
    <t xml:space="preserve">SALIDA Salida a Henderson     </t>
  </si>
  <si>
    <t>I</t>
  </si>
  <si>
    <t>II</t>
  </si>
  <si>
    <t>III</t>
  </si>
  <si>
    <t>IV</t>
  </si>
  <si>
    <t>V</t>
  </si>
  <si>
    <t xml:space="preserve">B.BLANCA         </t>
  </si>
  <si>
    <t>4.2.- Transportista Independiente  T.I.B.A.</t>
  </si>
  <si>
    <t>RF</t>
  </si>
  <si>
    <t>TOTAL DE PENALIZACIONES  - supervisión</t>
  </si>
  <si>
    <t>dte 1206</t>
  </si>
  <si>
    <t>RM* =</t>
  </si>
  <si>
    <t>RM*= remuneración utilizada para el calculo del Cs</t>
  </si>
  <si>
    <t>ANEXO I.1.b. al Memorandum  D.T.E.E. N°   1046       /2009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</si>
</sst>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6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MS Sans Serif"/>
      <family val="2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b/>
      <sz val="10"/>
      <color indexed="50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0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8" xfId="0" applyFont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 quotePrefix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1" fillId="2" borderId="14" xfId="0" applyFont="1" applyFill="1" applyBorder="1" applyAlignment="1" applyProtection="1">
      <alignment horizontal="center" vertical="center"/>
      <protection/>
    </xf>
    <xf numFmtId="168" fontId="32" fillId="2" borderId="2" xfId="0" applyNumberFormat="1" applyFont="1" applyFill="1" applyBorder="1" applyAlignment="1" applyProtection="1">
      <alignment horizontal="center"/>
      <protection/>
    </xf>
    <xf numFmtId="0" fontId="26" fillId="0" borderId="14" xfId="0" applyFont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 applyProtection="1">
      <alignment horizontal="center" vertical="center"/>
      <protection/>
    </xf>
    <xf numFmtId="0" fontId="34" fillId="5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 vertical="top"/>
    </xf>
    <xf numFmtId="0" fontId="7" fillId="0" borderId="2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 horizontal="left"/>
    </xf>
    <xf numFmtId="0" fontId="3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164" fontId="26" fillId="0" borderId="9" xfId="0" applyNumberFormat="1" applyFont="1" applyBorder="1" applyAlignment="1" applyProtection="1">
      <alignment horizontal="center" vertical="center" wrapText="1"/>
      <protection/>
    </xf>
    <xf numFmtId="0" fontId="26" fillId="0" borderId="8" xfId="0" applyFont="1" applyBorder="1" applyAlignment="1" applyProtection="1">
      <alignment horizontal="center" vertical="center"/>
      <protection/>
    </xf>
    <xf numFmtId="0" fontId="46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8" fontId="47" fillId="6" borderId="17" xfId="0" applyNumberFormat="1" applyFont="1" applyFill="1" applyBorder="1" applyAlignment="1" applyProtection="1" quotePrefix="1">
      <alignment horizontal="center"/>
      <protection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26" fillId="0" borderId="14" xfId="22" applyFont="1" applyBorder="1" applyAlignment="1">
      <alignment horizontal="center" vertical="center"/>
      <protection/>
    </xf>
    <xf numFmtId="168" fontId="26" fillId="0" borderId="14" xfId="0" applyNumberFormat="1" applyFont="1" applyBorder="1" applyAlignment="1" applyProtection="1">
      <alignment horizontal="center" vertical="center"/>
      <protection/>
    </xf>
    <xf numFmtId="168" fontId="31" fillId="2" borderId="14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/>
    </xf>
    <xf numFmtId="168" fontId="7" fillId="0" borderId="2" xfId="0" applyNumberFormat="1" applyFont="1" applyBorder="1" applyAlignment="1" applyProtection="1">
      <alignment horizontal="center"/>
      <protection/>
    </xf>
    <xf numFmtId="4" fontId="7" fillId="0" borderId="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" fontId="7" fillId="0" borderId="2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8" fillId="0" borderId="4" xfId="0" applyNumberFormat="1" applyFont="1" applyFill="1" applyBorder="1" applyAlignment="1">
      <alignment horizontal="right"/>
    </xf>
    <xf numFmtId="0" fontId="26" fillId="0" borderId="9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0" fontId="33" fillId="7" borderId="14" xfId="0" applyFont="1" applyFill="1" applyBorder="1" applyAlignment="1">
      <alignment horizontal="center" vertical="center" wrapText="1"/>
    </xf>
    <xf numFmtId="0" fontId="46" fillId="6" borderId="9" xfId="0" applyFont="1" applyFill="1" applyBorder="1" applyAlignment="1">
      <alignment horizontal="centerContinuous" vertical="center"/>
    </xf>
    <xf numFmtId="0" fontId="12" fillId="0" borderId="19" xfId="0" applyFont="1" applyBorder="1" applyAlignment="1" applyProtection="1">
      <alignment horizontal="center"/>
      <protection/>
    </xf>
    <xf numFmtId="0" fontId="32" fillId="2" borderId="19" xfId="0" applyFont="1" applyFill="1" applyBorder="1" applyAlignment="1" applyProtection="1">
      <alignment horizontal="center"/>
      <protection/>
    </xf>
    <xf numFmtId="0" fontId="37" fillId="4" borderId="2" xfId="0" applyFont="1" applyFill="1" applyBorder="1" applyAlignment="1" applyProtection="1">
      <alignment horizontal="center"/>
      <protection/>
    </xf>
    <xf numFmtId="0" fontId="48" fillId="7" borderId="2" xfId="0" applyFont="1" applyFill="1" applyBorder="1" applyAlignment="1" applyProtection="1">
      <alignment horizontal="center"/>
      <protection/>
    </xf>
    <xf numFmtId="168" fontId="47" fillId="6" borderId="20" xfId="0" applyNumberFormat="1" applyFont="1" applyFill="1" applyBorder="1" applyAlignment="1" applyProtection="1" quotePrefix="1">
      <alignment horizontal="center"/>
      <protection/>
    </xf>
    <xf numFmtId="168" fontId="36" fillId="3" borderId="2" xfId="0" applyNumberFormat="1" applyFont="1" applyFill="1" applyBorder="1" applyAlignment="1" applyProtection="1" quotePrefix="1">
      <alignment horizontal="center"/>
      <protection/>
    </xf>
    <xf numFmtId="168" fontId="28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4" fontId="28" fillId="0" borderId="2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168" fontId="7" fillId="0" borderId="22" xfId="0" applyNumberFormat="1" applyFont="1" applyBorder="1" applyAlignment="1" applyProtection="1">
      <alignment horizontal="center"/>
      <protection/>
    </xf>
    <xf numFmtId="168" fontId="7" fillId="0" borderId="21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3" xfId="0" applyNumberFormat="1" applyFont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Alignment="1">
      <alignment horizontal="centerContinuous"/>
    </xf>
    <xf numFmtId="0" fontId="51" fillId="0" borderId="0" xfId="0" applyFont="1" applyAlignment="1">
      <alignment horizontal="centerContinuous"/>
    </xf>
    <xf numFmtId="0" fontId="51" fillId="0" borderId="0" xfId="0" applyFont="1" applyAlignment="1">
      <alignment/>
    </xf>
    <xf numFmtId="0" fontId="23" fillId="0" borderId="0" xfId="0" applyFont="1" applyAlignment="1">
      <alignment/>
    </xf>
    <xf numFmtId="0" fontId="53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4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38" fillId="8" borderId="14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 applyProtection="1">
      <alignment horizontal="centerContinuous" vertical="center" wrapText="1"/>
      <protection/>
    </xf>
    <xf numFmtId="0" fontId="56" fillId="3" borderId="15" xfId="0" applyFont="1" applyFill="1" applyBorder="1" applyAlignment="1">
      <alignment horizontal="centerContinuous"/>
    </xf>
    <xf numFmtId="0" fontId="55" fillId="3" borderId="9" xfId="0" applyFont="1" applyFill="1" applyBorder="1" applyAlignment="1">
      <alignment horizontal="centerContinuous" vertical="center"/>
    </xf>
    <xf numFmtId="0" fontId="34" fillId="9" borderId="8" xfId="0" applyFont="1" applyFill="1" applyBorder="1" applyAlignment="1">
      <alignment horizontal="centerContinuous" vertical="center" wrapText="1"/>
    </xf>
    <xf numFmtId="0" fontId="35" fillId="9" borderId="15" xfId="0" applyFont="1" applyFill="1" applyBorder="1" applyAlignment="1">
      <alignment horizontal="centerContinuous"/>
    </xf>
    <xf numFmtId="0" fontId="34" fillId="9" borderId="9" xfId="0" applyFont="1" applyFill="1" applyBorder="1" applyAlignment="1">
      <alignment horizontal="centerContinuous" vertical="center"/>
    </xf>
    <xf numFmtId="0" fontId="34" fillId="10" borderId="14" xfId="0" applyFont="1" applyFill="1" applyBorder="1" applyAlignment="1">
      <alignment horizontal="centerContinuous" vertical="center" wrapText="1"/>
    </xf>
    <xf numFmtId="0" fontId="34" fillId="11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6" xfId="0" applyNumberFormat="1" applyFont="1" applyBorder="1" applyAlignment="1" applyProtection="1">
      <alignment horizontal="center"/>
      <protection/>
    </xf>
    <xf numFmtId="164" fontId="57" fillId="2" borderId="16" xfId="0" applyNumberFormat="1" applyFont="1" applyFill="1" applyBorder="1" applyAlignment="1" applyProtection="1">
      <alignment horizontal="center"/>
      <protection/>
    </xf>
    <xf numFmtId="0" fontId="58" fillId="4" borderId="16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36" fillId="5" borderId="16" xfId="0" applyFont="1" applyFill="1" applyBorder="1" applyAlignment="1">
      <alignment horizontal="center"/>
    </xf>
    <xf numFmtId="0" fontId="49" fillId="8" borderId="16" xfId="0" applyFont="1" applyFill="1" applyBorder="1" applyAlignment="1">
      <alignment horizontal="center"/>
    </xf>
    <xf numFmtId="168" fontId="59" fillId="3" borderId="25" xfId="0" applyNumberFormat="1" applyFont="1" applyFill="1" applyBorder="1" applyAlignment="1" applyProtection="1" quotePrefix="1">
      <alignment horizontal="center"/>
      <protection/>
    </xf>
    <xf numFmtId="168" fontId="59" fillId="3" borderId="26" xfId="0" applyNumberFormat="1" applyFont="1" applyFill="1" applyBorder="1" applyAlignment="1" applyProtection="1" quotePrefix="1">
      <alignment horizontal="center"/>
      <protection/>
    </xf>
    <xf numFmtId="4" fontId="59" fillId="3" borderId="27" xfId="0" applyNumberFormat="1" applyFont="1" applyFill="1" applyBorder="1" applyAlignment="1" applyProtection="1">
      <alignment horizontal="center"/>
      <protection/>
    </xf>
    <xf numFmtId="168" fontId="36" fillId="9" borderId="25" xfId="0" applyNumberFormat="1" applyFont="1" applyFill="1" applyBorder="1" applyAlignment="1" applyProtection="1" quotePrefix="1">
      <alignment horizontal="center"/>
      <protection/>
    </xf>
    <xf numFmtId="168" fontId="36" fillId="9" borderId="26" xfId="0" applyNumberFormat="1" applyFont="1" applyFill="1" applyBorder="1" applyAlignment="1" applyProtection="1" quotePrefix="1">
      <alignment horizontal="center"/>
      <protection/>
    </xf>
    <xf numFmtId="4" fontId="36" fillId="9" borderId="27" xfId="0" applyNumberFormat="1" applyFont="1" applyFill="1" applyBorder="1" applyAlignment="1" applyProtection="1">
      <alignment horizontal="center"/>
      <protection/>
    </xf>
    <xf numFmtId="4" fontId="36" fillId="10" borderId="16" xfId="0" applyNumberFormat="1" applyFont="1" applyFill="1" applyBorder="1" applyAlignment="1" applyProtection="1">
      <alignment horizontal="center"/>
      <protection/>
    </xf>
    <xf numFmtId="4" fontId="36" fillId="11" borderId="16" xfId="0" applyNumberFormat="1" applyFont="1" applyFill="1" applyBorder="1" applyAlignment="1" applyProtection="1">
      <alignment horizontal="center"/>
      <protection/>
    </xf>
    <xf numFmtId="0" fontId="7" fillId="0" borderId="27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57" fillId="2" borderId="2" xfId="0" applyFont="1" applyFill="1" applyBorder="1" applyAlignment="1" applyProtection="1">
      <alignment horizontal="center"/>
      <protection/>
    </xf>
    <xf numFmtId="168" fontId="58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36" fillId="5" borderId="2" xfId="0" applyNumberFormat="1" applyFont="1" applyFill="1" applyBorder="1" applyAlignment="1" applyProtection="1">
      <alignment horizontal="center"/>
      <protection/>
    </xf>
    <xf numFmtId="2" fontId="49" fillId="8" borderId="2" xfId="0" applyNumberFormat="1" applyFont="1" applyFill="1" applyBorder="1" applyAlignment="1" applyProtection="1">
      <alignment horizontal="center"/>
      <protection/>
    </xf>
    <xf numFmtId="168" fontId="59" fillId="3" borderId="17" xfId="0" applyNumberFormat="1" applyFont="1" applyFill="1" applyBorder="1" applyAlignment="1" applyProtection="1" quotePrefix="1">
      <alignment horizontal="center"/>
      <protection/>
    </xf>
    <xf numFmtId="168" fontId="59" fillId="3" borderId="28" xfId="0" applyNumberFormat="1" applyFont="1" applyFill="1" applyBorder="1" applyAlignment="1" applyProtection="1" quotePrefix="1">
      <alignment horizontal="center"/>
      <protection/>
    </xf>
    <xf numFmtId="4" fontId="59" fillId="3" borderId="4" xfId="0" applyNumberFormat="1" applyFont="1" applyFill="1" applyBorder="1" applyAlignment="1" applyProtection="1">
      <alignment horizontal="center"/>
      <protection/>
    </xf>
    <xf numFmtId="168" fontId="36" fillId="9" borderId="17" xfId="0" applyNumberFormat="1" applyFont="1" applyFill="1" applyBorder="1" applyAlignment="1" applyProtection="1" quotePrefix="1">
      <alignment horizontal="center"/>
      <protection/>
    </xf>
    <xf numFmtId="168" fontId="36" fillId="9" borderId="28" xfId="0" applyNumberFormat="1" applyFont="1" applyFill="1" applyBorder="1" applyAlignment="1" applyProtection="1" quotePrefix="1">
      <alignment horizontal="center"/>
      <protection/>
    </xf>
    <xf numFmtId="4" fontId="36" fillId="9" borderId="4" xfId="0" applyNumberFormat="1" applyFont="1" applyFill="1" applyBorder="1" applyAlignment="1" applyProtection="1">
      <alignment horizontal="center"/>
      <protection/>
    </xf>
    <xf numFmtId="4" fontId="36" fillId="10" borderId="2" xfId="0" applyNumberFormat="1" applyFont="1" applyFill="1" applyBorder="1" applyAlignment="1" applyProtection="1">
      <alignment horizontal="center"/>
      <protection/>
    </xf>
    <xf numFmtId="4" fontId="36" fillId="11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60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57" fillId="2" borderId="3" xfId="0" applyNumberFormat="1" applyFont="1" applyFill="1" applyBorder="1" applyAlignment="1" applyProtection="1">
      <alignment horizontal="center"/>
      <protection/>
    </xf>
    <xf numFmtId="168" fontId="58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36" fillId="5" borderId="3" xfId="0" applyNumberFormat="1" applyFont="1" applyFill="1" applyBorder="1" applyAlignment="1" applyProtection="1">
      <alignment horizontal="center"/>
      <protection/>
    </xf>
    <xf numFmtId="2" fontId="49" fillId="8" borderId="3" xfId="0" applyNumberFormat="1" applyFont="1" applyFill="1" applyBorder="1" applyAlignment="1" applyProtection="1">
      <alignment horizontal="center"/>
      <protection/>
    </xf>
    <xf numFmtId="168" fontId="59" fillId="3" borderId="29" xfId="0" applyNumberFormat="1" applyFont="1" applyFill="1" applyBorder="1" applyAlignment="1" applyProtection="1" quotePrefix="1">
      <alignment horizontal="center"/>
      <protection/>
    </xf>
    <xf numFmtId="168" fontId="59" fillId="3" borderId="30" xfId="0" applyNumberFormat="1" applyFont="1" applyFill="1" applyBorder="1" applyAlignment="1" applyProtection="1" quotePrefix="1">
      <alignment horizontal="center"/>
      <protection/>
    </xf>
    <xf numFmtId="4" fontId="59" fillId="3" borderId="31" xfId="0" applyNumberFormat="1" applyFont="1" applyFill="1" applyBorder="1" applyAlignment="1" applyProtection="1">
      <alignment horizontal="center"/>
      <protection/>
    </xf>
    <xf numFmtId="168" fontId="36" fillId="9" borderId="29" xfId="0" applyNumberFormat="1" applyFont="1" applyFill="1" applyBorder="1" applyAlignment="1" applyProtection="1" quotePrefix="1">
      <alignment horizontal="center"/>
      <protection/>
    </xf>
    <xf numFmtId="168" fontId="36" fillId="9" borderId="30" xfId="0" applyNumberFormat="1" applyFont="1" applyFill="1" applyBorder="1" applyAlignment="1" applyProtection="1" quotePrefix="1">
      <alignment horizontal="center"/>
      <protection/>
    </xf>
    <xf numFmtId="4" fontId="36" fillId="9" borderId="31" xfId="0" applyNumberFormat="1" applyFont="1" applyFill="1" applyBorder="1" applyAlignment="1" applyProtection="1">
      <alignment horizontal="center"/>
      <protection/>
    </xf>
    <xf numFmtId="4" fontId="36" fillId="10" borderId="3" xfId="0" applyNumberFormat="1" applyFont="1" applyFill="1" applyBorder="1" applyAlignment="1" applyProtection="1">
      <alignment horizontal="center"/>
      <protection/>
    </xf>
    <xf numFmtId="4" fontId="36" fillId="11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7" fillId="0" borderId="3" xfId="0" applyNumberFormat="1" applyFont="1" applyFill="1" applyBorder="1" applyAlignment="1">
      <alignment horizontal="center"/>
    </xf>
    <xf numFmtId="164" fontId="60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58" fillId="5" borderId="14" xfId="0" applyNumberFormat="1" applyFont="1" applyFill="1" applyBorder="1" applyAlignment="1" applyProtection="1">
      <alignment horizontal="center"/>
      <protection/>
    </xf>
    <xf numFmtId="2" fontId="61" fillId="8" borderId="14" xfId="0" applyNumberFormat="1" applyFont="1" applyFill="1" applyBorder="1" applyAlignment="1" applyProtection="1">
      <alignment horizontal="center"/>
      <protection/>
    </xf>
    <xf numFmtId="2" fontId="62" fillId="3" borderId="14" xfId="0" applyNumberFormat="1" applyFont="1" applyFill="1" applyBorder="1" applyAlignment="1" applyProtection="1">
      <alignment horizontal="center"/>
      <protection/>
    </xf>
    <xf numFmtId="2" fontId="58" fillId="9" borderId="14" xfId="0" applyNumberFormat="1" applyFont="1" applyFill="1" applyBorder="1" applyAlignment="1" applyProtection="1">
      <alignment horizontal="center"/>
      <protection/>
    </xf>
    <xf numFmtId="2" fontId="58" fillId="10" borderId="14" xfId="0" applyNumberFormat="1" applyFont="1" applyFill="1" applyBorder="1" applyAlignment="1" applyProtection="1">
      <alignment horizontal="center"/>
      <protection/>
    </xf>
    <xf numFmtId="2" fontId="58" fillId="11" borderId="14" xfId="0" applyNumberFormat="1" applyFont="1" applyFill="1" applyBorder="1" applyAlignment="1" applyProtection="1">
      <alignment horizontal="center"/>
      <protection/>
    </xf>
    <xf numFmtId="2" fontId="22" fillId="0" borderId="32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58" fillId="0" borderId="15" xfId="0" applyNumberFormat="1" applyFont="1" applyFill="1" applyBorder="1" applyAlignment="1" applyProtection="1">
      <alignment horizontal="center"/>
      <protection/>
    </xf>
    <xf numFmtId="2" fontId="61" fillId="0" borderId="15" xfId="0" applyNumberFormat="1" applyFont="1" applyFill="1" applyBorder="1" applyAlignment="1" applyProtection="1">
      <alignment horizontal="center"/>
      <protection/>
    </xf>
    <xf numFmtId="2" fontId="62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1" fillId="12" borderId="14" xfId="0" applyFont="1" applyFill="1" applyBorder="1" applyAlignment="1" applyProtection="1">
      <alignment horizontal="center" vertical="center"/>
      <protection/>
    </xf>
    <xf numFmtId="0" fontId="26" fillId="0" borderId="8" xfId="0" applyFont="1" applyFill="1" applyBorder="1" applyAlignment="1" applyProtection="1">
      <alignment horizontal="centerContinuous" vertical="center"/>
      <protection/>
    </xf>
    <xf numFmtId="0" fontId="26" fillId="0" borderId="15" xfId="0" applyFont="1" applyFill="1" applyBorder="1" applyAlignment="1" applyProtection="1">
      <alignment horizontal="centerContinuous" vertical="center"/>
      <protection/>
    </xf>
    <xf numFmtId="0" fontId="34" fillId="13" borderId="14" xfId="0" applyFont="1" applyFill="1" applyBorder="1" applyAlignment="1">
      <alignment horizontal="center" vertical="center" wrapText="1"/>
    </xf>
    <xf numFmtId="0" fontId="34" fillId="14" borderId="8" xfId="0" applyFont="1" applyFill="1" applyBorder="1" applyAlignment="1" applyProtection="1">
      <alignment horizontal="centerContinuous" vertical="center" wrapText="1"/>
      <protection/>
    </xf>
    <xf numFmtId="0" fontId="34" fillId="14" borderId="9" xfId="0" applyFont="1" applyFill="1" applyBorder="1" applyAlignment="1">
      <alignment horizontal="centerContinuous" vertical="center"/>
    </xf>
    <xf numFmtId="0" fontId="34" fillId="3" borderId="14" xfId="0" applyFont="1" applyFill="1" applyBorder="1" applyAlignment="1">
      <alignment horizontal="centerContinuous" vertical="center" wrapText="1"/>
    </xf>
    <xf numFmtId="0" fontId="34" fillId="12" borderId="33" xfId="0" applyFont="1" applyFill="1" applyBorder="1" applyAlignment="1">
      <alignment vertical="center" wrapText="1"/>
    </xf>
    <xf numFmtId="0" fontId="34" fillId="12" borderId="34" xfId="0" applyFont="1" applyFill="1" applyBorder="1" applyAlignment="1">
      <alignment vertical="center" wrapText="1"/>
    </xf>
    <xf numFmtId="0" fontId="34" fillId="12" borderId="32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63" fillId="2" borderId="2" xfId="0" applyFont="1" applyFill="1" applyBorder="1" applyAlignment="1">
      <alignment horizontal="center"/>
    </xf>
    <xf numFmtId="0" fontId="63" fillId="1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37" fillId="13" borderId="16" xfId="0" applyFont="1" applyFill="1" applyBorder="1" applyAlignment="1">
      <alignment horizontal="center"/>
    </xf>
    <xf numFmtId="0" fontId="37" fillId="14" borderId="25" xfId="0" applyFont="1" applyFill="1" applyBorder="1" applyAlignment="1">
      <alignment horizontal="center"/>
    </xf>
    <xf numFmtId="0" fontId="37" fillId="14" borderId="35" xfId="0" applyFont="1" applyFill="1" applyBorder="1" applyAlignment="1">
      <alignment horizontal="left"/>
    </xf>
    <xf numFmtId="0" fontId="37" fillId="3" borderId="16" xfId="0" applyFont="1" applyFill="1" applyBorder="1" applyAlignment="1">
      <alignment horizontal="left"/>
    </xf>
    <xf numFmtId="0" fontId="37" fillId="12" borderId="36" xfId="0" applyFont="1" applyFill="1" applyBorder="1" applyAlignment="1">
      <alignment horizontal="left"/>
    </xf>
    <xf numFmtId="0" fontId="37" fillId="12" borderId="0" xfId="0" applyFont="1" applyFill="1" applyBorder="1" applyAlignment="1">
      <alignment horizontal="left"/>
    </xf>
    <xf numFmtId="0" fontId="37" fillId="12" borderId="37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 quotePrefix="1">
      <alignment horizontal="center"/>
      <protection/>
    </xf>
    <xf numFmtId="168" fontId="63" fillId="2" borderId="2" xfId="0" applyNumberFormat="1" applyFont="1" applyFill="1" applyBorder="1" applyAlignment="1" applyProtection="1">
      <alignment horizontal="center"/>
      <protection/>
    </xf>
    <xf numFmtId="168" fontId="63" fillId="1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19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2" fillId="2" borderId="2" xfId="0" applyNumberFormat="1" applyFont="1" applyFill="1" applyBorder="1" applyAlignment="1" applyProtection="1">
      <alignment horizontal="center"/>
      <protection/>
    </xf>
    <xf numFmtId="2" fontId="36" fillId="13" borderId="2" xfId="0" applyNumberFormat="1" applyFont="1" applyFill="1" applyBorder="1" applyAlignment="1">
      <alignment horizontal="center"/>
    </xf>
    <xf numFmtId="168" fontId="36" fillId="14" borderId="39" xfId="0" applyNumberFormat="1" applyFont="1" applyFill="1" applyBorder="1" applyAlignment="1" applyProtection="1" quotePrefix="1">
      <alignment horizontal="center"/>
      <protection/>
    </xf>
    <xf numFmtId="168" fontId="36" fillId="14" borderId="38" xfId="0" applyNumberFormat="1" applyFont="1" applyFill="1" applyBorder="1" applyAlignment="1" applyProtection="1" quotePrefix="1">
      <alignment horizontal="center"/>
      <protection/>
    </xf>
    <xf numFmtId="168" fontId="36" fillId="12" borderId="36" xfId="0" applyNumberFormat="1" applyFont="1" applyFill="1" applyBorder="1" applyAlignment="1" applyProtection="1" quotePrefix="1">
      <alignment horizontal="center"/>
      <protection/>
    </xf>
    <xf numFmtId="168" fontId="36" fillId="12" borderId="0" xfId="0" applyNumberFormat="1" applyFont="1" applyFill="1" applyBorder="1" applyAlignment="1" applyProtection="1" quotePrefix="1">
      <alignment horizontal="center"/>
      <protection/>
    </xf>
    <xf numFmtId="168" fontId="36" fillId="12" borderId="37" xfId="0" applyNumberFormat="1" applyFont="1" applyFill="1" applyBorder="1" applyAlignment="1" applyProtection="1" quotePrefix="1">
      <alignment horizontal="center"/>
      <protection/>
    </xf>
    <xf numFmtId="22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164" fontId="7" fillId="0" borderId="40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 quotePrefix="1">
      <alignment horizontal="center"/>
      <protection/>
    </xf>
    <xf numFmtId="168" fontId="63" fillId="2" borderId="3" xfId="0" applyNumberFormat="1" applyFont="1" applyFill="1" applyBorder="1" applyAlignment="1" applyProtection="1">
      <alignment horizontal="center"/>
      <protection/>
    </xf>
    <xf numFmtId="168" fontId="63" fillId="12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43" xfId="0" applyNumberFormat="1" applyFont="1" applyBorder="1" applyAlignment="1" applyProtection="1">
      <alignment horizontal="centerContinuous"/>
      <protection/>
    </xf>
    <xf numFmtId="168" fontId="7" fillId="0" borderId="31" xfId="0" applyNumberFormat="1" applyFont="1" applyBorder="1" applyAlignment="1" applyProtection="1">
      <alignment horizontal="centerContinuous"/>
      <protection/>
    </xf>
    <xf numFmtId="164" fontId="32" fillId="2" borderId="3" xfId="0" applyNumberFormat="1" applyFont="1" applyFill="1" applyBorder="1" applyAlignment="1" applyProtection="1">
      <alignment horizontal="center"/>
      <protection/>
    </xf>
    <xf numFmtId="2" fontId="37" fillId="13" borderId="3" xfId="0" applyNumberFormat="1" applyFont="1" applyFill="1" applyBorder="1" applyAlignment="1">
      <alignment horizontal="center"/>
    </xf>
    <xf numFmtId="168" fontId="37" fillId="14" borderId="44" xfId="0" applyNumberFormat="1" applyFont="1" applyFill="1" applyBorder="1" applyAlignment="1" applyProtection="1" quotePrefix="1">
      <alignment horizontal="center"/>
      <protection/>
    </xf>
    <xf numFmtId="168" fontId="37" fillId="14" borderId="42" xfId="0" applyNumberFormat="1" applyFont="1" applyFill="1" applyBorder="1" applyAlignment="1" applyProtection="1" quotePrefix="1">
      <alignment horizontal="center"/>
      <protection/>
    </xf>
    <xf numFmtId="168" fontId="37" fillId="3" borderId="3" xfId="0" applyNumberFormat="1" applyFont="1" applyFill="1" applyBorder="1" applyAlignment="1" applyProtection="1" quotePrefix="1">
      <alignment horizontal="center"/>
      <protection/>
    </xf>
    <xf numFmtId="168" fontId="37" fillId="12" borderId="43" xfId="0" applyNumberFormat="1" applyFont="1" applyFill="1" applyBorder="1" applyAlignment="1" applyProtection="1" quotePrefix="1">
      <alignment horizontal="center"/>
      <protection/>
    </xf>
    <xf numFmtId="168" fontId="37" fillId="12" borderId="45" xfId="0" applyNumberFormat="1" applyFont="1" applyFill="1" applyBorder="1" applyAlignment="1" applyProtection="1" quotePrefix="1">
      <alignment horizontal="center"/>
      <protection/>
    </xf>
    <xf numFmtId="168" fontId="37" fillId="12" borderId="31" xfId="0" applyNumberFormat="1" applyFont="1" applyFill="1" applyBorder="1" applyAlignment="1" applyProtection="1" quotePrefix="1">
      <alignment horizontal="center"/>
      <protection/>
    </xf>
    <xf numFmtId="168" fontId="7" fillId="0" borderId="31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44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8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8" fillId="0" borderId="0" xfId="0" applyNumberFormat="1" applyFont="1" applyFill="1" applyBorder="1" applyAlignment="1">
      <alignment horizontal="right"/>
    </xf>
    <xf numFmtId="2" fontId="40" fillId="0" borderId="0" xfId="0" applyNumberFormat="1" applyFont="1" applyBorder="1" applyAlignment="1" applyProtection="1">
      <alignment horizontal="left"/>
      <protection/>
    </xf>
    <xf numFmtId="168" fontId="40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165" fontId="40" fillId="0" borderId="0" xfId="0" applyNumberFormat="1" applyFont="1" applyBorder="1" applyAlignment="1" applyProtection="1">
      <alignment horizontal="center"/>
      <protection/>
    </xf>
    <xf numFmtId="173" fontId="40" fillId="0" borderId="0" xfId="0" applyNumberFormat="1" applyFont="1" applyBorder="1" applyAlignment="1" applyProtection="1" quotePrefix="1">
      <alignment horizontal="center"/>
      <protection/>
    </xf>
    <xf numFmtId="0" fontId="40" fillId="0" borderId="0" xfId="0" applyFont="1" applyAlignment="1">
      <alignment/>
    </xf>
    <xf numFmtId="2" fontId="40" fillId="0" borderId="0" xfId="0" applyNumberFormat="1" applyFont="1" applyBorder="1" applyAlignment="1" applyProtection="1">
      <alignment horizontal="center"/>
      <protection/>
    </xf>
    <xf numFmtId="168" fontId="40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64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65" fillId="0" borderId="0" xfId="0" applyNumberFormat="1" applyFont="1" applyBorder="1" applyAlignment="1" applyProtection="1">
      <alignment horizontal="center"/>
      <protection/>
    </xf>
    <xf numFmtId="168" fontId="60" fillId="0" borderId="0" xfId="0" applyNumberFormat="1" applyFont="1" applyBorder="1" applyAlignment="1" applyProtection="1" quotePrefix="1">
      <alignment horizontal="center"/>
      <protection/>
    </xf>
    <xf numFmtId="4" fontId="60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40" fillId="0" borderId="0" xfId="0" applyNumberFormat="1" applyFont="1" applyBorder="1" applyAlignment="1" applyProtection="1">
      <alignment horizontal="centerContinuous"/>
      <protection/>
    </xf>
    <xf numFmtId="168" fontId="40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40" fillId="0" borderId="0" xfId="0" applyNumberFormat="1" applyFont="1" applyBorder="1" applyAlignment="1" applyProtection="1" quotePrefix="1">
      <alignment horizontal="right"/>
      <protection/>
    </xf>
    <xf numFmtId="7" fontId="22" fillId="0" borderId="46" xfId="0" applyNumberFormat="1" applyFont="1" applyBorder="1" applyAlignment="1">
      <alignment horizontal="centerContinuous"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 quotePrefix="1">
      <alignment/>
    </xf>
    <xf numFmtId="0" fontId="29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66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67" fillId="0" borderId="0" xfId="0" applyNumberFormat="1" applyFont="1" applyBorder="1" applyAlignment="1" applyProtection="1">
      <alignment horizontal="center" vertical="center"/>
      <protection/>
    </xf>
    <xf numFmtId="168" fontId="68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40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41" fillId="0" borderId="0" xfId="0" applyFont="1" applyAlignment="1">
      <alignment horizontal="right" vertical="top"/>
    </xf>
    <xf numFmtId="1" fontId="0" fillId="0" borderId="47" xfId="0" applyNumberFormat="1" applyBorder="1" applyAlignment="1">
      <alignment horizontal="center"/>
    </xf>
    <xf numFmtId="0" fontId="10" fillId="0" borderId="48" xfId="0" applyFont="1" applyBorder="1" applyAlignment="1">
      <alignment horizontal="centerContinuous"/>
    </xf>
    <xf numFmtId="0" fontId="10" fillId="0" borderId="49" xfId="0" applyFont="1" applyBorder="1" applyAlignment="1">
      <alignment horizontal="centerContinuous"/>
    </xf>
    <xf numFmtId="174" fontId="10" fillId="0" borderId="50" xfId="0" applyNumberFormat="1" applyFont="1" applyBorder="1" applyAlignment="1">
      <alignment horizontal="center"/>
    </xf>
    <xf numFmtId="1" fontId="10" fillId="0" borderId="50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Continuous"/>
    </xf>
    <xf numFmtId="0" fontId="10" fillId="0" borderId="52" xfId="0" applyFont="1" applyBorder="1" applyAlignment="1">
      <alignment horizontal="centerContinuous"/>
    </xf>
    <xf numFmtId="174" fontId="10" fillId="0" borderId="53" xfId="0" applyNumberFormat="1" applyFont="1" applyBorder="1" applyAlignment="1">
      <alignment horizontal="center"/>
    </xf>
    <xf numFmtId="1" fontId="10" fillId="0" borderId="53" xfId="0" applyNumberFormat="1" applyFont="1" applyBorder="1" applyAlignment="1">
      <alignment horizontal="center"/>
    </xf>
    <xf numFmtId="0" fontId="10" fillId="0" borderId="54" xfId="0" applyFont="1" applyBorder="1" applyAlignment="1">
      <alignment horizontal="centerContinuous"/>
    </xf>
    <xf numFmtId="0" fontId="10" fillId="0" borderId="55" xfId="0" applyFont="1" applyBorder="1" applyAlignment="1">
      <alignment horizontal="centerContinuous"/>
    </xf>
    <xf numFmtId="174" fontId="10" fillId="0" borderId="56" xfId="0" applyNumberFormat="1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58" fillId="0" borderId="45" xfId="0" applyNumberFormat="1" applyFont="1" applyFill="1" applyBorder="1" applyAlignment="1" applyProtection="1">
      <alignment horizontal="center"/>
      <protection/>
    </xf>
    <xf numFmtId="2" fontId="61" fillId="0" borderId="45" xfId="0" applyNumberFormat="1" applyFont="1" applyFill="1" applyBorder="1" applyAlignment="1" applyProtection="1">
      <alignment horizontal="center"/>
      <protection/>
    </xf>
    <xf numFmtId="2" fontId="62" fillId="0" borderId="45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27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17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37" fillId="4" borderId="2" xfId="0" applyNumberFormat="1" applyFont="1" applyFill="1" applyBorder="1" applyAlignment="1" applyProtection="1">
      <alignment horizontal="center"/>
      <protection/>
    </xf>
    <xf numFmtId="2" fontId="48" fillId="7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57" xfId="0" applyFont="1" applyBorder="1" applyAlignment="1" applyProtection="1">
      <alignment horizontal="center"/>
      <protection/>
    </xf>
    <xf numFmtId="164" fontId="9" fillId="0" borderId="40" xfId="0" applyNumberFormat="1" applyFont="1" applyBorder="1" applyAlignment="1" applyProtection="1" quotePrefix="1">
      <alignment horizontal="center"/>
      <protection/>
    </xf>
    <xf numFmtId="168" fontId="32" fillId="2" borderId="40" xfId="0" applyNumberFormat="1" applyFont="1" applyFill="1" applyBorder="1" applyAlignment="1" applyProtection="1">
      <alignment horizontal="center"/>
      <protection/>
    </xf>
    <xf numFmtId="22" fontId="7" fillId="0" borderId="44" xfId="0" applyNumberFormat="1" applyFont="1" applyBorder="1" applyAlignment="1">
      <alignment horizontal="center"/>
    </xf>
    <xf numFmtId="22" fontId="7" fillId="0" borderId="40" xfId="0" applyNumberFormat="1" applyFont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 quotePrefix="1">
      <alignment horizontal="center"/>
      <protection/>
    </xf>
    <xf numFmtId="164" fontId="7" fillId="0" borderId="40" xfId="0" applyNumberFormat="1" applyFont="1" applyFill="1" applyBorder="1" applyAlignment="1" applyProtection="1" quotePrefix="1">
      <alignment horizontal="center"/>
      <protection/>
    </xf>
    <xf numFmtId="168" fontId="7" fillId="0" borderId="58" xfId="0" applyNumberFormat="1" applyFont="1" applyBorder="1" applyAlignment="1" applyProtection="1">
      <alignment horizontal="center"/>
      <protection/>
    </xf>
    <xf numFmtId="168" fontId="7" fillId="0" borderId="57" xfId="0" applyNumberFormat="1" applyFont="1" applyBorder="1" applyAlignment="1" applyProtection="1">
      <alignment horizontal="center"/>
      <protection/>
    </xf>
    <xf numFmtId="164" fontId="37" fillId="4" borderId="40" xfId="0" applyNumberFormat="1" applyFont="1" applyFill="1" applyBorder="1" applyAlignment="1" applyProtection="1">
      <alignment horizontal="center"/>
      <protection/>
    </xf>
    <xf numFmtId="2" fontId="48" fillId="7" borderId="40" xfId="0" applyNumberFormat="1" applyFont="1" applyFill="1" applyBorder="1" applyAlignment="1">
      <alignment horizontal="center"/>
    </xf>
    <xf numFmtId="168" fontId="47" fillId="6" borderId="44" xfId="0" applyNumberFormat="1" applyFont="1" applyFill="1" applyBorder="1" applyAlignment="1" applyProtection="1" quotePrefix="1">
      <alignment horizontal="center"/>
      <protection/>
    </xf>
    <xf numFmtId="168" fontId="47" fillId="6" borderId="42" xfId="0" applyNumberFormat="1" applyFont="1" applyFill="1" applyBorder="1" applyAlignment="1" applyProtection="1" quotePrefix="1">
      <alignment horizontal="center"/>
      <protection/>
    </xf>
    <xf numFmtId="168" fontId="36" fillId="3" borderId="40" xfId="0" applyNumberFormat="1" applyFont="1" applyFill="1" applyBorder="1" applyAlignment="1" applyProtection="1" quotePrefix="1">
      <alignment horizontal="center"/>
      <protection/>
    </xf>
    <xf numFmtId="168" fontId="7" fillId="0" borderId="40" xfId="0" applyNumberFormat="1" applyFont="1" applyBorder="1" applyAlignment="1">
      <alignment horizontal="center"/>
    </xf>
    <xf numFmtId="4" fontId="28" fillId="0" borderId="40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15" fillId="0" borderId="0" xfId="0" applyFont="1" applyAlignment="1" quotePrefix="1">
      <alignment/>
    </xf>
    <xf numFmtId="0" fontId="7" fillId="0" borderId="2" xfId="21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/>
    </xf>
    <xf numFmtId="168" fontId="40" fillId="0" borderId="0" xfId="0" applyNumberFormat="1" applyFont="1" applyBorder="1" applyAlignment="1" applyProtection="1">
      <alignment horizontal="left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57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26" fillId="0" borderId="8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7" fontId="10" fillId="0" borderId="46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EDENOR96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5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22.7109375" style="4" customWidth="1"/>
    <col min="2" max="2" width="7.7109375" style="4" customWidth="1"/>
    <col min="3" max="3" width="9.140625" style="4" customWidth="1"/>
    <col min="4" max="4" width="10.7109375" style="4" customWidth="1"/>
    <col min="5" max="5" width="9.57421875" style="4" customWidth="1"/>
    <col min="6" max="6" width="17.00390625" style="4" customWidth="1"/>
    <col min="7" max="7" width="19.8515625" style="4" customWidth="1"/>
    <col min="8" max="8" width="16.57421875" style="4" customWidth="1"/>
    <col min="9" max="9" width="15.7109375" style="4" customWidth="1"/>
    <col min="10" max="10" width="12.28125" style="4" customWidth="1"/>
    <col min="11" max="11" width="15.7109375" style="4" customWidth="1"/>
    <col min="12" max="13" width="11.421875" style="4" customWidth="1"/>
    <col min="14" max="14" width="14.140625" style="4" customWidth="1"/>
    <col min="15" max="15" width="11.421875" style="4" customWidth="1"/>
    <col min="16" max="16" width="14.7109375" style="4" customWidth="1"/>
    <col min="17" max="17" width="11.421875" style="4" customWidth="1"/>
    <col min="18" max="18" width="12.00390625" style="4" customWidth="1"/>
    <col min="19" max="16384" width="11.421875" style="4" customWidth="1"/>
  </cols>
  <sheetData>
    <row r="1" spans="1:11" s="15" customFormat="1" ht="26.25">
      <c r="A1" s="451"/>
      <c r="B1" s="16"/>
      <c r="E1" s="48"/>
      <c r="K1" s="98"/>
    </row>
    <row r="2" spans="2:10" s="15" customFormat="1" ht="26.25">
      <c r="B2" s="16" t="s">
        <v>119</v>
      </c>
      <c r="C2" s="17"/>
      <c r="D2" s="18"/>
      <c r="E2" s="18"/>
      <c r="F2" s="18"/>
      <c r="G2" s="18"/>
      <c r="H2" s="18"/>
      <c r="I2" s="18"/>
      <c r="J2" s="18"/>
    </row>
    <row r="3" spans="3:19" ht="12.75">
      <c r="C3"/>
      <c r="D3" s="19"/>
      <c r="E3" s="19"/>
      <c r="F3" s="19"/>
      <c r="G3" s="19"/>
      <c r="H3" s="19"/>
      <c r="I3" s="19"/>
      <c r="J3" s="19"/>
      <c r="P3" s="3"/>
      <c r="Q3" s="3"/>
      <c r="R3" s="3"/>
      <c r="S3" s="3"/>
    </row>
    <row r="4" spans="1:19" s="22" customFormat="1" ht="11.25">
      <c r="A4" s="20" t="s">
        <v>1</v>
      </c>
      <c r="B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22" customFormat="1" ht="11.25">
      <c r="A5" s="20" t="s">
        <v>2</v>
      </c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s="15" customFormat="1" ht="11.25" customHeight="1">
      <c r="B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s="26" customFormat="1" ht="21">
      <c r="B7" s="68" t="s">
        <v>39</v>
      </c>
      <c r="C7" s="106"/>
      <c r="D7" s="107"/>
      <c r="E7" s="107"/>
      <c r="F7" s="108"/>
      <c r="G7" s="108"/>
      <c r="H7" s="108"/>
      <c r="I7" s="108"/>
      <c r="J7" s="108"/>
      <c r="K7" s="27"/>
      <c r="L7" s="27"/>
      <c r="M7" s="27"/>
      <c r="N7" s="27"/>
      <c r="O7" s="27"/>
      <c r="P7" s="27"/>
      <c r="Q7" s="27"/>
      <c r="R7" s="27"/>
      <c r="S7" s="27"/>
    </row>
    <row r="8" spans="9:19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s="26" customFormat="1" ht="21">
      <c r="B9" s="68" t="s">
        <v>38</v>
      </c>
      <c r="C9" s="106"/>
      <c r="D9" s="107"/>
      <c r="E9" s="107"/>
      <c r="F9" s="107"/>
      <c r="G9" s="107"/>
      <c r="H9" s="107"/>
      <c r="I9" s="108"/>
      <c r="J9" s="108"/>
      <c r="K9" s="27"/>
      <c r="L9" s="27"/>
      <c r="M9" s="27"/>
      <c r="N9" s="27"/>
      <c r="O9" s="27"/>
      <c r="P9" s="27"/>
      <c r="Q9" s="27"/>
      <c r="R9" s="27"/>
      <c r="S9" s="27"/>
    </row>
    <row r="10" spans="4:19" ht="12.75">
      <c r="D10" s="28"/>
      <c r="E10" s="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s="26" customFormat="1" ht="20.25">
      <c r="B11" s="68" t="s">
        <v>115</v>
      </c>
      <c r="C11" s="109"/>
      <c r="D11" s="110"/>
      <c r="E11" s="110"/>
      <c r="F11" s="107"/>
      <c r="G11" s="107"/>
      <c r="H11" s="107"/>
      <c r="I11" s="108"/>
      <c r="J11" s="108"/>
      <c r="K11" s="27"/>
      <c r="L11" s="27"/>
      <c r="M11" s="27"/>
      <c r="N11" s="27"/>
      <c r="O11" s="27"/>
      <c r="P11" s="27"/>
      <c r="Q11" s="27"/>
      <c r="R11" s="27"/>
      <c r="S11" s="27"/>
    </row>
    <row r="12" spans="4:19" s="29" customFormat="1" ht="16.5" thickBot="1">
      <c r="D12" s="2"/>
      <c r="E12" s="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s="29" customFormat="1" ht="16.5" thickTop="1">
      <c r="B13" s="447"/>
      <c r="C13" s="31"/>
      <c r="D13" s="31"/>
      <c r="E13" s="448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0"/>
    </row>
    <row r="14" spans="2:19" s="33" customFormat="1" ht="19.5">
      <c r="B14" s="34" t="s">
        <v>96</v>
      </c>
      <c r="C14" s="35"/>
      <c r="D14" s="36"/>
      <c r="E14" s="449"/>
      <c r="F14" s="37"/>
      <c r="G14" s="37"/>
      <c r="H14" s="37"/>
      <c r="I14" s="38"/>
      <c r="J14" s="39"/>
      <c r="K14" s="40"/>
      <c r="L14" s="40"/>
      <c r="M14" s="40"/>
      <c r="N14" s="40"/>
      <c r="O14" s="40"/>
      <c r="P14" s="40"/>
      <c r="Q14" s="40"/>
      <c r="R14" s="40"/>
      <c r="S14" s="40"/>
    </row>
    <row r="15" spans="2:19" s="33" customFormat="1" ht="13.5" customHeight="1">
      <c r="B15" s="41"/>
      <c r="C15" s="42"/>
      <c r="D15" s="101"/>
      <c r="E15" s="104"/>
      <c r="F15" s="43"/>
      <c r="G15" s="43"/>
      <c r="H15" s="43"/>
      <c r="I15" s="40"/>
      <c r="J15" s="44"/>
      <c r="K15" s="40"/>
      <c r="L15" s="40"/>
      <c r="M15" s="40"/>
      <c r="N15" s="40"/>
      <c r="O15" s="40"/>
      <c r="P15" s="40"/>
      <c r="Q15" s="40"/>
      <c r="R15" s="40"/>
      <c r="S15" s="40"/>
    </row>
    <row r="16" spans="2:19" s="33" customFormat="1" ht="12.75" customHeight="1">
      <c r="B16" s="41"/>
      <c r="C16" s="45"/>
      <c r="D16" s="101"/>
      <c r="E16" s="102"/>
      <c r="F16" s="43"/>
      <c r="G16" s="43"/>
      <c r="H16" s="43"/>
      <c r="I16" s="46"/>
      <c r="J16" s="44"/>
      <c r="K16" s="40"/>
      <c r="L16" s="40"/>
      <c r="M16" s="40"/>
      <c r="N16" s="40"/>
      <c r="O16" s="40"/>
      <c r="P16" s="40"/>
      <c r="Q16" s="40"/>
      <c r="R16" s="40"/>
      <c r="S16" s="40"/>
    </row>
    <row r="17" spans="2:19" s="33" customFormat="1" ht="19.5">
      <c r="B17" s="41"/>
      <c r="C17" s="45" t="s">
        <v>41</v>
      </c>
      <c r="D17" s="103" t="s">
        <v>42</v>
      </c>
      <c r="E17" s="104"/>
      <c r="F17" s="43"/>
      <c r="G17" s="43"/>
      <c r="H17" s="43"/>
      <c r="I17" s="46"/>
      <c r="J17" s="44"/>
      <c r="K17" s="40"/>
      <c r="L17" s="40"/>
      <c r="M17" s="40"/>
      <c r="N17" s="40"/>
      <c r="O17" s="40"/>
      <c r="P17" s="40"/>
      <c r="Q17" s="40"/>
      <c r="R17" s="40"/>
      <c r="S17" s="40"/>
    </row>
    <row r="18" spans="2:19" s="33" customFormat="1" ht="19.5">
      <c r="B18" s="41"/>
      <c r="C18" s="45"/>
      <c r="D18" s="101">
        <v>41</v>
      </c>
      <c r="E18" s="102" t="s">
        <v>40</v>
      </c>
      <c r="F18" s="43"/>
      <c r="G18" s="43"/>
      <c r="H18" s="43"/>
      <c r="I18" s="46">
        <f>'SUP-YACYLEC'!K59</f>
        <v>58.65990887436145</v>
      </c>
      <c r="J18" s="44"/>
      <c r="K18" s="40"/>
      <c r="L18" s="40"/>
      <c r="M18" s="40"/>
      <c r="N18" s="40"/>
      <c r="O18" s="40"/>
      <c r="P18" s="40"/>
      <c r="Q18" s="40"/>
      <c r="R18" s="40"/>
      <c r="S18" s="40"/>
    </row>
    <row r="19" spans="2:19" s="33" customFormat="1" ht="19.5">
      <c r="B19" s="41"/>
      <c r="C19" s="45"/>
      <c r="D19" s="101">
        <v>42</v>
      </c>
      <c r="E19" s="102" t="s">
        <v>43</v>
      </c>
      <c r="F19" s="43"/>
      <c r="G19" s="43"/>
      <c r="H19" s="43"/>
      <c r="I19" s="46">
        <f>'SUP-TIBA'!J66</f>
        <v>15521.287632894877</v>
      </c>
      <c r="J19" s="44"/>
      <c r="K19" s="40"/>
      <c r="L19" s="40"/>
      <c r="M19" s="40"/>
      <c r="N19" s="40"/>
      <c r="O19" s="40"/>
      <c r="P19" s="40"/>
      <c r="Q19" s="40"/>
      <c r="R19" s="40"/>
      <c r="S19" s="40"/>
    </row>
    <row r="20" spans="2:19" s="33" customFormat="1" ht="20.25" thickBot="1">
      <c r="B20" s="41"/>
      <c r="C20" s="42"/>
      <c r="D20" s="101"/>
      <c r="E20" s="104"/>
      <c r="F20" s="43"/>
      <c r="G20" s="43"/>
      <c r="H20" s="43"/>
      <c r="I20" s="40"/>
      <c r="J20" s="44"/>
      <c r="K20" s="40"/>
      <c r="L20" s="40"/>
      <c r="M20" s="40"/>
      <c r="N20" s="40"/>
      <c r="O20" s="40"/>
      <c r="P20" s="40"/>
      <c r="Q20" s="40"/>
      <c r="R20" s="40"/>
      <c r="S20" s="40"/>
    </row>
    <row r="21" spans="2:19" s="33" customFormat="1" ht="20.25" thickBot="1" thickTop="1">
      <c r="B21" s="41"/>
      <c r="C21" s="45"/>
      <c r="D21" s="45"/>
      <c r="F21" s="49" t="s">
        <v>3</v>
      </c>
      <c r="G21" s="50">
        <f>SUM(I16:I19)</f>
        <v>15579.947541769237</v>
      </c>
      <c r="H21" s="84"/>
      <c r="J21" s="44"/>
      <c r="K21" s="40"/>
      <c r="L21" s="40"/>
      <c r="M21" s="40"/>
      <c r="N21" s="40"/>
      <c r="O21" s="40"/>
      <c r="P21" s="40"/>
      <c r="Q21" s="40"/>
      <c r="R21" s="40"/>
      <c r="S21" s="40"/>
    </row>
    <row r="22" spans="2:19" s="33" customFormat="1" ht="9.75" customHeight="1" thickTop="1">
      <c r="B22" s="41"/>
      <c r="C22" s="45"/>
      <c r="D22" s="45"/>
      <c r="F22" s="100"/>
      <c r="G22" s="84"/>
      <c r="H22" s="84"/>
      <c r="J22" s="44"/>
      <c r="K22" s="40"/>
      <c r="L22" s="40"/>
      <c r="M22" s="40"/>
      <c r="N22" s="40"/>
      <c r="O22" s="40"/>
      <c r="P22" s="40"/>
      <c r="Q22" s="40"/>
      <c r="R22" s="40"/>
      <c r="S22" s="40"/>
    </row>
    <row r="23" spans="2:19" s="33" customFormat="1" ht="18.75">
      <c r="B23" s="41"/>
      <c r="C23" s="105" t="s">
        <v>104</v>
      </c>
      <c r="D23" s="45"/>
      <c r="F23" s="100"/>
      <c r="G23" s="84"/>
      <c r="H23" s="84"/>
      <c r="J23" s="44"/>
      <c r="K23" s="40"/>
      <c r="L23" s="40"/>
      <c r="M23" s="40"/>
      <c r="N23" s="40"/>
      <c r="O23" s="40"/>
      <c r="P23" s="40"/>
      <c r="Q23" s="40"/>
      <c r="R23" s="40"/>
      <c r="S23" s="40"/>
    </row>
    <row r="24" spans="2:19" s="29" customFormat="1" ht="10.5" customHeight="1" thickBot="1">
      <c r="B24" s="51"/>
      <c r="C24" s="52"/>
      <c r="D24" s="52"/>
      <c r="E24" s="53"/>
      <c r="F24" s="53"/>
      <c r="G24" s="53"/>
      <c r="H24" s="53"/>
      <c r="I24" s="53"/>
      <c r="J24" s="54"/>
      <c r="K24" s="30"/>
      <c r="L24" s="30"/>
      <c r="M24" s="55"/>
      <c r="N24" s="56"/>
      <c r="O24" s="56"/>
      <c r="P24" s="57"/>
      <c r="Q24" s="58"/>
      <c r="R24" s="30"/>
      <c r="S24" s="30"/>
    </row>
    <row r="25" spans="4:19" ht="13.5" thickTop="1">
      <c r="D25" s="3"/>
      <c r="F25" s="3"/>
      <c r="G25" s="3"/>
      <c r="H25" s="3"/>
      <c r="I25" s="3"/>
      <c r="J25" s="3"/>
      <c r="K25" s="3"/>
      <c r="L25" s="3"/>
      <c r="M25" s="12"/>
      <c r="N25" s="59"/>
      <c r="O25" s="59"/>
      <c r="P25" s="3"/>
      <c r="Q25" s="60"/>
      <c r="R25" s="3"/>
      <c r="S25" s="3"/>
    </row>
    <row r="26" spans="4:19" ht="12.75">
      <c r="D26" s="3"/>
      <c r="F26" s="3"/>
      <c r="G26" s="3"/>
      <c r="H26" s="3"/>
      <c r="I26" s="3"/>
      <c r="J26" s="3"/>
      <c r="K26" s="3"/>
      <c r="L26" s="3"/>
      <c r="M26" s="3"/>
      <c r="N26" s="61"/>
      <c r="O26" s="61"/>
      <c r="P26" s="62"/>
      <c r="Q26" s="60"/>
      <c r="R26" s="3"/>
      <c r="S26" s="3"/>
    </row>
    <row r="27" spans="4:19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61"/>
      <c r="O27" s="61"/>
      <c r="P27" s="62"/>
      <c r="Q27" s="60"/>
      <c r="R27" s="3"/>
      <c r="S27" s="3"/>
    </row>
    <row r="28" spans="4:19" ht="12.75">
      <c r="D28" s="3"/>
      <c r="E28" s="3"/>
      <c r="L28" s="3"/>
      <c r="M28" s="3"/>
      <c r="N28" s="3"/>
      <c r="O28" s="3"/>
      <c r="P28" s="3"/>
      <c r="Q28" s="3"/>
      <c r="R28" s="3"/>
      <c r="S28" s="3"/>
    </row>
    <row r="29" spans="4:19" ht="12.75">
      <c r="D29" s="3"/>
      <c r="E29" s="3"/>
      <c r="P29" s="3"/>
      <c r="Q29" s="3"/>
      <c r="R29" s="3"/>
      <c r="S29" s="3"/>
    </row>
    <row r="30" spans="4:19" ht="12.75">
      <c r="D30" s="3"/>
      <c r="E30" s="3"/>
      <c r="P30" s="3"/>
      <c r="Q30" s="3"/>
      <c r="R30" s="3"/>
      <c r="S30" s="3"/>
    </row>
    <row r="31" spans="4:19" ht="12.75">
      <c r="D31" s="3"/>
      <c r="E31" s="3"/>
      <c r="P31" s="3"/>
      <c r="Q31" s="3"/>
      <c r="R31" s="3"/>
      <c r="S31" s="3"/>
    </row>
    <row r="32" spans="4:19" ht="12.75">
      <c r="D32" s="3"/>
      <c r="E32" s="3"/>
      <c r="P32" s="3"/>
      <c r="Q32" s="3"/>
      <c r="R32" s="3"/>
      <c r="S32" s="3"/>
    </row>
    <row r="33" spans="4:19" ht="12.75">
      <c r="D33" s="3"/>
      <c r="E33" s="3"/>
      <c r="P33" s="3"/>
      <c r="Q33" s="3"/>
      <c r="R33" s="3"/>
      <c r="S33" s="3"/>
    </row>
    <row r="34" spans="16:19" ht="12.75">
      <c r="P34" s="3"/>
      <c r="Q34" s="3"/>
      <c r="R34" s="3"/>
      <c r="S34" s="3"/>
    </row>
    <row r="35" spans="16:19" ht="12.75">
      <c r="P35" s="3"/>
      <c r="Q35" s="3"/>
      <c r="R35" s="3"/>
      <c r="S35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2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G61"/>
  <sheetViews>
    <sheetView zoomScale="75" zoomScaleNormal="75" workbookViewId="0" topLeftCell="A7">
      <selection activeCell="K25" sqref="K2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D1" s="98"/>
    </row>
    <row r="2" spans="1:23" ht="27" customHeight="1">
      <c r="A2" s="7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0" s="162" customFormat="1" ht="30.75">
      <c r="A3" s="159"/>
      <c r="B3" s="160" t="str">
        <f>+'TOT-1206'!B2</f>
        <v>ANEXO I.1.b. al Memorandum  D.T.E.E. N°   1046       /2009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AB3" s="161"/>
      <c r="AC3" s="161"/>
      <c r="AD3" s="161"/>
    </row>
    <row r="4" spans="1:2" s="22" customFormat="1" ht="11.25">
      <c r="A4" s="20" t="s">
        <v>1</v>
      </c>
      <c r="B4" s="20"/>
    </row>
    <row r="5" spans="1:2" s="22" customFormat="1" ht="11.25">
      <c r="A5" s="20" t="s">
        <v>2</v>
      </c>
      <c r="B5" s="20"/>
    </row>
    <row r="6" s="22" customFormat="1" ht="12" thickBot="1">
      <c r="A6" s="20"/>
    </row>
    <row r="7" spans="1:30" ht="16.5" customHeight="1" thickTop="1">
      <c r="A7" s="4"/>
      <c r="B7" s="63"/>
      <c r="C7" s="64"/>
      <c r="D7" s="64"/>
      <c r="E7" s="122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112"/>
      <c r="X7" s="112"/>
      <c r="Y7" s="112"/>
      <c r="Z7" s="112"/>
      <c r="AA7" s="112"/>
      <c r="AB7" s="112"/>
      <c r="AC7" s="112"/>
      <c r="AD7" s="76"/>
    </row>
    <row r="8" spans="1:30" ht="20.25">
      <c r="A8" s="4"/>
      <c r="B8" s="47"/>
      <c r="C8" s="3"/>
      <c r="D8" s="111" t="s">
        <v>49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7"/>
      <c r="Q8" s="67"/>
      <c r="R8" s="3"/>
      <c r="S8" s="3"/>
      <c r="T8" s="3"/>
      <c r="U8" s="3"/>
      <c r="V8" s="3"/>
      <c r="AD8" s="14"/>
    </row>
    <row r="9" spans="1:30" ht="16.5" customHeight="1">
      <c r="A9" s="4"/>
      <c r="B9" s="4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AD9" s="14"/>
    </row>
    <row r="10" spans="2:30" s="33" customFormat="1" ht="20.25">
      <c r="B10" s="41"/>
      <c r="C10" s="40"/>
      <c r="D10" s="111" t="s">
        <v>50</v>
      </c>
      <c r="E10" s="40"/>
      <c r="F10" s="40"/>
      <c r="G10" s="40"/>
      <c r="H10" s="40"/>
      <c r="N10" s="40"/>
      <c r="O10" s="40"/>
      <c r="P10" s="123"/>
      <c r="Q10" s="123"/>
      <c r="R10" s="40"/>
      <c r="S10" s="40"/>
      <c r="T10" s="40"/>
      <c r="U10" s="40"/>
      <c r="V10" s="40"/>
      <c r="W10"/>
      <c r="X10" s="40"/>
      <c r="Y10" s="40"/>
      <c r="Z10" s="40"/>
      <c r="AA10" s="40"/>
      <c r="AB10" s="40"/>
      <c r="AC10"/>
      <c r="AD10" s="124"/>
    </row>
    <row r="11" spans="1:30" ht="16.5" customHeight="1">
      <c r="A11" s="4"/>
      <c r="B11" s="4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AD11" s="14"/>
    </row>
    <row r="12" spans="2:30" s="33" customFormat="1" ht="20.25">
      <c r="B12" s="41"/>
      <c r="C12" s="40"/>
      <c r="D12" s="111" t="s">
        <v>51</v>
      </c>
      <c r="E12" s="40"/>
      <c r="F12" s="40"/>
      <c r="G12" s="40"/>
      <c r="H12" s="40"/>
      <c r="N12" s="40"/>
      <c r="O12" s="40"/>
      <c r="P12" s="123"/>
      <c r="Q12" s="123"/>
      <c r="R12" s="40"/>
      <c r="S12" s="40"/>
      <c r="T12" s="40"/>
      <c r="U12" s="40"/>
      <c r="V12" s="40"/>
      <c r="W12"/>
      <c r="X12" s="40"/>
      <c r="Y12" s="40"/>
      <c r="Z12" s="40"/>
      <c r="AA12" s="40"/>
      <c r="AB12" s="40"/>
      <c r="AC12"/>
      <c r="AD12" s="124"/>
    </row>
    <row r="13" spans="1:30" ht="16.5" customHeight="1">
      <c r="A13" s="4"/>
      <c r="B13" s="47"/>
      <c r="C13" s="3"/>
      <c r="D13" s="3"/>
      <c r="E13" s="4"/>
      <c r="F13" s="4"/>
      <c r="G13" s="4"/>
      <c r="H13" s="4"/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"/>
      <c r="V13" s="3"/>
      <c r="AD13" s="14"/>
    </row>
    <row r="14" spans="2:30" s="33" customFormat="1" ht="19.5">
      <c r="B14" s="34" t="s">
        <v>96</v>
      </c>
      <c r="C14" s="35"/>
      <c r="D14" s="37"/>
      <c r="E14" s="37"/>
      <c r="F14" s="37"/>
      <c r="G14" s="37"/>
      <c r="H14" s="37"/>
      <c r="I14" s="38"/>
      <c r="J14" s="10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85"/>
      <c r="V14" s="85"/>
      <c r="W14"/>
      <c r="X14" s="163"/>
      <c r="Y14" s="163"/>
      <c r="Z14" s="163"/>
      <c r="AA14" s="163"/>
      <c r="AB14" s="85"/>
      <c r="AC14" s="109"/>
      <c r="AD14" s="39"/>
    </row>
    <row r="15" spans="1:30" ht="16.5" customHeight="1">
      <c r="A15" s="4"/>
      <c r="B15" s="47"/>
      <c r="C15" s="3"/>
      <c r="D15" s="3"/>
      <c r="E15" s="60"/>
      <c r="F15" s="60"/>
      <c r="G15" s="3"/>
      <c r="H15" s="3"/>
      <c r="I15" s="3"/>
      <c r="J15" s="164"/>
      <c r="K15" s="3"/>
      <c r="L15" s="3"/>
      <c r="M15" s="3"/>
      <c r="N15" s="4"/>
      <c r="O15" s="4"/>
      <c r="P15" s="3"/>
      <c r="Q15" s="3"/>
      <c r="R15" s="3"/>
      <c r="S15" s="3"/>
      <c r="T15" s="3"/>
      <c r="U15" s="3"/>
      <c r="V15" s="3"/>
      <c r="AD15" s="14"/>
    </row>
    <row r="16" spans="1:30" ht="16.5" customHeight="1">
      <c r="A16" s="4"/>
      <c r="B16" s="47"/>
      <c r="C16" s="3"/>
      <c r="D16" s="3"/>
      <c r="E16" s="60"/>
      <c r="F16" s="60"/>
      <c r="G16" s="3"/>
      <c r="H16" s="3"/>
      <c r="I16" s="94"/>
      <c r="J16" s="3"/>
      <c r="K16" s="1"/>
      <c r="M16" s="3"/>
      <c r="N16" s="4"/>
      <c r="O16" s="4"/>
      <c r="P16" s="3"/>
      <c r="Q16" s="3"/>
      <c r="R16" s="3"/>
      <c r="S16" s="3"/>
      <c r="T16" s="3"/>
      <c r="U16" s="3"/>
      <c r="V16" s="3"/>
      <c r="AD16" s="14"/>
    </row>
    <row r="17" spans="1:30" ht="16.5" customHeight="1">
      <c r="A17" s="4"/>
      <c r="B17" s="47"/>
      <c r="C17" s="3"/>
      <c r="D17" s="3"/>
      <c r="E17" s="60"/>
      <c r="F17" s="60"/>
      <c r="G17" s="3"/>
      <c r="H17" s="3"/>
      <c r="I17" s="94"/>
      <c r="J17" s="3"/>
      <c r="K17" s="1"/>
      <c r="M17" s="3"/>
      <c r="N17" s="4"/>
      <c r="O17" s="4"/>
      <c r="P17" s="3"/>
      <c r="Q17" s="3"/>
      <c r="R17" s="3"/>
      <c r="S17" s="3"/>
      <c r="T17" s="3"/>
      <c r="U17" s="3"/>
      <c r="V17" s="3"/>
      <c r="AD17" s="14"/>
    </row>
    <row r="18" spans="1:30" ht="16.5" customHeight="1">
      <c r="A18" s="4"/>
      <c r="B18" s="47"/>
      <c r="C18" s="100" t="s">
        <v>52</v>
      </c>
      <c r="D18" s="48" t="s">
        <v>53</v>
      </c>
      <c r="E18" s="60"/>
      <c r="F18" s="60"/>
      <c r="G18" s="3"/>
      <c r="H18" s="3"/>
      <c r="I18" s="3"/>
      <c r="J18" s="164"/>
      <c r="K18" s="3"/>
      <c r="L18" s="3"/>
      <c r="M18" s="3"/>
      <c r="N18" s="4"/>
      <c r="O18" s="4"/>
      <c r="P18" s="3"/>
      <c r="Q18" s="3"/>
      <c r="R18" s="3"/>
      <c r="S18" s="3"/>
      <c r="T18" s="3"/>
      <c r="U18" s="3"/>
      <c r="V18" s="3"/>
      <c r="AD18" s="14"/>
    </row>
    <row r="19" spans="2:30" s="29" customFormat="1" ht="16.5" customHeight="1">
      <c r="B19" s="165"/>
      <c r="C19" s="30"/>
      <c r="D19" s="166"/>
      <c r="E19" s="167"/>
      <c r="F19" s="168"/>
      <c r="G19" s="30"/>
      <c r="H19" s="30"/>
      <c r="I19" s="30"/>
      <c r="J19" s="169"/>
      <c r="K19" s="30"/>
      <c r="L19" s="30"/>
      <c r="M19" s="30"/>
      <c r="P19" s="30"/>
      <c r="Q19" s="30"/>
      <c r="R19" s="30"/>
      <c r="S19" s="30"/>
      <c r="T19" s="30"/>
      <c r="U19" s="30"/>
      <c r="V19" s="30"/>
      <c r="W19"/>
      <c r="AD19" s="170"/>
    </row>
    <row r="20" spans="2:30" s="29" customFormat="1" ht="16.5" customHeight="1">
      <c r="B20" s="165"/>
      <c r="C20" s="30"/>
      <c r="D20" s="171" t="s">
        <v>54</v>
      </c>
      <c r="F20" s="172">
        <v>89.969</v>
      </c>
      <c r="G20" s="171" t="s">
        <v>55</v>
      </c>
      <c r="H20" s="30"/>
      <c r="I20" s="30"/>
      <c r="J20" s="173"/>
      <c r="K20" s="174" t="s">
        <v>29</v>
      </c>
      <c r="L20" s="175">
        <v>0.0065</v>
      </c>
      <c r="R20" s="30"/>
      <c r="S20" s="30"/>
      <c r="T20" s="30"/>
      <c r="U20" s="30"/>
      <c r="V20" s="30"/>
      <c r="W20"/>
      <c r="AD20" s="170"/>
    </row>
    <row r="21" spans="2:30" s="29" customFormat="1" ht="16.5" customHeight="1">
      <c r="B21" s="165"/>
      <c r="C21" s="30"/>
      <c r="D21" s="176" t="s">
        <v>56</v>
      </c>
      <c r="E21" s="176"/>
      <c r="F21" s="177">
        <v>5365526</v>
      </c>
      <c r="G21" s="177"/>
      <c r="H21" s="30"/>
      <c r="I21" s="30"/>
      <c r="J21" s="30"/>
      <c r="K21" s="166" t="s">
        <v>27</v>
      </c>
      <c r="L21" s="30">
        <v>744</v>
      </c>
      <c r="M21" s="30" t="s">
        <v>28</v>
      </c>
      <c r="N21" s="30"/>
      <c r="O21" s="125"/>
      <c r="P21" s="126"/>
      <c r="Q21" s="3"/>
      <c r="R21" s="30"/>
      <c r="S21" s="30"/>
      <c r="T21" s="30"/>
      <c r="U21" s="30"/>
      <c r="V21" s="30"/>
      <c r="W21"/>
      <c r="AD21" s="170"/>
    </row>
    <row r="22" spans="2:30" s="29" customFormat="1" ht="16.5" customHeight="1">
      <c r="B22" s="165"/>
      <c r="C22" s="30"/>
      <c r="D22" s="30"/>
      <c r="E22" s="17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/>
      <c r="AD22" s="170"/>
    </row>
    <row r="23" spans="1:30" ht="16.5" customHeight="1">
      <c r="A23" s="4"/>
      <c r="B23" s="47"/>
      <c r="C23" s="100" t="s">
        <v>57</v>
      </c>
      <c r="D23" s="2" t="s">
        <v>87</v>
      </c>
      <c r="I23" s="3"/>
      <c r="J23" s="29"/>
      <c r="O23" s="3"/>
      <c r="P23" s="3"/>
      <c r="Q23" s="3"/>
      <c r="R23" s="3"/>
      <c r="S23" s="3"/>
      <c r="T23" s="3"/>
      <c r="V23" s="3"/>
      <c r="X23" s="3"/>
      <c r="Y23" s="3"/>
      <c r="Z23" s="3"/>
      <c r="AA23" s="3"/>
      <c r="AB23" s="3"/>
      <c r="AC23" s="3"/>
      <c r="AD23" s="14"/>
    </row>
    <row r="24" spans="1:30" ht="10.5" customHeight="1" thickBot="1">
      <c r="A24" s="4"/>
      <c r="B24" s="47"/>
      <c r="C24" s="60"/>
      <c r="D24" s="2"/>
      <c r="I24" s="3"/>
      <c r="J24" s="29"/>
      <c r="O24" s="3"/>
      <c r="P24" s="3"/>
      <c r="Q24" s="3"/>
      <c r="R24" s="3"/>
      <c r="S24" s="3"/>
      <c r="T24" s="3"/>
      <c r="V24" s="3"/>
      <c r="X24" s="3"/>
      <c r="Y24" s="3"/>
      <c r="Z24" s="3"/>
      <c r="AA24" s="3"/>
      <c r="AB24" s="3"/>
      <c r="AC24" s="3"/>
      <c r="AD24" s="14"/>
    </row>
    <row r="25" spans="2:30" s="29" customFormat="1" ht="16.5" customHeight="1" thickBot="1" thickTop="1">
      <c r="B25" s="165"/>
      <c r="C25" s="168"/>
      <c r="D25"/>
      <c r="E25"/>
      <c r="F25"/>
      <c r="G25"/>
      <c r="H25"/>
      <c r="I25"/>
      <c r="J25" s="179" t="s">
        <v>34</v>
      </c>
      <c r="K25" s="180">
        <f>F21*L20</f>
        <v>34875.919</v>
      </c>
      <c r="L25"/>
      <c r="S25"/>
      <c r="T25"/>
      <c r="U25"/>
      <c r="W25"/>
      <c r="AD25" s="170"/>
    </row>
    <row r="26" spans="2:30" s="29" customFormat="1" ht="11.25" customHeight="1" thickTop="1">
      <c r="B26" s="165"/>
      <c r="C26" s="168"/>
      <c r="D26" s="30"/>
      <c r="E26" s="17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/>
      <c r="W26"/>
      <c r="AD26" s="170"/>
    </row>
    <row r="27" spans="1:30" ht="16.5" customHeight="1">
      <c r="A27" s="4"/>
      <c r="B27" s="47"/>
      <c r="C27" s="100" t="s">
        <v>58</v>
      </c>
      <c r="D27" s="2" t="s">
        <v>88</v>
      </c>
      <c r="E27" s="1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AD27" s="14"/>
    </row>
    <row r="28" spans="1:30" ht="21.75" customHeight="1" thickBot="1">
      <c r="A28" s="4"/>
      <c r="B28" s="47"/>
      <c r="C28" s="3"/>
      <c r="D28" s="3"/>
      <c r="E28" s="12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D28" s="14"/>
    </row>
    <row r="29" spans="2:31" s="4" customFormat="1" ht="33.75" customHeight="1" thickBot="1" thickTop="1">
      <c r="B29" s="47"/>
      <c r="C29" s="69" t="s">
        <v>4</v>
      </c>
      <c r="D29" s="128" t="s">
        <v>0</v>
      </c>
      <c r="E29" s="113" t="s">
        <v>5</v>
      </c>
      <c r="F29" s="72" t="s">
        <v>6</v>
      </c>
      <c r="G29" s="129" t="s">
        <v>45</v>
      </c>
      <c r="H29" s="130" t="s">
        <v>26</v>
      </c>
      <c r="I29" s="91" t="s">
        <v>7</v>
      </c>
      <c r="J29" s="70" t="s">
        <v>8</v>
      </c>
      <c r="K29" s="114" t="s">
        <v>9</v>
      </c>
      <c r="L29" s="73" t="s">
        <v>25</v>
      </c>
      <c r="M29" s="71" t="s">
        <v>20</v>
      </c>
      <c r="N29" s="73" t="s">
        <v>59</v>
      </c>
      <c r="O29" s="73" t="s">
        <v>35</v>
      </c>
      <c r="P29" s="114" t="s">
        <v>36</v>
      </c>
      <c r="Q29" s="70" t="s">
        <v>21</v>
      </c>
      <c r="R29" s="92" t="s">
        <v>11</v>
      </c>
      <c r="S29" s="181" t="s">
        <v>12</v>
      </c>
      <c r="T29" s="182" t="s">
        <v>46</v>
      </c>
      <c r="U29" s="183"/>
      <c r="V29" s="184"/>
      <c r="W29" s="185" t="s">
        <v>60</v>
      </c>
      <c r="X29" s="186"/>
      <c r="Y29" s="187"/>
      <c r="Z29" s="188" t="s">
        <v>13</v>
      </c>
      <c r="AA29" s="189" t="s">
        <v>14</v>
      </c>
      <c r="AB29" s="74" t="s">
        <v>47</v>
      </c>
      <c r="AC29" s="82" t="s">
        <v>15</v>
      </c>
      <c r="AD29" s="131"/>
      <c r="AE29"/>
    </row>
    <row r="30" spans="1:30" ht="16.5" customHeight="1" thickTop="1">
      <c r="A30" s="4"/>
      <c r="B30" s="47"/>
      <c r="C30" s="6"/>
      <c r="D30" s="190"/>
      <c r="E30" s="191"/>
      <c r="F30" s="192"/>
      <c r="G30" s="193"/>
      <c r="H30" s="194"/>
      <c r="I30" s="195"/>
      <c r="J30" s="196"/>
      <c r="K30" s="197"/>
      <c r="L30" s="6"/>
      <c r="M30" s="6"/>
      <c r="N30" s="117"/>
      <c r="O30" s="117"/>
      <c r="P30" s="6"/>
      <c r="Q30" s="116"/>
      <c r="R30" s="198"/>
      <c r="S30" s="199"/>
      <c r="T30" s="200"/>
      <c r="U30" s="201"/>
      <c r="V30" s="202"/>
      <c r="W30" s="203"/>
      <c r="X30" s="204"/>
      <c r="Y30" s="205"/>
      <c r="Z30" s="206"/>
      <c r="AA30" s="207"/>
      <c r="AB30" s="208"/>
      <c r="AC30" s="209"/>
      <c r="AD30" s="14"/>
    </row>
    <row r="31" spans="1:30" ht="16.5" customHeight="1">
      <c r="A31" s="4"/>
      <c r="B31" s="47"/>
      <c r="C31" s="452" t="s">
        <v>107</v>
      </c>
      <c r="D31" s="6" t="s">
        <v>100</v>
      </c>
      <c r="E31" s="157">
        <v>500</v>
      </c>
      <c r="F31" s="210">
        <v>40</v>
      </c>
      <c r="G31" s="211" t="s">
        <v>97</v>
      </c>
      <c r="H31" s="212">
        <f>IF(G31="A",200,IF(G31="B",60,20))</f>
        <v>20</v>
      </c>
      <c r="I31" s="213">
        <f>IF(F31&gt;100,F31,100)*$F$20/100</f>
        <v>89.969</v>
      </c>
      <c r="J31" s="214">
        <v>39061.29513888889</v>
      </c>
      <c r="K31" s="158">
        <v>39061.717361111114</v>
      </c>
      <c r="L31" s="215">
        <f>IF(D31="","",(K31-J31)*24)</f>
        <v>10.133333333360497</v>
      </c>
      <c r="M31" s="150">
        <f>IF(D31="","",ROUND((K31-J31)*24*60,0))</f>
        <v>608</v>
      </c>
      <c r="N31" s="216" t="s">
        <v>98</v>
      </c>
      <c r="O31" s="217" t="str">
        <f>IF(D31="","","--")</f>
        <v>--</v>
      </c>
      <c r="P31" s="132" t="str">
        <f>IF(D31="","","NO")</f>
        <v>NO</v>
      </c>
      <c r="Q31" s="132" t="str">
        <f>IF(D31="","",IF(OR(N31="P",N31="RP"),"--","NO"))</f>
        <v>--</v>
      </c>
      <c r="R31" s="218">
        <f>IF(N31="P",+I31*H31*ROUND(M31/60,2)/100,"--")</f>
        <v>182.277194</v>
      </c>
      <c r="S31" s="219" t="str">
        <f>IF(N31="RP",I31*H31*ROUND(M31/60,2)*0.01*O31/100,"--")</f>
        <v>--</v>
      </c>
      <c r="T31" s="220" t="str">
        <f>IF(AND(N31="F",Q31="NO"),IF(P31="SI",1.2,1)*I31*H31,"--")</f>
        <v>--</v>
      </c>
      <c r="U31" s="221" t="str">
        <f>IF(AND(M31&gt;10,N31="F"),IF(M31&lt;=300,ROUND(M31/60,2),5)*I31*H31*IF(P31="SI",1.2,1),"--")</f>
        <v>--</v>
      </c>
      <c r="V31" s="222" t="str">
        <f>IF(AND(N31="F",M31&gt;300),IF(P31="SI",1.2,1)*(ROUND(M31/60,2)-5)*I31*H31*0.1,"--")</f>
        <v>--</v>
      </c>
      <c r="W31" s="223" t="str">
        <f>IF(AND(N31="R",Q31="NO"),IF(P31="SI",1.2,1)*I31*H31*O31/100,"--")</f>
        <v>--</v>
      </c>
      <c r="X31" s="224" t="str">
        <f>IF(AND(M31&gt;10,N31="R"),IF(M31&lt;=300,ROUND(M31/60,2),5)*I31*H31*O31/100*IF(P31="SI",1.2,1),"--")</f>
        <v>--</v>
      </c>
      <c r="Y31" s="225" t="str">
        <f>IF(AND(N31="R",M31&gt;300),IF(P31="SI",1.2,1)*(ROUND(M31/60,2)-5)*I31*H31*O31/100*0.1,"--")</f>
        <v>--</v>
      </c>
      <c r="Z31" s="226" t="str">
        <f>IF(N31="RF",IF(P31="SI",1.2,1)*ROUND(M31/60,2)*I31*H31*0.1,"--")</f>
        <v>--</v>
      </c>
      <c r="AA31" s="227" t="str">
        <f>IF(N31="RR",IF(P31="SI",1.2,1)*ROUND(M31/60,2)*I31*H31*O31/100*0.1,"--")</f>
        <v>--</v>
      </c>
      <c r="AB31" s="228" t="s">
        <v>99</v>
      </c>
      <c r="AC31" s="13">
        <f>IF(D31="","",SUM(R31:AA31)*IF(AB31="SI",1,2))</f>
        <v>182.277194</v>
      </c>
      <c r="AD31" s="14"/>
    </row>
    <row r="32" spans="1:30" ht="16.5" customHeight="1">
      <c r="A32" s="4"/>
      <c r="B32" s="47"/>
      <c r="C32" s="452"/>
      <c r="D32" s="6"/>
      <c r="E32" s="157"/>
      <c r="F32" s="210"/>
      <c r="G32" s="211"/>
      <c r="H32" s="212">
        <f>IF(G32="A",200,IF(G32="B",60,20))</f>
        <v>20</v>
      </c>
      <c r="I32" s="213">
        <f>IF(F32&gt;100,F32,100)*$F$20/100</f>
        <v>89.969</v>
      </c>
      <c r="J32" s="214"/>
      <c r="K32" s="158"/>
      <c r="L32" s="215">
        <f>IF(D32="","",(K32-J32)*24)</f>
      </c>
      <c r="M32" s="150">
        <f>IF(D32="","",ROUND((K32-J32)*24*60,0))</f>
      </c>
      <c r="N32" s="216"/>
      <c r="O32" s="217">
        <f>IF(D32="","","--")</f>
      </c>
      <c r="P32" s="132">
        <f>IF(D32="","","NO")</f>
      </c>
      <c r="Q32" s="132">
        <f>IF(D32="","",IF(OR(N32="P",N32="RP"),"--","NO"))</f>
      </c>
      <c r="R32" s="218" t="str">
        <f>IF(N32="P",+I32*H32*ROUND(M32/60,2)/100,"--")</f>
        <v>--</v>
      </c>
      <c r="S32" s="219" t="str">
        <f>IF(N32="RP",I32*H32*ROUND(M32/60,2)*0.01*O32/100,"--")</f>
        <v>--</v>
      </c>
      <c r="T32" s="220" t="str">
        <f>IF(AND(N32="F",Q32="NO"),IF(P32="SI",1.2,1)*I32*H32,"--")</f>
        <v>--</v>
      </c>
      <c r="U32" s="221" t="str">
        <f>IF(AND(M32&gt;10,N32="F"),IF(M32&lt;=300,ROUND(M32/60,2),5)*I32*H32*IF(P32="SI",1.2,1),"--")</f>
        <v>--</v>
      </c>
      <c r="V32" s="222" t="str">
        <f>IF(AND(N32="F",M32&gt;300),IF(P32="SI",1.2,1)*(ROUND(M32/60,2)-5)*I32*H32*0.1,"--")</f>
        <v>--</v>
      </c>
      <c r="W32" s="223" t="str">
        <f>IF(AND(N32="R",Q32="NO"),IF(P32="SI",1.2,1)*I32*H32*O32/100,"--")</f>
        <v>--</v>
      </c>
      <c r="X32" s="224" t="str">
        <f>IF(AND(M32&gt;10,N32="R"),IF(M32&lt;=300,ROUND(M32/60,2),5)*I32*H32*O32/100*IF(P32="SI",1.2,1),"--")</f>
        <v>--</v>
      </c>
      <c r="Y32" s="225" t="str">
        <f>IF(AND(N32="R",M32&gt;300),IF(P32="SI",1.2,1)*(ROUND(M32/60,2)-5)*I32*H32*O32/100*0.1,"--")</f>
        <v>--</v>
      </c>
      <c r="Z32" s="226" t="str">
        <f>IF(N32="RF",IF(P32="SI",1.2,1)*ROUND(M32/60,2)*I32*H32*0.1,"--")</f>
        <v>--</v>
      </c>
      <c r="AA32" s="227" t="str">
        <f>IF(N32="RR",IF(P32="SI",1.2,1)*ROUND(M32/60,2)*I32*H32*O32/100*0.1,"--")</f>
        <v>--</v>
      </c>
      <c r="AB32" s="228">
        <f>IF(D32="","","SI")</f>
      </c>
      <c r="AC32" s="13">
        <f>IF(D32="","",SUM(R32:AA32)*IF(AB32="SI",1,2))</f>
      </c>
      <c r="AD32" s="14"/>
    </row>
    <row r="33" spans="1:30" ht="16.5" customHeight="1">
      <c r="A33" s="4"/>
      <c r="B33" s="47"/>
      <c r="C33" s="452"/>
      <c r="D33" s="6"/>
      <c r="E33" s="157"/>
      <c r="F33" s="210"/>
      <c r="G33" s="211"/>
      <c r="H33" s="212">
        <f>IF(G33="A",200,IF(G33="B",60,20))</f>
        <v>20</v>
      </c>
      <c r="I33" s="213">
        <f>IF(F33&gt;100,F33,100)*$F$20/100</f>
        <v>89.969</v>
      </c>
      <c r="J33" s="214"/>
      <c r="K33" s="158"/>
      <c r="L33" s="215">
        <f>IF(D33="","",(K33-J33)*24)</f>
      </c>
      <c r="M33" s="150">
        <f>IF(D33="","",ROUND((K33-J33)*24*60,0))</f>
      </c>
      <c r="N33" s="216"/>
      <c r="O33" s="217">
        <f>IF(D33="","","--")</f>
      </c>
      <c r="P33" s="132">
        <f>IF(D33="","","NO")</f>
      </c>
      <c r="Q33" s="132">
        <f>IF(D33="","",IF(OR(N33="P",N33="RP"),"--","NO"))</f>
      </c>
      <c r="R33" s="218" t="str">
        <f>IF(N33="P",+I33*H33*ROUND(M33/60,2)/100,"--")</f>
        <v>--</v>
      </c>
      <c r="S33" s="219" t="str">
        <f>IF(N33="RP",I33*H33*ROUND(M33/60,2)*0.01*O33/100,"--")</f>
        <v>--</v>
      </c>
      <c r="T33" s="220" t="str">
        <f>IF(AND(N33="F",Q33="NO"),IF(P33="SI",1.2,1)*I33*H33,"--")</f>
        <v>--</v>
      </c>
      <c r="U33" s="221" t="str">
        <f>IF(AND(M33&gt;10,N33="F"),IF(M33&lt;=300,ROUND(M33/60,2),5)*I33*H33*IF(P33="SI",1.2,1),"--")</f>
        <v>--</v>
      </c>
      <c r="V33" s="222" t="str">
        <f>IF(AND(N33="F",M33&gt;300),IF(P33="SI",1.2,1)*(ROUND(M33/60,2)-5)*I33*H33*0.1,"--")</f>
        <v>--</v>
      </c>
      <c r="W33" s="223" t="str">
        <f>IF(AND(N33="R",Q33="NO"),IF(P33="SI",1.2,1)*I33*H33*O33/100,"--")</f>
        <v>--</v>
      </c>
      <c r="X33" s="224" t="str">
        <f>IF(AND(M33&gt;10,N33="R"),IF(M33&lt;=300,ROUND(M33/60,2),5)*I33*H33*O33/100*IF(P33="SI",1.2,1),"--")</f>
        <v>--</v>
      </c>
      <c r="Y33" s="225" t="str">
        <f>IF(AND(N33="R",M33&gt;300),IF(P33="SI",1.2,1)*(ROUND(M33/60,2)-5)*I33*H33*O33/100*0.1,"--")</f>
        <v>--</v>
      </c>
      <c r="Z33" s="226" t="str">
        <f>IF(N33="RF",IF(P33="SI",1.2,1)*ROUND(M33/60,2)*I33*H33*0.1,"--")</f>
        <v>--</v>
      </c>
      <c r="AA33" s="227" t="str">
        <f>IF(N33="RR",IF(P33="SI",1.2,1)*ROUND(M33/60,2)*I33*H33*O33/100*0.1,"--")</f>
        <v>--</v>
      </c>
      <c r="AB33" s="228">
        <f>IF(D33="","","SI")</f>
      </c>
      <c r="AC33" s="13">
        <f>IF(D33="","",SUM(R33:AA33)*IF(AB33="SI",1,2))</f>
      </c>
      <c r="AD33" s="14"/>
    </row>
    <row r="34" spans="1:30" ht="16.5" customHeight="1" thickBot="1">
      <c r="A34" s="29"/>
      <c r="B34" s="47"/>
      <c r="C34" s="450"/>
      <c r="D34" s="229"/>
      <c r="E34" s="230"/>
      <c r="F34" s="231"/>
      <c r="G34" s="232"/>
      <c r="H34" s="233"/>
      <c r="I34" s="234"/>
      <c r="J34" s="235"/>
      <c r="K34" s="235"/>
      <c r="L34" s="8"/>
      <c r="M34" s="8"/>
      <c r="N34" s="8"/>
      <c r="O34" s="236"/>
      <c r="P34" s="8"/>
      <c r="Q34" s="8"/>
      <c r="R34" s="237"/>
      <c r="S34" s="238"/>
      <c r="T34" s="239"/>
      <c r="U34" s="240"/>
      <c r="V34" s="241"/>
      <c r="W34" s="242"/>
      <c r="X34" s="243"/>
      <c r="Y34" s="244"/>
      <c r="Z34" s="245"/>
      <c r="AA34" s="246"/>
      <c r="AB34" s="247"/>
      <c r="AC34" s="248"/>
      <c r="AD34" s="133"/>
    </row>
    <row r="35" spans="1:30" ht="16.5" customHeight="1" thickBot="1" thickTop="1">
      <c r="A35" s="29"/>
      <c r="B35" s="47"/>
      <c r="C35" s="168"/>
      <c r="D35" s="168"/>
      <c r="E35" s="249"/>
      <c r="F35" s="178"/>
      <c r="G35" s="250"/>
      <c r="H35" s="250"/>
      <c r="I35" s="251"/>
      <c r="J35" s="251"/>
      <c r="K35" s="251"/>
      <c r="L35" s="251"/>
      <c r="M35" s="251"/>
      <c r="N35" s="251"/>
      <c r="O35" s="252"/>
      <c r="P35" s="251"/>
      <c r="Q35" s="251"/>
      <c r="R35" s="253">
        <f aca="true" t="shared" si="0" ref="R35:AA35">SUM(R30:R34)</f>
        <v>182.277194</v>
      </c>
      <c r="S35" s="254">
        <f t="shared" si="0"/>
        <v>0</v>
      </c>
      <c r="T35" s="255">
        <f t="shared" si="0"/>
        <v>0</v>
      </c>
      <c r="U35" s="255">
        <f t="shared" si="0"/>
        <v>0</v>
      </c>
      <c r="V35" s="255">
        <f t="shared" si="0"/>
        <v>0</v>
      </c>
      <c r="W35" s="256">
        <f t="shared" si="0"/>
        <v>0</v>
      </c>
      <c r="X35" s="256">
        <f t="shared" si="0"/>
        <v>0</v>
      </c>
      <c r="Y35" s="256">
        <f t="shared" si="0"/>
        <v>0</v>
      </c>
      <c r="Z35" s="257">
        <f t="shared" si="0"/>
        <v>0</v>
      </c>
      <c r="AA35" s="258">
        <f t="shared" si="0"/>
        <v>0</v>
      </c>
      <c r="AB35" s="259"/>
      <c r="AC35" s="260">
        <f>SUM(AC30:AC34)</f>
        <v>182.277194</v>
      </c>
      <c r="AD35" s="133"/>
    </row>
    <row r="36" spans="1:30" ht="13.5" customHeight="1" hidden="1" thickBot="1" thickTop="1">
      <c r="A36" s="29"/>
      <c r="B36" s="47"/>
      <c r="C36" s="168"/>
      <c r="D36" s="168"/>
      <c r="E36" s="249"/>
      <c r="F36" s="178"/>
      <c r="G36" s="250"/>
      <c r="H36" s="250"/>
      <c r="I36" s="251"/>
      <c r="J36" s="251"/>
      <c r="K36" s="251"/>
      <c r="L36" s="251"/>
      <c r="M36" s="251"/>
      <c r="N36" s="251"/>
      <c r="O36" s="252"/>
      <c r="P36" s="251"/>
      <c r="Q36" s="251"/>
      <c r="R36" s="261"/>
      <c r="S36" s="262"/>
      <c r="T36" s="263"/>
      <c r="U36" s="263"/>
      <c r="V36" s="263"/>
      <c r="W36" s="261"/>
      <c r="X36" s="261"/>
      <c r="Y36" s="261"/>
      <c r="Z36" s="261"/>
      <c r="AA36" s="261"/>
      <c r="AB36" s="264"/>
      <c r="AC36" s="265"/>
      <c r="AD36" s="133"/>
    </row>
    <row r="37" spans="1:33" s="4" customFormat="1" ht="33.75" customHeight="1" hidden="1" thickBot="1" thickTop="1">
      <c r="A37" s="75"/>
      <c r="B37" s="77"/>
      <c r="C37" s="83" t="s">
        <v>4</v>
      </c>
      <c r="D37" s="80" t="s">
        <v>16</v>
      </c>
      <c r="E37" s="79" t="s">
        <v>17</v>
      </c>
      <c r="F37" s="81" t="s">
        <v>18</v>
      </c>
      <c r="G37" s="82" t="s">
        <v>5</v>
      </c>
      <c r="H37" s="86" t="s">
        <v>7</v>
      </c>
      <c r="I37" s="266"/>
      <c r="J37" s="79" t="s">
        <v>8</v>
      </c>
      <c r="K37" s="79" t="s">
        <v>9</v>
      </c>
      <c r="L37" s="80" t="s">
        <v>19</v>
      </c>
      <c r="M37" s="80" t="s">
        <v>20</v>
      </c>
      <c r="N37" s="73" t="s">
        <v>61</v>
      </c>
      <c r="O37" s="79" t="s">
        <v>21</v>
      </c>
      <c r="P37" s="267" t="s">
        <v>22</v>
      </c>
      <c r="Q37" s="268"/>
      <c r="R37" s="86" t="s">
        <v>23</v>
      </c>
      <c r="S37" s="269" t="s">
        <v>11</v>
      </c>
      <c r="T37" s="270" t="s">
        <v>62</v>
      </c>
      <c r="U37" s="271"/>
      <c r="V37" s="272" t="s">
        <v>13</v>
      </c>
      <c r="W37" s="273"/>
      <c r="X37" s="274"/>
      <c r="Y37" s="274"/>
      <c r="Z37" s="274"/>
      <c r="AA37" s="275"/>
      <c r="AB37" s="88" t="s">
        <v>47</v>
      </c>
      <c r="AC37" s="82" t="s">
        <v>15</v>
      </c>
      <c r="AD37" s="14"/>
      <c r="AF37"/>
      <c r="AG37"/>
    </row>
    <row r="38" spans="1:30" ht="16.5" customHeight="1" hidden="1" thickTop="1">
      <c r="A38" s="4"/>
      <c r="B38" s="47"/>
      <c r="C38" s="9"/>
      <c r="D38" s="9"/>
      <c r="E38" s="9"/>
      <c r="F38" s="9"/>
      <c r="G38" s="276"/>
      <c r="H38" s="277"/>
      <c r="I38" s="278"/>
      <c r="J38" s="9"/>
      <c r="K38" s="9"/>
      <c r="L38" s="9"/>
      <c r="M38" s="9"/>
      <c r="N38" s="9"/>
      <c r="O38" s="279"/>
      <c r="P38" s="280"/>
      <c r="Q38" s="281"/>
      <c r="R38" s="89"/>
      <c r="S38" s="282"/>
      <c r="T38" s="283"/>
      <c r="U38" s="284"/>
      <c r="V38" s="285"/>
      <c r="W38" s="286"/>
      <c r="X38" s="287"/>
      <c r="Y38" s="287"/>
      <c r="Z38" s="287"/>
      <c r="AA38" s="288"/>
      <c r="AB38" s="279"/>
      <c r="AC38" s="289"/>
      <c r="AD38" s="14"/>
    </row>
    <row r="39" spans="1:30" ht="16.5" customHeight="1" hidden="1">
      <c r="A39" s="4"/>
      <c r="B39" s="47"/>
      <c r="C39" s="9"/>
      <c r="D39" s="290"/>
      <c r="E39" s="291"/>
      <c r="F39" s="292"/>
      <c r="G39" s="293"/>
      <c r="H39" s="294" t="e">
        <f>F39*#REF!</f>
        <v>#REF!</v>
      </c>
      <c r="I39" s="295"/>
      <c r="J39" s="296"/>
      <c r="K39" s="296"/>
      <c r="L39" s="135">
        <f>IF(D39="","",(K39-J39)*24)</f>
      </c>
      <c r="M39" s="11">
        <f>IF(D39="","",(K39-J39)*24*60)</f>
      </c>
      <c r="N39" s="10"/>
      <c r="O39" s="7">
        <f>IF(D39="","",IF(N39="P","--","NO"))</f>
      </c>
      <c r="P39" s="297">
        <f>IF(D39="","","NO")</f>
      </c>
      <c r="Q39" s="298"/>
      <c r="R39" s="299">
        <f>200*IF(P39="SI",1,0.1)*IF(N39="P",0.1,1)</f>
        <v>20</v>
      </c>
      <c r="S39" s="300" t="str">
        <f>IF(N39="P",H39*R39*ROUND(M39/60,2),"--")</f>
        <v>--</v>
      </c>
      <c r="T39" s="301" t="str">
        <f>IF(AND(N39="F",O39="NO"),H39*R39,"--")</f>
        <v>--</v>
      </c>
      <c r="U39" s="302" t="str">
        <f>IF(N39="F",H39*R39*ROUND(M39/60,2),"--")</f>
        <v>--</v>
      </c>
      <c r="V39" s="147" t="str">
        <f>IF(N39="RF",H39*R39*ROUND(M39/60,2),"--")</f>
        <v>--</v>
      </c>
      <c r="W39" s="303"/>
      <c r="X39" s="304"/>
      <c r="Y39" s="304"/>
      <c r="Z39" s="304"/>
      <c r="AA39" s="305"/>
      <c r="AB39" s="136">
        <f>IF(D39="","","SI")</f>
      </c>
      <c r="AC39" s="137">
        <f>IF(D39="","",SUM(S39:V39)*IF(AB39="SI",1,2))</f>
      </c>
      <c r="AD39" s="133"/>
    </row>
    <row r="40" spans="1:30" ht="16.5" customHeight="1" hidden="1">
      <c r="A40" s="4"/>
      <c r="B40" s="47"/>
      <c r="C40" s="9"/>
      <c r="D40" s="290"/>
      <c r="E40" s="291"/>
      <c r="F40" s="292"/>
      <c r="G40" s="293"/>
      <c r="H40" s="294" t="e">
        <f>F40*#REF!</f>
        <v>#REF!</v>
      </c>
      <c r="I40" s="295"/>
      <c r="J40" s="306"/>
      <c r="K40" s="296"/>
      <c r="L40" s="135">
        <f>IF(D40="","",(K40-J40)*24)</f>
      </c>
      <c r="M40" s="11">
        <f>IF(D40="","",(K40-J40)*24*60)</f>
      </c>
      <c r="N40" s="10"/>
      <c r="O40" s="7">
        <f>IF(D40="","",IF(N40="P","--","NO"))</f>
      </c>
      <c r="P40" s="297">
        <f>IF(D40="","","NO")</f>
      </c>
      <c r="Q40" s="298"/>
      <c r="R40" s="299">
        <f>200*IF(P40="SI",1,0.1)*IF(N40="P",0.1,1)</f>
        <v>20</v>
      </c>
      <c r="S40" s="300" t="str">
        <f>IF(N40="P",H40*R40*ROUND(M40/60,2),"--")</f>
        <v>--</v>
      </c>
      <c r="T40" s="301" t="str">
        <f>IF(AND(N40="F",O40="NO"),H40*R40,"--")</f>
        <v>--</v>
      </c>
      <c r="U40" s="302" t="str">
        <f>IF(N40="F",H40*R40*ROUND(M40/60,2),"--")</f>
        <v>--</v>
      </c>
      <c r="V40" s="147" t="str">
        <f>IF(N40="RF",H40*R40*ROUND(M40/60,2),"--")</f>
        <v>--</v>
      </c>
      <c r="W40" s="303"/>
      <c r="X40" s="304"/>
      <c r="Y40" s="304"/>
      <c r="Z40" s="304"/>
      <c r="AA40" s="305"/>
      <c r="AB40" s="136">
        <f>IF(D40="","","SI")</f>
      </c>
      <c r="AC40" s="137">
        <f>IF(D40="","",SUM(S40:V40)*IF(AB40="SI",1,2))</f>
      </c>
      <c r="AD40" s="133"/>
    </row>
    <row r="41" spans="1:30" ht="16.5" customHeight="1" hidden="1">
      <c r="A41" s="4"/>
      <c r="B41" s="47"/>
      <c r="C41" s="9"/>
      <c r="D41" s="290"/>
      <c r="E41" s="291"/>
      <c r="F41" s="292"/>
      <c r="G41" s="293"/>
      <c r="H41" s="294" t="e">
        <f>F41*#REF!</f>
        <v>#REF!</v>
      </c>
      <c r="I41" s="295"/>
      <c r="J41" s="306"/>
      <c r="K41" s="296"/>
      <c r="L41" s="135">
        <f>IF(D41="","",(K41-J41)*24)</f>
      </c>
      <c r="M41" s="11">
        <f>IF(D41="","",(K41-J41)*24*60)</f>
      </c>
      <c r="N41" s="10"/>
      <c r="O41" s="7">
        <f>IF(D41="","",IF(N41="P","--","NO"))</f>
      </c>
      <c r="P41" s="297">
        <f>IF(D41="","","NO")</f>
      </c>
      <c r="Q41" s="298"/>
      <c r="R41" s="299">
        <f>200*IF(P41="SI",1,0.1)*IF(N41="P",0.1,1)</f>
        <v>20</v>
      </c>
      <c r="S41" s="300" t="str">
        <f>IF(N41="P",H41*R41*ROUND(M41/60,2),"--")</f>
        <v>--</v>
      </c>
      <c r="T41" s="301" t="str">
        <f>IF(AND(N41="F",O41="NO"),H41*R41,"--")</f>
        <v>--</v>
      </c>
      <c r="U41" s="302" t="str">
        <f>IF(N41="F",H41*R41*ROUND(M41/60,2),"--")</f>
        <v>--</v>
      </c>
      <c r="V41" s="147" t="str">
        <f>IF(N41="RF",H41*R41*ROUND(M41/60,2),"--")</f>
        <v>--</v>
      </c>
      <c r="W41" s="303"/>
      <c r="X41" s="304"/>
      <c r="Y41" s="304"/>
      <c r="Z41" s="304"/>
      <c r="AA41" s="305"/>
      <c r="AB41" s="136">
        <f>IF(D41="","","SI")</f>
      </c>
      <c r="AC41" s="137">
        <f>IF(D41="","",SUM(S41:V41)*IF(AB41="SI",1,2))</f>
      </c>
      <c r="AD41" s="133"/>
    </row>
    <row r="42" spans="1:30" ht="16.5" customHeight="1" hidden="1">
      <c r="A42" s="4"/>
      <c r="B42" s="47"/>
      <c r="C42" s="9"/>
      <c r="D42" s="290"/>
      <c r="E42" s="291"/>
      <c r="F42" s="292"/>
      <c r="G42" s="293"/>
      <c r="H42" s="294" t="e">
        <f>F42*#REF!</f>
        <v>#REF!</v>
      </c>
      <c r="I42" s="295"/>
      <c r="J42" s="306"/>
      <c r="K42" s="296"/>
      <c r="L42" s="135">
        <f>IF(D42="","",(K42-J42)*24)</f>
      </c>
      <c r="M42" s="11">
        <f>IF(D42="","",(K42-J42)*24*60)</f>
      </c>
      <c r="N42" s="10"/>
      <c r="O42" s="7">
        <f>IF(D42="","",IF(N42="P","--","NO"))</f>
      </c>
      <c r="P42" s="297">
        <f>IF(D42="","","NO")</f>
      </c>
      <c r="Q42" s="298"/>
      <c r="R42" s="299">
        <f>200*IF(P42="SI",1,0.1)*IF(N42="P",0.1,1)</f>
        <v>20</v>
      </c>
      <c r="S42" s="300" t="str">
        <f>IF(N42="P",H42*R42*ROUND(M42/60,2),"--")</f>
        <v>--</v>
      </c>
      <c r="T42" s="301" t="str">
        <f>IF(AND(N42="F",O42="NO"),H42*R42,"--")</f>
        <v>--</v>
      </c>
      <c r="U42" s="302" t="str">
        <f>IF(N42="F",H42*R42*ROUND(M42/60,2),"--")</f>
        <v>--</v>
      </c>
      <c r="V42" s="147" t="str">
        <f>IF(N42="RF",H42*R42*ROUND(M42/60,2),"--")</f>
        <v>--</v>
      </c>
      <c r="W42" s="303"/>
      <c r="X42" s="304"/>
      <c r="Y42" s="304"/>
      <c r="Z42" s="304"/>
      <c r="AA42" s="305"/>
      <c r="AB42" s="136">
        <f>IF(D42="","","SI")</f>
      </c>
      <c r="AC42" s="137">
        <f>IF(D42="","",SUM(S42:V42)*IF(AB42="SI",1,2))</f>
      </c>
      <c r="AD42" s="133"/>
    </row>
    <row r="43" spans="1:30" ht="16.5" customHeight="1" hidden="1" thickBot="1">
      <c r="A43" s="29"/>
      <c r="B43" s="47"/>
      <c r="C43" s="307"/>
      <c r="D43" s="308"/>
      <c r="E43" s="309"/>
      <c r="F43" s="310"/>
      <c r="G43" s="311"/>
      <c r="H43" s="312"/>
      <c r="I43" s="313"/>
      <c r="J43" s="314"/>
      <c r="K43" s="315"/>
      <c r="L43" s="316"/>
      <c r="M43" s="317"/>
      <c r="N43" s="318"/>
      <c r="O43" s="8"/>
      <c r="P43" s="319"/>
      <c r="Q43" s="320"/>
      <c r="R43" s="321"/>
      <c r="S43" s="322"/>
      <c r="T43" s="323"/>
      <c r="U43" s="324"/>
      <c r="V43" s="325"/>
      <c r="W43" s="326"/>
      <c r="X43" s="327"/>
      <c r="Y43" s="327"/>
      <c r="Z43" s="327"/>
      <c r="AA43" s="328"/>
      <c r="AB43" s="329"/>
      <c r="AC43" s="330"/>
      <c r="AD43" s="133"/>
    </row>
    <row r="44" spans="1:30" ht="16.5" customHeight="1" hidden="1" thickBot="1" thickTop="1">
      <c r="A44" s="29"/>
      <c r="B44" s="47"/>
      <c r="C44" s="78"/>
      <c r="D44" s="127"/>
      <c r="E44" s="127"/>
      <c r="F44" s="152"/>
      <c r="G44" s="331"/>
      <c r="H44" s="332"/>
      <c r="I44" s="333"/>
      <c r="J44" s="334"/>
      <c r="K44" s="335"/>
      <c r="L44" s="336"/>
      <c r="M44" s="332"/>
      <c r="N44" s="337"/>
      <c r="O44" s="119"/>
      <c r="P44" s="338"/>
      <c r="Q44" s="339"/>
      <c r="R44" s="340"/>
      <c r="S44" s="340"/>
      <c r="T44" s="340"/>
      <c r="U44" s="120"/>
      <c r="V44" s="120"/>
      <c r="W44" s="120"/>
      <c r="X44" s="120"/>
      <c r="Y44" s="120"/>
      <c r="Z44" s="120"/>
      <c r="AA44" s="120"/>
      <c r="AB44" s="120"/>
      <c r="AC44" s="341">
        <f>SUM(AC38:AC43)</f>
        <v>0</v>
      </c>
      <c r="AD44" s="133"/>
    </row>
    <row r="45" spans="1:30" ht="16.5" customHeight="1" thickBot="1" thickTop="1">
      <c r="A45" s="29"/>
      <c r="B45" s="47"/>
      <c r="C45" s="78"/>
      <c r="D45" s="127"/>
      <c r="E45" s="127"/>
      <c r="F45" s="152"/>
      <c r="G45" s="331"/>
      <c r="H45" s="332"/>
      <c r="I45" s="333"/>
      <c r="J45" s="179" t="s">
        <v>31</v>
      </c>
      <c r="K45" s="180">
        <f>+AC44+AC35</f>
        <v>182.277194</v>
      </c>
      <c r="L45" s="336"/>
      <c r="M45" s="332"/>
      <c r="N45" s="342"/>
      <c r="O45" s="343"/>
      <c r="P45" s="338"/>
      <c r="Q45" s="339"/>
      <c r="R45" s="340"/>
      <c r="S45" s="340"/>
      <c r="T45" s="340"/>
      <c r="U45" s="120"/>
      <c r="V45" s="120"/>
      <c r="W45" s="120"/>
      <c r="X45" s="120"/>
      <c r="Y45" s="120"/>
      <c r="Z45" s="120"/>
      <c r="AA45" s="120"/>
      <c r="AB45" s="120"/>
      <c r="AC45" s="344"/>
      <c r="AD45" s="133"/>
    </row>
    <row r="46" spans="1:30" ht="13.5" customHeight="1" thickTop="1">
      <c r="A46" s="29"/>
      <c r="B46" s="165"/>
      <c r="C46" s="168"/>
      <c r="D46" s="345"/>
      <c r="E46" s="346"/>
      <c r="F46" s="347"/>
      <c r="G46" s="348"/>
      <c r="H46" s="348"/>
      <c r="I46" s="346"/>
      <c r="J46" s="156"/>
      <c r="K46" s="156"/>
      <c r="L46" s="346"/>
      <c r="M46" s="346"/>
      <c r="N46" s="346"/>
      <c r="O46" s="349"/>
      <c r="P46" s="346"/>
      <c r="Q46" s="346"/>
      <c r="R46" s="350"/>
      <c r="S46" s="351"/>
      <c r="T46" s="351"/>
      <c r="U46" s="352"/>
      <c r="AC46" s="352"/>
      <c r="AD46" s="353"/>
    </row>
    <row r="47" spans="1:30" ht="16.5" customHeight="1">
      <c r="A47" s="29"/>
      <c r="B47" s="165"/>
      <c r="C47" s="354" t="s">
        <v>63</v>
      </c>
      <c r="D47" s="355" t="s">
        <v>89</v>
      </c>
      <c r="E47" s="346"/>
      <c r="F47" s="347"/>
      <c r="G47" s="348"/>
      <c r="H47" s="348"/>
      <c r="I47" s="346"/>
      <c r="J47" s="156"/>
      <c r="K47" s="156"/>
      <c r="L47" s="346"/>
      <c r="M47" s="346"/>
      <c r="N47" s="346"/>
      <c r="O47" s="349"/>
      <c r="P47" s="346"/>
      <c r="Q47" s="346"/>
      <c r="R47" s="350"/>
      <c r="S47" s="351"/>
      <c r="T47" s="351"/>
      <c r="U47" s="352"/>
      <c r="AC47" s="352"/>
      <c r="AD47" s="353"/>
    </row>
    <row r="48" spans="1:30" ht="16.5" customHeight="1">
      <c r="A48" s="29"/>
      <c r="B48" s="165"/>
      <c r="C48" s="354"/>
      <c r="D48" s="345"/>
      <c r="E48" s="346"/>
      <c r="F48" s="347"/>
      <c r="G48" s="348"/>
      <c r="H48" s="348"/>
      <c r="I48" s="346"/>
      <c r="J48" s="156"/>
      <c r="K48" s="156"/>
      <c r="L48" s="346"/>
      <c r="M48" s="346"/>
      <c r="N48" s="346"/>
      <c r="O48" s="349"/>
      <c r="P48" s="346"/>
      <c r="Q48" s="346"/>
      <c r="R48" s="346"/>
      <c r="S48" s="350"/>
      <c r="T48" s="351"/>
      <c r="AD48" s="353"/>
    </row>
    <row r="49" spans="2:30" s="29" customFormat="1" ht="16.5" customHeight="1">
      <c r="B49" s="165"/>
      <c r="C49" s="168"/>
      <c r="D49" s="356" t="s">
        <v>0</v>
      </c>
      <c r="E49" s="251" t="s">
        <v>64</v>
      </c>
      <c r="F49" s="251" t="s">
        <v>32</v>
      </c>
      <c r="G49" s="357" t="s">
        <v>90</v>
      </c>
      <c r="H49" s="252"/>
      <c r="I49" s="251"/>
      <c r="J49"/>
      <c r="K49" s="358" t="s">
        <v>91</v>
      </c>
      <c r="L49"/>
      <c r="M49"/>
      <c r="O49" s="358" t="s">
        <v>92</v>
      </c>
      <c r="P49" s="359"/>
      <c r="Q49" s="360"/>
      <c r="R49" s="361"/>
      <c r="S49" s="30"/>
      <c r="T49"/>
      <c r="U49"/>
      <c r="V49"/>
      <c r="W49"/>
      <c r="X49" s="30"/>
      <c r="Y49" s="30"/>
      <c r="Z49" s="30"/>
      <c r="AA49" s="30"/>
      <c r="AB49" s="30"/>
      <c r="AC49" s="362" t="s">
        <v>93</v>
      </c>
      <c r="AD49" s="353"/>
    </row>
    <row r="50" spans="2:30" s="29" customFormat="1" ht="16.5" customHeight="1">
      <c r="B50" s="165"/>
      <c r="C50" s="168"/>
      <c r="D50" s="251" t="s">
        <v>65</v>
      </c>
      <c r="E50" s="363">
        <v>267</v>
      </c>
      <c r="F50" s="364">
        <v>500</v>
      </c>
      <c r="G50" s="365">
        <f>E50*$F$20*$L$21/100</f>
        <v>178721.61912000002</v>
      </c>
      <c r="H50" s="365">
        <f>F50*$F$20*$L$21/100</f>
        <v>334684.68</v>
      </c>
      <c r="I50" s="365">
        <f>G50*$F$20*$L$21/100</f>
        <v>119630775.80851816</v>
      </c>
      <c r="J50" s="109"/>
      <c r="K50" s="366">
        <f>809608+72571</f>
        <v>882179</v>
      </c>
      <c r="L50" s="109"/>
      <c r="M50" s="454" t="s">
        <v>116</v>
      </c>
      <c r="R50" s="361"/>
      <c r="S50" s="30"/>
      <c r="T50"/>
      <c r="U50"/>
      <c r="V50"/>
      <c r="W50"/>
      <c r="X50" s="30"/>
      <c r="Y50" s="30"/>
      <c r="Z50" s="30"/>
      <c r="AA50" s="30"/>
      <c r="AB50" s="368"/>
      <c r="AC50" s="177">
        <f>K50+G50</f>
        <v>1060900.61912</v>
      </c>
      <c r="AD50" s="353"/>
    </row>
    <row r="51" spans="2:30" s="29" customFormat="1" ht="16.5" customHeight="1">
      <c r="B51" s="165"/>
      <c r="C51" s="168"/>
      <c r="D51" s="251" t="s">
        <v>66</v>
      </c>
      <c r="E51" s="363">
        <f>3*3.6</f>
        <v>10.8</v>
      </c>
      <c r="F51" s="364">
        <v>500</v>
      </c>
      <c r="G51" s="365">
        <f>E51*$F$20*$L$21/100</f>
        <v>7229.189088</v>
      </c>
      <c r="H51" s="369"/>
      <c r="I51" s="370"/>
      <c r="J51" s="109"/>
      <c r="K51" s="365">
        <f>5077+10512</f>
        <v>15589</v>
      </c>
      <c r="L51" s="109"/>
      <c r="M51" s="454" t="s">
        <v>116</v>
      </c>
      <c r="O51" s="371"/>
      <c r="P51"/>
      <c r="Q51" s="361"/>
      <c r="R51" s="361"/>
      <c r="S51" s="30"/>
      <c r="T51"/>
      <c r="U51"/>
      <c r="V51"/>
      <c r="W51"/>
      <c r="X51" s="30"/>
      <c r="Y51" s="30"/>
      <c r="Z51" s="30"/>
      <c r="AA51" s="30"/>
      <c r="AB51" s="30"/>
      <c r="AC51" s="177">
        <f>K51+G51</f>
        <v>22818.189088</v>
      </c>
      <c r="AD51" s="353"/>
    </row>
    <row r="52" spans="2:30" s="29" customFormat="1" ht="16.5" customHeight="1">
      <c r="B52" s="165"/>
      <c r="C52" s="168"/>
      <c r="E52" s="173"/>
      <c r="F52" s="251"/>
      <c r="G52" s="252"/>
      <c r="H52"/>
      <c r="I52" s="251"/>
      <c r="J52" s="251"/>
      <c r="K52"/>
      <c r="L52" s="177"/>
      <c r="M52" s="360"/>
      <c r="N52" s="360"/>
      <c r="O52" s="366">
        <v>0</v>
      </c>
      <c r="P52" s="109"/>
      <c r="Q52" s="367" t="e">
        <f>"(DTE "&amp;#REF!&amp;#REF!&amp;")"</f>
        <v>#REF!</v>
      </c>
      <c r="R52" s="361"/>
      <c r="S52" s="30"/>
      <c r="T52"/>
      <c r="U52"/>
      <c r="V52"/>
      <c r="W52"/>
      <c r="X52" s="30"/>
      <c r="Y52" s="30"/>
      <c r="Z52" s="30"/>
      <c r="AA52" s="30"/>
      <c r="AB52" s="30"/>
      <c r="AC52" s="372">
        <f>+O52</f>
        <v>0</v>
      </c>
      <c r="AD52" s="353"/>
    </row>
    <row r="53" spans="1:30" ht="16.5" customHeight="1">
      <c r="A53" s="29"/>
      <c r="B53" s="165"/>
      <c r="C53" s="168"/>
      <c r="D53" s="156"/>
      <c r="E53" s="173"/>
      <c r="F53" s="251"/>
      <c r="G53" s="251"/>
      <c r="H53" s="252"/>
      <c r="J53" s="251"/>
      <c r="L53" s="373"/>
      <c r="M53" s="360"/>
      <c r="N53" s="360"/>
      <c r="O53" s="361"/>
      <c r="P53" s="361"/>
      <c r="Q53" s="361"/>
      <c r="R53" s="361"/>
      <c r="S53" s="361"/>
      <c r="AC53" s="167">
        <f>SUM(AC50:AC52)</f>
        <v>1083718.808208</v>
      </c>
      <c r="AD53" s="353"/>
    </row>
    <row r="54" spans="2:30" ht="16.5" customHeight="1">
      <c r="B54" s="165"/>
      <c r="C54" s="354" t="s">
        <v>67</v>
      </c>
      <c r="D54" s="374" t="s">
        <v>68</v>
      </c>
      <c r="E54" s="251"/>
      <c r="F54" s="375"/>
      <c r="G54" s="250"/>
      <c r="H54" s="156"/>
      <c r="I54" s="156"/>
      <c r="J54" s="156"/>
      <c r="K54" s="251"/>
      <c r="L54" s="251"/>
      <c r="M54" s="156"/>
      <c r="N54" s="251"/>
      <c r="O54" s="156"/>
      <c r="P54" s="156"/>
      <c r="Q54" s="156"/>
      <c r="R54" s="156"/>
      <c r="S54" s="156"/>
      <c r="T54" s="156"/>
      <c r="U54" s="156"/>
      <c r="AC54" s="156"/>
      <c r="AD54" s="353"/>
    </row>
    <row r="55" spans="2:30" s="29" customFormat="1" ht="16.5" customHeight="1">
      <c r="B55" s="165"/>
      <c r="C55" s="168"/>
      <c r="D55" s="356" t="s">
        <v>69</v>
      </c>
      <c r="E55" s="376">
        <f>10*K45*K25/AC53</f>
        <v>58.65990887436145</v>
      </c>
      <c r="G55" s="250"/>
      <c r="L55" s="251"/>
      <c r="N55" s="251"/>
      <c r="O55" s="252"/>
      <c r="V55"/>
      <c r="W55"/>
      <c r="AD55" s="353"/>
    </row>
    <row r="56" spans="2:30" s="29" customFormat="1" ht="16.5" customHeight="1">
      <c r="B56" s="165"/>
      <c r="C56" s="168"/>
      <c r="E56" s="377"/>
      <c r="F56" s="178"/>
      <c r="G56" s="250"/>
      <c r="J56" s="250"/>
      <c r="K56" s="265"/>
      <c r="L56" s="251"/>
      <c r="M56" s="251"/>
      <c r="N56" s="251"/>
      <c r="O56" s="252"/>
      <c r="P56" s="251"/>
      <c r="Q56" s="251"/>
      <c r="R56" s="264"/>
      <c r="S56" s="264"/>
      <c r="T56" s="264"/>
      <c r="U56" s="378"/>
      <c r="V56"/>
      <c r="W56"/>
      <c r="AC56" s="378"/>
      <c r="AD56" s="353"/>
    </row>
    <row r="57" spans="2:30" ht="16.5" customHeight="1">
      <c r="B57" s="165"/>
      <c r="C57" s="168"/>
      <c r="D57" s="379" t="s">
        <v>70</v>
      </c>
      <c r="E57" s="380"/>
      <c r="F57" s="178"/>
      <c r="G57" s="250"/>
      <c r="H57" s="156"/>
      <c r="I57" s="156"/>
      <c r="N57" s="251"/>
      <c r="O57" s="252"/>
      <c r="P57" s="251"/>
      <c r="Q57" s="251"/>
      <c r="R57" s="359"/>
      <c r="S57" s="359"/>
      <c r="T57" s="359"/>
      <c r="U57" s="360"/>
      <c r="AC57" s="360"/>
      <c r="AD57" s="353"/>
    </row>
    <row r="58" spans="2:30" ht="16.5" customHeight="1" thickBot="1">
      <c r="B58" s="165"/>
      <c r="C58" s="168"/>
      <c r="D58" s="379"/>
      <c r="E58" s="380"/>
      <c r="F58" s="178"/>
      <c r="G58" s="250"/>
      <c r="H58" s="156"/>
      <c r="I58" s="156"/>
      <c r="N58" s="251"/>
      <c r="O58" s="252"/>
      <c r="P58" s="251"/>
      <c r="Q58" s="251"/>
      <c r="R58" s="359"/>
      <c r="S58" s="359"/>
      <c r="T58" s="359"/>
      <c r="U58" s="360"/>
      <c r="AC58" s="360"/>
      <c r="AD58" s="353"/>
    </row>
    <row r="59" spans="2:30" s="381" customFormat="1" ht="21" thickBot="1" thickTop="1">
      <c r="B59" s="382"/>
      <c r="C59" s="383"/>
      <c r="D59" s="384"/>
      <c r="E59" s="385"/>
      <c r="F59" s="386"/>
      <c r="G59" s="387"/>
      <c r="I59"/>
      <c r="J59" s="388" t="s">
        <v>71</v>
      </c>
      <c r="K59" s="389">
        <f>IF(E55&gt;3*K25,K25*3,E55)</f>
        <v>58.65990887436145</v>
      </c>
      <c r="M59" s="390"/>
      <c r="N59" s="390"/>
      <c r="O59" s="391"/>
      <c r="P59" s="390"/>
      <c r="Q59" s="390"/>
      <c r="R59" s="392"/>
      <c r="S59" s="392"/>
      <c r="T59" s="392"/>
      <c r="U59" s="393"/>
      <c r="V59"/>
      <c r="W59"/>
      <c r="AC59" s="393"/>
      <c r="AD59" s="394"/>
    </row>
    <row r="60" spans="2:30" ht="16.5" customHeight="1" thickBot="1" thickTop="1">
      <c r="B60" s="51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121"/>
      <c r="W60" s="121"/>
      <c r="X60" s="121"/>
      <c r="Y60" s="121"/>
      <c r="Z60" s="121"/>
      <c r="AA60" s="121"/>
      <c r="AB60" s="121"/>
      <c r="AC60" s="53"/>
      <c r="AD60" s="395"/>
    </row>
    <row r="61" spans="2:23" ht="16.5" customHeight="1" thickTop="1">
      <c r="B61" s="1"/>
      <c r="C61" s="66"/>
      <c r="W61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68"/>
  <sheetViews>
    <sheetView tabSelected="1" zoomScale="75" zoomScaleNormal="75" workbookViewId="0" topLeftCell="A4">
      <selection activeCell="D18" sqref="D18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2" width="10.7109375" style="0" customWidth="1"/>
    <col min="13" max="13" width="18.4218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8"/>
      <c r="AD1" s="401"/>
    </row>
    <row r="2" spans="1:23" ht="27" customHeight="1">
      <c r="A2" s="7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0" s="162" customFormat="1" ht="30.75">
      <c r="A3" s="159"/>
      <c r="B3" s="160" t="str">
        <f>+'TOT-1206'!B2</f>
        <v>ANEXO I.1.b. al Memorandum  D.T.E.E. N°   1046       /2009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AB3" s="161"/>
      <c r="AC3" s="161"/>
      <c r="AD3" s="161"/>
    </row>
    <row r="4" spans="1:2" s="22" customFormat="1" ht="11.25">
      <c r="A4" s="396" t="s">
        <v>1</v>
      </c>
      <c r="B4" s="397"/>
    </row>
    <row r="5" spans="1:2" s="22" customFormat="1" ht="12" thickBot="1">
      <c r="A5" s="396" t="s">
        <v>2</v>
      </c>
      <c r="B5" s="396"/>
    </row>
    <row r="6" spans="1:23" ht="16.5" customHeight="1" thickTop="1">
      <c r="A6" s="4"/>
      <c r="B6" s="63"/>
      <c r="C6" s="64"/>
      <c r="D6" s="64"/>
      <c r="E6" s="122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76"/>
    </row>
    <row r="7" spans="1:23" ht="20.25">
      <c r="A7" s="4"/>
      <c r="B7" s="47"/>
      <c r="C7" s="3"/>
      <c r="D7" s="111" t="s">
        <v>49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7"/>
      <c r="Q7" s="67"/>
      <c r="R7" s="3"/>
      <c r="S7" s="3"/>
      <c r="T7" s="3"/>
      <c r="U7" s="3"/>
      <c r="V7" s="3"/>
      <c r="W7" s="14"/>
    </row>
    <row r="8" spans="1:23" ht="16.5" customHeight="1">
      <c r="A8" s="4"/>
      <c r="B8" s="4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4"/>
    </row>
    <row r="9" spans="2:23" s="33" customFormat="1" ht="20.25">
      <c r="B9" s="41"/>
      <c r="C9" s="40"/>
      <c r="D9" s="111" t="s">
        <v>50</v>
      </c>
      <c r="E9" s="40"/>
      <c r="F9" s="40"/>
      <c r="G9" s="40"/>
      <c r="H9" s="40"/>
      <c r="N9" s="40"/>
      <c r="O9" s="40"/>
      <c r="P9" s="123"/>
      <c r="Q9" s="123"/>
      <c r="R9" s="40"/>
      <c r="S9" s="40"/>
      <c r="T9" s="40"/>
      <c r="U9" s="40"/>
      <c r="V9" s="40"/>
      <c r="W9" s="124"/>
    </row>
    <row r="10" spans="1:23" ht="16.5" customHeight="1">
      <c r="A10" s="4"/>
      <c r="B10" s="4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4"/>
    </row>
    <row r="11" spans="2:23" s="33" customFormat="1" ht="20.25">
      <c r="B11" s="41"/>
      <c r="C11" s="40"/>
      <c r="D11" s="111" t="s">
        <v>113</v>
      </c>
      <c r="E11" s="40"/>
      <c r="F11" s="40"/>
      <c r="G11" s="40"/>
      <c r="H11" s="40"/>
      <c r="N11" s="40"/>
      <c r="O11" s="40"/>
      <c r="P11" s="123"/>
      <c r="Q11" s="123"/>
      <c r="R11" s="40"/>
      <c r="S11" s="40"/>
      <c r="T11" s="40"/>
      <c r="U11" s="40"/>
      <c r="V11" s="40"/>
      <c r="W11" s="124"/>
    </row>
    <row r="12" spans="1:23" ht="16.5" customHeight="1">
      <c r="A12" s="4"/>
      <c r="B12" s="47"/>
      <c r="C12" s="3"/>
      <c r="D12" s="3"/>
      <c r="E12" s="4"/>
      <c r="F12" s="4"/>
      <c r="G12" s="4"/>
      <c r="H12" s="4"/>
      <c r="I12" s="65"/>
      <c r="J12" s="65"/>
      <c r="K12" s="65"/>
      <c r="L12" s="65"/>
      <c r="M12" s="65"/>
      <c r="N12" s="65"/>
      <c r="O12" s="65"/>
      <c r="P12" s="65"/>
      <c r="Q12" s="65"/>
      <c r="R12" s="3"/>
      <c r="S12" s="3"/>
      <c r="T12" s="3"/>
      <c r="U12" s="3"/>
      <c r="V12" s="3"/>
      <c r="W12" s="14"/>
    </row>
    <row r="13" spans="2:23" s="33" customFormat="1" ht="19.5">
      <c r="B13" s="34" t="s">
        <v>96</v>
      </c>
      <c r="C13" s="35"/>
      <c r="D13" s="37"/>
      <c r="E13" s="37"/>
      <c r="F13" s="37"/>
      <c r="G13" s="37"/>
      <c r="H13" s="37"/>
      <c r="I13" s="38"/>
      <c r="J13" s="10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85"/>
      <c r="V13" s="85"/>
      <c r="W13" s="39"/>
    </row>
    <row r="14" spans="1:23" ht="16.5" customHeight="1">
      <c r="A14" s="4"/>
      <c r="B14" s="47"/>
      <c r="C14" s="3"/>
      <c r="D14" s="3"/>
      <c r="E14" s="60"/>
      <c r="F14" s="60"/>
      <c r="G14" s="3"/>
      <c r="H14" s="3"/>
      <c r="I14" s="3"/>
      <c r="J14" s="164"/>
      <c r="K14" s="3"/>
      <c r="L14" s="3"/>
      <c r="M14" s="3"/>
      <c r="N14" s="4"/>
      <c r="O14" s="4"/>
      <c r="P14" s="3"/>
      <c r="Q14" s="3"/>
      <c r="R14" s="3"/>
      <c r="S14" s="3"/>
      <c r="T14" s="3"/>
      <c r="U14" s="3"/>
      <c r="V14" s="3"/>
      <c r="W14" s="14"/>
    </row>
    <row r="15" spans="1:23" ht="16.5" customHeight="1">
      <c r="A15" s="4"/>
      <c r="B15" s="47"/>
      <c r="C15" s="3"/>
      <c r="D15" s="3"/>
      <c r="E15" s="60"/>
      <c r="F15" s="60"/>
      <c r="G15" s="3"/>
      <c r="H15" s="3"/>
      <c r="I15" s="94"/>
      <c r="J15" s="3"/>
      <c r="K15" s="1"/>
      <c r="M15" s="3"/>
      <c r="N15" s="4"/>
      <c r="O15" s="4"/>
      <c r="P15" s="3"/>
      <c r="Q15" s="3"/>
      <c r="R15" s="3"/>
      <c r="S15" s="3"/>
      <c r="T15" s="3"/>
      <c r="U15" s="3"/>
      <c r="V15" s="3"/>
      <c r="W15" s="14"/>
    </row>
    <row r="16" spans="1:23" ht="16.5" customHeight="1">
      <c r="A16" s="4"/>
      <c r="B16" s="47"/>
      <c r="C16" s="3"/>
      <c r="D16" s="3"/>
      <c r="E16" s="60"/>
      <c r="F16" s="60"/>
      <c r="G16" s="3"/>
      <c r="H16" s="3"/>
      <c r="I16" s="94"/>
      <c r="J16" s="3"/>
      <c r="K16" s="1"/>
      <c r="M16" s="3"/>
      <c r="N16" s="4"/>
      <c r="O16" s="4"/>
      <c r="P16" s="3"/>
      <c r="Q16" s="3"/>
      <c r="R16" s="3"/>
      <c r="S16" s="3"/>
      <c r="T16" s="3"/>
      <c r="U16" s="3"/>
      <c r="V16" s="3"/>
      <c r="W16" s="14"/>
    </row>
    <row r="17" spans="1:23" ht="16.5" customHeight="1" thickBot="1">
      <c r="A17" s="4"/>
      <c r="B17" s="47"/>
      <c r="C17" s="100" t="s">
        <v>52</v>
      </c>
      <c r="D17" s="48" t="s">
        <v>53</v>
      </c>
      <c r="E17" s="60"/>
      <c r="F17" s="60"/>
      <c r="G17" s="3"/>
      <c r="H17" s="3"/>
      <c r="I17" s="3"/>
      <c r="J17" s="164"/>
      <c r="K17" s="3"/>
      <c r="L17" s="3"/>
      <c r="M17" s="3"/>
      <c r="N17" s="4"/>
      <c r="O17" s="4"/>
      <c r="P17" s="3"/>
      <c r="Q17" s="3"/>
      <c r="R17" s="3"/>
      <c r="S17" s="3"/>
      <c r="T17" s="3"/>
      <c r="U17" s="3"/>
      <c r="V17" s="3"/>
      <c r="W17" s="14"/>
    </row>
    <row r="18" spans="2:23" s="29" customFormat="1" ht="16.5" customHeight="1" thickBot="1">
      <c r="B18" s="165"/>
      <c r="C18" s="30"/>
      <c r="D18" s="166"/>
      <c r="E18" s="167"/>
      <c r="F18" s="168"/>
      <c r="G18" s="30"/>
      <c r="H18" s="30"/>
      <c r="I18" s="30"/>
      <c r="J18" s="169"/>
      <c r="K18" s="30"/>
      <c r="L18" s="30"/>
      <c r="M18" s="30"/>
      <c r="N18" s="402" t="s">
        <v>26</v>
      </c>
      <c r="P18" s="30"/>
      <c r="Q18" s="30"/>
      <c r="R18" s="30"/>
      <c r="S18" s="30"/>
      <c r="T18" s="30"/>
      <c r="U18" s="30"/>
      <c r="V18" s="30"/>
      <c r="W18" s="170"/>
    </row>
    <row r="19" spans="2:23" s="29" customFormat="1" ht="16.5" customHeight="1">
      <c r="B19" s="165"/>
      <c r="C19" s="30"/>
      <c r="E19" s="174" t="s">
        <v>29</v>
      </c>
      <c r="F19" s="175">
        <v>0.025</v>
      </c>
      <c r="G19" s="172"/>
      <c r="H19" s="30"/>
      <c r="I19" s="125"/>
      <c r="J19" s="126"/>
      <c r="K19" s="403" t="s">
        <v>75</v>
      </c>
      <c r="L19" s="404"/>
      <c r="M19" s="405">
        <v>49.065</v>
      </c>
      <c r="N19" s="406">
        <v>200</v>
      </c>
      <c r="R19" s="30"/>
      <c r="S19" s="30"/>
      <c r="T19" s="30"/>
      <c r="U19" s="30"/>
      <c r="V19" s="30"/>
      <c r="W19" s="170"/>
    </row>
    <row r="20" spans="2:23" s="29" customFormat="1" ht="16.5" customHeight="1">
      <c r="B20" s="165"/>
      <c r="C20" s="30"/>
      <c r="E20" s="166" t="s">
        <v>27</v>
      </c>
      <c r="F20" s="30">
        <v>744</v>
      </c>
      <c r="G20" s="30" t="s">
        <v>28</v>
      </c>
      <c r="H20" s="30"/>
      <c r="I20" s="30"/>
      <c r="J20" s="30"/>
      <c r="K20" s="407" t="s">
        <v>48</v>
      </c>
      <c r="L20" s="408"/>
      <c r="M20" s="409">
        <v>44.156</v>
      </c>
      <c r="N20" s="410">
        <v>100</v>
      </c>
      <c r="O20" s="30"/>
      <c r="P20" s="398"/>
      <c r="Q20" s="30"/>
      <c r="R20" s="30"/>
      <c r="S20" s="30"/>
      <c r="T20" s="30"/>
      <c r="U20" s="30"/>
      <c r="V20" s="30"/>
      <c r="W20" s="170"/>
    </row>
    <row r="21" spans="2:23" s="29" customFormat="1" ht="16.5" customHeight="1" thickBot="1">
      <c r="B21" s="165"/>
      <c r="C21" s="30"/>
      <c r="E21" s="166" t="s">
        <v>30</v>
      </c>
      <c r="F21" s="30">
        <v>0.245</v>
      </c>
      <c r="G21" s="29" t="s">
        <v>72</v>
      </c>
      <c r="H21" s="30"/>
      <c r="I21" s="30"/>
      <c r="J21" s="30"/>
      <c r="K21" s="411" t="s">
        <v>76</v>
      </c>
      <c r="L21" s="412"/>
      <c r="M21" s="413">
        <v>39.254</v>
      </c>
      <c r="N21" s="414">
        <v>40</v>
      </c>
      <c r="O21" s="30"/>
      <c r="P21" s="398"/>
      <c r="Q21" s="30"/>
      <c r="R21" s="30"/>
      <c r="S21" s="30"/>
      <c r="T21" s="30"/>
      <c r="U21" s="30"/>
      <c r="V21" s="30"/>
      <c r="W21" s="170"/>
    </row>
    <row r="22" spans="2:23" s="29" customFormat="1" ht="16.5" customHeight="1">
      <c r="B22" s="165"/>
      <c r="C22" s="30"/>
      <c r="D22" s="30"/>
      <c r="E22" s="17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170"/>
    </row>
    <row r="23" spans="1:23" ht="16.5" customHeight="1">
      <c r="A23" s="4"/>
      <c r="B23" s="47"/>
      <c r="C23" s="100" t="s">
        <v>57</v>
      </c>
      <c r="D23" s="2" t="s">
        <v>87</v>
      </c>
      <c r="I23" s="3"/>
      <c r="J23" s="29"/>
      <c r="O23" s="3"/>
      <c r="P23" s="3"/>
      <c r="Q23" s="3"/>
      <c r="R23" s="3"/>
      <c r="S23" s="3"/>
      <c r="T23" s="3"/>
      <c r="V23" s="3"/>
      <c r="W23" s="14"/>
    </row>
    <row r="24" spans="1:23" ht="10.5" customHeight="1" thickBot="1">
      <c r="A24" s="4"/>
      <c r="B24" s="47"/>
      <c r="C24" s="60"/>
      <c r="D24" s="2"/>
      <c r="I24" s="3"/>
      <c r="J24" s="29"/>
      <c r="O24" s="3"/>
      <c r="P24" s="3"/>
      <c r="Q24" s="3"/>
      <c r="R24" s="3"/>
      <c r="S24" s="3"/>
      <c r="T24" s="3"/>
      <c r="V24" s="3"/>
      <c r="W24" s="14"/>
    </row>
    <row r="25" spans="2:23" s="29" customFormat="1" ht="16.5" customHeight="1" thickBot="1" thickTop="1">
      <c r="B25" s="165"/>
      <c r="C25" s="168"/>
      <c r="D25"/>
      <c r="E25"/>
      <c r="F25"/>
      <c r="G25"/>
      <c r="H25"/>
      <c r="I25" s="179" t="s">
        <v>34</v>
      </c>
      <c r="J25" s="415">
        <f>+M25*F19</f>
        <v>10717.1712</v>
      </c>
      <c r="L25" s="179" t="s">
        <v>117</v>
      </c>
      <c r="M25" s="415">
        <v>428686.848</v>
      </c>
      <c r="S25"/>
      <c r="T25"/>
      <c r="U25"/>
      <c r="W25" s="170"/>
    </row>
    <row r="26" spans="2:23" s="29" customFormat="1" ht="11.25" customHeight="1" thickTop="1">
      <c r="B26" s="165"/>
      <c r="C26" s="168"/>
      <c r="D26" s="30"/>
      <c r="E26" s="17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/>
      <c r="W26" s="170"/>
    </row>
    <row r="27" spans="1:23" ht="16.5" customHeight="1">
      <c r="A27" s="4"/>
      <c r="B27" s="47"/>
      <c r="C27" s="100" t="s">
        <v>58</v>
      </c>
      <c r="D27" s="2" t="s">
        <v>88</v>
      </c>
      <c r="E27" s="1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4"/>
    </row>
    <row r="28" spans="1:23" ht="13.5" customHeight="1" thickBot="1">
      <c r="A28" s="29"/>
      <c r="B28" s="47"/>
      <c r="C28" s="168"/>
      <c r="D28" s="168"/>
      <c r="E28" s="249"/>
      <c r="F28" s="178"/>
      <c r="G28" s="250"/>
      <c r="H28" s="250"/>
      <c r="I28" s="251"/>
      <c r="J28" s="251"/>
      <c r="K28" s="251"/>
      <c r="L28" s="251"/>
      <c r="M28" s="251"/>
      <c r="N28" s="251"/>
      <c r="O28" s="252"/>
      <c r="P28" s="251"/>
      <c r="Q28" s="251"/>
      <c r="R28" s="416"/>
      <c r="S28" s="417"/>
      <c r="T28" s="418"/>
      <c r="U28" s="418"/>
      <c r="V28" s="418"/>
      <c r="W28" s="133"/>
    </row>
    <row r="29" spans="1:26" s="4" customFormat="1" ht="33.75" customHeight="1" thickBot="1" thickTop="1">
      <c r="A29" s="75"/>
      <c r="B29" s="77"/>
      <c r="C29" s="83" t="s">
        <v>4</v>
      </c>
      <c r="D29" s="80" t="s">
        <v>16</v>
      </c>
      <c r="E29" s="79" t="s">
        <v>17</v>
      </c>
      <c r="F29" s="81" t="s">
        <v>18</v>
      </c>
      <c r="G29" s="82" t="s">
        <v>5</v>
      </c>
      <c r="H29" s="86" t="s">
        <v>7</v>
      </c>
      <c r="I29" s="79" t="s">
        <v>8</v>
      </c>
      <c r="J29" s="79" t="s">
        <v>9</v>
      </c>
      <c r="K29" s="80" t="s">
        <v>19</v>
      </c>
      <c r="L29" s="80" t="s">
        <v>20</v>
      </c>
      <c r="M29" s="73" t="s">
        <v>61</v>
      </c>
      <c r="N29" s="79" t="s">
        <v>21</v>
      </c>
      <c r="O29" s="267" t="s">
        <v>22</v>
      </c>
      <c r="P29" s="86" t="s">
        <v>23</v>
      </c>
      <c r="Q29" s="269" t="s">
        <v>11</v>
      </c>
      <c r="R29" s="270" t="s">
        <v>62</v>
      </c>
      <c r="S29" s="271"/>
      <c r="T29" s="272" t="s">
        <v>13</v>
      </c>
      <c r="U29" s="88" t="s">
        <v>47</v>
      </c>
      <c r="V29" s="82" t="s">
        <v>15</v>
      </c>
      <c r="W29" s="14"/>
      <c r="Y29"/>
      <c r="Z29"/>
    </row>
    <row r="30" spans="1:23" ht="16.5" customHeight="1" thickTop="1">
      <c r="A30" s="4"/>
      <c r="B30" s="47"/>
      <c r="C30" s="9"/>
      <c r="D30" s="9"/>
      <c r="E30" s="9"/>
      <c r="F30" s="9"/>
      <c r="G30" s="276"/>
      <c r="H30" s="277"/>
      <c r="I30" s="9"/>
      <c r="J30" s="9"/>
      <c r="K30" s="9"/>
      <c r="L30" s="9"/>
      <c r="M30" s="9"/>
      <c r="N30" s="279"/>
      <c r="O30" s="419"/>
      <c r="P30" s="89"/>
      <c r="Q30" s="282"/>
      <c r="R30" s="283"/>
      <c r="S30" s="284"/>
      <c r="T30" s="285"/>
      <c r="U30" s="279"/>
      <c r="V30" s="289"/>
      <c r="W30" s="14"/>
    </row>
    <row r="31" spans="1:23" ht="16.5" customHeight="1">
      <c r="A31" s="4"/>
      <c r="B31" s="47"/>
      <c r="C31" s="452" t="s">
        <v>108</v>
      </c>
      <c r="D31" s="290" t="s">
        <v>112</v>
      </c>
      <c r="E31" s="291" t="s">
        <v>101</v>
      </c>
      <c r="F31" s="292">
        <v>300</v>
      </c>
      <c r="G31" s="293" t="s">
        <v>102</v>
      </c>
      <c r="H31" s="294">
        <f>F31*$F$21</f>
        <v>73.5</v>
      </c>
      <c r="I31" s="296">
        <v>39051.90972222222</v>
      </c>
      <c r="J31" s="296">
        <v>39056.70277777778</v>
      </c>
      <c r="K31" s="135">
        <f>IF(D31="","",(J31-I31)*24)</f>
        <v>115.03333333338378</v>
      </c>
      <c r="L31" s="11">
        <f>IF(D31="","",(J31-I31)*24*60)</f>
        <v>6902.000000003027</v>
      </c>
      <c r="M31" s="10" t="s">
        <v>114</v>
      </c>
      <c r="N31" s="7" t="str">
        <f>IF(D31="","",IF(OR(M31="P",M31="RP"),"--","NO"))</f>
        <v>NO</v>
      </c>
      <c r="O31" s="420" t="str">
        <f>IF(D31="","","NO")</f>
        <v>NO</v>
      </c>
      <c r="P31" s="299">
        <f>200*IF(O31="SI",1,0.1)*IF(M31="P",0.1,1)</f>
        <v>20</v>
      </c>
      <c r="Q31" s="300" t="str">
        <f>IF(M31="P",H31*P31*ROUND(L31/60,2),"--")</f>
        <v>--</v>
      </c>
      <c r="R31" s="301" t="str">
        <f>IF(AND(M31="F",N31="NO"),H31*P31,"--")</f>
        <v>--</v>
      </c>
      <c r="S31" s="302" t="str">
        <f>IF(M31="F",H31*P31*ROUND(L31/60,2),"--")</f>
        <v>--</v>
      </c>
      <c r="T31" s="147">
        <f>IF(M31="RF",H31*P31*ROUND(L31/60,2),"--")</f>
        <v>169094.1</v>
      </c>
      <c r="U31" s="136" t="str">
        <f>IF(D31="","","SI")</f>
        <v>SI</v>
      </c>
      <c r="V31" s="137">
        <f>IF(D31="","",SUM(Q31:T31)*IF(U31="SI",1,2))</f>
        <v>169094.1</v>
      </c>
      <c r="W31" s="133"/>
    </row>
    <row r="32" spans="1:23" ht="16.5" customHeight="1">
      <c r="A32" s="4"/>
      <c r="B32" s="47"/>
      <c r="C32" s="452"/>
      <c r="D32" s="290"/>
      <c r="E32" s="291"/>
      <c r="F32" s="292"/>
      <c r="G32" s="293"/>
      <c r="H32" s="294">
        <f>F32*$F$21</f>
        <v>0</v>
      </c>
      <c r="I32" s="296"/>
      <c r="J32" s="296"/>
      <c r="K32" s="135">
        <f>IF(D32="","",(J32-I32)*24)</f>
      </c>
      <c r="L32" s="11">
        <f>IF(D32="","",(J32-I32)*24*60)</f>
      </c>
      <c r="M32" s="10"/>
      <c r="N32" s="7">
        <f>IF(D32="","",IF(OR(M32="P",M32="RP"),"--","NO"))</f>
      </c>
      <c r="O32" s="420">
        <f>IF(D32="","","NO")</f>
      </c>
      <c r="P32" s="299">
        <f>200*IF(O32="SI",1,0.1)*IF(M32="P",0.1,1)</f>
        <v>20</v>
      </c>
      <c r="Q32" s="300" t="str">
        <f>IF(M32="P",H32*P32*ROUND(L32/60,2),"--")</f>
        <v>--</v>
      </c>
      <c r="R32" s="301" t="str">
        <f>IF(AND(M32="F",N32="NO"),H32*P32,"--")</f>
        <v>--</v>
      </c>
      <c r="S32" s="302" t="str">
        <f>IF(M32="F",H32*P32*ROUND(L32/60,2),"--")</f>
        <v>--</v>
      </c>
      <c r="T32" s="147" t="str">
        <f>IF(M32="RF",H32*P32*ROUND(L32/60,2),"--")</f>
        <v>--</v>
      </c>
      <c r="U32" s="136">
        <f>IF(D32="","","SI")</f>
      </c>
      <c r="V32" s="137">
        <f>IF(D32="","",SUM(Q32:T32)*IF(U32="SI",1,2))</f>
      </c>
      <c r="W32" s="133"/>
    </row>
    <row r="33" spans="1:23" ht="16.5" customHeight="1">
      <c r="A33" s="4"/>
      <c r="B33" s="47"/>
      <c r="C33" s="452"/>
      <c r="D33" s="290"/>
      <c r="E33" s="291"/>
      <c r="F33" s="292"/>
      <c r="G33" s="293"/>
      <c r="H33" s="294">
        <f>F33*$F$21</f>
        <v>0</v>
      </c>
      <c r="I33" s="296"/>
      <c r="J33" s="296"/>
      <c r="K33" s="135">
        <f>IF(D33="","",(J33-I33)*24)</f>
      </c>
      <c r="L33" s="11">
        <f>IF(D33="","",(J33-I33)*24*60)</f>
      </c>
      <c r="M33" s="10"/>
      <c r="N33" s="7">
        <f>IF(D33="","",IF(OR(M33="P",M33="RP"),"--","NO"))</f>
      </c>
      <c r="O33" s="420">
        <f>IF(D33="","","NO")</f>
      </c>
      <c r="P33" s="299">
        <f>200*IF(O33="SI",1,0.1)*IF(M33="P",0.1,1)</f>
        <v>20</v>
      </c>
      <c r="Q33" s="300" t="str">
        <f>IF(M33="P",H33*P33*ROUND(L33/60,2),"--")</f>
        <v>--</v>
      </c>
      <c r="R33" s="301" t="str">
        <f>IF(AND(M33="F",N33="NO"),H33*P33,"--")</f>
        <v>--</v>
      </c>
      <c r="S33" s="302" t="str">
        <f>IF(M33="F",H33*P33*ROUND(L33/60,2),"--")</f>
        <v>--</v>
      </c>
      <c r="T33" s="147" t="str">
        <f>IF(M33="RF",H33*P33*ROUND(L33/60,2),"--")</f>
        <v>--</v>
      </c>
      <c r="U33" s="136">
        <f>IF(D33="","","SI")</f>
      </c>
      <c r="V33" s="137">
        <f>IF(D33="","",SUM(Q33:T33)*IF(U33="SI",1,2))</f>
      </c>
      <c r="W33" s="133"/>
    </row>
    <row r="34" spans="1:23" ht="16.5" customHeight="1" thickBot="1">
      <c r="A34" s="29"/>
      <c r="B34" s="47"/>
      <c r="C34" s="307"/>
      <c r="D34" s="308"/>
      <c r="E34" s="309"/>
      <c r="F34" s="310"/>
      <c r="G34" s="311"/>
      <c r="H34" s="312"/>
      <c r="I34" s="314"/>
      <c r="J34" s="315"/>
      <c r="K34" s="316"/>
      <c r="L34" s="317"/>
      <c r="M34" s="318"/>
      <c r="N34" s="8"/>
      <c r="O34" s="421"/>
      <c r="P34" s="321"/>
      <c r="Q34" s="322"/>
      <c r="R34" s="323"/>
      <c r="S34" s="324"/>
      <c r="T34" s="325"/>
      <c r="U34" s="329"/>
      <c r="V34" s="330"/>
      <c r="W34" s="133"/>
    </row>
    <row r="35" spans="1:23" ht="16.5" customHeight="1" thickBot="1" thickTop="1">
      <c r="A35" s="29"/>
      <c r="B35" s="47"/>
      <c r="C35" s="78"/>
      <c r="D35" s="127"/>
      <c r="E35" s="127"/>
      <c r="F35" s="152"/>
      <c r="G35" s="331"/>
      <c r="H35" s="332"/>
      <c r="I35" s="333"/>
      <c r="J35" s="334"/>
      <c r="K35" s="335"/>
      <c r="L35" s="336"/>
      <c r="M35" s="332"/>
      <c r="N35" s="337"/>
      <c r="O35" s="119"/>
      <c r="P35" s="338"/>
      <c r="Q35" s="339"/>
      <c r="R35" s="340"/>
      <c r="S35" s="340"/>
      <c r="T35" s="340"/>
      <c r="U35" s="120"/>
      <c r="V35" s="341">
        <f>SUM(V30:V34)</f>
        <v>169094.1</v>
      </c>
      <c r="W35" s="133"/>
    </row>
    <row r="36" spans="1:23" ht="16.5" customHeight="1" thickBot="1" thickTop="1">
      <c r="A36" s="29"/>
      <c r="B36" s="47"/>
      <c r="C36" s="78"/>
      <c r="D36" s="127"/>
      <c r="E36" s="127"/>
      <c r="F36" s="152"/>
      <c r="G36" s="331"/>
      <c r="H36" s="332"/>
      <c r="I36" s="333"/>
      <c r="L36" s="336"/>
      <c r="M36" s="332"/>
      <c r="N36" s="342"/>
      <c r="O36" s="343"/>
      <c r="P36" s="338"/>
      <c r="Q36" s="339"/>
      <c r="R36" s="340"/>
      <c r="S36" s="340"/>
      <c r="T36" s="340"/>
      <c r="U36" s="120"/>
      <c r="V36" s="120"/>
      <c r="W36" s="133"/>
    </row>
    <row r="37" spans="2:23" s="4" customFormat="1" ht="33.75" customHeight="1" thickBot="1" thickTop="1">
      <c r="B37" s="47"/>
      <c r="C37" s="69" t="s">
        <v>4</v>
      </c>
      <c r="D37" s="71" t="s">
        <v>16</v>
      </c>
      <c r="E37" s="458" t="s">
        <v>17</v>
      </c>
      <c r="F37" s="460"/>
      <c r="G37" s="88" t="s">
        <v>5</v>
      </c>
      <c r="H37" s="86" t="s">
        <v>7</v>
      </c>
      <c r="I37" s="70" t="s">
        <v>8</v>
      </c>
      <c r="J37" s="138" t="s">
        <v>9</v>
      </c>
      <c r="K37" s="139" t="s">
        <v>25</v>
      </c>
      <c r="L37" s="139" t="s">
        <v>20</v>
      </c>
      <c r="M37" s="73" t="s">
        <v>10</v>
      </c>
      <c r="N37" s="458" t="s">
        <v>21</v>
      </c>
      <c r="O37" s="459"/>
      <c r="P37" s="91" t="s">
        <v>26</v>
      </c>
      <c r="Q37" s="140" t="s">
        <v>44</v>
      </c>
      <c r="R37" s="115" t="s">
        <v>24</v>
      </c>
      <c r="S37" s="141"/>
      <c r="T37" s="90" t="s">
        <v>13</v>
      </c>
      <c r="U37" s="88" t="s">
        <v>47</v>
      </c>
      <c r="V37" s="82" t="s">
        <v>15</v>
      </c>
      <c r="W37" s="5"/>
    </row>
    <row r="38" spans="2:23" s="4" customFormat="1" ht="16.5" customHeight="1" thickTop="1">
      <c r="B38" s="47"/>
      <c r="C38" s="6"/>
      <c r="D38" s="142"/>
      <c r="E38" s="461"/>
      <c r="F38" s="462"/>
      <c r="G38" s="142"/>
      <c r="H38" s="143"/>
      <c r="I38" s="142"/>
      <c r="J38" s="142"/>
      <c r="K38" s="142"/>
      <c r="L38" s="142"/>
      <c r="M38" s="142"/>
      <c r="N38" s="142"/>
      <c r="O38" s="422"/>
      <c r="P38" s="144"/>
      <c r="Q38" s="145"/>
      <c r="R38" s="118"/>
      <c r="S38" s="146"/>
      <c r="T38" s="147"/>
      <c r="U38" s="142"/>
      <c r="V38" s="148"/>
      <c r="W38" s="5"/>
    </row>
    <row r="39" spans="2:23" s="4" customFormat="1" ht="16.5" customHeight="1">
      <c r="B39" s="47"/>
      <c r="C39" s="99" t="s">
        <v>109</v>
      </c>
      <c r="D39" s="142" t="s">
        <v>103</v>
      </c>
      <c r="E39" s="461" t="s">
        <v>105</v>
      </c>
      <c r="F39" s="462"/>
      <c r="G39" s="423">
        <v>132</v>
      </c>
      <c r="H39" s="87">
        <f>IF(G39=500,$M$19,IF(G39=220,$M$20,$M$21))</f>
        <v>39.254</v>
      </c>
      <c r="I39" s="424">
        <v>39062.33611111111</v>
      </c>
      <c r="J39" s="425">
        <v>39062.36736111111</v>
      </c>
      <c r="K39" s="149">
        <f>IF(D39="","",(J39-I39)*24)</f>
        <v>0.75</v>
      </c>
      <c r="L39" s="150">
        <f>IF(D39="","",ROUND((J39-I39)*24*60,0))</f>
        <v>45</v>
      </c>
      <c r="M39" s="216" t="s">
        <v>98</v>
      </c>
      <c r="N39" s="155" t="str">
        <f>IF(D39="","",IF(OR(M39="P",M39="RP"),"--","NO"))</f>
        <v>--</v>
      </c>
      <c r="O39" s="154"/>
      <c r="P39" s="426">
        <f>IF(G39=500,$N$19,IF(G39=220,$N$20,$N$21))</f>
        <v>40</v>
      </c>
      <c r="Q39" s="427">
        <f>IF(M39="P",H39*P39*ROUND(L39/60,2)*0.1,"--")</f>
        <v>117.762</v>
      </c>
      <c r="R39" s="118" t="str">
        <f>IF(AND(M39="F",N39="NO"),H39*P39,"--")</f>
        <v>--</v>
      </c>
      <c r="S39" s="146" t="str">
        <f>IF(M39="F",H39*P39*ROUND(L39/60,2),"--")</f>
        <v>--</v>
      </c>
      <c r="T39" s="147" t="str">
        <f>IF(M39="RF",H39*P39*ROUND(L39/60,2),"--")</f>
        <v>--</v>
      </c>
      <c r="U39" s="428" t="str">
        <f>IF(D39="","","SI")</f>
        <v>SI</v>
      </c>
      <c r="V39" s="151">
        <f>IF(D39="","",SUM(Q39:T39)*IF(U39="SI",1,2))</f>
        <v>117.762</v>
      </c>
      <c r="W39" s="5"/>
    </row>
    <row r="40" spans="2:23" s="4" customFormat="1" ht="16.5" customHeight="1">
      <c r="B40" s="47"/>
      <c r="C40" s="134" t="s">
        <v>110</v>
      </c>
      <c r="D40" s="142" t="s">
        <v>103</v>
      </c>
      <c r="E40" s="461" t="s">
        <v>106</v>
      </c>
      <c r="F40" s="462"/>
      <c r="G40" s="423">
        <v>132</v>
      </c>
      <c r="H40" s="87">
        <f>IF(G40=500,$M$19,IF(G40=220,$M$20,$M$21))</f>
        <v>39.254</v>
      </c>
      <c r="I40" s="424">
        <v>39070.35902777778</v>
      </c>
      <c r="J40" s="425">
        <v>39070.60277777778</v>
      </c>
      <c r="K40" s="149">
        <f>IF(D40="","",(J40-I40)*24)</f>
        <v>5.850000000034925</v>
      </c>
      <c r="L40" s="150">
        <f>IF(D40="","",ROUND((J40-I40)*24*60,0))</f>
        <v>351</v>
      </c>
      <c r="M40" s="216" t="s">
        <v>98</v>
      </c>
      <c r="N40" s="155" t="str">
        <f>IF(D40="","",IF(OR(M40="P",M40="RP"),"--","NO"))</f>
        <v>--</v>
      </c>
      <c r="O40" s="154"/>
      <c r="P40" s="426">
        <f>IF(G40=500,$N$19,IF(G40=220,$N$20,$N$21))</f>
        <v>40</v>
      </c>
      <c r="Q40" s="427">
        <f>IF(M40="P",H40*P40*ROUND(L40/60,2)*0.1,"--")</f>
        <v>918.5435999999999</v>
      </c>
      <c r="R40" s="118" t="str">
        <f>IF(AND(M40="F",N40="NO"),H40*P40,"--")</f>
        <v>--</v>
      </c>
      <c r="S40" s="146" t="str">
        <f>IF(M40="F",H40*P40*ROUND(L40/60,2),"--")</f>
        <v>--</v>
      </c>
      <c r="T40" s="147" t="str">
        <f>IF(M40="RF",H40*P40*ROUND(L40/60,2),"--")</f>
        <v>--</v>
      </c>
      <c r="U40" s="428" t="str">
        <f>IF(D40="","","SI")</f>
        <v>SI</v>
      </c>
      <c r="V40" s="151">
        <f>IF(D40="","",SUM(Q40:T40)*IF(U40="SI",1,2))</f>
        <v>918.5435999999999</v>
      </c>
      <c r="W40" s="5"/>
    </row>
    <row r="41" spans="2:23" s="4" customFormat="1" ht="16.5" customHeight="1">
      <c r="B41" s="47"/>
      <c r="C41" s="99" t="s">
        <v>111</v>
      </c>
      <c r="D41" s="142" t="s">
        <v>103</v>
      </c>
      <c r="E41" s="461" t="s">
        <v>105</v>
      </c>
      <c r="F41" s="462"/>
      <c r="G41" s="423">
        <v>132</v>
      </c>
      <c r="H41" s="87">
        <f>IF(G41=500,$M$19,IF(G41=220,$M$20,$M$21))</f>
        <v>39.254</v>
      </c>
      <c r="I41" s="424">
        <v>39079.27291666667</v>
      </c>
      <c r="J41" s="425">
        <v>39079.35555555556</v>
      </c>
      <c r="K41" s="149">
        <f>IF(D41="","",(J41-I41)*24)</f>
        <v>1.9833333333372138</v>
      </c>
      <c r="L41" s="150">
        <f>IF(D41="","",ROUND((J41-I41)*24*60,0))</f>
        <v>119</v>
      </c>
      <c r="M41" s="216" t="s">
        <v>98</v>
      </c>
      <c r="N41" s="155" t="str">
        <f>IF(D41="","",IF(OR(M41="P",M41="RP"),"--","NO"))</f>
        <v>--</v>
      </c>
      <c r="O41" s="154"/>
      <c r="P41" s="426">
        <f>IF(G41=500,$N$19,IF(G41=220,$N$20,$N$21))</f>
        <v>40</v>
      </c>
      <c r="Q41" s="427">
        <f>IF(M41="P",H41*P41*ROUND(L41/60,2)*0.1,"--")</f>
        <v>310.89167999999995</v>
      </c>
      <c r="R41" s="118" t="str">
        <f>IF(AND(M41="F",N41="NO"),H41*P41,"--")</f>
        <v>--</v>
      </c>
      <c r="S41" s="146" t="str">
        <f>IF(M41="F",H41*P41*ROUND(L41/60,2),"--")</f>
        <v>--</v>
      </c>
      <c r="T41" s="147" t="str">
        <f>IF(M41="RF",H41*P41*ROUND(L41/60,2),"--")</f>
        <v>--</v>
      </c>
      <c r="U41" s="428" t="str">
        <f>IF(D41="","","SI")</f>
        <v>SI</v>
      </c>
      <c r="V41" s="151">
        <f>IF(D41="","",SUM(Q41:T41)*IF(U41="SI",1,2))</f>
        <v>310.89167999999995</v>
      </c>
      <c r="W41" s="5"/>
    </row>
    <row r="42" spans="2:23" s="4" customFormat="1" ht="16.5" customHeight="1">
      <c r="B42" s="47"/>
      <c r="C42" s="452"/>
      <c r="D42" s="142"/>
      <c r="E42" s="153"/>
      <c r="F42" s="453"/>
      <c r="G42" s="423"/>
      <c r="H42" s="87">
        <f>IF(G42=500,$M$19,IF(G42=220,$M$20,$M$21))</f>
        <v>39.254</v>
      </c>
      <c r="I42" s="424"/>
      <c r="J42" s="425"/>
      <c r="K42" s="149">
        <f>IF(D42="","",(J42-I42)*24)</f>
      </c>
      <c r="L42" s="150">
        <f>IF(D42="","",ROUND((J42-I42)*24*60,0))</f>
      </c>
      <c r="M42" s="216"/>
      <c r="N42" s="155">
        <f>IF(D42="","",IF(OR(M42="P",M42="RP"),"--","NO"))</f>
      </c>
      <c r="O42" s="154"/>
      <c r="P42" s="426">
        <f>IF(G42=500,$N$19,IF(G42=220,$N$20,$N$21))</f>
        <v>40</v>
      </c>
      <c r="Q42" s="427" t="str">
        <f>IF(M42="P",H42*P42*ROUND(L42/60,2)*0.1,"--")</f>
        <v>--</v>
      </c>
      <c r="R42" s="118" t="str">
        <f>IF(AND(M42="F",N42="NO"),H42*P42,"--")</f>
        <v>--</v>
      </c>
      <c r="S42" s="146" t="str">
        <f>IF(M42="F",H42*P42*ROUND(L42/60,2),"--")</f>
        <v>--</v>
      </c>
      <c r="T42" s="147" t="str">
        <f>IF(M42="RF",H42*P42*ROUND(L42/60,2),"--")</f>
        <v>--</v>
      </c>
      <c r="U42" s="428">
        <f>IF(D42="","","SI")</f>
      </c>
      <c r="V42" s="151">
        <f>IF(D42="","",SUM(Q42:T42)*IF(U42="SI",1,2))</f>
      </c>
      <c r="W42" s="5"/>
    </row>
    <row r="43" spans="2:23" s="4" customFormat="1" ht="16.5" customHeight="1">
      <c r="B43" s="47"/>
      <c r="C43" s="452"/>
      <c r="D43" s="142"/>
      <c r="E43" s="153"/>
      <c r="F43" s="453"/>
      <c r="G43" s="423"/>
      <c r="H43" s="87">
        <f>IF(G43=500,$M$19,IF(G43=220,$M$20,$M$21))</f>
        <v>39.254</v>
      </c>
      <c r="I43" s="424"/>
      <c r="J43" s="425"/>
      <c r="K43" s="149">
        <f>IF(D43="","",(J43-I43)*24)</f>
      </c>
      <c r="L43" s="150">
        <f>IF(D43="","",ROUND((J43-I43)*24*60,0))</f>
      </c>
      <c r="M43" s="216"/>
      <c r="N43" s="155">
        <f>IF(D43="","",IF(OR(M43="P",M43="RP"),"--","NO"))</f>
      </c>
      <c r="O43" s="154"/>
      <c r="P43" s="426">
        <f>IF(G43=500,$N$19,IF(G43=220,$N$20,$N$21))</f>
        <v>40</v>
      </c>
      <c r="Q43" s="427" t="str">
        <f>IF(M43="P",H43*P43*ROUND(L43/60,2)*0.1,"--")</f>
        <v>--</v>
      </c>
      <c r="R43" s="118" t="str">
        <f>IF(AND(M43="F",N43="NO"),H43*P43,"--")</f>
        <v>--</v>
      </c>
      <c r="S43" s="146" t="str">
        <f>IF(M43="F",H43*P43*ROUND(L43/60,2),"--")</f>
        <v>--</v>
      </c>
      <c r="T43" s="147" t="str">
        <f>IF(M43="RF",H43*P43*ROUND(L43/60,2),"--")</f>
        <v>--</v>
      </c>
      <c r="U43" s="428">
        <f>IF(D43="","","SI")</f>
      </c>
      <c r="V43" s="151">
        <f>IF(D43="","",SUM(Q43:T43)*IF(U43="SI",1,2))</f>
      </c>
      <c r="W43" s="5"/>
    </row>
    <row r="44" spans="2:28" s="4" customFormat="1" ht="16.5" customHeight="1" thickBot="1">
      <c r="B44" s="47"/>
      <c r="C44" s="307"/>
      <c r="D44" s="429"/>
      <c r="E44" s="456"/>
      <c r="F44" s="457"/>
      <c r="G44" s="430"/>
      <c r="H44" s="431"/>
      <c r="I44" s="432"/>
      <c r="J44" s="433"/>
      <c r="K44" s="434"/>
      <c r="L44" s="435"/>
      <c r="M44" s="436"/>
      <c r="N44" s="437"/>
      <c r="O44" s="436"/>
      <c r="P44" s="438"/>
      <c r="Q44" s="439"/>
      <c r="R44" s="440"/>
      <c r="S44" s="441"/>
      <c r="T44" s="442"/>
      <c r="U44" s="443"/>
      <c r="V44" s="444"/>
      <c r="W44" s="5"/>
      <c r="X44"/>
      <c r="Y44"/>
      <c r="Z44"/>
      <c r="AA44"/>
      <c r="AB44"/>
    </row>
    <row r="45" spans="1:23" ht="17.25" thickBot="1" thickTop="1">
      <c r="A45" s="29"/>
      <c r="B45" s="165"/>
      <c r="C45" s="168"/>
      <c r="D45" s="345"/>
      <c r="E45" s="346"/>
      <c r="F45" s="347"/>
      <c r="G45" s="348"/>
      <c r="H45" s="348"/>
      <c r="I45" s="346"/>
      <c r="J45" s="156"/>
      <c r="K45" s="156"/>
      <c r="L45" s="346"/>
      <c r="M45" s="346"/>
      <c r="N45" s="346"/>
      <c r="O45" s="349"/>
      <c r="P45" s="346"/>
      <c r="Q45" s="346"/>
      <c r="R45" s="350"/>
      <c r="S45" s="351"/>
      <c r="T45" s="351"/>
      <c r="U45" s="352"/>
      <c r="V45" s="341">
        <f>SUM(V39:V44)</f>
        <v>1347.1972799999999</v>
      </c>
      <c r="W45" s="353"/>
    </row>
    <row r="46" spans="1:23" ht="17.25" thickBot="1" thickTop="1">
      <c r="A46" s="29"/>
      <c r="B46" s="165"/>
      <c r="C46" s="168"/>
      <c r="D46" s="345"/>
      <c r="E46" s="346"/>
      <c r="F46" s="347"/>
      <c r="G46" s="348"/>
      <c r="H46" s="348"/>
      <c r="I46" s="179" t="s">
        <v>31</v>
      </c>
      <c r="J46" s="415">
        <f>+V45+V35</f>
        <v>170441.29728</v>
      </c>
      <c r="L46" s="346"/>
      <c r="M46" s="346"/>
      <c r="N46" s="346"/>
      <c r="O46" s="349"/>
      <c r="P46" s="346"/>
      <c r="Q46" s="346"/>
      <c r="R46" s="350"/>
      <c r="S46" s="351"/>
      <c r="T46" s="351"/>
      <c r="U46" s="352"/>
      <c r="W46" s="353"/>
    </row>
    <row r="47" spans="1:23" ht="13.5" customHeight="1" thickTop="1">
      <c r="A47" s="29"/>
      <c r="B47" s="165"/>
      <c r="C47" s="168"/>
      <c r="D47" s="345"/>
      <c r="E47" s="346"/>
      <c r="F47" s="347"/>
      <c r="G47" s="348"/>
      <c r="H47" s="348"/>
      <c r="I47" s="346"/>
      <c r="J47" s="156"/>
      <c r="K47" s="156"/>
      <c r="L47" s="346"/>
      <c r="M47" s="346"/>
      <c r="N47" s="346"/>
      <c r="O47" s="349"/>
      <c r="P47" s="346"/>
      <c r="Q47" s="346"/>
      <c r="R47" s="350"/>
      <c r="S47" s="351"/>
      <c r="T47" s="351"/>
      <c r="U47" s="352"/>
      <c r="W47" s="353"/>
    </row>
    <row r="48" spans="1:23" ht="16.5" customHeight="1">
      <c r="A48" s="29"/>
      <c r="B48" s="165"/>
      <c r="C48" s="354" t="s">
        <v>63</v>
      </c>
      <c r="D48" s="355" t="s">
        <v>89</v>
      </c>
      <c r="E48" s="346"/>
      <c r="F48" s="347"/>
      <c r="G48" s="348"/>
      <c r="H48" s="348"/>
      <c r="I48" s="346"/>
      <c r="J48" s="156"/>
      <c r="K48" s="156"/>
      <c r="L48" s="346"/>
      <c r="M48" s="346"/>
      <c r="N48" s="346"/>
      <c r="O48" s="349"/>
      <c r="P48" s="346"/>
      <c r="Q48" s="346"/>
      <c r="R48" s="350"/>
      <c r="S48" s="351"/>
      <c r="T48" s="351"/>
      <c r="U48" s="352"/>
      <c r="W48" s="353"/>
    </row>
    <row r="49" spans="1:23" ht="16.5" customHeight="1">
      <c r="A49" s="29"/>
      <c r="B49" s="165"/>
      <c r="C49" s="354"/>
      <c r="D49" s="345"/>
      <c r="E49" s="346"/>
      <c r="F49" s="347"/>
      <c r="G49" s="348"/>
      <c r="H49" s="348"/>
      <c r="I49" s="346"/>
      <c r="J49" s="156"/>
      <c r="K49" s="156"/>
      <c r="L49" s="346"/>
      <c r="M49" s="346"/>
      <c r="N49" s="346"/>
      <c r="O49" s="349"/>
      <c r="P49" s="346"/>
      <c r="Q49" s="346"/>
      <c r="R49" s="346"/>
      <c r="S49" s="350"/>
      <c r="T49" s="351"/>
      <c r="W49" s="353"/>
    </row>
    <row r="50" spans="2:23" s="29" customFormat="1" ht="16.5" customHeight="1">
      <c r="B50" s="165"/>
      <c r="C50" s="168"/>
      <c r="D50" s="356" t="s">
        <v>73</v>
      </c>
      <c r="E50" s="251" t="s">
        <v>74</v>
      </c>
      <c r="F50" s="251" t="s">
        <v>32</v>
      </c>
      <c r="G50" s="357" t="s">
        <v>94</v>
      </c>
      <c r="H50"/>
      <c r="I50" s="93"/>
      <c r="J50" s="369" t="s">
        <v>37</v>
      </c>
      <c r="K50" s="369"/>
      <c r="L50" s="251" t="s">
        <v>32</v>
      </c>
      <c r="M50" t="s">
        <v>77</v>
      </c>
      <c r="O50" s="357" t="s">
        <v>95</v>
      </c>
      <c r="P50"/>
      <c r="Q50" s="361"/>
      <c r="R50" s="361"/>
      <c r="S50" s="30"/>
      <c r="T50"/>
      <c r="U50"/>
      <c r="V50"/>
      <c r="W50" s="353"/>
    </row>
    <row r="51" spans="2:23" s="29" customFormat="1" ht="16.5" customHeight="1">
      <c r="B51" s="165"/>
      <c r="C51" s="168"/>
      <c r="D51" s="97" t="s">
        <v>78</v>
      </c>
      <c r="E51" s="97">
        <v>300</v>
      </c>
      <c r="F51" s="445">
        <v>500</v>
      </c>
      <c r="G51" s="455">
        <f>+E51*$F$20*$F$21</f>
        <v>54684</v>
      </c>
      <c r="H51" s="455"/>
      <c r="I51" s="455"/>
      <c r="J51" s="446" t="s">
        <v>79</v>
      </c>
      <c r="K51" s="446"/>
      <c r="L51" s="97">
        <v>500</v>
      </c>
      <c r="M51" s="97">
        <v>2</v>
      </c>
      <c r="O51" s="455">
        <f>+M51*$F$20*$M$19</f>
        <v>73008.72</v>
      </c>
      <c r="P51" s="455"/>
      <c r="Q51" s="455"/>
      <c r="R51" s="455"/>
      <c r="S51" s="455"/>
      <c r="T51" s="455"/>
      <c r="U51" s="455"/>
      <c r="V51"/>
      <c r="W51" s="353"/>
    </row>
    <row r="52" spans="2:23" s="29" customFormat="1" ht="16.5" customHeight="1">
      <c r="B52" s="165"/>
      <c r="C52" s="168"/>
      <c r="D52" s="97" t="s">
        <v>80</v>
      </c>
      <c r="E52" s="96">
        <v>300</v>
      </c>
      <c r="F52" s="445">
        <v>500</v>
      </c>
      <c r="G52" s="455">
        <f>+E52*$F$20*$F$21</f>
        <v>54684</v>
      </c>
      <c r="H52" s="455"/>
      <c r="I52" s="455"/>
      <c r="J52" s="446" t="s">
        <v>79</v>
      </c>
      <c r="K52" s="446"/>
      <c r="L52" s="97">
        <v>132</v>
      </c>
      <c r="M52" s="97">
        <v>9</v>
      </c>
      <c r="O52" s="455">
        <f>+M52*$F$20*$M$19</f>
        <v>328539.24</v>
      </c>
      <c r="P52" s="455"/>
      <c r="Q52" s="455"/>
      <c r="R52" s="455"/>
      <c r="S52" s="455"/>
      <c r="T52" s="455"/>
      <c r="U52" s="455"/>
      <c r="V52"/>
      <c r="W52" s="353"/>
    </row>
    <row r="53" spans="2:23" s="29" customFormat="1" ht="16.5" customHeight="1">
      <c r="B53" s="165"/>
      <c r="C53" s="168"/>
      <c r="D53" s="95" t="s">
        <v>81</v>
      </c>
      <c r="E53" s="96">
        <v>300</v>
      </c>
      <c r="F53" s="445">
        <v>500</v>
      </c>
      <c r="G53" s="455">
        <f>+E53*$F$20*$F$21</f>
        <v>54684</v>
      </c>
      <c r="H53" s="455"/>
      <c r="I53" s="455"/>
      <c r="J53" s="446" t="s">
        <v>82</v>
      </c>
      <c r="K53" s="446"/>
      <c r="L53" s="97">
        <v>132</v>
      </c>
      <c r="M53" s="97">
        <v>8</v>
      </c>
      <c r="O53" s="455">
        <f>+M53*$F$20*$M$19</f>
        <v>292034.88</v>
      </c>
      <c r="P53" s="455"/>
      <c r="Q53" s="455"/>
      <c r="R53" s="455"/>
      <c r="S53" s="455"/>
      <c r="T53" s="455"/>
      <c r="U53" s="455"/>
      <c r="V53"/>
      <c r="W53" s="353"/>
    </row>
    <row r="54" spans="1:23" ht="16.5" customHeight="1">
      <c r="A54" s="29"/>
      <c r="B54" s="165"/>
      <c r="C54" s="168"/>
      <c r="D54" s="95" t="s">
        <v>83</v>
      </c>
      <c r="E54" s="96">
        <v>300</v>
      </c>
      <c r="F54" s="445">
        <v>500</v>
      </c>
      <c r="G54" s="455">
        <f>+E54*$F$20*$F$21</f>
        <v>54684</v>
      </c>
      <c r="H54" s="455"/>
      <c r="I54" s="455"/>
      <c r="J54" s="446" t="s">
        <v>84</v>
      </c>
      <c r="K54" s="446"/>
      <c r="L54" s="97">
        <v>132</v>
      </c>
      <c r="M54" s="97">
        <v>5</v>
      </c>
      <c r="O54" s="463">
        <f>+M54*$F$20*$M$19</f>
        <v>182521.8</v>
      </c>
      <c r="P54" s="463"/>
      <c r="Q54" s="463"/>
      <c r="R54" s="463"/>
      <c r="S54" s="463"/>
      <c r="T54" s="463"/>
      <c r="U54" s="463"/>
      <c r="W54" s="353"/>
    </row>
    <row r="55" spans="1:23" ht="16.5" customHeight="1">
      <c r="A55" s="29"/>
      <c r="B55" s="165"/>
      <c r="C55" s="168"/>
      <c r="D55" s="95" t="s">
        <v>85</v>
      </c>
      <c r="E55" s="96">
        <v>450</v>
      </c>
      <c r="F55" s="445">
        <v>500</v>
      </c>
      <c r="G55" s="463">
        <f>+E55*$F$20*$F$21</f>
        <v>82026</v>
      </c>
      <c r="H55" s="463"/>
      <c r="I55" s="463"/>
      <c r="M55" s="97"/>
      <c r="O55" s="455">
        <f>SUM(O51:P54)</f>
        <v>876104.6399999999</v>
      </c>
      <c r="P55" s="455"/>
      <c r="Q55" s="455"/>
      <c r="R55" s="455"/>
      <c r="S55" s="455"/>
      <c r="T55" s="455"/>
      <c r="U55" s="455"/>
      <c r="W55" s="353"/>
    </row>
    <row r="56" spans="1:23" ht="16.5" customHeight="1">
      <c r="A56" s="29"/>
      <c r="B56" s="165"/>
      <c r="C56" s="168"/>
      <c r="D56" s="95"/>
      <c r="E56" s="96"/>
      <c r="F56" s="445"/>
      <c r="G56" s="455">
        <f>SUM(G51:G55)</f>
        <v>300762</v>
      </c>
      <c r="H56" s="455"/>
      <c r="I56" s="455"/>
      <c r="M56" s="97"/>
      <c r="N56" s="93"/>
      <c r="O56" s="93"/>
      <c r="P56" s="399"/>
      <c r="Q56" s="399"/>
      <c r="R56" s="399"/>
      <c r="S56" s="399"/>
      <c r="W56" s="353"/>
    </row>
    <row r="57" spans="1:23" ht="16.5" customHeight="1" thickBot="1">
      <c r="A57" s="29"/>
      <c r="B57" s="165"/>
      <c r="C57" s="168"/>
      <c r="D57" s="356"/>
      <c r="E57" s="370"/>
      <c r="F57" s="370"/>
      <c r="G57" s="251"/>
      <c r="I57" s="359"/>
      <c r="J57" s="357"/>
      <c r="L57" s="358"/>
      <c r="M57" s="359"/>
      <c r="N57" s="360"/>
      <c r="O57" s="361"/>
      <c r="P57" s="361"/>
      <c r="Q57" s="361"/>
      <c r="R57" s="361"/>
      <c r="S57" s="361"/>
      <c r="W57" s="353"/>
    </row>
    <row r="58" spans="1:23" ht="16.5" customHeight="1" thickBot="1" thickTop="1">
      <c r="A58" s="29"/>
      <c r="B58" s="165"/>
      <c r="C58" s="168"/>
      <c r="D58" s="251"/>
      <c r="E58" s="400"/>
      <c r="F58" s="400"/>
      <c r="G58" s="364"/>
      <c r="H58" s="109"/>
      <c r="I58" s="179" t="s">
        <v>33</v>
      </c>
      <c r="J58" s="415">
        <f>+G56+O55</f>
        <v>1176866.64</v>
      </c>
      <c r="L58" s="366"/>
      <c r="M58" s="109"/>
      <c r="N58" s="367"/>
      <c r="O58" s="399"/>
      <c r="P58" s="399"/>
      <c r="Q58" s="399"/>
      <c r="R58" s="399"/>
      <c r="S58" s="399"/>
      <c r="W58" s="353"/>
    </row>
    <row r="59" spans="1:23" ht="16.5" customHeight="1" thickTop="1">
      <c r="A59" s="29"/>
      <c r="B59" s="165"/>
      <c r="C59" s="168"/>
      <c r="D59" s="156"/>
      <c r="E59" s="173"/>
      <c r="F59" s="251"/>
      <c r="G59" s="251"/>
      <c r="H59" s="252"/>
      <c r="J59" s="251"/>
      <c r="L59" s="373"/>
      <c r="M59" s="360"/>
      <c r="N59" s="360"/>
      <c r="O59" s="361"/>
      <c r="P59" s="361"/>
      <c r="Q59" s="361"/>
      <c r="R59" s="361"/>
      <c r="S59" s="361"/>
      <c r="W59" s="353"/>
    </row>
    <row r="60" spans="2:23" ht="16.5" customHeight="1">
      <c r="B60" s="165"/>
      <c r="C60" s="354" t="s">
        <v>67</v>
      </c>
      <c r="D60" s="374" t="s">
        <v>68</v>
      </c>
      <c r="E60" s="251"/>
      <c r="F60" s="375"/>
      <c r="G60" s="250"/>
      <c r="H60" s="156"/>
      <c r="I60" s="156"/>
      <c r="J60" s="156"/>
      <c r="K60" s="251"/>
      <c r="L60" s="251"/>
      <c r="M60" s="156"/>
      <c r="N60" s="251"/>
      <c r="O60" s="156"/>
      <c r="P60" s="156"/>
      <c r="Q60" s="156"/>
      <c r="R60" s="156"/>
      <c r="S60" s="156"/>
      <c r="T60" s="156"/>
      <c r="U60" s="156"/>
      <c r="W60" s="353"/>
    </row>
    <row r="61" spans="2:23" s="29" customFormat="1" ht="16.5" customHeight="1">
      <c r="B61" s="165"/>
      <c r="C61" s="168"/>
      <c r="D61" s="356" t="s">
        <v>69</v>
      </c>
      <c r="E61" s="376">
        <f>10*J46*J25/J58</f>
        <v>15521.287632894877</v>
      </c>
      <c r="G61" s="250"/>
      <c r="L61" s="251"/>
      <c r="N61" s="251"/>
      <c r="O61" s="252"/>
      <c r="V61"/>
      <c r="W61" s="353"/>
    </row>
    <row r="62" spans="2:23" s="29" customFormat="1" ht="12.75" customHeight="1">
      <c r="B62" s="165"/>
      <c r="C62" s="168"/>
      <c r="E62" s="377"/>
      <c r="F62" s="178"/>
      <c r="G62" s="250"/>
      <c r="J62" s="250"/>
      <c r="K62" s="265"/>
      <c r="L62" s="251"/>
      <c r="M62" s="251"/>
      <c r="N62" s="251"/>
      <c r="O62" s="252"/>
      <c r="P62" s="251"/>
      <c r="Q62" s="251"/>
      <c r="R62" s="264"/>
      <c r="S62" s="264"/>
      <c r="T62" s="264"/>
      <c r="U62" s="378"/>
      <c r="V62"/>
      <c r="W62" s="353"/>
    </row>
    <row r="63" spans="2:23" ht="16.5" customHeight="1">
      <c r="B63" s="165"/>
      <c r="C63" s="168"/>
      <c r="D63" s="379" t="s">
        <v>86</v>
      </c>
      <c r="E63" s="380"/>
      <c r="F63" s="178"/>
      <c r="G63" s="250"/>
      <c r="H63" s="156"/>
      <c r="I63" s="156"/>
      <c r="N63" s="251"/>
      <c r="O63" s="252"/>
      <c r="P63" s="251"/>
      <c r="Q63" s="251"/>
      <c r="R63" s="359"/>
      <c r="S63" s="359"/>
      <c r="T63" s="359"/>
      <c r="U63" s="360"/>
      <c r="W63" s="353"/>
    </row>
    <row r="64" spans="2:23" ht="16.5" customHeight="1">
      <c r="B64" s="165"/>
      <c r="C64" s="168"/>
      <c r="D64" s="379"/>
      <c r="E64" s="380"/>
      <c r="F64" s="178"/>
      <c r="G64" s="250"/>
      <c r="H64" s="156"/>
      <c r="I64" s="156"/>
      <c r="N64" s="251"/>
      <c r="O64" s="252"/>
      <c r="P64" s="251"/>
      <c r="Q64" s="251"/>
      <c r="R64" s="359"/>
      <c r="S64" s="359"/>
      <c r="T64" s="359"/>
      <c r="U64" s="360"/>
      <c r="W64" s="353"/>
    </row>
    <row r="65" spans="2:23" ht="13.5" customHeight="1" thickBot="1">
      <c r="B65" s="165"/>
      <c r="C65" s="168"/>
      <c r="D65" s="379" t="s">
        <v>118</v>
      </c>
      <c r="E65" s="380"/>
      <c r="F65" s="178"/>
      <c r="G65" s="250"/>
      <c r="H65" s="156"/>
      <c r="I65" s="156"/>
      <c r="N65" s="251"/>
      <c r="O65" s="252"/>
      <c r="P65" s="251"/>
      <c r="Q65" s="251"/>
      <c r="R65" s="359"/>
      <c r="S65" s="359"/>
      <c r="T65" s="359"/>
      <c r="U65" s="360"/>
      <c r="W65" s="353"/>
    </row>
    <row r="66" spans="2:23" s="381" customFormat="1" ht="21" thickBot="1" thickTop="1">
      <c r="B66" s="382"/>
      <c r="C66" s="383"/>
      <c r="D66" s="384"/>
      <c r="E66" s="385"/>
      <c r="F66" s="386"/>
      <c r="G66" s="387"/>
      <c r="I66" s="388" t="s">
        <v>71</v>
      </c>
      <c r="J66" s="389">
        <f>IF(E61&gt;3*J25,J25*3,E61)</f>
        <v>15521.287632894877</v>
      </c>
      <c r="M66" s="390"/>
      <c r="N66" s="390"/>
      <c r="O66" s="391"/>
      <c r="P66" s="390"/>
      <c r="Q66" s="390"/>
      <c r="R66" s="392"/>
      <c r="S66" s="392"/>
      <c r="T66" s="392"/>
      <c r="U66" s="393"/>
      <c r="V66"/>
      <c r="W66" s="394"/>
    </row>
    <row r="67" spans="2:23" ht="16.5" customHeight="1" thickBot="1" thickTop="1">
      <c r="B67" s="5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121"/>
      <c r="W67" s="395"/>
    </row>
    <row r="68" spans="2:23" ht="16.5" customHeight="1" thickTop="1">
      <c r="B68" s="1"/>
      <c r="C68" s="66"/>
      <c r="W68" s="1"/>
    </row>
  </sheetData>
  <sheetProtection password="CC12"/>
  <mergeCells count="18">
    <mergeCell ref="G55:I55"/>
    <mergeCell ref="G56:I56"/>
    <mergeCell ref="G51:I51"/>
    <mergeCell ref="G52:I52"/>
    <mergeCell ref="G53:I53"/>
    <mergeCell ref="G54:I54"/>
    <mergeCell ref="O54:U54"/>
    <mergeCell ref="O55:U55"/>
    <mergeCell ref="O52:U52"/>
    <mergeCell ref="O53:U53"/>
    <mergeCell ref="O51:U51"/>
    <mergeCell ref="E44:F44"/>
    <mergeCell ref="N37:O37"/>
    <mergeCell ref="E37:F37"/>
    <mergeCell ref="E38:F38"/>
    <mergeCell ref="E39:F39"/>
    <mergeCell ref="E40:F40"/>
    <mergeCell ref="E41:F4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2009-07-24T16:25:32Z</cp:lastPrinted>
  <dcterms:created xsi:type="dcterms:W3CDTF">1998-04-21T14:04:37Z</dcterms:created>
  <dcterms:modified xsi:type="dcterms:W3CDTF">2009-07-24T16:25:39Z</dcterms:modified>
  <cp:category/>
  <cp:version/>
  <cp:contentType/>
  <cp:contentStatus/>
</cp:coreProperties>
</file>