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23" activeTab="0"/>
  </bookViews>
  <sheets>
    <sheet name="TOT-0809" sheetId="1" r:id="rId1"/>
    <sheet name="LI-08 (1)" sheetId="2" r:id="rId2"/>
    <sheet name="LI-08 (2)" sheetId="3" r:id="rId3"/>
    <sheet name="Incendio" sheetId="4" r:id="rId4"/>
    <sheet name="LI-LITSA-08 (1)" sheetId="5" r:id="rId5"/>
    <sheet name="LI-INTESAR-08 (1)" sheetId="6" r:id="rId6"/>
    <sheet name="TR-08 (1)" sheetId="7" r:id="rId7"/>
    <sheet name="T4CH - Nota SE N° 2492" sheetId="8" r:id="rId8"/>
    <sheet name="TR-ENECOR-08 (1)" sheetId="9" r:id="rId9"/>
    <sheet name="SA-08 (1)" sheetId="10" r:id="rId10"/>
    <sheet name="SA-08 (2)" sheetId="11" r:id="rId11"/>
    <sheet name="SA-08 (3)" sheetId="12" r:id="rId12"/>
    <sheet name="SA-TIBA-08 (1)" sheetId="13" r:id="rId13"/>
    <sheet name="SA-ENECOR-08 (1)" sheetId="14" r:id="rId14"/>
    <sheet name="RE-08 (1)" sheetId="15" r:id="rId15"/>
    <sheet name="SUP-LITSA" sheetId="16" r:id="rId16"/>
    <sheet name="SUP-INTESAR" sheetId="17" r:id="rId17"/>
    <sheet name="SUP-ENECOR" sheetId="18" r:id="rId18"/>
    <sheet name="SUP-TIBA" sheetId="19" r:id="rId19"/>
    <sheet name="TASA FALLA" sheetId="20" r:id="rId20"/>
  </sheets>
  <externalReferences>
    <externalReference r:id="rId23"/>
    <externalReference r:id="rId24"/>
  </externalReferences>
  <definedNames>
    <definedName name="_xlnm.Print_Area" localSheetId="17">'SUP-ENECOR'!$A$1:$W$63</definedName>
    <definedName name="_xlnm.Print_Area" localSheetId="18">'SUP-TIBA'!$A$1:$X$70</definedName>
    <definedName name="_xlnm.Print_Area" localSheetId="19">'TASA FALLA'!$A$1:$V$99</definedName>
    <definedName name="DD" localSheetId="3">'Incendio'!DD</definedName>
    <definedName name="DD" localSheetId="7">'T4CH - Nota SE N° 2492'!DD</definedName>
    <definedName name="DD" localSheetId="19">'TASA FALLA'!DD</definedName>
    <definedName name="DD">[0]!DD</definedName>
    <definedName name="DDD" localSheetId="3">'Incendio'!DDD</definedName>
    <definedName name="DDD" localSheetId="7">'T4CH - Nota SE N° 2492'!DDD</definedName>
    <definedName name="DDD" localSheetId="19">'TASA FALLA'!DDD</definedName>
    <definedName name="DDD">[0]!DDD</definedName>
    <definedName name="DISTROCUYO" localSheetId="3">'Incendio'!DISTROCUYO</definedName>
    <definedName name="DISTROCUYO" localSheetId="7">'T4CH - Nota SE N° 2492'!DISTROCUYO</definedName>
    <definedName name="DISTROCUYO" localSheetId="19">'TASA FALLA'!DISTROCUYO</definedName>
    <definedName name="DISTROCUYO">[0]!DISTROCUYO</definedName>
    <definedName name="INICIO" localSheetId="3">'Incendio'!INICIO</definedName>
    <definedName name="INICIO" localSheetId="7">'T4CH - Nota SE N° 2492'!INICIO</definedName>
    <definedName name="INICIO" localSheetId="19">'TASA FALLA'!INICIO</definedName>
    <definedName name="INICIO">[0]!INICIO</definedName>
    <definedName name="INICIOTI" localSheetId="3">'Incendio'!INICIOTI</definedName>
    <definedName name="INICIOTI" localSheetId="7">'T4CH - Nota SE N° 2492'!INICIOTI</definedName>
    <definedName name="INICIOTI" localSheetId="19">'TASA FALLA'!INICIOTI</definedName>
    <definedName name="INICIOTI">[0]!INICIOTI</definedName>
    <definedName name="LINEAS" localSheetId="3">'Incendio'!LINEAS</definedName>
    <definedName name="LINEAS" localSheetId="7">'T4CH - Nota SE N° 2492'!LINEAS</definedName>
    <definedName name="LINEAS" localSheetId="19">'TASA FALLA'!LINEAS</definedName>
    <definedName name="LINEAS">[0]!LINEAS</definedName>
    <definedName name="NAME_L" localSheetId="3">'Incendio'!NAME_L</definedName>
    <definedName name="NAME_L" localSheetId="7">'T4CH - Nota SE N° 2492'!NAME_L</definedName>
    <definedName name="NAME_L" localSheetId="19">'TASA FALLA'!NAME_L</definedName>
    <definedName name="NAME_L">[0]!NAME_L</definedName>
    <definedName name="NAME_L_TI" localSheetId="3">'Incendio'!NAME_L_TI</definedName>
    <definedName name="NAME_L_TI" localSheetId="7">'T4CH - Nota SE N° 2492'!NAME_L_TI</definedName>
    <definedName name="NAME_L_TI" localSheetId="19">'TASA FALLA'!NAME_L_TI</definedName>
    <definedName name="NAME_L_TI">[0]!NAME_L_TI</definedName>
    <definedName name="TRAN" localSheetId="3">'Incendio'!TRAN</definedName>
    <definedName name="TRAN" localSheetId="7">'T4CH - Nota SE N° 2492'!TRAN</definedName>
    <definedName name="TRAN" localSheetId="19">'TASA FALLA'!TRAN</definedName>
    <definedName name="TRAN">[0]!TRAN</definedName>
    <definedName name="TRANSNOA" localSheetId="3">'Incendio'!TRANSNOA</definedName>
    <definedName name="TRANSNOA" localSheetId="7">'T4CH - Nota SE N° 2492'!TRANSNOA</definedName>
    <definedName name="TRANSNOA" localSheetId="19">'TASA FALLA'!TRANSNOA</definedName>
    <definedName name="TRANSNOA">[0]!TRANSNOA</definedName>
    <definedName name="x" localSheetId="3">'Incendio'!x</definedName>
    <definedName name="x" localSheetId="7">'T4CH - Nota SE N° 2492'!x</definedName>
    <definedName name="x" localSheetId="19">'TASA FALLA'!x</definedName>
    <definedName name="x">[0]!x</definedName>
    <definedName name="XX" localSheetId="3">'Incendio'!XX</definedName>
    <definedName name="XX" localSheetId="7">'T4CH - Nota SE N° 2492'!XX</definedName>
    <definedName name="XX" localSheetId="19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1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2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5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17.xml><?xml version="1.0" encoding="utf-8"?>
<comments xmlns="http://schemas.openxmlformats.org/spreadsheetml/2006/main">
  <authors>
    <author>Ing. Juan Messina</author>
  </authors>
  <commentList>
    <comment ref="M4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49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sharedStrings.xml><?xml version="1.0" encoding="utf-8"?>
<sst xmlns="http://schemas.openxmlformats.org/spreadsheetml/2006/main" count="1359" uniqueCount="330">
  <si>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</si>
  <si>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</si>
  <si>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</si>
  <si>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</si>
  <si>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</si>
  <si>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</si>
  <si>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</si>
  <si>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</si>
  <si>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</si>
  <si>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</si>
  <si>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</si>
  <si>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</si>
  <si>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</si>
  <si>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</si>
  <si>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</si>
  <si>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</si>
  <si>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</si>
  <si>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</si>
  <si>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</si>
  <si>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</si>
  <si>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</si>
  <si>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</si>
  <si>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</si>
  <si>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</si>
  <si>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</si>
  <si>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</si>
  <si>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</si>
  <si>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</si>
  <si>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</si>
  <si>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</si>
  <si>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</si>
  <si>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</si>
  <si>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</si>
  <si>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</si>
  <si>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</si>
  <si>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</si>
  <si>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</si>
  <si>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</si>
  <si>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</si>
  <si>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</si>
  <si>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</si>
  <si>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</si>
  <si>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</si>
  <si>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</si>
  <si>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</si>
  <si>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</si>
  <si>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</si>
  <si>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</si>
  <si>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</si>
  <si>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</si>
  <si>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</si>
  <si>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</si>
  <si>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</si>
  <si>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</si>
  <si>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</si>
  <si>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</si>
  <si>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</si>
  <si>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</si>
  <si>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</si>
  <si>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</si>
  <si>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</si>
  <si>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</si>
  <si>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</si>
  <si>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</si>
  <si>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2.1.4.- Transportista Independiente ENECOR S.A.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</si>
  <si>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</si>
  <si>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</si>
  <si>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</si>
  <si>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</si>
  <si>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</si>
  <si>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 xml:space="preserve"> 2.2.3.- Transportista Independiente ENECOR S.A.</t>
  </si>
  <si>
    <t>SISTEMA DE TRANSPORTE DE ENERGÍA ELÉCTRICA EN ALTA TENSIÓN  -  TRANSENER S.A.</t>
  </si>
  <si>
    <t>3.- POTENCIA REACTIVA</t>
  </si>
  <si>
    <t>3.1.- Equipamiento propio</t>
  </si>
  <si>
    <t>--</t>
  </si>
  <si>
    <t xml:space="preserve">$/100 km-h : LINEAS 500 kV </t>
  </si>
  <si>
    <t xml:space="preserve">$/100 km-h : LINEAS 220 kV </t>
  </si>
  <si>
    <t>(*)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</si>
  <si>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</si>
  <si>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</si>
  <si>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</si>
  <si>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</si>
  <si>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</si>
  <si>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</si>
  <si>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</si>
  <si>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</si>
  <si>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</si>
  <si>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</si>
  <si>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</si>
  <si>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</si>
  <si>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</si>
  <si>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</si>
  <si>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</si>
  <si>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</si>
  <si>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t>500/132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</si>
  <si>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</si>
  <si>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</si>
  <si>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</si>
  <si>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</si>
  <si>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</si>
  <si>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</si>
  <si>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</si>
  <si>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</si>
  <si>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</si>
  <si>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</si>
  <si>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</si>
  <si>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</si>
  <si>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</si>
  <si>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</si>
  <si>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</si>
  <si>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</si>
  <si>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</si>
  <si>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</si>
  <si>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</si>
  <si>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</si>
  <si>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</si>
  <si>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</si>
  <si>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</si>
  <si>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</si>
  <si>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</si>
  <si>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</si>
  <si>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</si>
  <si>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</si>
  <si>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</si>
  <si>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</si>
  <si>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</si>
  <si>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</si>
  <si>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</si>
  <si>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SI</t>
  </si>
  <si>
    <t xml:space="preserve"> 2.2.- SALIDAS</t>
  </si>
  <si>
    <t>2.1.- TRANSFORMACIÓN</t>
  </si>
  <si>
    <t>2.1.1.- Equipamiento Propio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</si>
  <si>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</si>
  <si>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</si>
  <si>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</si>
  <si>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</si>
  <si>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</si>
  <si>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POT.
[MVAr]</t>
  </si>
  <si>
    <t>INDISP</t>
  </si>
  <si>
    <t>ID EQUIPO</t>
  </si>
  <si>
    <t>-</t>
  </si>
  <si>
    <t>Desde el 01 al 31 de agosto de 2009</t>
  </si>
  <si>
    <t>ROSARIO OESTE - RAMALLO 2</t>
  </si>
  <si>
    <t>C</t>
  </si>
  <si>
    <t>P</t>
  </si>
  <si>
    <t>EZEIZA - HENDERSON 1</t>
  </si>
  <si>
    <t>A</t>
  </si>
  <si>
    <t>F</t>
  </si>
  <si>
    <t>EL BRACHO - RECREO(5)</t>
  </si>
  <si>
    <t>B</t>
  </si>
  <si>
    <t>CHOCON - C.H. CHOCON 1</t>
  </si>
  <si>
    <t>SALTO GRANDE - SANTO TOME</t>
  </si>
  <si>
    <t>P. DEL AGUILA - CHOCON OESTE 1</t>
  </si>
  <si>
    <t>ALMAFUERTE - ROSARIO OESTE</t>
  </si>
  <si>
    <t>COLONIA ELIA - CAMPANA</t>
  </si>
  <si>
    <t>RIO GRANDE - LUJAN</t>
  </si>
  <si>
    <t>EL CHOCON</t>
  </si>
  <si>
    <t>TRAFO 4</t>
  </si>
  <si>
    <t>500/132/13,2</t>
  </si>
  <si>
    <t>HENDERSON</t>
  </si>
  <si>
    <t>AUTOTRAFO</t>
  </si>
  <si>
    <t>RESISTENCIA</t>
  </si>
  <si>
    <t>TRAFO 1</t>
  </si>
  <si>
    <t>MACACHIN</t>
  </si>
  <si>
    <t>TRAFO 2</t>
  </si>
  <si>
    <t>EZEIZA</t>
  </si>
  <si>
    <t>500/220/132</t>
  </si>
  <si>
    <t>ROSARIO OESTE</t>
  </si>
  <si>
    <t>T6RO</t>
  </si>
  <si>
    <t>220/132</t>
  </si>
  <si>
    <t>P. DE LA PATRIA</t>
  </si>
  <si>
    <t>TRPP</t>
  </si>
  <si>
    <t>OLAVARRIA</t>
  </si>
  <si>
    <t>SALIDA ACOPLAMIENTO B-D</t>
  </si>
  <si>
    <t>GRAL. RODRIGUEZ</t>
  </si>
  <si>
    <t>SALIDA TRAFO 4 500/220</t>
  </si>
  <si>
    <t>SALIDA LINEA ROSARIO SUR 2</t>
  </si>
  <si>
    <t>SALIDA LINEA 1 A STA. ROSA</t>
  </si>
  <si>
    <t>EL BRACHO</t>
  </si>
  <si>
    <t>SALIDA LINEA A INDEPENDENCIA 2</t>
  </si>
  <si>
    <t>SALIDA LINEA CORRIENTES 1</t>
  </si>
  <si>
    <t>RAMALLO</t>
  </si>
  <si>
    <t>SALIDA LINEA PERGAMINO</t>
  </si>
  <si>
    <t>ATUCHA</t>
  </si>
  <si>
    <t>SALIDA LINEA A E.T. ZARATE</t>
  </si>
  <si>
    <t>SALIDA LINEA 2 A STA. ROSA</t>
  </si>
  <si>
    <t>MALVINAS ARGENTINAS</t>
  </si>
  <si>
    <t>SALIDA LINEA PILAR</t>
  </si>
  <si>
    <t>CAMPANA 500</t>
  </si>
  <si>
    <t>SALIDA ACOP. BARRAS A,C</t>
  </si>
  <si>
    <t>SALIDA LINEA A BARRANQUERAS 2</t>
  </si>
  <si>
    <t>SALIDA LINEA ROSARIO SUR 3</t>
  </si>
  <si>
    <t>SALIDA LINEA A BARRANQUERAS 1</t>
  </si>
  <si>
    <t>PUELCHES</t>
  </si>
  <si>
    <t>SALIDA LINEA GRAL. ACHA</t>
  </si>
  <si>
    <t>SALIDA PICHI MAHUIDA</t>
  </si>
  <si>
    <t>B. BLANCA</t>
  </si>
  <si>
    <t>SALIDA ACOPLAMIENTO A-C</t>
  </si>
  <si>
    <t>ROMANG</t>
  </si>
  <si>
    <t>SALIDA LINEA A RECONQUISTA</t>
  </si>
  <si>
    <t>ALMAFUERTE</t>
  </si>
  <si>
    <t>SALIDA LINEA PILAR 2</t>
  </si>
  <si>
    <t>SALIDA LINEA TANCACHA</t>
  </si>
  <si>
    <t>ABASTO</t>
  </si>
  <si>
    <t>SALIDA TRAFO 1</t>
  </si>
  <si>
    <t>RECREO</t>
  </si>
  <si>
    <t>SALIDA LINEA A LA RIOJA 1</t>
  </si>
  <si>
    <t>SALIDA LINEA A LA RIOJA 2</t>
  </si>
  <si>
    <t>SALIDA LINEA PROVINCIAS UNIDAS</t>
  </si>
  <si>
    <t>GRAN MENDOZA</t>
  </si>
  <si>
    <t>SALIDA LINEA LOS REYUNOS</t>
  </si>
  <si>
    <t>SANTO TOME</t>
  </si>
  <si>
    <t>SALIDA LINEA ESPERANZA</t>
  </si>
  <si>
    <t>SALIDA LINEA A GODOY</t>
  </si>
  <si>
    <t>SALIDA A OLAVARRIA</t>
  </si>
  <si>
    <t>CAMPANA</t>
  </si>
  <si>
    <t>SALIDA A V. LIA</t>
  </si>
  <si>
    <t>SALIDA A LAPRIDA</t>
  </si>
  <si>
    <t>SALIDA A HENDERSON</t>
  </si>
  <si>
    <t>BAHIA BLANCA</t>
  </si>
  <si>
    <t>SALIDA PETROQUIMICA 2</t>
  </si>
  <si>
    <t>SALIDA PETROQUIMICA 3</t>
  </si>
  <si>
    <t>SALIDA A COOP. P. ALTA</t>
  </si>
  <si>
    <t>SALIDA S. CATALINA 1</t>
  </si>
  <si>
    <t>SALIDA S. CATALINA 2</t>
  </si>
  <si>
    <t>CS2</t>
  </si>
  <si>
    <t>R3A RL</t>
  </si>
  <si>
    <t>CS3</t>
  </si>
  <si>
    <t>CS1</t>
  </si>
  <si>
    <t>P - PROGRAMADA ;   F - FORZADA</t>
  </si>
  <si>
    <t>P - PROGRAMADA</t>
  </si>
  <si>
    <t>REDUCC.
RESTANTE</t>
  </si>
  <si>
    <t>1.3.- Transportista Independiente L.I.T.S.A.</t>
  </si>
  <si>
    <t>RESOLUCION ENRE Nº 1200/99</t>
  </si>
  <si>
    <t xml:space="preserve">$/km-h : LINEAS 500 kV </t>
  </si>
  <si>
    <t>Tasa de falla de LITSA =</t>
  </si>
  <si>
    <t xml:space="preserve">$/km-h : LINEAS 220 kV </t>
  </si>
  <si>
    <t>Multiplicador =</t>
  </si>
  <si>
    <t>Duración Prom. anual móvil por salida forzada =</t>
  </si>
  <si>
    <t>Factor multiplicativo del mayoramiento =</t>
  </si>
  <si>
    <t>PENALIZACION FORZADA
Por Salida      1ras 5 hs.     hs. Restantes</t>
  </si>
  <si>
    <t>PENAL.REDUC. A LA CAP. DE TRANSP.
Por Salida        1ras hs.      hs. Restantes</t>
  </si>
  <si>
    <t>RINCON - SAN ISIDRO</t>
  </si>
  <si>
    <t>1.5.- Transportista Independiente INTESAR S.A.</t>
  </si>
  <si>
    <t>C.ELÍA  -  M. BELGRANO</t>
  </si>
  <si>
    <t>CHOELE - CHOEL - N. PTO. MADRYN</t>
  </si>
  <si>
    <t>Remuneración LÍNEAS 500 kV              =</t>
  </si>
  <si>
    <t>$/100 km-h</t>
  </si>
  <si>
    <t>Remuneración TRANSFORMADOR    =</t>
  </si>
  <si>
    <t>Tipo 
Sal</t>
  </si>
  <si>
    <t>REDUCC. FORZADA
Por Salida        1ras 5 hs.      hs. Restantes</t>
  </si>
  <si>
    <t>LONG.</t>
  </si>
  <si>
    <t>4.2.- Transportista Independiente L.I.T.S.A.</t>
  </si>
  <si>
    <t>Remuneración SALIDA 132 kV             =</t>
  </si>
  <si>
    <t>$/hora</t>
  </si>
  <si>
    <t>Remuneración SALIDA 500 kV             =</t>
  </si>
  <si>
    <t>XXIV</t>
  </si>
  <si>
    <t>X</t>
  </si>
  <si>
    <t xml:space="preserve"> Rincón - Salto Grande</t>
  </si>
  <si>
    <t xml:space="preserve"> Rincón - San Isidro</t>
  </si>
  <si>
    <t>Rincón - TR06</t>
  </si>
  <si>
    <t>Salto Grande - TR02</t>
  </si>
  <si>
    <t>500/132/13,8</t>
  </si>
  <si>
    <t>SALIDA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</si>
  <si>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</si>
  <si>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</si>
  <si>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</si>
  <si>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</si>
  <si>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</si>
  <si>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>Choele Choel - P.Madryn</t>
  </si>
  <si>
    <t>Nueva P. Madryn AT1</t>
  </si>
  <si>
    <t>500/330/33</t>
  </si>
  <si>
    <t>TOTAL A PENALIZAR A TRANSENER S.A POR SUPERVISIÓN A INTESAR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</si>
  <si>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</si>
  <si>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</si>
  <si>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</si>
  <si>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</si>
  <si>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Conexión</t>
    </r>
  </si>
  <si>
    <t>Transportista Independiente INTESAR S.A.</t>
  </si>
  <si>
    <t>Transportista Independiente LITSA S.A.</t>
  </si>
  <si>
    <t>RIO CORONDA</t>
  </si>
  <si>
    <t>SALIDA TG2SM</t>
  </si>
  <si>
    <t>SALIDA SAN NICOLAS</t>
  </si>
  <si>
    <t>M. BELGRANO</t>
  </si>
  <si>
    <t>SALIDA TG2 T. GRAL. BELGRANO</t>
  </si>
  <si>
    <t>SALIDA TG1SM</t>
  </si>
  <si>
    <t>RESISTENCIA - ROMANG</t>
  </si>
  <si>
    <t>BC1</t>
  </si>
  <si>
    <t>R. OESTE - ROMANG</t>
  </si>
  <si>
    <t>BC2</t>
  </si>
  <si>
    <t>F - FORZADA</t>
  </si>
  <si>
    <t>C.LÍA -M. BELGRANO</t>
  </si>
  <si>
    <t>RM* =</t>
  </si>
  <si>
    <t xml:space="preserve">RM* = VALOR EMPLEADO PAR EL CÁLCULO DE CS </t>
  </si>
  <si>
    <t>RM*  =</t>
  </si>
  <si>
    <t>RM * = VALOR EMPLEADO PARA CALCULAR CS</t>
  </si>
  <si>
    <t>RM * =</t>
  </si>
  <si>
    <t>RM * = EMPLEADO PARA EL CÁLCULO DE  CS</t>
  </si>
  <si>
    <t>4.3.- Transportista Independiente INTESAR S.A.</t>
  </si>
  <si>
    <t>4.5.- Transportista Independiente  TIBA S.A.</t>
  </si>
  <si>
    <t>Valores remuneratorios según Res ENRE N°328/08 - Res ENRE N°327/08 y Res ENRE Nº 196/09</t>
  </si>
  <si>
    <t xml:space="preserve">     DE LA ELECTRICIDAD</t>
  </si>
  <si>
    <t>SISTEMA DE TRANSPORTE DE ENERGÍA ELÉCTRICA EN ALTA TENSION</t>
  </si>
  <si>
    <t>INDISPONIBILIDADES FORZADAS DE LÍNEAS - TASA DE FALLA</t>
  </si>
  <si>
    <t>Correspondiente al mes de agosto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</si>
  <si>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</si>
  <si>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</si>
  <si>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</si>
  <si>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</si>
  <si>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</si>
  <si>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</si>
  <si>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</si>
  <si>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Transportista Independiente LITSA</t>
  </si>
  <si>
    <t>TOTAL DE PENALIZACIONES A APLICAR</t>
  </si>
  <si>
    <t>2.1.2.- Indisponibilidad Transformador N° 4 E.T. El Chocón</t>
  </si>
  <si>
    <t>2.1.2.-</t>
  </si>
  <si>
    <t>Indisp. Transformador N° 4 E.T. El Chocón</t>
  </si>
  <si>
    <t>(*): Según Nota S.E. N° 2492</t>
  </si>
  <si>
    <t>1.3.- Incendio de Campos - Aplicación Punto 6.1.6 del Acta Acuerdo</t>
  </si>
  <si>
    <t xml:space="preserve">P - PROGRAMADA                  </t>
  </si>
  <si>
    <t>Incendio de campos</t>
  </si>
  <si>
    <t>101b</t>
  </si>
  <si>
    <t>CS6</t>
  </si>
  <si>
    <t>RM: Por Capacitores ET Bahía Blanca:</t>
  </si>
  <si>
    <t>100 MVAr</t>
  </si>
  <si>
    <t>(*):</t>
  </si>
  <si>
    <t>Según Resolución ENRE N° 157/07</t>
  </si>
  <si>
    <t>NO</t>
  </si>
  <si>
    <t>Valores Remuneración 60% .y 75%- Contrato COM</t>
  </si>
  <si>
    <t>ANEXO III al Memorándum D.T.E.E. N°   256 /2011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</si>
</sst>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0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sz val="11"/>
      <color indexed="13"/>
      <name val="MS Sans Serif"/>
      <family val="2"/>
    </font>
    <font>
      <b/>
      <sz val="10"/>
      <color indexed="52"/>
      <name val="Times New Roman"/>
      <family val="1"/>
    </font>
    <font>
      <b/>
      <sz val="12"/>
      <color indexed="13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0"/>
      <color indexed="3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6" fillId="2" borderId="14" xfId="0" applyFont="1" applyFill="1" applyBorder="1" applyAlignment="1" applyProtection="1">
      <alignment horizontal="center" vertical="center"/>
      <protection/>
    </xf>
    <xf numFmtId="168" fontId="37" fillId="2" borderId="2" xfId="0" applyNumberFormat="1" applyFont="1" applyFill="1" applyBorder="1" applyAlignment="1" applyProtection="1">
      <alignment horizontal="center"/>
      <protection/>
    </xf>
    <xf numFmtId="168" fontId="37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5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7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4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0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68" fontId="66" fillId="5" borderId="21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9" fillId="2" borderId="8" xfId="0" applyFont="1" applyFill="1" applyBorder="1" applyAlignment="1" applyProtection="1">
      <alignment horizontal="centerContinuous" vertical="center" wrapText="1"/>
      <protection/>
    </xf>
    <xf numFmtId="0" fontId="40" fillId="2" borderId="15" xfId="0" applyFont="1" applyFill="1" applyBorder="1" applyAlignment="1">
      <alignment horizontal="centerContinuous"/>
    </xf>
    <xf numFmtId="0" fontId="39" fillId="2" borderId="9" xfId="0" applyFont="1" applyFill="1" applyBorder="1" applyAlignment="1">
      <alignment horizontal="centerContinuous" vertical="center"/>
    </xf>
    <xf numFmtId="0" fontId="68" fillId="7" borderId="14" xfId="0" applyFont="1" applyFill="1" applyBorder="1" applyAlignment="1">
      <alignment horizontal="center" vertical="center" wrapText="1"/>
    </xf>
    <xf numFmtId="0" fontId="69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0" fillId="7" borderId="2" xfId="0" applyNumberFormat="1" applyFont="1" applyFill="1" applyBorder="1" applyAlignment="1" applyProtection="1">
      <alignment horizontal="center"/>
      <protection/>
    </xf>
    <xf numFmtId="4" fontId="71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7" fillId="2" borderId="2" xfId="0" applyFont="1" applyFill="1" applyBorder="1" applyAlignment="1" applyProtection="1">
      <alignment horizontal="center"/>
      <protection/>
    </xf>
    <xf numFmtId="22" fontId="7" fillId="0" borderId="22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8" fillId="2" borderId="21" xfId="0" applyNumberFormat="1" applyFont="1" applyFill="1" applyBorder="1" applyAlignment="1" applyProtection="1" quotePrefix="1">
      <alignment horizontal="center"/>
      <protection locked="0"/>
    </xf>
    <xf numFmtId="168" fontId="38" fillId="2" borderId="23" xfId="0" applyNumberFormat="1" applyFont="1" applyFill="1" applyBorder="1" applyAlignment="1" applyProtection="1" quotePrefix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4" fontId="72" fillId="7" borderId="2" xfId="0" applyNumberFormat="1" applyFont="1" applyFill="1" applyBorder="1" applyAlignment="1" applyProtection="1">
      <alignment horizontal="center"/>
      <protection locked="0"/>
    </xf>
    <xf numFmtId="4" fontId="73" fillId="8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8" fillId="2" borderId="24" xfId="0" applyNumberFormat="1" applyFont="1" applyFill="1" applyBorder="1" applyAlignment="1" applyProtection="1" quotePrefix="1">
      <alignment horizontal="center"/>
      <protection locked="0"/>
    </xf>
    <xf numFmtId="168" fontId="38" fillId="2" borderId="25" xfId="0" applyNumberFormat="1" applyFont="1" applyFill="1" applyBorder="1" applyAlignment="1" applyProtection="1" quotePrefix="1">
      <alignment horizontal="center"/>
      <protection locked="0"/>
    </xf>
    <xf numFmtId="4" fontId="38" fillId="2" borderId="26" xfId="0" applyNumberFormat="1" applyFont="1" applyFill="1" applyBorder="1" applyAlignment="1" applyProtection="1">
      <alignment horizontal="center"/>
      <protection locked="0"/>
    </xf>
    <xf numFmtId="4" fontId="72" fillId="7" borderId="3" xfId="0" applyNumberFormat="1" applyFont="1" applyFill="1" applyBorder="1" applyAlignment="1" applyProtection="1">
      <alignment horizontal="center"/>
      <protection locked="0"/>
    </xf>
    <xf numFmtId="4" fontId="73" fillId="8" borderId="3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2" fillId="7" borderId="14" xfId="0" applyNumberFormat="1" applyFont="1" applyFill="1" applyBorder="1" applyAlignment="1" applyProtection="1">
      <alignment horizontal="center"/>
      <protection/>
    </xf>
    <xf numFmtId="2" fontId="73" fillId="8" borderId="14" xfId="0" applyNumberFormat="1" applyFont="1" applyFill="1" applyBorder="1" applyAlignment="1" applyProtection="1">
      <alignment horizontal="center"/>
      <protection/>
    </xf>
    <xf numFmtId="2" fontId="62" fillId="0" borderId="28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4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9" borderId="14" xfId="0" applyFont="1" applyFill="1" applyBorder="1" applyAlignment="1" applyProtection="1">
      <alignment horizontal="center" vertical="center"/>
      <protection/>
    </xf>
    <xf numFmtId="0" fontId="75" fillId="7" borderId="14" xfId="0" applyFont="1" applyFill="1" applyBorder="1" applyAlignment="1">
      <alignment horizontal="center" vertical="center" wrapText="1"/>
    </xf>
    <xf numFmtId="0" fontId="76" fillId="5" borderId="14" xfId="0" applyFont="1" applyFill="1" applyBorder="1" applyAlignment="1">
      <alignment horizontal="center" vertical="center" wrapText="1"/>
    </xf>
    <xf numFmtId="0" fontId="41" fillId="10" borderId="8" xfId="0" applyFont="1" applyFill="1" applyBorder="1" applyAlignment="1" applyProtection="1">
      <alignment horizontal="centerContinuous" vertical="center" wrapText="1"/>
      <protection/>
    </xf>
    <xf numFmtId="0" fontId="41" fillId="10" borderId="9" xfId="0" applyFont="1" applyFill="1" applyBorder="1" applyAlignment="1">
      <alignment horizontal="centerContinuous" vertical="center"/>
    </xf>
    <xf numFmtId="0" fontId="45" fillId="11" borderId="14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 applyProtection="1">
      <alignment horizontal="center"/>
      <protection/>
    </xf>
    <xf numFmtId="0" fontId="37" fillId="2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4" fillId="9" borderId="29" xfId="0" applyFont="1" applyFill="1" applyBorder="1" applyAlignment="1">
      <alignment horizontal="center"/>
    </xf>
    <xf numFmtId="0" fontId="77" fillId="7" borderId="29" xfId="0" applyFont="1" applyFill="1" applyBorder="1" applyAlignment="1">
      <alignment horizontal="center"/>
    </xf>
    <xf numFmtId="0" fontId="78" fillId="5" borderId="29" xfId="0" applyFont="1" applyFill="1" applyBorder="1" applyAlignment="1">
      <alignment horizontal="center"/>
    </xf>
    <xf numFmtId="0" fontId="38" fillId="2" borderId="31" xfId="0" applyFont="1" applyFill="1" applyBorder="1" applyAlignment="1">
      <alignment horizontal="center"/>
    </xf>
    <xf numFmtId="0" fontId="38" fillId="2" borderId="32" xfId="0" applyFont="1" applyFill="1" applyBorder="1" applyAlignment="1">
      <alignment horizontal="center"/>
    </xf>
    <xf numFmtId="0" fontId="79" fillId="10" borderId="33" xfId="0" applyFont="1" applyFill="1" applyBorder="1" applyAlignment="1">
      <alignment horizontal="center"/>
    </xf>
    <xf numFmtId="0" fontId="79" fillId="10" borderId="34" xfId="0" applyFont="1" applyFill="1" applyBorder="1" applyAlignment="1">
      <alignment horizontal="center"/>
    </xf>
    <xf numFmtId="0" fontId="46" fillId="11" borderId="29" xfId="0" applyFont="1" applyFill="1" applyBorder="1" applyAlignment="1">
      <alignment horizontal="center"/>
    </xf>
    <xf numFmtId="0" fontId="80" fillId="7" borderId="29" xfId="0" applyFont="1" applyFill="1" applyBorder="1" applyAlignment="1">
      <alignment horizontal="center"/>
    </xf>
    <xf numFmtId="7" fontId="10" fillId="0" borderId="3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7" fillId="2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4" fillId="9" borderId="18" xfId="0" applyFont="1" applyFill="1" applyBorder="1" applyAlignment="1">
      <alignment horizontal="center"/>
    </xf>
    <xf numFmtId="0" fontId="77" fillId="7" borderId="18" xfId="0" applyFont="1" applyFill="1" applyBorder="1" applyAlignment="1">
      <alignment horizontal="center"/>
    </xf>
    <xf numFmtId="0" fontId="78" fillId="5" borderId="18" xfId="0" applyFont="1" applyFill="1" applyBorder="1" applyAlignment="1">
      <alignment horizontal="center"/>
    </xf>
    <xf numFmtId="0" fontId="38" fillId="2" borderId="36" xfId="0" applyFont="1" applyFill="1" applyBorder="1" applyAlignment="1">
      <alignment horizontal="center"/>
    </xf>
    <xf numFmtId="0" fontId="38" fillId="2" borderId="37" xfId="0" applyFont="1" applyFill="1" applyBorder="1" applyAlignment="1">
      <alignment horizontal="center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46" fillId="11" borderId="18" xfId="0" applyFont="1" applyFill="1" applyBorder="1" applyAlignment="1">
      <alignment horizontal="center"/>
    </xf>
    <xf numFmtId="0" fontId="80" fillId="7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 quotePrefix="1">
      <alignment horizontal="center"/>
      <protection locked="0"/>
    </xf>
    <xf numFmtId="174" fontId="37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4" fillId="9" borderId="2" xfId="0" applyNumberFormat="1" applyFont="1" applyFill="1" applyBorder="1" applyAlignment="1" applyProtection="1">
      <alignment horizontal="center"/>
      <protection/>
    </xf>
    <xf numFmtId="2" fontId="77" fillId="7" borderId="2" xfId="0" applyNumberFormat="1" applyFont="1" applyFill="1" applyBorder="1" applyAlignment="1">
      <alignment horizontal="center"/>
    </xf>
    <xf numFmtId="2" fontId="78" fillId="5" borderId="2" xfId="0" applyNumberFormat="1" applyFont="1" applyFill="1" applyBorder="1" applyAlignment="1">
      <alignment horizontal="center"/>
    </xf>
    <xf numFmtId="168" fontId="38" fillId="2" borderId="36" xfId="0" applyNumberFormat="1" applyFont="1" applyFill="1" applyBorder="1" applyAlignment="1" applyProtection="1" quotePrefix="1">
      <alignment horizontal="center"/>
      <protection/>
    </xf>
    <xf numFmtId="168" fontId="38" fillId="2" borderId="37" xfId="0" applyNumberFormat="1" applyFont="1" applyFill="1" applyBorder="1" applyAlignment="1" applyProtection="1" quotePrefix="1">
      <alignment horizontal="center"/>
      <protection/>
    </xf>
    <xf numFmtId="168" fontId="79" fillId="10" borderId="36" xfId="0" applyNumberFormat="1" applyFont="1" applyFill="1" applyBorder="1" applyAlignment="1" applyProtection="1" quotePrefix="1">
      <alignment horizontal="center"/>
      <protection/>
    </xf>
    <xf numFmtId="168" fontId="79" fillId="10" borderId="37" xfId="0" applyNumberFormat="1" applyFont="1" applyFill="1" applyBorder="1" applyAlignment="1" applyProtection="1" quotePrefix="1">
      <alignment horizontal="center"/>
      <protection/>
    </xf>
    <xf numFmtId="168" fontId="46" fillId="11" borderId="2" xfId="0" applyNumberFormat="1" applyFont="1" applyFill="1" applyBorder="1" applyAlignment="1" applyProtection="1" quotePrefix="1">
      <alignment horizontal="center"/>
      <protection/>
    </xf>
    <xf numFmtId="168" fontId="80" fillId="7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5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38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4" fillId="9" borderId="3" xfId="0" applyNumberFormat="1" applyFont="1" applyFill="1" applyBorder="1" applyAlignment="1" applyProtection="1">
      <alignment horizontal="center"/>
      <protection/>
    </xf>
    <xf numFmtId="2" fontId="77" fillId="7" borderId="3" xfId="0" applyNumberFormat="1" applyFont="1" applyFill="1" applyBorder="1" applyAlignment="1">
      <alignment horizontal="center"/>
    </xf>
    <xf numFmtId="2" fontId="78" fillId="5" borderId="3" xfId="0" applyNumberFormat="1" applyFont="1" applyFill="1" applyBorder="1" applyAlignment="1">
      <alignment horizontal="center"/>
    </xf>
    <xf numFmtId="168" fontId="38" fillId="2" borderId="39" xfId="0" applyNumberFormat="1" applyFont="1" applyFill="1" applyBorder="1" applyAlignment="1" applyProtection="1" quotePrefix="1">
      <alignment horizontal="center"/>
      <protection/>
    </xf>
    <xf numFmtId="168" fontId="38" fillId="2" borderId="40" xfId="0" applyNumberFormat="1" applyFont="1" applyFill="1" applyBorder="1" applyAlignment="1" applyProtection="1" quotePrefix="1">
      <alignment horizontal="center"/>
      <protection/>
    </xf>
    <xf numFmtId="168" fontId="79" fillId="10" borderId="24" xfId="0" applyNumberFormat="1" applyFont="1" applyFill="1" applyBorder="1" applyAlignment="1" applyProtection="1" quotePrefix="1">
      <alignment horizontal="center"/>
      <protection/>
    </xf>
    <xf numFmtId="168" fontId="79" fillId="10" borderId="26" xfId="0" applyNumberFormat="1" applyFont="1" applyFill="1" applyBorder="1" applyAlignment="1" applyProtection="1" quotePrefix="1">
      <alignment horizontal="center"/>
      <protection/>
    </xf>
    <xf numFmtId="168" fontId="46" fillId="11" borderId="3" xfId="0" applyNumberFormat="1" applyFont="1" applyFill="1" applyBorder="1" applyAlignment="1" applyProtection="1" quotePrefix="1">
      <alignment horizontal="center"/>
      <protection/>
    </xf>
    <xf numFmtId="168" fontId="80" fillId="7" borderId="3" xfId="0" applyNumberFormat="1" applyFont="1" applyFill="1" applyBorder="1" applyAlignment="1" applyProtection="1" quotePrefix="1">
      <alignment horizontal="center"/>
      <protection/>
    </xf>
    <xf numFmtId="168" fontId="67" fillId="0" borderId="19" xfId="0" applyNumberFormat="1" applyFont="1" applyFill="1" applyBorder="1" applyAlignment="1">
      <alignment horizontal="center"/>
    </xf>
    <xf numFmtId="168" fontId="28" fillId="0" borderId="41" xfId="0" applyNumberFormat="1" applyFont="1" applyFill="1" applyBorder="1" applyAlignment="1">
      <alignment horizontal="center"/>
    </xf>
    <xf numFmtId="4" fontId="77" fillId="7" borderId="14" xfId="0" applyNumberFormat="1" applyFont="1" applyFill="1" applyBorder="1" applyAlignment="1">
      <alignment horizontal="center"/>
    </xf>
    <xf numFmtId="4" fontId="78" fillId="5" borderId="14" xfId="0" applyNumberFormat="1" applyFont="1" applyFill="1" applyBorder="1" applyAlignment="1">
      <alignment horizontal="center"/>
    </xf>
    <xf numFmtId="4" fontId="38" fillId="2" borderId="42" xfId="0" applyNumberFormat="1" applyFont="1" applyFill="1" applyBorder="1" applyAlignment="1">
      <alignment horizontal="center"/>
    </xf>
    <xf numFmtId="4" fontId="38" fillId="2" borderId="9" xfId="0" applyNumberFormat="1" applyFont="1" applyFill="1" applyBorder="1" applyAlignment="1">
      <alignment horizontal="center"/>
    </xf>
    <xf numFmtId="4" fontId="79" fillId="10" borderId="42" xfId="0" applyNumberFormat="1" applyFont="1" applyFill="1" applyBorder="1" applyAlignment="1">
      <alignment horizontal="center"/>
    </xf>
    <xf numFmtId="4" fontId="79" fillId="10" borderId="43" xfId="0" applyNumberFormat="1" applyFont="1" applyFill="1" applyBorder="1" applyAlignment="1">
      <alignment horizontal="center"/>
    </xf>
    <xf numFmtId="4" fontId="46" fillId="11" borderId="14" xfId="0" applyNumberFormat="1" applyFont="1" applyFill="1" applyBorder="1" applyAlignment="1">
      <alignment horizontal="center"/>
    </xf>
    <xf numFmtId="4" fontId="80" fillId="7" borderId="14" xfId="0" applyNumberFormat="1" applyFont="1" applyFill="1" applyBorder="1" applyAlignment="1">
      <alignment horizontal="center"/>
    </xf>
    <xf numFmtId="7" fontId="81" fillId="0" borderId="14" xfId="0" applyNumberFormat="1" applyFont="1" applyFill="1" applyBorder="1" applyAlignment="1">
      <alignment horizontal="right"/>
    </xf>
    <xf numFmtId="0" fontId="37" fillId="2" borderId="44" xfId="0" applyFont="1" applyFill="1" applyBorder="1" applyAlignment="1">
      <alignment horizontal="center"/>
    </xf>
    <xf numFmtId="2" fontId="77" fillId="7" borderId="3" xfId="0" applyNumberFormat="1" applyFont="1" applyFill="1" applyBorder="1" applyAlignment="1" applyProtection="1">
      <alignment horizontal="center"/>
      <protection locked="0"/>
    </xf>
    <xf numFmtId="2" fontId="78" fillId="5" borderId="3" xfId="0" applyNumberFormat="1" applyFont="1" applyFill="1" applyBorder="1" applyAlignment="1" applyProtection="1">
      <alignment horizontal="center"/>
      <protection locked="0"/>
    </xf>
    <xf numFmtId="168" fontId="38" fillId="2" borderId="39" xfId="0" applyNumberFormat="1" applyFont="1" applyFill="1" applyBorder="1" applyAlignment="1" applyProtection="1" quotePrefix="1">
      <alignment horizontal="center"/>
      <protection locked="0"/>
    </xf>
    <xf numFmtId="168" fontId="38" fillId="2" borderId="40" xfId="0" applyNumberFormat="1" applyFont="1" applyFill="1" applyBorder="1" applyAlignment="1" applyProtection="1" quotePrefix="1">
      <alignment horizontal="center"/>
      <protection locked="0"/>
    </xf>
    <xf numFmtId="168" fontId="79" fillId="10" borderId="24" xfId="0" applyNumberFormat="1" applyFont="1" applyFill="1" applyBorder="1" applyAlignment="1" applyProtection="1" quotePrefix="1">
      <alignment horizontal="center"/>
      <protection locked="0"/>
    </xf>
    <xf numFmtId="168" fontId="79" fillId="10" borderId="26" xfId="0" applyNumberFormat="1" applyFont="1" applyFill="1" applyBorder="1" applyAlignment="1" applyProtection="1" quotePrefix="1">
      <alignment horizontal="center"/>
      <protection locked="0"/>
    </xf>
    <xf numFmtId="168" fontId="46" fillId="11" borderId="3" xfId="0" applyNumberFormat="1" applyFont="1" applyFill="1" applyBorder="1" applyAlignment="1" applyProtection="1" quotePrefix="1">
      <alignment horizontal="center"/>
      <protection locked="0"/>
    </xf>
    <xf numFmtId="168" fontId="80" fillId="7" borderId="3" xfId="0" applyNumberFormat="1" applyFont="1" applyFill="1" applyBorder="1" applyAlignment="1" applyProtection="1" quotePrefix="1">
      <alignment horizontal="center"/>
      <protection locked="0"/>
    </xf>
    <xf numFmtId="168" fontId="67" fillId="0" borderId="19" xfId="0" applyNumberFormat="1" applyFont="1" applyFill="1" applyBorder="1" applyAlignment="1" applyProtection="1">
      <alignment horizontal="center"/>
      <protection locked="0"/>
    </xf>
    <xf numFmtId="164" fontId="44" fillId="9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1" fillId="10" borderId="14" xfId="0" applyFont="1" applyFill="1" applyBorder="1" applyAlignment="1">
      <alignment horizontal="center" vertical="center" wrapText="1"/>
    </xf>
    <xf numFmtId="0" fontId="64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4" fillId="4" borderId="17" xfId="0" applyFont="1" applyFill="1" applyBorder="1" applyAlignment="1" applyProtection="1">
      <alignment horizontal="center"/>
      <protection/>
    </xf>
    <xf numFmtId="0" fontId="79" fillId="10" borderId="17" xfId="0" applyFont="1" applyFill="1" applyBorder="1" applyAlignment="1" applyProtection="1">
      <alignment horizontal="center"/>
      <protection/>
    </xf>
    <xf numFmtId="168" fontId="66" fillId="5" borderId="31" xfId="0" applyNumberFormat="1" applyFont="1" applyFill="1" applyBorder="1" applyAlignment="1" applyProtection="1" quotePrefix="1">
      <alignment horizontal="center"/>
      <protection/>
    </xf>
    <xf numFmtId="168" fontId="66" fillId="5" borderId="32" xfId="0" applyNumberFormat="1" applyFont="1" applyFill="1" applyBorder="1" applyAlignment="1" applyProtection="1" quotePrefix="1">
      <alignment horizontal="center"/>
      <protection/>
    </xf>
    <xf numFmtId="168" fontId="47" fillId="3" borderId="17" xfId="0" applyNumberFormat="1" applyFont="1" applyFill="1" applyBorder="1" applyAlignment="1" applyProtection="1" quotePrefix="1">
      <alignment horizontal="center"/>
      <protection/>
    </xf>
    <xf numFmtId="7" fontId="82" fillId="0" borderId="2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37" fillId="2" borderId="20" xfId="0" applyFont="1" applyFill="1" applyBorder="1" applyAlignment="1" applyProtection="1">
      <alignment horizontal="center"/>
      <protection/>
    </xf>
    <xf numFmtId="0" fontId="44" fillId="4" borderId="2" xfId="0" applyFont="1" applyFill="1" applyBorder="1" applyAlignment="1" applyProtection="1">
      <alignment horizontal="center"/>
      <protection/>
    </xf>
    <xf numFmtId="0" fontId="79" fillId="10" borderId="2" xfId="0" applyFont="1" applyFill="1" applyBorder="1" applyAlignment="1" applyProtection="1">
      <alignment horizontal="center"/>
      <protection/>
    </xf>
    <xf numFmtId="168" fontId="66" fillId="5" borderId="45" xfId="0" applyNumberFormat="1" applyFont="1" applyFill="1" applyBorder="1" applyAlignment="1" applyProtection="1" quotePrefix="1">
      <alignment horizontal="center"/>
      <protection/>
    </xf>
    <xf numFmtId="168" fontId="47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4" fillId="4" borderId="3" xfId="0" applyNumberFormat="1" applyFont="1" applyFill="1" applyBorder="1" applyAlignment="1" applyProtection="1">
      <alignment horizontal="center"/>
      <protection locked="0"/>
    </xf>
    <xf numFmtId="2" fontId="79" fillId="10" borderId="3" xfId="0" applyNumberFormat="1" applyFont="1" applyFill="1" applyBorder="1" applyAlignment="1" applyProtection="1">
      <alignment horizontal="center"/>
      <protection locked="0"/>
    </xf>
    <xf numFmtId="168" fontId="66" fillId="5" borderId="24" xfId="0" applyNumberFormat="1" applyFont="1" applyFill="1" applyBorder="1" applyAlignment="1" applyProtection="1" quotePrefix="1">
      <alignment horizontal="center"/>
      <protection locked="0"/>
    </xf>
    <xf numFmtId="168" fontId="66" fillId="5" borderId="26" xfId="0" applyNumberFormat="1" applyFont="1" applyFill="1" applyBorder="1" applyAlignment="1" applyProtection="1" quotePrefix="1">
      <alignment horizontal="center"/>
      <protection locked="0"/>
    </xf>
    <xf numFmtId="7" fontId="28" fillId="0" borderId="27" xfId="0" applyNumberFormat="1" applyFont="1" applyFill="1" applyBorder="1" applyAlignment="1">
      <alignment horizontal="right"/>
    </xf>
    <xf numFmtId="4" fontId="79" fillId="10" borderId="14" xfId="0" applyNumberFormat="1" applyFont="1" applyFill="1" applyBorder="1" applyAlignment="1">
      <alignment horizontal="center"/>
    </xf>
    <xf numFmtId="4" fontId="66" fillId="5" borderId="42" xfId="0" applyNumberFormat="1" applyFont="1" applyFill="1" applyBorder="1" applyAlignment="1">
      <alignment horizontal="center"/>
    </xf>
    <xf numFmtId="4" fontId="66" fillId="5" borderId="43" xfId="0" applyNumberFormat="1" applyFont="1" applyFill="1" applyBorder="1" applyAlignment="1">
      <alignment horizontal="center"/>
    </xf>
    <xf numFmtId="4" fontId="47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8" fillId="7" borderId="14" xfId="0" applyFont="1" applyFill="1" applyBorder="1" applyAlignment="1">
      <alignment horizontal="center" vertical="center" wrapText="1"/>
    </xf>
    <xf numFmtId="0" fontId="45" fillId="12" borderId="8" xfId="0" applyFont="1" applyFill="1" applyBorder="1" applyAlignment="1" applyProtection="1">
      <alignment horizontal="centerContinuous" vertical="center" wrapText="1"/>
      <protection/>
    </xf>
    <xf numFmtId="0" fontId="45" fillId="12" borderId="9" xfId="0" applyFont="1" applyFill="1" applyBorder="1" applyAlignment="1">
      <alignment horizontal="centerContinuous" vertical="center"/>
    </xf>
    <xf numFmtId="0" fontId="49" fillId="5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83" fillId="7" borderId="29" xfId="0" applyFont="1" applyFill="1" applyBorder="1" applyAlignment="1">
      <alignment horizontal="center"/>
    </xf>
    <xf numFmtId="0" fontId="46" fillId="12" borderId="31" xfId="0" applyFont="1" applyFill="1" applyBorder="1" applyAlignment="1">
      <alignment horizontal="center"/>
    </xf>
    <xf numFmtId="0" fontId="46" fillId="12" borderId="32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7" fontId="29" fillId="0" borderId="29" xfId="0" applyNumberFormat="1" applyFont="1" applyFill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7" fillId="2" borderId="18" xfId="0" applyNumberFormat="1" applyFont="1" applyFill="1" applyBorder="1" applyAlignment="1" applyProtection="1">
      <alignment horizontal="center"/>
      <protection/>
    </xf>
    <xf numFmtId="22" fontId="7" fillId="0" borderId="36" xfId="0" applyNumberFormat="1" applyFont="1" applyBorder="1" applyAlignment="1">
      <alignment horizontal="center"/>
    </xf>
    <xf numFmtId="22" fontId="7" fillId="0" borderId="4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7" fillId="2" borderId="22" xfId="0" applyNumberFormat="1" applyFont="1" applyFill="1" applyBorder="1" applyAlignment="1" applyProtection="1">
      <alignment horizontal="center"/>
      <protection/>
    </xf>
    <xf numFmtId="2" fontId="83" fillId="7" borderId="18" xfId="0" applyNumberFormat="1" applyFont="1" applyFill="1" applyBorder="1" applyAlignment="1">
      <alignment horizontal="center"/>
    </xf>
    <xf numFmtId="168" fontId="46" fillId="12" borderId="36" xfId="0" applyNumberFormat="1" applyFont="1" applyFill="1" applyBorder="1" applyAlignment="1" applyProtection="1" quotePrefix="1">
      <alignment horizontal="center"/>
      <protection/>
    </xf>
    <xf numFmtId="168" fontId="46" fillId="12" borderId="37" xfId="0" applyNumberFormat="1" applyFont="1" applyFill="1" applyBorder="1" applyAlignment="1" applyProtection="1" quotePrefix="1">
      <alignment horizontal="center"/>
      <protection/>
    </xf>
    <xf numFmtId="168" fontId="50" fillId="5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2" fontId="7" fillId="0" borderId="50" xfId="0" applyNumberFormat="1" applyFont="1" applyFill="1" applyBorder="1" applyAlignment="1" applyProtection="1" quotePrefix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164" fontId="37" fillId="2" borderId="51" xfId="0" applyNumberFormat="1" applyFont="1" applyFill="1" applyBorder="1" applyAlignment="1" applyProtection="1">
      <alignment horizontal="center"/>
      <protection locked="0"/>
    </xf>
    <xf numFmtId="2" fontId="83" fillId="7" borderId="3" xfId="0" applyNumberFormat="1" applyFont="1" applyFill="1" applyBorder="1" applyAlignment="1" applyProtection="1">
      <alignment horizontal="center"/>
      <protection locked="0"/>
    </xf>
    <xf numFmtId="168" fontId="46" fillId="12" borderId="39" xfId="0" applyNumberFormat="1" applyFont="1" applyFill="1" applyBorder="1" applyAlignment="1" applyProtection="1" quotePrefix="1">
      <alignment horizontal="center"/>
      <protection locked="0"/>
    </xf>
    <xf numFmtId="168" fontId="46" fillId="12" borderId="40" xfId="0" applyNumberFormat="1" applyFont="1" applyFill="1" applyBorder="1" applyAlignment="1" applyProtection="1" quotePrefix="1">
      <alignment horizontal="center"/>
      <protection locked="0"/>
    </xf>
    <xf numFmtId="168" fontId="50" fillId="5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7" xfId="0" applyNumberFormat="1" applyFont="1" applyFill="1" applyBorder="1" applyAlignment="1">
      <alignment horizontal="center"/>
    </xf>
    <xf numFmtId="4" fontId="83" fillId="7" borderId="14" xfId="0" applyNumberFormat="1" applyFont="1" applyFill="1" applyBorder="1" applyAlignment="1">
      <alignment horizontal="center"/>
    </xf>
    <xf numFmtId="4" fontId="46" fillId="12" borderId="42" xfId="0" applyNumberFormat="1" applyFont="1" applyFill="1" applyBorder="1" applyAlignment="1">
      <alignment horizontal="center"/>
    </xf>
    <xf numFmtId="4" fontId="46" fillId="12" borderId="9" xfId="0" applyNumberFormat="1" applyFont="1" applyFill="1" applyBorder="1" applyAlignment="1">
      <alignment horizontal="center"/>
    </xf>
    <xf numFmtId="4" fontId="50" fillId="5" borderId="14" xfId="0" applyNumberFormat="1" applyFont="1" applyFill="1" applyBorder="1" applyAlignment="1">
      <alignment horizontal="center"/>
    </xf>
    <xf numFmtId="0" fontId="7" fillId="0" borderId="52" xfId="0" applyFont="1" applyBorder="1" applyAlignment="1">
      <alignment/>
    </xf>
    <xf numFmtId="168" fontId="7" fillId="0" borderId="48" xfId="0" applyNumberFormat="1" applyFont="1" applyBorder="1" applyAlignment="1" applyProtection="1">
      <alignment horizontal="center"/>
      <protection/>
    </xf>
    <xf numFmtId="0" fontId="84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8" fillId="0" borderId="0" xfId="0" applyFont="1" applyAlignment="1">
      <alignment/>
    </xf>
    <xf numFmtId="0" fontId="90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1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164" fontId="93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43" fillId="13" borderId="14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 applyProtection="1">
      <alignment horizontal="centerContinuous" vertical="center" wrapText="1"/>
      <protection/>
    </xf>
    <xf numFmtId="0" fontId="43" fillId="14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5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4" fillId="13" borderId="17" xfId="0" applyFont="1" applyFill="1" applyBorder="1" applyAlignment="1">
      <alignment horizontal="center"/>
    </xf>
    <xf numFmtId="0" fontId="44" fillId="14" borderId="31" xfId="0" applyFont="1" applyFill="1" applyBorder="1" applyAlignment="1">
      <alignment horizontal="center"/>
    </xf>
    <xf numFmtId="0" fontId="44" fillId="14" borderId="32" xfId="0" applyFont="1" applyFill="1" applyBorder="1" applyAlignment="1">
      <alignment horizontal="left"/>
    </xf>
    <xf numFmtId="0" fontId="44" fillId="3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 quotePrefix="1">
      <alignment horizontal="center"/>
      <protection/>
    </xf>
    <xf numFmtId="168" fontId="95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7" fillId="2" borderId="2" xfId="0" applyNumberFormat="1" applyFont="1" applyFill="1" applyBorder="1" applyAlignment="1" applyProtection="1">
      <alignment horizontal="center"/>
      <protection/>
    </xf>
    <xf numFmtId="2" fontId="47" fillId="13" borderId="2" xfId="0" applyNumberFormat="1" applyFont="1" applyFill="1" applyBorder="1" applyAlignment="1">
      <alignment horizontal="center"/>
    </xf>
    <xf numFmtId="168" fontId="47" fillId="14" borderId="36" xfId="0" applyNumberFormat="1" applyFont="1" applyFill="1" applyBorder="1" applyAlignment="1" applyProtection="1" quotePrefix="1">
      <alignment horizontal="center"/>
      <protection/>
    </xf>
    <xf numFmtId="168" fontId="47" fillId="14" borderId="37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164" fontId="7" fillId="0" borderId="38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 quotePrefix="1">
      <alignment horizontal="center"/>
      <protection/>
    </xf>
    <xf numFmtId="168" fontId="95" fillId="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7" fillId="2" borderId="3" xfId="0" applyNumberFormat="1" applyFont="1" applyFill="1" applyBorder="1" applyAlignment="1" applyProtection="1">
      <alignment horizontal="center"/>
      <protection/>
    </xf>
    <xf numFmtId="2" fontId="44" fillId="13" borderId="3" xfId="0" applyNumberFormat="1" applyFont="1" applyFill="1" applyBorder="1" applyAlignment="1">
      <alignment horizontal="center"/>
    </xf>
    <xf numFmtId="168" fontId="44" fillId="14" borderId="39" xfId="0" applyNumberFormat="1" applyFont="1" applyFill="1" applyBorder="1" applyAlignment="1" applyProtection="1" quotePrefix="1">
      <alignment horizontal="center"/>
      <protection/>
    </xf>
    <xf numFmtId="168" fontId="44" fillId="14" borderId="40" xfId="0" applyNumberFormat="1" applyFont="1" applyFill="1" applyBorder="1" applyAlignment="1" applyProtection="1" quotePrefix="1">
      <alignment horizontal="center"/>
      <protection/>
    </xf>
    <xf numFmtId="168" fontId="44" fillId="3" borderId="3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2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2" fontId="54" fillId="0" borderId="0" xfId="0" applyNumberFormat="1" applyFont="1" applyBorder="1" applyAlignment="1" applyProtection="1">
      <alignment horizontal="left"/>
      <protection/>
    </xf>
    <xf numFmtId="168" fontId="5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165" fontId="54" fillId="0" borderId="0" xfId="0" applyNumberFormat="1" applyFont="1" applyBorder="1" applyAlignment="1" applyProtection="1">
      <alignment horizontal="center"/>
      <protection/>
    </xf>
    <xf numFmtId="173" fontId="54" fillId="0" borderId="0" xfId="0" applyNumberFormat="1" applyFont="1" applyBorder="1" applyAlignment="1" applyProtection="1" quotePrefix="1">
      <alignment horizontal="center"/>
      <protection/>
    </xf>
    <xf numFmtId="0" fontId="54" fillId="0" borderId="0" xfId="0" applyFont="1" applyAlignment="1">
      <alignment/>
    </xf>
    <xf numFmtId="2" fontId="54" fillId="0" borderId="0" xfId="0" applyNumberFormat="1" applyFont="1" applyBorder="1" applyAlignment="1" applyProtection="1">
      <alignment horizontal="center"/>
      <protection/>
    </xf>
    <xf numFmtId="168" fontId="54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6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7" fillId="0" borderId="0" xfId="0" applyNumberFormat="1" applyFont="1" applyBorder="1" applyAlignment="1" applyProtection="1">
      <alignment horizontal="center"/>
      <protection/>
    </xf>
    <xf numFmtId="168" fontId="93" fillId="0" borderId="0" xfId="0" applyNumberFormat="1" applyFont="1" applyBorder="1" applyAlignment="1" applyProtection="1" quotePrefix="1">
      <alignment horizontal="center"/>
      <protection/>
    </xf>
    <xf numFmtId="4" fontId="93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4" fillId="0" borderId="0" xfId="0" applyNumberFormat="1" applyFont="1" applyBorder="1" applyAlignment="1" applyProtection="1">
      <alignment horizontal="centerContinuous"/>
      <protection/>
    </xf>
    <xf numFmtId="168" fontId="54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98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99" fillId="0" borderId="0" xfId="0" applyNumberFormat="1" applyFont="1" applyBorder="1" applyAlignment="1" applyProtection="1">
      <alignment horizontal="center" vertical="center"/>
      <protection/>
    </xf>
    <xf numFmtId="168" fontId="100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4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5" fillId="0" borderId="0" xfId="0" applyFont="1" applyAlignment="1">
      <alignment horizontal="right" vertical="top"/>
    </xf>
    <xf numFmtId="1" fontId="0" fillId="0" borderId="54" xfId="0" applyNumberFormat="1" applyBorder="1" applyAlignment="1">
      <alignment horizontal="center"/>
    </xf>
    <xf numFmtId="0" fontId="10" fillId="0" borderId="55" xfId="0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174" fontId="10" fillId="0" borderId="57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Continuous"/>
    </xf>
    <xf numFmtId="0" fontId="10" fillId="0" borderId="59" xfId="0" applyFont="1" applyBorder="1" applyAlignment="1">
      <alignment horizontal="centerContinuous"/>
    </xf>
    <xf numFmtId="174" fontId="10" fillId="0" borderId="60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2" fillId="0" borderId="51" xfId="0" applyNumberFormat="1" applyFont="1" applyFill="1" applyBorder="1" applyAlignment="1" applyProtection="1">
      <alignment horizontal="center"/>
      <protection/>
    </xf>
    <xf numFmtId="2" fontId="81" fillId="0" borderId="51" xfId="0" applyNumberFormat="1" applyFont="1" applyFill="1" applyBorder="1" applyAlignment="1" applyProtection="1">
      <alignment horizontal="center"/>
      <protection/>
    </xf>
    <xf numFmtId="2" fontId="94" fillId="0" borderId="51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64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1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4" fillId="4" borderId="2" xfId="0" applyNumberFormat="1" applyFont="1" applyFill="1" applyBorder="1" applyAlignment="1" applyProtection="1">
      <alignment horizontal="center"/>
      <protection/>
    </xf>
    <xf numFmtId="2" fontId="79" fillId="10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2" fillId="0" borderId="65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 quotePrefix="1">
      <alignment horizontal="center"/>
      <protection/>
    </xf>
    <xf numFmtId="168" fontId="37" fillId="2" borderId="38" xfId="0" applyNumberFormat="1" applyFont="1" applyFill="1" applyBorder="1" applyAlignment="1" applyProtection="1">
      <alignment horizontal="center"/>
      <protection/>
    </xf>
    <xf numFmtId="22" fontId="7" fillId="0" borderId="39" xfId="0" applyNumberFormat="1" applyFont="1" applyBorder="1" applyAlignment="1">
      <alignment horizontal="center"/>
    </xf>
    <xf numFmtId="22" fontId="7" fillId="0" borderId="38" xfId="0" applyNumberFormat="1" applyFont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164" fontId="7" fillId="0" borderId="38" xfId="0" applyNumberFormat="1" applyFont="1" applyFill="1" applyBorder="1" applyAlignment="1" applyProtection="1" quotePrefix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  <xf numFmtId="168" fontId="7" fillId="0" borderId="65" xfId="0" applyNumberFormat="1" applyFont="1" applyBorder="1" applyAlignment="1" applyProtection="1">
      <alignment horizontal="center"/>
      <protection/>
    </xf>
    <xf numFmtId="164" fontId="44" fillId="4" borderId="38" xfId="0" applyNumberFormat="1" applyFont="1" applyFill="1" applyBorder="1" applyAlignment="1" applyProtection="1">
      <alignment horizontal="center"/>
      <protection/>
    </xf>
    <xf numFmtId="2" fontId="79" fillId="10" borderId="38" xfId="0" applyNumberFormat="1" applyFont="1" applyFill="1" applyBorder="1" applyAlignment="1">
      <alignment horizontal="center"/>
    </xf>
    <xf numFmtId="168" fontId="66" fillId="5" borderId="39" xfId="0" applyNumberFormat="1" applyFont="1" applyFill="1" applyBorder="1" applyAlignment="1" applyProtection="1" quotePrefix="1">
      <alignment horizontal="center"/>
      <protection/>
    </xf>
    <xf numFmtId="168" fontId="66" fillId="5" borderId="40" xfId="0" applyNumberFormat="1" applyFont="1" applyFill="1" applyBorder="1" applyAlignment="1" applyProtection="1" quotePrefix="1">
      <alignment horizontal="center"/>
      <protection/>
    </xf>
    <xf numFmtId="168" fontId="47" fillId="3" borderId="38" xfId="0" applyNumberFormat="1" applyFont="1" applyFill="1" applyBorder="1" applyAlignment="1" applyProtection="1" quotePrefix="1">
      <alignment horizontal="center"/>
      <protection/>
    </xf>
    <xf numFmtId="168" fontId="7" fillId="0" borderId="38" xfId="0" applyNumberFormat="1" applyFont="1" applyBorder="1" applyAlignment="1">
      <alignment horizontal="center"/>
    </xf>
    <xf numFmtId="4" fontId="29" fillId="0" borderId="38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6" fillId="15" borderId="14" xfId="0" applyNumberFormat="1" applyFont="1" applyFill="1" applyBorder="1" applyAlignment="1" applyProtection="1">
      <alignment horizontal="center" vertical="center"/>
      <protection/>
    </xf>
    <xf numFmtId="0" fontId="60" fillId="4" borderId="14" xfId="0" applyFont="1" applyFill="1" applyBorder="1" applyAlignment="1" applyProtection="1">
      <alignment horizontal="center" vertical="center"/>
      <protection/>
    </xf>
    <xf numFmtId="0" fontId="64" fillId="5" borderId="14" xfId="0" applyFont="1" applyFill="1" applyBorder="1" applyAlignment="1">
      <alignment horizontal="center" vertical="center" wrapText="1"/>
    </xf>
    <xf numFmtId="0" fontId="49" fillId="16" borderId="8" xfId="0" applyFont="1" applyFill="1" applyBorder="1" applyAlignment="1">
      <alignment horizontal="centerContinuous" vertical="center" wrapText="1"/>
    </xf>
    <xf numFmtId="0" fontId="101" fillId="16" borderId="15" xfId="0" applyFont="1" applyFill="1" applyBorder="1" applyAlignment="1">
      <alignment horizontal="centerContinuous"/>
    </xf>
    <xf numFmtId="0" fontId="49" fillId="16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7" fillId="15" borderId="2" xfId="0" applyFont="1" applyFill="1" applyBorder="1" applyAlignment="1">
      <alignment/>
    </xf>
    <xf numFmtId="0" fontId="61" fillId="4" borderId="2" xfId="0" applyFont="1" applyFill="1" applyBorder="1" applyAlignment="1">
      <alignment/>
    </xf>
    <xf numFmtId="0" fontId="102" fillId="3" borderId="2" xfId="0" applyFont="1" applyFill="1" applyBorder="1" applyAlignment="1">
      <alignment/>
    </xf>
    <xf numFmtId="0" fontId="65" fillId="5" borderId="4" xfId="0" applyFont="1" applyFill="1" applyBorder="1" applyAlignment="1">
      <alignment/>
    </xf>
    <xf numFmtId="168" fontId="9" fillId="2" borderId="21" xfId="0" applyNumberFormat="1" applyFont="1" applyFill="1" applyBorder="1" applyAlignment="1" applyProtection="1" quotePrefix="1">
      <alignment horizontal="center"/>
      <protection/>
    </xf>
    <xf numFmtId="168" fontId="9" fillId="2" borderId="23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3" fillId="16" borderId="21" xfId="0" applyNumberFormat="1" applyFont="1" applyFill="1" applyBorder="1" applyAlignment="1" applyProtection="1" quotePrefix="1">
      <alignment horizontal="center"/>
      <protection/>
    </xf>
    <xf numFmtId="168" fontId="103" fillId="16" borderId="23" xfId="0" applyNumberFormat="1" applyFont="1" applyFill="1" applyBorder="1" applyAlignment="1" applyProtection="1" quotePrefix="1">
      <alignment horizontal="center"/>
      <protection/>
    </xf>
    <xf numFmtId="4" fontId="103" fillId="16" borderId="4" xfId="0" applyNumberFormat="1" applyFont="1" applyFill="1" applyBorder="1" applyAlignment="1" applyProtection="1">
      <alignment horizontal="center"/>
      <protection/>
    </xf>
    <xf numFmtId="0" fontId="87" fillId="15" borderId="2" xfId="0" applyFont="1" applyFill="1" applyBorder="1" applyAlignment="1" applyProtection="1">
      <alignment horizontal="center"/>
      <protection/>
    </xf>
    <xf numFmtId="174" fontId="61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2" xfId="0" applyNumberFormat="1" applyFont="1" applyFill="1" applyBorder="1" applyAlignment="1" applyProtection="1">
      <alignment horizontal="center"/>
      <protection locked="0"/>
    </xf>
    <xf numFmtId="2" fontId="46" fillId="3" borderId="2" xfId="0" applyNumberFormat="1" applyFont="1" applyFill="1" applyBorder="1" applyAlignment="1" applyProtection="1">
      <alignment horizontal="center"/>
      <protection locked="0"/>
    </xf>
    <xf numFmtId="2" fontId="66" fillId="5" borderId="4" xfId="0" applyNumberFormat="1" applyFont="1" applyFill="1" applyBorder="1" applyAlignment="1" applyProtection="1">
      <alignment horizontal="center"/>
      <protection locked="0"/>
    </xf>
    <xf numFmtId="168" fontId="50" fillId="16" borderId="21" xfId="0" applyNumberFormat="1" applyFont="1" applyFill="1" applyBorder="1" applyAlignment="1" applyProtection="1" quotePrefix="1">
      <alignment horizontal="center"/>
      <protection locked="0"/>
    </xf>
    <xf numFmtId="168" fontId="50" fillId="16" borderId="23" xfId="0" applyNumberFormat="1" applyFont="1" applyFill="1" applyBorder="1" applyAlignment="1" applyProtection="1" quotePrefix="1">
      <alignment horizontal="center"/>
      <protection locked="0"/>
    </xf>
    <xf numFmtId="4" fontId="50" fillId="16" borderId="4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4" applyFont="1" applyFill="1" applyBorder="1" applyAlignment="1" applyProtection="1">
      <alignment horizontal="center"/>
      <protection locked="0"/>
    </xf>
    <xf numFmtId="164" fontId="7" fillId="0" borderId="2" xfId="24" applyNumberFormat="1" applyFont="1" applyFill="1" applyBorder="1" applyAlignment="1" applyProtection="1">
      <alignment horizontal="center"/>
      <protection locked="0"/>
    </xf>
    <xf numFmtId="22" fontId="7" fillId="0" borderId="4" xfId="24" applyNumberFormat="1" applyFont="1" applyFill="1" applyBorder="1" applyAlignment="1" applyProtection="1">
      <alignment horizontal="center"/>
      <protection locked="0"/>
    </xf>
    <xf numFmtId="22" fontId="7" fillId="0" borderId="20" xfId="24" applyNumberFormat="1" applyFont="1" applyFill="1" applyBorder="1" applyAlignment="1" applyProtection="1">
      <alignment horizontal="center"/>
      <protection locked="0"/>
    </xf>
    <xf numFmtId="0" fontId="87" fillId="15" borderId="3" xfId="0" applyFont="1" applyFill="1" applyBorder="1" applyAlignment="1" applyProtection="1">
      <alignment horizontal="center"/>
      <protection/>
    </xf>
    <xf numFmtId="174" fontId="61" fillId="4" borderId="3" xfId="0" applyNumberFormat="1" applyFont="1" applyFill="1" applyBorder="1" applyAlignment="1" applyProtection="1">
      <alignment horizontal="center"/>
      <protection/>
    </xf>
    <xf numFmtId="2" fontId="102" fillId="3" borderId="3" xfId="0" applyNumberFormat="1" applyFont="1" applyFill="1" applyBorder="1" applyAlignment="1" applyProtection="1">
      <alignment horizontal="center"/>
      <protection locked="0"/>
    </xf>
    <xf numFmtId="2" fontId="66" fillId="5" borderId="3" xfId="0" applyNumberFormat="1" applyFont="1" applyFill="1" applyBorder="1" applyAlignment="1" applyProtection="1">
      <alignment horizontal="center"/>
      <protection locked="0"/>
    </xf>
    <xf numFmtId="168" fontId="50" fillId="16" borderId="24" xfId="0" applyNumberFormat="1" applyFont="1" applyFill="1" applyBorder="1" applyAlignment="1" applyProtection="1" quotePrefix="1">
      <alignment horizontal="center"/>
      <protection locked="0"/>
    </xf>
    <xf numFmtId="168" fontId="50" fillId="16" borderId="25" xfId="0" applyNumberFormat="1" applyFont="1" applyFill="1" applyBorder="1" applyAlignment="1" applyProtection="1" quotePrefix="1">
      <alignment horizontal="center"/>
      <protection locked="0"/>
    </xf>
    <xf numFmtId="4" fontId="50" fillId="16" borderId="26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6" fillId="3" borderId="14" xfId="0" applyNumberFormat="1" applyFont="1" applyFill="1" applyBorder="1" applyAlignment="1" applyProtection="1">
      <alignment horizontal="center"/>
      <protection/>
    </xf>
    <xf numFmtId="2" fontId="66" fillId="5" borderId="14" xfId="0" applyNumberFormat="1" applyFont="1" applyFill="1" applyBorder="1" applyAlignment="1" applyProtection="1">
      <alignment horizontal="center"/>
      <protection/>
    </xf>
    <xf numFmtId="2" fontId="38" fillId="2" borderId="14" xfId="0" applyNumberFormat="1" applyFont="1" applyFill="1" applyBorder="1" applyAlignment="1" applyProtection="1">
      <alignment horizontal="center"/>
      <protection/>
    </xf>
    <xf numFmtId="2" fontId="50" fillId="16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102" fillId="0" borderId="17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03" fillId="0" borderId="31" xfId="0" applyFont="1" applyFill="1" applyBorder="1" applyAlignment="1">
      <alignment/>
    </xf>
    <xf numFmtId="0" fontId="103" fillId="0" borderId="67" xfId="0" applyFont="1" applyFill="1" applyBorder="1" applyAlignment="1">
      <alignment/>
    </xf>
    <xf numFmtId="0" fontId="103" fillId="0" borderId="32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4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74" fillId="0" borderId="0" xfId="0" applyFont="1" applyBorder="1" applyAlignment="1">
      <alignment/>
    </xf>
    <xf numFmtId="0" fontId="104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Border="1" applyAlignment="1" applyProtection="1" quotePrefix="1">
      <alignment horizontal="center"/>
      <protection/>
    </xf>
    <xf numFmtId="4" fontId="9" fillId="0" borderId="2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2" fontId="77" fillId="7" borderId="2" xfId="0" applyNumberFormat="1" applyFont="1" applyFill="1" applyBorder="1" applyAlignment="1" applyProtection="1">
      <alignment horizontal="center"/>
      <protection/>
    </xf>
    <xf numFmtId="2" fontId="78" fillId="5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9" fillId="10" borderId="2" xfId="0" applyNumberFormat="1" applyFont="1" applyFill="1" applyBorder="1" applyAlignment="1" applyProtection="1">
      <alignment horizontal="center"/>
      <protection/>
    </xf>
    <xf numFmtId="164" fontId="37" fillId="2" borderId="49" xfId="0" applyNumberFormat="1" applyFont="1" applyFill="1" applyBorder="1" applyAlignment="1" applyProtection="1">
      <alignment horizontal="center"/>
      <protection/>
    </xf>
    <xf numFmtId="2" fontId="83" fillId="7" borderId="2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11" fillId="0" borderId="0" xfId="0" applyFont="1" applyBorder="1" applyAlignment="1">
      <alignment vertical="top"/>
    </xf>
    <xf numFmtId="0" fontId="0" fillId="0" borderId="5" xfId="0" applyBorder="1" applyAlignment="1">
      <alignment/>
    </xf>
    <xf numFmtId="0" fontId="43" fillId="4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>
      <alignment horizontal="center"/>
    </xf>
    <xf numFmtId="0" fontId="7" fillId="17" borderId="15" xfId="0" applyFont="1" applyFill="1" applyBorder="1" applyAlignment="1">
      <alignment/>
    </xf>
    <xf numFmtId="0" fontId="7" fillId="17" borderId="9" xfId="0" applyFont="1" applyFill="1" applyBorder="1" applyAlignment="1">
      <alignment/>
    </xf>
    <xf numFmtId="174" fontId="0" fillId="0" borderId="8" xfId="0" applyNumberFormat="1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17" borderId="8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7" fillId="17" borderId="0" xfId="0" applyFont="1" applyFill="1" applyBorder="1" applyAlignment="1">
      <alignment/>
    </xf>
    <xf numFmtId="0" fontId="27" fillId="0" borderId="14" xfId="22" applyFont="1" applyBorder="1" applyAlignment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168" fontId="36" fillId="2" borderId="14" xfId="0" applyNumberFormat="1" applyFont="1" applyFill="1" applyBorder="1" applyAlignment="1" applyProtection="1">
      <alignment horizontal="center" vertical="center"/>
      <protection/>
    </xf>
    <xf numFmtId="0" fontId="48" fillId="10" borderId="14" xfId="0" applyFont="1" applyFill="1" applyBorder="1" applyAlignment="1" applyProtection="1">
      <alignment horizontal="center" vertical="center"/>
      <protection/>
    </xf>
    <xf numFmtId="0" fontId="64" fillId="5" borderId="9" xfId="0" applyFont="1" applyFill="1" applyBorder="1" applyAlignment="1">
      <alignment horizontal="center" vertical="center" wrapText="1"/>
    </xf>
    <xf numFmtId="0" fontId="106" fillId="18" borderId="8" xfId="0" applyFont="1" applyFill="1" applyBorder="1" applyAlignment="1">
      <alignment horizontal="centerContinuous" vertical="center" wrapText="1"/>
    </xf>
    <xf numFmtId="0" fontId="107" fillId="18" borderId="15" xfId="0" applyFont="1" applyFill="1" applyBorder="1" applyAlignment="1">
      <alignment horizontal="centerContinuous"/>
    </xf>
    <xf numFmtId="0" fontId="106" fillId="18" borderId="9" xfId="0" applyFont="1" applyFill="1" applyBorder="1" applyAlignment="1">
      <alignment horizontal="centerContinuous" vertical="center"/>
    </xf>
    <xf numFmtId="0" fontId="108" fillId="19" borderId="14" xfId="0" applyFont="1" applyFill="1" applyBorder="1" applyAlignment="1">
      <alignment horizontal="center" vertical="center" wrapText="1"/>
    </xf>
    <xf numFmtId="170" fontId="7" fillId="0" borderId="17" xfId="0" applyNumberFormat="1" applyFont="1" applyBorder="1" applyAlignment="1">
      <alignment/>
    </xf>
    <xf numFmtId="0" fontId="37" fillId="2" borderId="17" xfId="0" applyFont="1" applyFill="1" applyBorder="1" applyAlignment="1">
      <alignment/>
    </xf>
    <xf numFmtId="0" fontId="52" fillId="10" borderId="17" xfId="0" applyFont="1" applyFill="1" applyBorder="1" applyAlignment="1">
      <alignment/>
    </xf>
    <xf numFmtId="0" fontId="47" fillId="4" borderId="17" xfId="0" applyFont="1" applyFill="1" applyBorder="1" applyAlignment="1">
      <alignment/>
    </xf>
    <xf numFmtId="0" fontId="66" fillId="5" borderId="17" xfId="0" applyFont="1" applyFill="1" applyBorder="1" applyAlignment="1">
      <alignment/>
    </xf>
    <xf numFmtId="168" fontId="38" fillId="2" borderId="31" xfId="0" applyNumberFormat="1" applyFont="1" applyFill="1" applyBorder="1" applyAlignment="1" applyProtection="1" quotePrefix="1">
      <alignment horizontal="center"/>
      <protection/>
    </xf>
    <xf numFmtId="168" fontId="38" fillId="2" borderId="68" xfId="0" applyNumberFormat="1" applyFont="1" applyFill="1" applyBorder="1" applyAlignment="1" applyProtection="1" quotePrefix="1">
      <alignment horizontal="center"/>
      <protection/>
    </xf>
    <xf numFmtId="4" fontId="38" fillId="2" borderId="64" xfId="0" applyNumberFormat="1" applyFont="1" applyFill="1" applyBorder="1" applyAlignment="1" applyProtection="1">
      <alignment horizontal="center"/>
      <protection/>
    </xf>
    <xf numFmtId="168" fontId="109" fillId="18" borderId="68" xfId="0" applyNumberFormat="1" applyFont="1" applyFill="1" applyBorder="1" applyAlignment="1" applyProtection="1" quotePrefix="1">
      <alignment horizontal="center"/>
      <protection/>
    </xf>
    <xf numFmtId="4" fontId="109" fillId="18" borderId="64" xfId="0" applyNumberFormat="1" applyFont="1" applyFill="1" applyBorder="1" applyAlignment="1" applyProtection="1">
      <alignment horizontal="center"/>
      <protection/>
    </xf>
    <xf numFmtId="0" fontId="70" fillId="7" borderId="17" xfId="0" applyFont="1" applyFill="1" applyBorder="1" applyAlignment="1">
      <alignment/>
    </xf>
    <xf numFmtId="0" fontId="71" fillId="8" borderId="17" xfId="0" applyFont="1" applyFill="1" applyBorder="1" applyAlignment="1">
      <alignment/>
    </xf>
    <xf numFmtId="7" fontId="28" fillId="19" borderId="17" xfId="0" applyNumberFormat="1" applyFont="1" applyFill="1" applyBorder="1" applyAlignment="1">
      <alignment/>
    </xf>
    <xf numFmtId="7" fontId="10" fillId="0" borderId="17" xfId="0" applyNumberFormat="1" applyFont="1" applyBorder="1" applyAlignment="1">
      <alignment horizontal="center"/>
    </xf>
    <xf numFmtId="0" fontId="37" fillId="2" borderId="2" xfId="0" applyFont="1" applyFill="1" applyBorder="1" applyAlignment="1">
      <alignment/>
    </xf>
    <xf numFmtId="0" fontId="52" fillId="10" borderId="2" xfId="0" applyFont="1" applyFill="1" applyBorder="1" applyAlignment="1">
      <alignment/>
    </xf>
    <xf numFmtId="0" fontId="47" fillId="4" borderId="2" xfId="0" applyFont="1" applyFill="1" applyBorder="1" applyAlignment="1">
      <alignment/>
    </xf>
    <xf numFmtId="0" fontId="66" fillId="5" borderId="4" xfId="0" applyFont="1" applyFill="1" applyBorder="1" applyAlignment="1">
      <alignment/>
    </xf>
    <xf numFmtId="168" fontId="38" fillId="2" borderId="21" xfId="0" applyNumberFormat="1" applyFont="1" applyFill="1" applyBorder="1" applyAlignment="1" applyProtection="1" quotePrefix="1">
      <alignment horizontal="center"/>
      <protection/>
    </xf>
    <xf numFmtId="168" fontId="38" fillId="2" borderId="23" xfId="0" applyNumberFormat="1" applyFont="1" applyFill="1" applyBorder="1" applyAlignment="1" applyProtection="1" quotePrefix="1">
      <alignment horizontal="center"/>
      <protection/>
    </xf>
    <xf numFmtId="4" fontId="38" fillId="2" borderId="4" xfId="0" applyNumberFormat="1" applyFont="1" applyFill="1" applyBorder="1" applyAlignment="1" applyProtection="1">
      <alignment horizontal="center"/>
      <protection/>
    </xf>
    <xf numFmtId="168" fontId="109" fillId="18" borderId="23" xfId="0" applyNumberFormat="1" applyFont="1" applyFill="1" applyBorder="1" applyAlignment="1" applyProtection="1" quotePrefix="1">
      <alignment horizontal="center"/>
      <protection/>
    </xf>
    <xf numFmtId="4" fontId="109" fillId="18" borderId="4" xfId="0" applyNumberFormat="1" applyFont="1" applyFill="1" applyBorder="1" applyAlignment="1" applyProtection="1">
      <alignment horizontal="center"/>
      <protection/>
    </xf>
    <xf numFmtId="0" fontId="28" fillId="19" borderId="2" xfId="0" applyFont="1" applyFill="1" applyBorder="1" applyAlignment="1">
      <alignment/>
    </xf>
    <xf numFmtId="164" fontId="7" fillId="0" borderId="4" xfId="0" applyNumberFormat="1" applyFont="1" applyBorder="1" applyAlignment="1" applyProtection="1">
      <alignment horizontal="center"/>
      <protection locked="0"/>
    </xf>
    <xf numFmtId="174" fontId="52" fillId="10" borderId="2" xfId="0" applyNumberFormat="1" applyFont="1" applyFill="1" applyBorder="1" applyAlignment="1" applyProtection="1">
      <alignment horizontal="center"/>
      <protection/>
    </xf>
    <xf numFmtId="2" fontId="47" fillId="4" borderId="2" xfId="0" applyNumberFormat="1" applyFont="1" applyFill="1" applyBorder="1" applyAlignment="1" applyProtection="1">
      <alignment horizontal="center"/>
      <protection locked="0"/>
    </xf>
    <xf numFmtId="2" fontId="66" fillId="5" borderId="4" xfId="0" applyNumberFormat="1" applyFont="1" applyFill="1" applyBorder="1" applyAlignment="1" applyProtection="1">
      <alignment horizontal="center"/>
      <protection locked="0"/>
    </xf>
    <xf numFmtId="168" fontId="109" fillId="18" borderId="23" xfId="0" applyNumberFormat="1" applyFont="1" applyFill="1" applyBorder="1" applyAlignment="1" applyProtection="1" quotePrefix="1">
      <alignment horizontal="center"/>
      <protection locked="0"/>
    </xf>
    <xf numFmtId="173" fontId="109" fillId="18" borderId="23" xfId="0" applyNumberFormat="1" applyFont="1" applyFill="1" applyBorder="1" applyAlignment="1" applyProtection="1" quotePrefix="1">
      <alignment horizontal="center"/>
      <protection locked="0"/>
    </xf>
    <xf numFmtId="4" fontId="109" fillId="18" borderId="4" xfId="0" applyNumberFormat="1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/>
    </xf>
    <xf numFmtId="4" fontId="28" fillId="19" borderId="2" xfId="0" applyNumberFormat="1" applyFont="1" applyFill="1" applyBorder="1" applyAlignment="1">
      <alignment horizontal="right"/>
    </xf>
    <xf numFmtId="164" fontId="7" fillId="0" borderId="49" xfId="0" applyNumberFormat="1" applyFont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alignment horizontal="center"/>
      <protection/>
    </xf>
    <xf numFmtId="168" fontId="52" fillId="10" borderId="3" xfId="0" applyNumberFormat="1" applyFont="1" applyFill="1" applyBorder="1" applyAlignment="1" applyProtection="1">
      <alignment horizontal="center"/>
      <protection/>
    </xf>
    <xf numFmtId="2" fontId="47" fillId="4" borderId="3" xfId="0" applyNumberFormat="1" applyFont="1" applyFill="1" applyBorder="1" applyAlignment="1" applyProtection="1">
      <alignment horizontal="center"/>
      <protection locked="0"/>
    </xf>
    <xf numFmtId="2" fontId="66" fillId="5" borderId="3" xfId="0" applyNumberFormat="1" applyFont="1" applyFill="1" applyBorder="1" applyAlignment="1" applyProtection="1">
      <alignment horizontal="center"/>
      <protection locked="0"/>
    </xf>
    <xf numFmtId="168" fontId="109" fillId="18" borderId="24" xfId="0" applyNumberFormat="1" applyFont="1" applyFill="1" applyBorder="1" applyAlignment="1" applyProtection="1" quotePrefix="1">
      <alignment horizontal="center"/>
      <protection locked="0"/>
    </xf>
    <xf numFmtId="168" fontId="109" fillId="18" borderId="25" xfId="0" applyNumberFormat="1" applyFont="1" applyFill="1" applyBorder="1" applyAlignment="1" applyProtection="1" quotePrefix="1">
      <alignment horizontal="center"/>
      <protection locked="0"/>
    </xf>
    <xf numFmtId="4" fontId="109" fillId="18" borderId="26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" fontId="28" fillId="19" borderId="3" xfId="0" applyNumberFormat="1" applyFont="1" applyFill="1" applyBorder="1" applyAlignment="1">
      <alignment horizontal="right"/>
    </xf>
    <xf numFmtId="2" fontId="47" fillId="4" borderId="14" xfId="0" applyNumberFormat="1" applyFont="1" applyFill="1" applyBorder="1" applyAlignment="1" applyProtection="1">
      <alignment horizontal="center"/>
      <protection/>
    </xf>
    <xf numFmtId="2" fontId="66" fillId="5" borderId="14" xfId="0" applyNumberFormat="1" applyFont="1" applyFill="1" applyBorder="1" applyAlignment="1" applyProtection="1">
      <alignment horizontal="center"/>
      <protection/>
    </xf>
    <xf numFmtId="2" fontId="38" fillId="2" borderId="42" xfId="0" applyNumberFormat="1" applyFont="1" applyFill="1" applyBorder="1" applyAlignment="1" applyProtection="1">
      <alignment horizontal="center"/>
      <protection/>
    </xf>
    <xf numFmtId="2" fontId="38" fillId="2" borderId="69" xfId="0" applyNumberFormat="1" applyFont="1" applyFill="1" applyBorder="1" applyAlignment="1" applyProtection="1">
      <alignment horizontal="center"/>
      <protection/>
    </xf>
    <xf numFmtId="2" fontId="38" fillId="2" borderId="43" xfId="0" applyNumberFormat="1" applyFont="1" applyFill="1" applyBorder="1" applyAlignment="1" applyProtection="1">
      <alignment horizontal="center"/>
      <protection/>
    </xf>
    <xf numFmtId="2" fontId="109" fillId="18" borderId="42" xfId="0" applyNumberFormat="1" applyFont="1" applyFill="1" applyBorder="1" applyAlignment="1" applyProtection="1">
      <alignment horizontal="center"/>
      <protection/>
    </xf>
    <xf numFmtId="2" fontId="109" fillId="18" borderId="69" xfId="0" applyNumberFormat="1" applyFont="1" applyFill="1" applyBorder="1" applyAlignment="1" applyProtection="1">
      <alignment horizontal="center"/>
      <protection/>
    </xf>
    <xf numFmtId="2" fontId="109" fillId="18" borderId="43" xfId="0" applyNumberFormat="1" applyFont="1" applyFill="1" applyBorder="1" applyAlignment="1" applyProtection="1">
      <alignment horizontal="center"/>
      <protection/>
    </xf>
    <xf numFmtId="7" fontId="110" fillId="19" borderId="1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top"/>
      <protection/>
    </xf>
    <xf numFmtId="2" fontId="46" fillId="3" borderId="2" xfId="0" applyNumberFormat="1" applyFont="1" applyFill="1" applyBorder="1" applyAlignment="1" applyProtection="1">
      <alignment horizontal="center"/>
      <protection/>
    </xf>
    <xf numFmtId="2" fontId="66" fillId="5" borderId="4" xfId="0" applyNumberFormat="1" applyFont="1" applyFill="1" applyBorder="1" applyAlignment="1" applyProtection="1">
      <alignment horizontal="center"/>
      <protection/>
    </xf>
    <xf numFmtId="168" fontId="50" fillId="16" borderId="21" xfId="0" applyNumberFormat="1" applyFont="1" applyFill="1" applyBorder="1" applyAlignment="1" applyProtection="1" quotePrefix="1">
      <alignment horizontal="center"/>
      <protection/>
    </xf>
    <xf numFmtId="168" fontId="50" fillId="16" borderId="23" xfId="0" applyNumberFormat="1" applyFont="1" applyFill="1" applyBorder="1" applyAlignment="1" applyProtection="1" quotePrefix="1">
      <alignment horizontal="center"/>
      <protection/>
    </xf>
    <xf numFmtId="4" fontId="50" fillId="16" borderId="4" xfId="0" applyNumberFormat="1" applyFont="1" applyFill="1" applyBorder="1" applyAlignment="1" applyProtection="1">
      <alignment horizontal="center"/>
      <protection/>
    </xf>
    <xf numFmtId="4" fontId="72" fillId="7" borderId="2" xfId="0" applyNumberFormat="1" applyFont="1" applyFill="1" applyBorder="1" applyAlignment="1" applyProtection="1">
      <alignment horizontal="center"/>
      <protection/>
    </xf>
    <xf numFmtId="4" fontId="73" fillId="8" borderId="2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2" fillId="0" borderId="0" xfId="0" applyFont="1" applyBorder="1" applyAlignment="1" applyProtection="1">
      <alignment horizontal="left"/>
      <protection/>
    </xf>
    <xf numFmtId="7" fontId="22" fillId="0" borderId="0" xfId="0" applyNumberFormat="1" applyFont="1" applyBorder="1" applyAlignment="1">
      <alignment horizontal="centerContinuous"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3" fillId="9" borderId="14" xfId="0" applyFont="1" applyFill="1" applyBorder="1" applyAlignment="1">
      <alignment horizontal="center" vertical="center" wrapText="1"/>
    </xf>
    <xf numFmtId="0" fontId="48" fillId="18" borderId="14" xfId="0" applyFont="1" applyFill="1" applyBorder="1" applyAlignment="1">
      <alignment horizontal="center" vertical="center" wrapText="1"/>
    </xf>
    <xf numFmtId="0" fontId="111" fillId="3" borderId="8" xfId="0" applyFont="1" applyFill="1" applyBorder="1" applyAlignment="1" applyProtection="1">
      <alignment horizontal="centerContinuous" vertical="center" wrapText="1"/>
      <protection/>
    </xf>
    <xf numFmtId="0" fontId="112" fillId="3" borderId="15" xfId="0" applyFont="1" applyFill="1" applyBorder="1" applyAlignment="1">
      <alignment horizontal="centerContinuous"/>
    </xf>
    <xf numFmtId="0" fontId="111" fillId="3" borderId="9" xfId="0" applyFont="1" applyFill="1" applyBorder="1" applyAlignment="1">
      <alignment horizontal="centerContinuous" vertical="center"/>
    </xf>
    <xf numFmtId="0" fontId="43" fillId="20" borderId="8" xfId="0" applyFont="1" applyFill="1" applyBorder="1" applyAlignment="1">
      <alignment horizontal="centerContinuous" vertical="center" wrapText="1"/>
    </xf>
    <xf numFmtId="0" fontId="113" fillId="20" borderId="15" xfId="0" applyFont="1" applyFill="1" applyBorder="1" applyAlignment="1">
      <alignment horizontal="centerContinuous"/>
    </xf>
    <xf numFmtId="0" fontId="43" fillId="20" borderId="9" xfId="0" applyFont="1" applyFill="1" applyBorder="1" applyAlignment="1">
      <alignment horizontal="centerContinuous" vertical="center"/>
    </xf>
    <xf numFmtId="0" fontId="43" fillId="7" borderId="14" xfId="0" applyFont="1" applyFill="1" applyBorder="1" applyAlignment="1">
      <alignment horizontal="centerContinuous" vertical="center" wrapText="1"/>
    </xf>
    <xf numFmtId="0" fontId="43" fillId="21" borderId="14" xfId="0" applyFont="1" applyFill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114" fillId="2" borderId="17" xfId="0" applyNumberFormat="1" applyFont="1" applyFill="1" applyBorder="1" applyAlignment="1" applyProtection="1">
      <alignment horizontal="center"/>
      <protection/>
    </xf>
    <xf numFmtId="0" fontId="92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47" fillId="9" borderId="17" xfId="0" applyFont="1" applyFill="1" applyBorder="1" applyAlignment="1">
      <alignment horizontal="center"/>
    </xf>
    <xf numFmtId="0" fontId="83" fillId="18" borderId="17" xfId="0" applyFont="1" applyFill="1" applyBorder="1" applyAlignment="1">
      <alignment horizontal="center"/>
    </xf>
    <xf numFmtId="168" fontId="115" fillId="3" borderId="31" xfId="0" applyNumberFormat="1" applyFont="1" applyFill="1" applyBorder="1" applyAlignment="1" applyProtection="1" quotePrefix="1">
      <alignment horizontal="center"/>
      <protection/>
    </xf>
    <xf numFmtId="168" fontId="115" fillId="3" borderId="68" xfId="0" applyNumberFormat="1" applyFont="1" applyFill="1" applyBorder="1" applyAlignment="1" applyProtection="1" quotePrefix="1">
      <alignment horizontal="center"/>
      <protection/>
    </xf>
    <xf numFmtId="4" fontId="115" fillId="3" borderId="64" xfId="0" applyNumberFormat="1" applyFont="1" applyFill="1" applyBorder="1" applyAlignment="1" applyProtection="1">
      <alignment horizontal="center"/>
      <protection/>
    </xf>
    <xf numFmtId="168" fontId="47" fillId="20" borderId="31" xfId="0" applyNumberFormat="1" applyFont="1" applyFill="1" applyBorder="1" applyAlignment="1" applyProtection="1" quotePrefix="1">
      <alignment horizontal="center"/>
      <protection/>
    </xf>
    <xf numFmtId="168" fontId="47" fillId="20" borderId="68" xfId="0" applyNumberFormat="1" applyFont="1" applyFill="1" applyBorder="1" applyAlignment="1" applyProtection="1" quotePrefix="1">
      <alignment horizontal="center"/>
      <protection/>
    </xf>
    <xf numFmtId="4" fontId="47" fillId="20" borderId="64" xfId="0" applyNumberFormat="1" applyFont="1" applyFill="1" applyBorder="1" applyAlignment="1" applyProtection="1">
      <alignment horizontal="center"/>
      <protection/>
    </xf>
    <xf numFmtId="4" fontId="47" fillId="7" borderId="17" xfId="0" applyNumberFormat="1" applyFont="1" applyFill="1" applyBorder="1" applyAlignment="1" applyProtection="1">
      <alignment horizontal="center"/>
      <protection/>
    </xf>
    <xf numFmtId="4" fontId="47" fillId="21" borderId="17" xfId="0" applyNumberFormat="1" applyFont="1" applyFill="1" applyBorder="1" applyAlignment="1" applyProtection="1">
      <alignment horizontal="center"/>
      <protection/>
    </xf>
    <xf numFmtId="0" fontId="7" fillId="0" borderId="64" xfId="0" applyFont="1" applyBorder="1" applyAlignment="1">
      <alignment horizontal="left"/>
    </xf>
    <xf numFmtId="0" fontId="10" fillId="0" borderId="64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114" fillId="2" borderId="2" xfId="0" applyFont="1" applyFill="1" applyBorder="1" applyAlignment="1" applyProtection="1">
      <alignment horizontal="center"/>
      <protection/>
    </xf>
    <xf numFmtId="168" fontId="92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2" fontId="47" fillId="9" borderId="2" xfId="0" applyNumberFormat="1" applyFont="1" applyFill="1" applyBorder="1" applyAlignment="1" applyProtection="1">
      <alignment horizontal="center"/>
      <protection/>
    </xf>
    <xf numFmtId="2" fontId="83" fillId="18" borderId="2" xfId="0" applyNumberFormat="1" applyFont="1" applyFill="1" applyBorder="1" applyAlignment="1" applyProtection="1">
      <alignment horizontal="center"/>
      <protection/>
    </xf>
    <xf numFmtId="168" fontId="115" fillId="3" borderId="21" xfId="0" applyNumberFormat="1" applyFont="1" applyFill="1" applyBorder="1" applyAlignment="1" applyProtection="1" quotePrefix="1">
      <alignment horizontal="center"/>
      <protection/>
    </xf>
    <xf numFmtId="168" fontId="115" fillId="3" borderId="23" xfId="0" applyNumberFormat="1" applyFont="1" applyFill="1" applyBorder="1" applyAlignment="1" applyProtection="1" quotePrefix="1">
      <alignment horizontal="center"/>
      <protection/>
    </xf>
    <xf numFmtId="4" fontId="115" fillId="3" borderId="4" xfId="0" applyNumberFormat="1" applyFont="1" applyFill="1" applyBorder="1" applyAlignment="1" applyProtection="1">
      <alignment horizontal="center"/>
      <protection/>
    </xf>
    <xf numFmtId="168" fontId="47" fillId="20" borderId="21" xfId="0" applyNumberFormat="1" applyFont="1" applyFill="1" applyBorder="1" applyAlignment="1" applyProtection="1" quotePrefix="1">
      <alignment horizontal="center"/>
      <protection/>
    </xf>
    <xf numFmtId="168" fontId="47" fillId="20" borderId="23" xfId="0" applyNumberFormat="1" applyFont="1" applyFill="1" applyBorder="1" applyAlignment="1" applyProtection="1" quotePrefix="1">
      <alignment horizontal="center"/>
      <protection/>
    </xf>
    <xf numFmtId="4" fontId="47" fillId="20" borderId="4" xfId="0" applyNumberFormat="1" applyFont="1" applyFill="1" applyBorder="1" applyAlignment="1" applyProtection="1">
      <alignment horizontal="center"/>
      <protection/>
    </xf>
    <xf numFmtId="4" fontId="47" fillId="7" borderId="2" xfId="0" applyNumberFormat="1" applyFont="1" applyFill="1" applyBorder="1" applyAlignment="1" applyProtection="1">
      <alignment horizontal="center"/>
      <protection/>
    </xf>
    <xf numFmtId="4" fontId="47" fillId="21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3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114" fillId="2" borderId="3" xfId="0" applyNumberFormat="1" applyFont="1" applyFill="1" applyBorder="1" applyAlignment="1" applyProtection="1">
      <alignment horizontal="center"/>
      <protection/>
    </xf>
    <xf numFmtId="168" fontId="92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7" fillId="9" borderId="3" xfId="0" applyNumberFormat="1" applyFont="1" applyFill="1" applyBorder="1" applyAlignment="1" applyProtection="1">
      <alignment horizontal="center"/>
      <protection/>
    </xf>
    <xf numFmtId="2" fontId="83" fillId="18" borderId="3" xfId="0" applyNumberFormat="1" applyFont="1" applyFill="1" applyBorder="1" applyAlignment="1" applyProtection="1">
      <alignment horizontal="center"/>
      <protection/>
    </xf>
    <xf numFmtId="168" fontId="115" fillId="3" borderId="24" xfId="0" applyNumberFormat="1" applyFont="1" applyFill="1" applyBorder="1" applyAlignment="1" applyProtection="1" quotePrefix="1">
      <alignment horizontal="center"/>
      <protection/>
    </xf>
    <xf numFmtId="168" fontId="115" fillId="3" borderId="71" xfId="0" applyNumberFormat="1" applyFont="1" applyFill="1" applyBorder="1" applyAlignment="1" applyProtection="1" quotePrefix="1">
      <alignment horizontal="center"/>
      <protection/>
    </xf>
    <xf numFmtId="4" fontId="115" fillId="3" borderId="19" xfId="0" applyNumberFormat="1" applyFont="1" applyFill="1" applyBorder="1" applyAlignment="1" applyProtection="1">
      <alignment horizontal="center"/>
      <protection/>
    </xf>
    <xf numFmtId="168" fontId="47" fillId="20" borderId="24" xfId="0" applyNumberFormat="1" applyFont="1" applyFill="1" applyBorder="1" applyAlignment="1" applyProtection="1" quotePrefix="1">
      <alignment horizontal="center"/>
      <protection/>
    </xf>
    <xf numFmtId="168" fontId="47" fillId="20" borderId="71" xfId="0" applyNumberFormat="1" applyFont="1" applyFill="1" applyBorder="1" applyAlignment="1" applyProtection="1" quotePrefix="1">
      <alignment horizontal="center"/>
      <protection/>
    </xf>
    <xf numFmtId="4" fontId="47" fillId="20" borderId="19" xfId="0" applyNumberFormat="1" applyFont="1" applyFill="1" applyBorder="1" applyAlignment="1" applyProtection="1">
      <alignment horizontal="center"/>
      <protection/>
    </xf>
    <xf numFmtId="4" fontId="47" fillId="7" borderId="3" xfId="0" applyNumberFormat="1" applyFont="1" applyFill="1" applyBorder="1" applyAlignment="1" applyProtection="1">
      <alignment horizontal="center"/>
      <protection/>
    </xf>
    <xf numFmtId="4" fontId="47" fillId="21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2" fontId="92" fillId="9" borderId="14" xfId="0" applyNumberFormat="1" applyFont="1" applyFill="1" applyBorder="1" applyAlignment="1" applyProtection="1">
      <alignment horizontal="center"/>
      <protection/>
    </xf>
    <xf numFmtId="2" fontId="81" fillId="18" borderId="14" xfId="0" applyNumberFormat="1" applyFont="1" applyFill="1" applyBorder="1" applyAlignment="1" applyProtection="1">
      <alignment horizontal="center"/>
      <protection/>
    </xf>
    <xf numFmtId="2" fontId="94" fillId="3" borderId="14" xfId="0" applyNumberFormat="1" applyFont="1" applyFill="1" applyBorder="1" applyAlignment="1" applyProtection="1">
      <alignment horizontal="center"/>
      <protection/>
    </xf>
    <xf numFmtId="2" fontId="92" fillId="20" borderId="14" xfId="0" applyNumberFormat="1" applyFont="1" applyFill="1" applyBorder="1" applyAlignment="1" applyProtection="1">
      <alignment horizontal="center"/>
      <protection/>
    </xf>
    <xf numFmtId="2" fontId="92" fillId="7" borderId="14" xfId="0" applyNumberFormat="1" applyFont="1" applyFill="1" applyBorder="1" applyAlignment="1" applyProtection="1">
      <alignment horizontal="center"/>
      <protection/>
    </xf>
    <xf numFmtId="2" fontId="92" fillId="21" borderId="14" xfId="0" applyNumberFormat="1" applyFont="1" applyFill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2" fillId="0" borderId="15" xfId="0" applyNumberFormat="1" applyFont="1" applyFill="1" applyBorder="1" applyAlignment="1" applyProtection="1">
      <alignment horizontal="center"/>
      <protection/>
    </xf>
    <xf numFmtId="2" fontId="81" fillId="0" borderId="15" xfId="0" applyNumberFormat="1" applyFont="1" applyFill="1" applyBorder="1" applyAlignment="1" applyProtection="1">
      <alignment horizontal="center"/>
      <protection/>
    </xf>
    <xf numFmtId="2" fontId="94" fillId="0" borderId="15" xfId="0" applyNumberFormat="1" applyFont="1" applyFill="1" applyBorder="1" applyAlignment="1" applyProtection="1">
      <alignment horizontal="center"/>
      <protection/>
    </xf>
    <xf numFmtId="0" fontId="36" fillId="22" borderId="14" xfId="0" applyFont="1" applyFill="1" applyBorder="1" applyAlignment="1" applyProtection="1">
      <alignment horizontal="center" vertical="center"/>
      <protection/>
    </xf>
    <xf numFmtId="0" fontId="43" fillId="22" borderId="16" xfId="0" applyFont="1" applyFill="1" applyBorder="1" applyAlignment="1">
      <alignment vertical="center" wrapText="1"/>
    </xf>
    <xf numFmtId="0" fontId="43" fillId="22" borderId="30" xfId="0" applyFont="1" applyFill="1" applyBorder="1" applyAlignment="1">
      <alignment vertical="center" wrapText="1"/>
    </xf>
    <xf numFmtId="0" fontId="95" fillId="22" borderId="2" xfId="0" applyFont="1" applyFill="1" applyBorder="1" applyAlignment="1">
      <alignment horizontal="center"/>
    </xf>
    <xf numFmtId="0" fontId="44" fillId="22" borderId="0" xfId="0" applyFont="1" applyFill="1" applyBorder="1" applyAlignment="1">
      <alignment horizontal="left"/>
    </xf>
    <xf numFmtId="0" fontId="44" fillId="22" borderId="46" xfId="0" applyFont="1" applyFill="1" applyBorder="1" applyAlignment="1">
      <alignment horizontal="left"/>
    </xf>
    <xf numFmtId="168" fontId="95" fillId="22" borderId="2" xfId="0" applyNumberFormat="1" applyFont="1" applyFill="1" applyBorder="1" applyAlignment="1" applyProtection="1">
      <alignment horizontal="center"/>
      <protection/>
    </xf>
    <xf numFmtId="168" fontId="47" fillId="22" borderId="0" xfId="0" applyNumberFormat="1" applyFont="1" applyFill="1" applyBorder="1" applyAlignment="1" applyProtection="1" quotePrefix="1">
      <alignment horizontal="center"/>
      <protection/>
    </xf>
    <xf numFmtId="168" fontId="47" fillId="22" borderId="46" xfId="0" applyNumberFormat="1" applyFont="1" applyFill="1" applyBorder="1" applyAlignment="1" applyProtection="1" quotePrefix="1">
      <alignment horizontal="center"/>
      <protection/>
    </xf>
    <xf numFmtId="168" fontId="95" fillId="22" borderId="3" xfId="0" applyNumberFormat="1" applyFont="1" applyFill="1" applyBorder="1" applyAlignment="1" applyProtection="1">
      <alignment horizontal="center"/>
      <protection/>
    </xf>
    <xf numFmtId="168" fontId="44" fillId="22" borderId="51" xfId="0" applyNumberFormat="1" applyFont="1" applyFill="1" applyBorder="1" applyAlignment="1" applyProtection="1" quotePrefix="1">
      <alignment horizontal="center"/>
      <protection/>
    </xf>
    <xf numFmtId="168" fontId="44" fillId="22" borderId="19" xfId="0" applyNumberFormat="1" applyFont="1" applyFill="1" applyBorder="1" applyAlignment="1" applyProtection="1" quotePrefix="1">
      <alignment horizontal="center"/>
      <protection/>
    </xf>
    <xf numFmtId="2" fontId="62" fillId="0" borderId="16" xfId="0" applyNumberFormat="1" applyFont="1" applyFill="1" applyBorder="1" applyAlignment="1">
      <alignment horizontal="center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4" fontId="29" fillId="0" borderId="0" xfId="0" applyNumberFormat="1" applyFont="1" applyFill="1" applyBorder="1" applyAlignment="1">
      <alignment horizontal="right"/>
    </xf>
    <xf numFmtId="7" fontId="13" fillId="0" borderId="0" xfId="0" applyNumberFormat="1" applyFont="1" applyBorder="1" applyAlignment="1">
      <alignment horizontal="centerContinuous"/>
    </xf>
    <xf numFmtId="168" fontId="22" fillId="0" borderId="0" xfId="0" applyNumberFormat="1" applyFont="1" applyBorder="1" applyAlignment="1">
      <alignment/>
    </xf>
    <xf numFmtId="168" fontId="54" fillId="0" borderId="0" xfId="0" applyNumberFormat="1" applyFont="1" applyBorder="1" applyAlignment="1" applyProtection="1" quotePrefix="1">
      <alignment horizontal="right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22" borderId="72" xfId="0" applyFont="1" applyFill="1" applyBorder="1" applyAlignment="1">
      <alignment vertical="center" wrapText="1"/>
    </xf>
    <xf numFmtId="0" fontId="44" fillId="22" borderId="47" xfId="0" applyFont="1" applyFill="1" applyBorder="1" applyAlignment="1">
      <alignment horizontal="left"/>
    </xf>
    <xf numFmtId="168" fontId="47" fillId="22" borderId="47" xfId="0" applyNumberFormat="1" applyFont="1" applyFill="1" applyBorder="1" applyAlignment="1" applyProtection="1" quotePrefix="1">
      <alignment horizontal="center"/>
      <protection/>
    </xf>
    <xf numFmtId="168" fontId="44" fillId="22" borderId="73" xfId="0" applyNumberFormat="1" applyFont="1" applyFill="1" applyBorder="1" applyAlignment="1" applyProtection="1" quotePrefix="1">
      <alignment horizontal="center"/>
      <protection/>
    </xf>
    <xf numFmtId="164" fontId="7" fillId="0" borderId="16" xfId="0" applyNumberFormat="1" applyFont="1" applyFill="1" applyBorder="1" applyAlignment="1" applyProtection="1">
      <alignment horizontal="center"/>
      <protection/>
    </xf>
    <xf numFmtId="8" fontId="29" fillId="0" borderId="14" xfId="19" applyNumberFormat="1" applyFont="1" applyFill="1" applyBorder="1" applyAlignment="1">
      <alignment horizontal="right"/>
    </xf>
    <xf numFmtId="7" fontId="54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7" fontId="54" fillId="0" borderId="4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168" fontId="7" fillId="0" borderId="20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8" fontId="7" fillId="0" borderId="73" xfId="0" applyNumberFormat="1" applyFont="1" applyBorder="1" applyAlignment="1" applyProtection="1">
      <alignment horizontal="centerContinuous"/>
      <protection/>
    </xf>
    <xf numFmtId="168" fontId="7" fillId="0" borderId="19" xfId="0" applyNumberFormat="1" applyFont="1" applyBorder="1" applyAlignment="1" applyProtection="1">
      <alignment horizontal="centerContinuous"/>
      <protection/>
    </xf>
    <xf numFmtId="0" fontId="116" fillId="0" borderId="0" xfId="0" applyFont="1" applyBorder="1" applyAlignment="1">
      <alignment/>
    </xf>
    <xf numFmtId="168" fontId="95" fillId="2" borderId="0" xfId="0" applyNumberFormat="1" applyFont="1" applyFill="1" applyBorder="1" applyAlignment="1" applyProtection="1">
      <alignment horizontal="center"/>
      <protection/>
    </xf>
    <xf numFmtId="168" fontId="95" fillId="22" borderId="0" xfId="0" applyNumberFormat="1" applyFont="1" applyFill="1" applyBorder="1" applyAlignment="1" applyProtection="1">
      <alignment horizontal="center"/>
      <protection/>
    </xf>
    <xf numFmtId="164" fontId="37" fillId="2" borderId="0" xfId="0" applyNumberFormat="1" applyFont="1" applyFill="1" applyBorder="1" applyAlignment="1" applyProtection="1">
      <alignment horizontal="center"/>
      <protection/>
    </xf>
    <xf numFmtId="2" fontId="44" fillId="13" borderId="0" xfId="0" applyNumberFormat="1" applyFont="1" applyFill="1" applyBorder="1" applyAlignment="1">
      <alignment horizontal="center"/>
    </xf>
    <xf numFmtId="168" fontId="44" fillId="14" borderId="0" xfId="0" applyNumberFormat="1" applyFont="1" applyFill="1" applyBorder="1" applyAlignment="1" applyProtection="1" quotePrefix="1">
      <alignment horizontal="center"/>
      <protection/>
    </xf>
    <xf numFmtId="168" fontId="44" fillId="3" borderId="0" xfId="0" applyNumberFormat="1" applyFont="1" applyFill="1" applyBorder="1" applyAlignment="1" applyProtection="1" quotePrefix="1">
      <alignment horizontal="center"/>
      <protection/>
    </xf>
    <xf numFmtId="168" fontId="44" fillId="22" borderId="0" xfId="0" applyNumberFormat="1" applyFont="1" applyFill="1" applyBorder="1" applyAlignment="1" applyProtection="1" quotePrefix="1">
      <alignment horizontal="center"/>
      <protection/>
    </xf>
    <xf numFmtId="22" fontId="7" fillId="0" borderId="15" xfId="0" applyNumberFormat="1" applyFont="1" applyFill="1" applyBorder="1" applyAlignment="1">
      <alignment horizontal="center"/>
    </xf>
    <xf numFmtId="22" fontId="7" fillId="0" borderId="15" xfId="0" applyNumberFormat="1" applyFont="1" applyFill="1" applyBorder="1" applyAlignment="1" applyProtection="1">
      <alignment horizontal="center"/>
      <protection/>
    </xf>
    <xf numFmtId="0" fontId="118" fillId="0" borderId="16" xfId="0" applyFont="1" applyBorder="1" applyAlignment="1">
      <alignment horizontal="left"/>
    </xf>
    <xf numFmtId="0" fontId="118" fillId="0" borderId="0" xfId="0" applyFont="1" applyBorder="1" applyAlignment="1">
      <alignment horizontal="left"/>
    </xf>
    <xf numFmtId="0" fontId="118" fillId="0" borderId="0" xfId="0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7" fontId="22" fillId="0" borderId="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4" fontId="54" fillId="0" borderId="49" xfId="0" applyNumberFormat="1" applyFont="1" applyBorder="1" applyAlignment="1" applyProtection="1">
      <alignment horizontal="center"/>
      <protection/>
    </xf>
    <xf numFmtId="168" fontId="11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right"/>
    </xf>
    <xf numFmtId="0" fontId="22" fillId="0" borderId="1" xfId="0" applyFont="1" applyBorder="1" applyAlignment="1">
      <alignment/>
    </xf>
    <xf numFmtId="173" fontId="23" fillId="0" borderId="0" xfId="0" applyNumberFormat="1" applyFont="1" applyBorder="1" applyAlignment="1" applyProtection="1">
      <alignment horizontal="left" vertical="center"/>
      <protection/>
    </xf>
    <xf numFmtId="0" fontId="119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4" fillId="0" borderId="0" xfId="0" applyFont="1" applyAlignment="1">
      <alignment/>
    </xf>
    <xf numFmtId="0" fontId="120" fillId="0" borderId="0" xfId="0" applyFont="1" applyAlignment="1">
      <alignment horizontal="centerContinuous"/>
    </xf>
    <xf numFmtId="0" fontId="84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121" fillId="0" borderId="0" xfId="0" applyFont="1" applyAlignment="1">
      <alignment vertical="center"/>
    </xf>
    <xf numFmtId="0" fontId="121" fillId="0" borderId="7" xfId="0" applyFont="1" applyBorder="1" applyAlignment="1">
      <alignment vertical="center"/>
    </xf>
    <xf numFmtId="0" fontId="121" fillId="0" borderId="20" xfId="0" applyFont="1" applyBorder="1" applyAlignment="1">
      <alignment vertical="center"/>
    </xf>
    <xf numFmtId="0" fontId="121" fillId="0" borderId="2" xfId="0" applyFont="1" applyBorder="1" applyAlignment="1">
      <alignment vertical="center"/>
    </xf>
    <xf numFmtId="0" fontId="121" fillId="23" borderId="2" xfId="0" applyFont="1" applyFill="1" applyBorder="1" applyAlignment="1">
      <alignment vertical="center"/>
    </xf>
    <xf numFmtId="0" fontId="121" fillId="0" borderId="29" xfId="0" applyFont="1" applyBorder="1" applyAlignment="1">
      <alignment vertical="center"/>
    </xf>
    <xf numFmtId="0" fontId="121" fillId="0" borderId="1" xfId="0" applyFont="1" applyBorder="1" applyAlignment="1">
      <alignment vertical="center"/>
    </xf>
    <xf numFmtId="0" fontId="121" fillId="1" borderId="21" xfId="0" applyFont="1" applyFill="1" applyBorder="1" applyAlignment="1">
      <alignment horizontal="center" vertical="center"/>
    </xf>
    <xf numFmtId="0" fontId="121" fillId="1" borderId="2" xfId="0" applyFont="1" applyFill="1" applyBorder="1" applyAlignment="1">
      <alignment horizontal="center" vertical="center"/>
    </xf>
    <xf numFmtId="0" fontId="121" fillId="23" borderId="18" xfId="0" applyFont="1" applyFill="1" applyBorder="1" applyAlignment="1">
      <alignment horizontal="center" vertical="center"/>
    </xf>
    <xf numFmtId="0" fontId="121" fillId="0" borderId="44" xfId="0" applyFont="1" applyBorder="1" applyAlignment="1">
      <alignment vertical="center"/>
    </xf>
    <xf numFmtId="0" fontId="121" fillId="0" borderId="36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1" borderId="36" xfId="0" applyFont="1" applyFill="1" applyBorder="1" applyAlignment="1">
      <alignment horizontal="center" vertical="center"/>
    </xf>
    <xf numFmtId="0" fontId="121" fillId="1" borderId="18" xfId="0" applyFont="1" applyFill="1" applyBorder="1" applyAlignment="1">
      <alignment horizontal="center" vertical="center"/>
    </xf>
    <xf numFmtId="0" fontId="121" fillId="0" borderId="39" xfId="0" applyFont="1" applyBorder="1" applyAlignment="1">
      <alignment horizontal="center" vertical="center"/>
    </xf>
    <xf numFmtId="0" fontId="121" fillId="0" borderId="38" xfId="0" applyFont="1" applyBorder="1" applyAlignment="1">
      <alignment horizontal="center" vertical="center"/>
    </xf>
    <xf numFmtId="0" fontId="121" fillId="23" borderId="38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right" vertical="center"/>
    </xf>
    <xf numFmtId="170" fontId="122" fillId="0" borderId="14" xfId="0" applyNumberFormat="1" applyFont="1" applyFill="1" applyBorder="1" applyAlignment="1">
      <alignment horizontal="center" vertical="center"/>
    </xf>
    <xf numFmtId="0" fontId="121" fillId="0" borderId="8" xfId="0" applyFont="1" applyFill="1" applyBorder="1" applyAlignment="1">
      <alignment horizontal="center" vertical="center"/>
    </xf>
    <xf numFmtId="0" fontId="121" fillId="0" borderId="15" xfId="0" applyFont="1" applyFill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1" fillId="0" borderId="0" xfId="0" applyFont="1" applyBorder="1" applyAlignment="1">
      <alignment horizontal="right" vertical="center"/>
    </xf>
    <xf numFmtId="0" fontId="122" fillId="0" borderId="0" xfId="0" applyFont="1" applyBorder="1" applyAlignment="1">
      <alignment horizontal="right" vertical="center"/>
    </xf>
    <xf numFmtId="0" fontId="121" fillId="0" borderId="14" xfId="0" applyFont="1" applyBorder="1" applyAlignment="1">
      <alignment horizontal="center" vertical="center"/>
    </xf>
    <xf numFmtId="2" fontId="122" fillId="23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3" fillId="23" borderId="54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04" fillId="0" borderId="0" xfId="0" applyNumberFormat="1" applyFont="1" applyBorder="1" applyAlignment="1">
      <alignment horizontal="left"/>
    </xf>
    <xf numFmtId="0" fontId="7" fillId="0" borderId="51" xfId="0" applyFont="1" applyBorder="1" applyAlignment="1">
      <alignment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  <protection locked="0"/>
    </xf>
    <xf numFmtId="0" fontId="32" fillId="0" borderId="7" xfId="0" applyFont="1" applyBorder="1" applyAlignment="1">
      <alignment/>
    </xf>
    <xf numFmtId="0" fontId="34" fillId="0" borderId="0" xfId="0" applyFont="1" applyBorder="1" applyAlignment="1" applyProtection="1">
      <alignment horizontal="left" vertical="top"/>
      <protection/>
    </xf>
    <xf numFmtId="164" fontId="124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 horizontal="center"/>
      <protection/>
    </xf>
    <xf numFmtId="168" fontId="32" fillId="0" borderId="0" xfId="0" applyNumberFormat="1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 quotePrefix="1">
      <alignment horizontal="center"/>
      <protection/>
    </xf>
    <xf numFmtId="2" fontId="125" fillId="0" borderId="0" xfId="0" applyNumberFormat="1" applyFont="1" applyBorder="1" applyAlignment="1" applyProtection="1">
      <alignment horizontal="center"/>
      <protection/>
    </xf>
    <xf numFmtId="7" fontId="35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Continuous"/>
    </xf>
    <xf numFmtId="174" fontId="7" fillId="0" borderId="14" xfId="0" applyNumberFormat="1" applyFont="1" applyBorder="1" applyAlignment="1">
      <alignment horizontal="center"/>
    </xf>
    <xf numFmtId="0" fontId="12" fillId="0" borderId="65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8" fontId="7" fillId="0" borderId="48" xfId="0" applyNumberFormat="1" applyFont="1" applyBorder="1" applyAlignment="1" applyProtection="1" quotePrefix="1">
      <alignment horizontal="center"/>
      <protection/>
    </xf>
    <xf numFmtId="168" fontId="7" fillId="0" borderId="22" xfId="0" applyNumberFormat="1" applyFont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 quotePrefix="1">
      <alignment horizontal="center"/>
      <protection/>
    </xf>
    <xf numFmtId="164" fontId="7" fillId="0" borderId="65" xfId="0" applyNumberFormat="1" applyFont="1" applyBorder="1" applyAlignment="1" applyProtection="1">
      <alignment horizontal="center"/>
      <protection/>
    </xf>
    <xf numFmtId="164" fontId="7" fillId="0" borderId="66" xfId="0" applyNumberFormat="1" applyFont="1" applyBorder="1" applyAlignment="1" applyProtection="1">
      <alignment horizontal="center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35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70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168" fontId="7" fillId="0" borderId="65" xfId="0" applyNumberFormat="1" applyFont="1" applyBorder="1" applyAlignment="1" applyProtection="1">
      <alignment horizontal="center"/>
      <protection/>
    </xf>
    <xf numFmtId="168" fontId="7" fillId="0" borderId="53" xfId="0" applyNumberFormat="1" applyFont="1" applyBorder="1" applyAlignment="1" applyProtection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  <xf numFmtId="168" fontId="7" fillId="0" borderId="48" xfId="0" applyNumberFormat="1" applyFont="1" applyBorder="1" applyAlignment="1" applyProtection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>
      <alignment horizontal="center"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7" fontId="10" fillId="0" borderId="49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Normal_líneas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1</xdr:col>
      <xdr:colOff>76200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1238250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381000</xdr:colOff>
      <xdr:row>0</xdr:row>
      <xdr:rowOff>19050</xdr:rowOff>
    </xdr:from>
    <xdr:to>
      <xdr:col>0</xdr:col>
      <xdr:colOff>895350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5143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962025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57150</xdr:colOff>
      <xdr:row>15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309562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0007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09"/>
      <sheetName val="LI-07 (1)"/>
      <sheetName val="LI-YACY-07 (1)"/>
      <sheetName val="LI-LITSA-07 (1)"/>
      <sheetName val="LI-IV-07 (1)"/>
      <sheetName val="LI-INTESAR-07 (1)"/>
      <sheetName val="LI-CUYANA-07 (1)"/>
      <sheetName val="LI-LIMSA-07 (1)"/>
      <sheetName val="TR-07 (1)"/>
      <sheetName val="TR-LITSA-07 (1)"/>
      <sheetName val="TR-TIBA-07 (1)"/>
      <sheetName val="TR-ENECOR-07 (1)"/>
      <sheetName val="TR-INTESAR-07 (1)"/>
      <sheetName val="TR-LIMSA-07 (1)"/>
      <sheetName val="TR-CUYANA-07 (1)"/>
      <sheetName val="SA-07 (1)"/>
      <sheetName val="SA-TIBA-07 (1)"/>
      <sheetName val="SA-ENECOR-07 (1)"/>
      <sheetName val="SA-LITSA-07 (1)"/>
      <sheetName val="SA-LIMSA-07 (1)"/>
      <sheetName val="SA-TESA-07 (1)"/>
      <sheetName val="SA-CTM-07 (1)"/>
      <sheetName val="RE-07 (1)"/>
      <sheetName val="RE-YACY-07 (1)"/>
      <sheetName val="RE-LITSA-07 (1)"/>
      <sheetName val="RE-IV-07 (1)"/>
      <sheetName val="SA-07 (2)"/>
      <sheetName val="SA-07 (3)"/>
      <sheetName val="LI-07 (2)"/>
      <sheetName val="RE-Res.01_03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DAG"/>
      <sheetName val="DATO"/>
      <sheetName val="CONDICIONES CLIMATICAS 313"/>
      <sheetName val="CAUSAS-VST-07 (1)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MODELO R YACYLEC"/>
      <sheetName val="MODELO R LITSA"/>
      <sheetName val="MODELO R IV"/>
      <sheetName val="MODELO VST"/>
    </sheetNames>
    <definedNames>
      <definedName name="Actualizar_Referencias"/>
    </definedNames>
    <sheetDataSet>
      <sheetData sheetId="40">
        <row r="14">
          <cell r="G14" t="str">
            <v>07</v>
          </cell>
          <cell r="H14" t="str">
            <v>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GI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  <cell r="GL30">
            <v>1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  <cell r="GG46" t="str">
            <v>XXXX</v>
          </cell>
          <cell r="GH46" t="str">
            <v>XXXX</v>
          </cell>
          <cell r="GI46" t="str">
            <v>XXXX</v>
          </cell>
          <cell r="GJ46" t="str">
            <v>XXXX</v>
          </cell>
          <cell r="GK46" t="str">
            <v>XXXX</v>
          </cell>
          <cell r="GL46" t="str">
            <v>XXXX</v>
          </cell>
          <cell r="GM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GH48">
            <v>2</v>
          </cell>
          <cell r="GM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  <cell r="GG54" t="str">
            <v>XXXX</v>
          </cell>
          <cell r="GH54" t="str">
            <v>XXXX</v>
          </cell>
          <cell r="GI54" t="str">
            <v>XXXX</v>
          </cell>
          <cell r="GJ54" t="str">
            <v>XXXX</v>
          </cell>
          <cell r="GK54" t="str">
            <v>XXXX</v>
          </cell>
          <cell r="GL54" t="str">
            <v>XXXX</v>
          </cell>
          <cell r="GM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  <cell r="GG57" t="str">
            <v>XXXX</v>
          </cell>
          <cell r="GH57" t="str">
            <v>XXXX</v>
          </cell>
          <cell r="GI57" t="str">
            <v>XXXX</v>
          </cell>
          <cell r="GJ57" t="str">
            <v>XXXX</v>
          </cell>
          <cell r="GK57" t="str">
            <v>XXXX</v>
          </cell>
          <cell r="GL57" t="str">
            <v>XXXX</v>
          </cell>
          <cell r="GM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B61">
            <v>1</v>
          </cell>
          <cell r="GM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L62">
            <v>1</v>
          </cell>
          <cell r="GM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GD65">
            <v>1</v>
          </cell>
          <cell r="GM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D69">
            <v>2</v>
          </cell>
          <cell r="GH69">
            <v>1</v>
          </cell>
          <cell r="GJ69">
            <v>1</v>
          </cell>
          <cell r="GL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GM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GH71">
            <v>1</v>
          </cell>
          <cell r="GM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GG72">
            <v>1</v>
          </cell>
          <cell r="GH72">
            <v>1</v>
          </cell>
          <cell r="GJ72">
            <v>1</v>
          </cell>
          <cell r="GL72">
            <v>1</v>
          </cell>
          <cell r="GM72">
            <v>2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GD73">
            <v>1</v>
          </cell>
          <cell r="GI73">
            <v>1</v>
          </cell>
          <cell r="GJ73">
            <v>1</v>
          </cell>
          <cell r="GM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  <cell r="G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GJ77">
            <v>1</v>
          </cell>
          <cell r="GK77">
            <v>2</v>
          </cell>
          <cell r="GL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  <cell r="GG87" t="str">
            <v>XXXX</v>
          </cell>
          <cell r="GH87" t="str">
            <v>XXXX</v>
          </cell>
          <cell r="GI87" t="str">
            <v>XXXX</v>
          </cell>
          <cell r="GJ87" t="str">
            <v>XXXX</v>
          </cell>
          <cell r="GK87" t="str">
            <v>XXXX</v>
          </cell>
          <cell r="GL87" t="str">
            <v>XXXX</v>
          </cell>
          <cell r="GM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  <cell r="GH100">
            <v>0.5</v>
          </cell>
          <cell r="GI100">
            <v>0.53</v>
          </cell>
          <cell r="GJ100">
            <v>0.54</v>
          </cell>
          <cell r="GK100">
            <v>0.5</v>
          </cell>
          <cell r="GL100">
            <v>0.5</v>
          </cell>
          <cell r="GM100">
            <v>0.56</v>
          </cell>
          <cell r="GN100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9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694"/>
      <c r="B1" s="19"/>
      <c r="E1" s="54"/>
      <c r="K1" s="141"/>
    </row>
    <row r="2" spans="2:10" s="18" customFormat="1" ht="26.25">
      <c r="B2" s="19" t="s">
        <v>329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49</v>
      </c>
      <c r="C7" s="163"/>
      <c r="D7" s="164"/>
      <c r="E7" s="164"/>
      <c r="F7" s="165"/>
      <c r="G7" s="165"/>
      <c r="H7" s="165"/>
      <c r="I7" s="165"/>
      <c r="J7" s="165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48</v>
      </c>
      <c r="C9" s="163"/>
      <c r="D9" s="164"/>
      <c r="E9" s="164"/>
      <c r="F9" s="164"/>
      <c r="G9" s="164"/>
      <c r="H9" s="164"/>
      <c r="I9" s="165"/>
      <c r="J9" s="165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313</v>
      </c>
      <c r="C11" s="166"/>
      <c r="D11" s="167"/>
      <c r="E11" s="167"/>
      <c r="F11" s="164"/>
      <c r="G11" s="164"/>
      <c r="H11" s="164"/>
      <c r="I11" s="165"/>
      <c r="J11" s="165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674"/>
      <c r="C13" s="34"/>
      <c r="D13" s="34"/>
      <c r="E13" s="675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141</v>
      </c>
      <c r="C14" s="38"/>
      <c r="D14" s="39"/>
      <c r="E14" s="676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57"/>
      <c r="E15" s="16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57" t="s">
        <v>0</v>
      </c>
      <c r="E16" s="16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57">
        <v>11</v>
      </c>
      <c r="E17" s="158" t="s">
        <v>4</v>
      </c>
      <c r="F17" s="46"/>
      <c r="G17" s="46"/>
      <c r="H17" s="46"/>
      <c r="I17" s="49">
        <f>'LI-08 (2)'!AE43</f>
        <v>226126.43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57">
        <v>13</v>
      </c>
      <c r="E18" s="158" t="s">
        <v>279</v>
      </c>
      <c r="F18" s="46"/>
      <c r="G18" s="46"/>
      <c r="H18" s="46"/>
      <c r="I18" s="49">
        <f>'LI-LITSA-08 (1)'!AF43</f>
        <v>165.54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57">
        <v>14</v>
      </c>
      <c r="E19" s="158" t="s">
        <v>278</v>
      </c>
      <c r="F19" s="46"/>
      <c r="G19" s="46"/>
      <c r="H19" s="46"/>
      <c r="I19" s="49">
        <f>'LI-INTESAR-08 (1)'!AE41</f>
        <v>687.42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s="36" customFormat="1" ht="19.5">
      <c r="B20" s="44"/>
      <c r="C20" s="48"/>
      <c r="D20" s="157">
        <v>15</v>
      </c>
      <c r="E20" s="158" t="s">
        <v>320</v>
      </c>
      <c r="F20" s="46"/>
      <c r="G20" s="46"/>
      <c r="H20" s="46"/>
      <c r="I20" s="49">
        <f>+Incendio!AD28</f>
        <v>39140.13</v>
      </c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ht="12.75" customHeight="1">
      <c r="B21" s="50"/>
      <c r="C21" s="51"/>
      <c r="D21" s="157"/>
      <c r="E21" s="677"/>
      <c r="F21" s="52"/>
      <c r="G21" s="52"/>
      <c r="H21" s="52"/>
      <c r="I21" s="53"/>
      <c r="J21" s="6"/>
      <c r="K21" s="43"/>
      <c r="L21" s="4"/>
      <c r="M21" s="4"/>
      <c r="N21" s="4"/>
      <c r="O21" s="4"/>
      <c r="P21" s="4"/>
      <c r="Q21" s="4"/>
      <c r="R21" s="4"/>
      <c r="S21" s="4"/>
    </row>
    <row r="22" spans="2:19" s="36" customFormat="1" ht="19.5">
      <c r="B22" s="44"/>
      <c r="C22" s="48" t="s">
        <v>5</v>
      </c>
      <c r="D22" s="160" t="s">
        <v>6</v>
      </c>
      <c r="E22" s="161"/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57">
        <v>21</v>
      </c>
      <c r="E23" s="158" t="s">
        <v>7</v>
      </c>
      <c r="F23" s="46"/>
      <c r="G23" s="46"/>
      <c r="H23" s="46"/>
      <c r="I23" s="49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57"/>
      <c r="E24" s="159">
        <v>211</v>
      </c>
      <c r="F24" s="54" t="s">
        <v>4</v>
      </c>
      <c r="G24" s="46"/>
      <c r="H24" s="46"/>
      <c r="I24" s="49">
        <f>'TR-08 (1)'!AC43</f>
        <v>6244.43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57"/>
      <c r="E25" s="159" t="s">
        <v>315</v>
      </c>
      <c r="F25" s="54" t="s">
        <v>316</v>
      </c>
      <c r="G25" s="46"/>
      <c r="H25" s="46"/>
      <c r="I25" s="49">
        <f>+'T4CH - Nota SE N° 2492'!AC43</f>
        <v>71200.8</v>
      </c>
      <c r="J25" s="6" t="s">
        <v>77</v>
      </c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57"/>
      <c r="E26" s="159">
        <v>214</v>
      </c>
      <c r="F26" s="54" t="s">
        <v>50</v>
      </c>
      <c r="G26" s="46"/>
      <c r="H26" s="46"/>
      <c r="I26" s="49">
        <f>'TR-ENECOR-08 (1)'!AC41</f>
        <v>765.6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57">
        <v>22</v>
      </c>
      <c r="E27" s="158" t="s">
        <v>8</v>
      </c>
      <c r="F27" s="46"/>
      <c r="G27" s="46"/>
      <c r="H27" s="46"/>
      <c r="I27" s="49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57"/>
      <c r="E28" s="159">
        <v>221</v>
      </c>
      <c r="F28" s="54" t="s">
        <v>4</v>
      </c>
      <c r="G28" s="46"/>
      <c r="H28" s="46"/>
      <c r="I28" s="49">
        <f>'SA-08 (3)'!V44</f>
        <v>31794.9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57"/>
      <c r="E29" s="159">
        <v>222</v>
      </c>
      <c r="F29" s="54" t="s">
        <v>54</v>
      </c>
      <c r="G29" s="46"/>
      <c r="H29" s="46"/>
      <c r="I29" s="49">
        <f>'SA-TIBA-08 (1)'!V43</f>
        <v>3209.94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57"/>
      <c r="E30" s="159">
        <v>223</v>
      </c>
      <c r="F30" s="54" t="s">
        <v>50</v>
      </c>
      <c r="G30" s="46"/>
      <c r="H30" s="46"/>
      <c r="I30" s="49">
        <f>'SA-ENECOR-08 (1)'!V43</f>
        <v>1693.29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ht="12.75" customHeight="1">
      <c r="B31" s="50"/>
      <c r="C31" s="51"/>
      <c r="D31" s="157"/>
      <c r="E31" s="677"/>
      <c r="F31" s="52"/>
      <c r="G31" s="52"/>
      <c r="H31" s="52"/>
      <c r="I31" s="53"/>
      <c r="J31" s="6"/>
      <c r="K31" s="43"/>
      <c r="L31" s="4"/>
      <c r="M31" s="4"/>
      <c r="N31" s="4"/>
      <c r="O31" s="4"/>
      <c r="P31" s="4"/>
      <c r="Q31" s="4"/>
      <c r="R31" s="4"/>
      <c r="S31" s="4"/>
    </row>
    <row r="32" spans="2:19" s="36" customFormat="1" ht="19.5">
      <c r="B32" s="44"/>
      <c r="C32" s="48" t="s">
        <v>9</v>
      </c>
      <c r="D32" s="160" t="s">
        <v>51</v>
      </c>
      <c r="E32" s="161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57">
        <v>31</v>
      </c>
      <c r="E33" s="158" t="s">
        <v>4</v>
      </c>
      <c r="F33" s="46"/>
      <c r="G33" s="46"/>
      <c r="H33" s="46"/>
      <c r="I33" s="49">
        <f>'RE-08 (1)'!Z42</f>
        <v>71544.46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2.75" customHeight="1">
      <c r="B34" s="44"/>
      <c r="C34" s="48"/>
      <c r="D34" s="157"/>
      <c r="E34" s="158"/>
      <c r="F34" s="46"/>
      <c r="G34" s="46"/>
      <c r="H34" s="46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 t="s">
        <v>52</v>
      </c>
      <c r="D35" s="160" t="s">
        <v>53</v>
      </c>
      <c r="E35" s="161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57">
        <v>42</v>
      </c>
      <c r="E36" s="158" t="s">
        <v>312</v>
      </c>
      <c r="F36" s="46"/>
      <c r="G36" s="46"/>
      <c r="H36" s="46"/>
      <c r="I36" s="49">
        <f>'SUP-LITSA'!K77</f>
        <v>77.5286048621963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57">
        <v>43</v>
      </c>
      <c r="E37" s="158" t="s">
        <v>278</v>
      </c>
      <c r="F37" s="46"/>
      <c r="G37" s="46"/>
      <c r="H37" s="46"/>
      <c r="I37" s="49">
        <f>'SUP-INTESAR'!K62</f>
        <v>315.0003084921745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57">
        <v>44</v>
      </c>
      <c r="E38" s="158" t="s">
        <v>50</v>
      </c>
      <c r="F38" s="46"/>
      <c r="G38" s="46"/>
      <c r="H38" s="46"/>
      <c r="I38" s="49">
        <f>'SUP-ENECOR'!J61</f>
        <v>614.72328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157">
        <v>45</v>
      </c>
      <c r="E39" s="158" t="s">
        <v>54</v>
      </c>
      <c r="F39" s="46"/>
      <c r="G39" s="46"/>
      <c r="H39" s="46"/>
      <c r="I39" s="49">
        <f>'SUP-TIBA'!J68</f>
        <v>799.4123490827886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>
      <c r="B40" s="44"/>
      <c r="C40" s="48"/>
      <c r="D40" s="157"/>
      <c r="E40" s="158"/>
      <c r="F40" s="46"/>
      <c r="G40" s="46"/>
      <c r="H40" s="46"/>
      <c r="I40" s="49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1.25" customHeight="1">
      <c r="B41" s="44"/>
      <c r="C41" s="48"/>
      <c r="D41" s="157"/>
      <c r="E41" s="158"/>
      <c r="F41" s="46"/>
      <c r="G41" s="46"/>
      <c r="H41" s="706"/>
      <c r="I41" s="49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20.25" thickBot="1">
      <c r="B42" s="44"/>
      <c r="C42" s="45"/>
      <c r="D42" s="157"/>
      <c r="E42" s="161"/>
      <c r="F42" s="46"/>
      <c r="G42" s="46"/>
      <c r="H42" s="46"/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20.25" thickBot="1" thickTop="1">
      <c r="B43" s="44"/>
      <c r="C43" s="48"/>
      <c r="D43" s="48"/>
      <c r="F43" s="55" t="s">
        <v>10</v>
      </c>
      <c r="G43" s="56">
        <f>SUM(I17:I39)</f>
        <v>454379.6045424371</v>
      </c>
      <c r="H43" s="12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9.75" customHeight="1" thickTop="1">
      <c r="B44" s="44"/>
      <c r="C44" s="48"/>
      <c r="D44" s="48"/>
      <c r="F44" s="156"/>
      <c r="G44" s="123"/>
      <c r="H44" s="123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8" customHeight="1">
      <c r="B45" s="44"/>
      <c r="C45" s="162" t="s">
        <v>300</v>
      </c>
      <c r="D45" s="48"/>
      <c r="F45" s="156"/>
      <c r="G45" s="123"/>
      <c r="H45" s="123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9.75" customHeight="1">
      <c r="B46" s="44"/>
      <c r="C46" s="48"/>
      <c r="D46" s="48"/>
      <c r="F46" s="156"/>
      <c r="G46" s="123"/>
      <c r="H46" s="123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18.75">
      <c r="B47" s="44"/>
      <c r="C47" s="1048" t="s">
        <v>317</v>
      </c>
      <c r="D47" s="48"/>
      <c r="F47" s="156"/>
      <c r="G47" s="123"/>
      <c r="H47" s="123"/>
      <c r="I47" s="707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2" customFormat="1" ht="10.5" customHeight="1" thickBot="1">
      <c r="B48" s="57"/>
      <c r="C48" s="58"/>
      <c r="D48" s="58"/>
      <c r="E48" s="59"/>
      <c r="F48" s="59"/>
      <c r="G48" s="59"/>
      <c r="H48" s="59"/>
      <c r="I48" s="59"/>
      <c r="J48" s="60"/>
      <c r="K48" s="33"/>
      <c r="L48" s="33"/>
      <c r="M48" s="61"/>
      <c r="N48" s="62"/>
      <c r="O48" s="62"/>
      <c r="P48" s="63"/>
      <c r="Q48" s="64"/>
      <c r="R48" s="33"/>
      <c r="S48" s="33"/>
    </row>
    <row r="49" spans="4:19" ht="13.5" thickTop="1">
      <c r="D49" s="4"/>
      <c r="F49" s="4"/>
      <c r="G49" s="4"/>
      <c r="H49" s="4"/>
      <c r="I49" s="4"/>
      <c r="J49" s="4"/>
      <c r="K49" s="4"/>
      <c r="L49" s="4"/>
      <c r="M49" s="15"/>
      <c r="N49" s="65"/>
      <c r="O49" s="65"/>
      <c r="P49" s="4"/>
      <c r="Q49" s="66"/>
      <c r="R49" s="4"/>
      <c r="S49" s="4"/>
    </row>
    <row r="50" spans="4:19" ht="12.75">
      <c r="D50" s="4"/>
      <c r="F50" s="4"/>
      <c r="G50" s="4"/>
      <c r="H50" s="4"/>
      <c r="I50" s="4"/>
      <c r="J50" s="4"/>
      <c r="K50" s="4"/>
      <c r="L50" s="4"/>
      <c r="M50" s="4"/>
      <c r="N50" s="67"/>
      <c r="O50" s="67"/>
      <c r="P50" s="68"/>
      <c r="Q50" s="66"/>
      <c r="R50" s="4"/>
      <c r="S50" s="4"/>
    </row>
    <row r="51" spans="4:19" ht="12.75">
      <c r="D51" s="4"/>
      <c r="E51" s="4"/>
      <c r="F51" s="4"/>
      <c r="G51" s="4"/>
      <c r="H51" s="4"/>
      <c r="I51" s="4"/>
      <c r="J51" s="4"/>
      <c r="K51" s="4"/>
      <c r="L51" s="4"/>
      <c r="M51" s="4"/>
      <c r="N51" s="67"/>
      <c r="O51" s="67"/>
      <c r="P51" s="68"/>
      <c r="Q51" s="66"/>
      <c r="R51" s="4"/>
      <c r="S51" s="4"/>
    </row>
    <row r="52" spans="4:19" ht="12.75">
      <c r="D52" s="4"/>
      <c r="E52" s="4"/>
      <c r="L52" s="4"/>
      <c r="M52" s="4"/>
      <c r="N52" s="4"/>
      <c r="O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4:19" ht="12.75">
      <c r="D56" s="4"/>
      <c r="E56" s="4"/>
      <c r="P56" s="4"/>
      <c r="Q56" s="4"/>
      <c r="R56" s="4"/>
      <c r="S56" s="4"/>
    </row>
    <row r="57" spans="4:19" ht="12.75">
      <c r="D57" s="4"/>
      <c r="E57" s="4"/>
      <c r="P57" s="4"/>
      <c r="Q57" s="4"/>
      <c r="R57" s="4"/>
      <c r="S57" s="4"/>
    </row>
    <row r="58" spans="16:19" ht="12.75">
      <c r="P58" s="4"/>
      <c r="Q58" s="4"/>
      <c r="R58" s="4"/>
      <c r="S58" s="4"/>
    </row>
    <row r="59" spans="16:19" ht="12.75">
      <c r="P59" s="4"/>
      <c r="Q59" s="4"/>
      <c r="R59" s="4"/>
      <c r="S59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7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7"/>
  <sheetViews>
    <sheetView zoomScale="70" zoomScaleNormal="70" workbookViewId="0" topLeftCell="C13">
      <selection activeCell="C37" sqref="A37:IV37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55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129</v>
      </c>
      <c r="G10" s="332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3"/>
      <c r="G11" s="333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65</v>
      </c>
      <c r="G12" s="332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3"/>
      <c r="G13" s="333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'TOT-0809'!B14</f>
        <v>Desde el 01 al 31 de agosto de 2009</v>
      </c>
      <c r="C14" s="40"/>
      <c r="D14" s="40"/>
      <c r="E14" s="40"/>
      <c r="F14" s="40"/>
      <c r="G14" s="40"/>
      <c r="H14" s="40"/>
      <c r="I14" s="334"/>
      <c r="J14" s="334"/>
      <c r="K14" s="334"/>
      <c r="L14" s="334"/>
      <c r="M14" s="334"/>
      <c r="N14" s="334"/>
      <c r="O14" s="334"/>
      <c r="P14" s="334"/>
      <c r="Q14" s="40"/>
      <c r="R14" s="40"/>
      <c r="S14" s="40"/>
      <c r="T14" s="40"/>
      <c r="U14" s="40"/>
      <c r="V14" s="40"/>
      <c r="W14" s="335"/>
    </row>
    <row r="15" spans="2:23" s="5" customFormat="1" ht="14.25" thickBot="1">
      <c r="B15" s="336"/>
      <c r="C15" s="337"/>
      <c r="D15" s="337"/>
      <c r="E15" s="337"/>
      <c r="F15" s="337"/>
      <c r="G15" s="337"/>
      <c r="H15" s="337"/>
      <c r="I15" s="338"/>
      <c r="J15" s="338"/>
      <c r="K15" s="338"/>
      <c r="L15" s="338"/>
      <c r="M15" s="338"/>
      <c r="N15" s="338"/>
      <c r="O15" s="338"/>
      <c r="P15" s="338"/>
      <c r="Q15" s="337"/>
      <c r="R15" s="337"/>
      <c r="S15" s="337"/>
      <c r="T15" s="337"/>
      <c r="U15" s="337"/>
      <c r="V15" s="337"/>
      <c r="W15" s="339"/>
    </row>
    <row r="16" spans="2:23" s="5" customFormat="1" ht="15" thickBot="1" thickTop="1">
      <c r="B16" s="50"/>
      <c r="C16" s="4"/>
      <c r="D16" s="4"/>
      <c r="E16" s="4"/>
      <c r="F16" s="340"/>
      <c r="G16" s="340"/>
      <c r="H16" s="115" t="s">
        <v>66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1" t="s">
        <v>67</v>
      </c>
      <c r="G17" s="342">
        <v>63.904</v>
      </c>
      <c r="H17" s="343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44" t="s">
        <v>68</v>
      </c>
      <c r="G18" s="345">
        <v>57.511</v>
      </c>
      <c r="H18" s="34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6" t="s">
        <v>69</v>
      </c>
      <c r="G19" s="345">
        <v>51.126</v>
      </c>
      <c r="H19" s="343">
        <v>40</v>
      </c>
      <c r="K19" s="194"/>
      <c r="L19" s="19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60">
        <v>3</v>
      </c>
      <c r="D20" s="760">
        <v>4</v>
      </c>
      <c r="E20" s="760">
        <v>5</v>
      </c>
      <c r="F20" s="760">
        <v>6</v>
      </c>
      <c r="G20" s="760">
        <v>7</v>
      </c>
      <c r="H20" s="760">
        <v>8</v>
      </c>
      <c r="I20" s="760">
        <v>9</v>
      </c>
      <c r="J20" s="760">
        <v>10</v>
      </c>
      <c r="K20" s="760">
        <v>11</v>
      </c>
      <c r="L20" s="760">
        <v>12</v>
      </c>
      <c r="M20" s="760">
        <v>13</v>
      </c>
      <c r="N20" s="760">
        <v>14</v>
      </c>
      <c r="O20" s="760">
        <v>15</v>
      </c>
      <c r="P20" s="760">
        <v>16</v>
      </c>
      <c r="Q20" s="760">
        <v>17</v>
      </c>
      <c r="R20" s="760">
        <v>18</v>
      </c>
      <c r="S20" s="760">
        <v>19</v>
      </c>
      <c r="T20" s="760">
        <v>20</v>
      </c>
      <c r="U20" s="760">
        <v>21</v>
      </c>
      <c r="V20" s="760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138</v>
      </c>
      <c r="E21" s="84" t="s">
        <v>139</v>
      </c>
      <c r="F21" s="86" t="s">
        <v>25</v>
      </c>
      <c r="G21" s="347" t="s">
        <v>26</v>
      </c>
      <c r="H21" s="348" t="s">
        <v>13</v>
      </c>
      <c r="I21" s="127" t="s">
        <v>15</v>
      </c>
      <c r="J21" s="85" t="s">
        <v>16</v>
      </c>
      <c r="K21" s="347" t="s">
        <v>17</v>
      </c>
      <c r="L21" s="349" t="s">
        <v>34</v>
      </c>
      <c r="M21" s="349" t="s">
        <v>29</v>
      </c>
      <c r="N21" s="87" t="s">
        <v>18</v>
      </c>
      <c r="O21" s="172" t="s">
        <v>30</v>
      </c>
      <c r="P21" s="133" t="s">
        <v>35</v>
      </c>
      <c r="Q21" s="350" t="s">
        <v>56</v>
      </c>
      <c r="R21" s="173" t="s">
        <v>33</v>
      </c>
      <c r="S21" s="351"/>
      <c r="T21" s="132" t="s">
        <v>21</v>
      </c>
      <c r="U21" s="130" t="s">
        <v>59</v>
      </c>
      <c r="V21" s="119" t="s">
        <v>22</v>
      </c>
      <c r="W21" s="6"/>
    </row>
    <row r="22" spans="2:23" s="5" customFormat="1" ht="16.5" customHeight="1" thickTop="1">
      <c r="B22" s="50"/>
      <c r="C22" s="250"/>
      <c r="D22" s="250"/>
      <c r="E22" s="250"/>
      <c r="F22" s="352"/>
      <c r="G22" s="352"/>
      <c r="H22" s="352"/>
      <c r="I22" s="208"/>
      <c r="J22" s="352"/>
      <c r="K22" s="352"/>
      <c r="L22" s="352"/>
      <c r="M22" s="352"/>
      <c r="N22" s="352"/>
      <c r="O22" s="352"/>
      <c r="P22" s="353"/>
      <c r="Q22" s="354"/>
      <c r="R22" s="355"/>
      <c r="S22" s="356"/>
      <c r="T22" s="357"/>
      <c r="U22" s="352"/>
      <c r="V22" s="358"/>
      <c r="W22" s="6"/>
    </row>
    <row r="23" spans="2:23" s="5" customFormat="1" ht="16.5" customHeight="1">
      <c r="B23" s="50"/>
      <c r="C23" s="264"/>
      <c r="D23" s="264"/>
      <c r="E23" s="264"/>
      <c r="F23" s="359"/>
      <c r="G23" s="359"/>
      <c r="H23" s="359"/>
      <c r="I23" s="360"/>
      <c r="J23" s="359"/>
      <c r="K23" s="359"/>
      <c r="L23" s="359"/>
      <c r="M23" s="359"/>
      <c r="N23" s="359"/>
      <c r="O23" s="359"/>
      <c r="P23" s="361"/>
      <c r="Q23" s="362"/>
      <c r="R23" s="182"/>
      <c r="S23" s="363"/>
      <c r="T23" s="364"/>
      <c r="U23" s="359"/>
      <c r="V23" s="365"/>
      <c r="W23" s="6"/>
    </row>
    <row r="24" spans="2:23" s="5" customFormat="1" ht="16.5" customHeight="1">
      <c r="B24" s="50"/>
      <c r="C24" s="264">
        <v>38</v>
      </c>
      <c r="D24" s="264">
        <v>209396</v>
      </c>
      <c r="E24" s="149">
        <v>98</v>
      </c>
      <c r="F24" s="366" t="s">
        <v>172</v>
      </c>
      <c r="G24" s="366" t="s">
        <v>173</v>
      </c>
      <c r="H24" s="367">
        <v>500</v>
      </c>
      <c r="I24" s="128">
        <f aca="true" t="shared" si="0" ref="I24:I41">IF(H24=500,$G$17,IF(H24=220,$G$18,$G$19))</f>
        <v>63.904</v>
      </c>
      <c r="J24" s="368">
        <v>40027.3875</v>
      </c>
      <c r="K24" s="147">
        <v>40027.654861111114</v>
      </c>
      <c r="L24" s="369">
        <f aca="true" t="shared" si="1" ref="L24:L41">IF(F24="","",(K24-J24)*24)</f>
        <v>6.4166666668024845</v>
      </c>
      <c r="M24" s="370">
        <f aca="true" t="shared" si="2" ref="M24:M41">IF(F24="","",ROUND((K24-J24)*24*60,0))</f>
        <v>385</v>
      </c>
      <c r="N24" s="210" t="s">
        <v>144</v>
      </c>
      <c r="O24" s="211" t="str">
        <f aca="true" t="shared" si="3" ref="O24:O41">IF(F24="","",IF(N24="P","--","NO"))</f>
        <v>--</v>
      </c>
      <c r="P24" s="607">
        <f aca="true" t="shared" si="4" ref="P24:P41">IF(H24=500,$H$17,IF(H24=220,$H$18,$H$19))</f>
        <v>200</v>
      </c>
      <c r="Q24" s="757">
        <f aca="true" t="shared" si="5" ref="Q24:Q41">IF(N24="P",I24*P24*ROUND(M24/60,2)*0.1,"--")</f>
        <v>8205.2736</v>
      </c>
      <c r="R24" s="182" t="str">
        <f aca="true" t="shared" si="6" ref="R24:R41">IF(AND(N24="F",O24="NO"),I24*P24,"--")</f>
        <v>--</v>
      </c>
      <c r="S24" s="363" t="str">
        <f aca="true" t="shared" si="7" ref="S24:S41">IF(N24="F",I24*P24*ROUND(M24/60,2),"--")</f>
        <v>--</v>
      </c>
      <c r="T24" s="364" t="str">
        <f aca="true" t="shared" si="8" ref="T24:T41">IF(N24="RF",I24*P24*ROUND(M24/60,2),"--")</f>
        <v>--</v>
      </c>
      <c r="U24" s="211" t="s">
        <v>128</v>
      </c>
      <c r="V24" s="371">
        <f>IF(F24="","",SUM(Q24:T24)*IF(U24="SI",1,2))</f>
        <v>8205.2736</v>
      </c>
      <c r="W24" s="6"/>
    </row>
    <row r="25" spans="2:23" s="5" customFormat="1" ht="16.5" customHeight="1">
      <c r="B25" s="50"/>
      <c r="C25" s="264">
        <v>39</v>
      </c>
      <c r="D25" s="264">
        <v>209397</v>
      </c>
      <c r="E25" s="264">
        <v>103</v>
      </c>
      <c r="F25" s="366" t="s">
        <v>174</v>
      </c>
      <c r="G25" s="366" t="s">
        <v>175</v>
      </c>
      <c r="H25" s="367">
        <v>500</v>
      </c>
      <c r="I25" s="128">
        <f t="shared" si="0"/>
        <v>63.904</v>
      </c>
      <c r="J25" s="368">
        <v>40027.39027777778</v>
      </c>
      <c r="K25" s="147">
        <v>40027.7875</v>
      </c>
      <c r="L25" s="369">
        <f t="shared" si="1"/>
        <v>9.533333333325572</v>
      </c>
      <c r="M25" s="370">
        <f t="shared" si="2"/>
        <v>572</v>
      </c>
      <c r="N25" s="210" t="s">
        <v>144</v>
      </c>
      <c r="O25" s="211" t="str">
        <f t="shared" si="3"/>
        <v>--</v>
      </c>
      <c r="P25" s="607">
        <f t="shared" si="4"/>
        <v>200</v>
      </c>
      <c r="Q25" s="757">
        <f t="shared" si="5"/>
        <v>12180.102400000002</v>
      </c>
      <c r="R25" s="182" t="str">
        <f t="shared" si="6"/>
        <v>--</v>
      </c>
      <c r="S25" s="363" t="str">
        <f t="shared" si="7"/>
        <v>--</v>
      </c>
      <c r="T25" s="364" t="str">
        <f t="shared" si="8"/>
        <v>--</v>
      </c>
      <c r="U25" s="211" t="s">
        <v>128</v>
      </c>
      <c r="V25" s="371">
        <v>0</v>
      </c>
      <c r="W25" s="6"/>
    </row>
    <row r="26" spans="2:23" s="5" customFormat="1" ht="16.5" customHeight="1">
      <c r="B26" s="50"/>
      <c r="C26" s="264">
        <v>40</v>
      </c>
      <c r="D26" s="264">
        <v>209654</v>
      </c>
      <c r="E26" s="149">
        <v>132</v>
      </c>
      <c r="F26" s="366" t="s">
        <v>167</v>
      </c>
      <c r="G26" s="366" t="s">
        <v>176</v>
      </c>
      <c r="H26" s="367">
        <v>132</v>
      </c>
      <c r="I26" s="128">
        <f t="shared" si="0"/>
        <v>51.126</v>
      </c>
      <c r="J26" s="368">
        <v>40028.38333333333</v>
      </c>
      <c r="K26" s="147">
        <v>40028.41388888889</v>
      </c>
      <c r="L26" s="369">
        <f t="shared" si="1"/>
        <v>0.7333333334536292</v>
      </c>
      <c r="M26" s="370">
        <f t="shared" si="2"/>
        <v>44</v>
      </c>
      <c r="N26" s="210" t="s">
        <v>144</v>
      </c>
      <c r="O26" s="211" t="str">
        <f t="shared" si="3"/>
        <v>--</v>
      </c>
      <c r="P26" s="607">
        <f t="shared" si="4"/>
        <v>40</v>
      </c>
      <c r="Q26" s="757">
        <f t="shared" si="5"/>
        <v>149.28791999999999</v>
      </c>
      <c r="R26" s="182" t="str">
        <f t="shared" si="6"/>
        <v>--</v>
      </c>
      <c r="S26" s="363" t="str">
        <f t="shared" si="7"/>
        <v>--</v>
      </c>
      <c r="T26" s="364" t="str">
        <f t="shared" si="8"/>
        <v>--</v>
      </c>
      <c r="U26" s="211" t="s">
        <v>128</v>
      </c>
      <c r="V26" s="371">
        <f>IF(F26="","",SUM(Q26:T26)*IF(U26="SI",1,2))</f>
        <v>149.28791999999999</v>
      </c>
      <c r="W26" s="6"/>
    </row>
    <row r="27" spans="2:23" s="5" customFormat="1" ht="16.5" customHeight="1">
      <c r="B27" s="50"/>
      <c r="C27" s="264">
        <v>41</v>
      </c>
      <c r="D27" s="264">
        <v>209656</v>
      </c>
      <c r="E27" s="264">
        <v>3804</v>
      </c>
      <c r="F27" s="366" t="s">
        <v>163</v>
      </c>
      <c r="G27" s="366" t="s">
        <v>177</v>
      </c>
      <c r="H27" s="367">
        <v>132</v>
      </c>
      <c r="I27" s="128">
        <f t="shared" si="0"/>
        <v>51.126</v>
      </c>
      <c r="J27" s="368">
        <v>40028.450694444444</v>
      </c>
      <c r="K27" s="147">
        <v>40028.47430555556</v>
      </c>
      <c r="L27" s="369">
        <f t="shared" si="1"/>
        <v>0.56666666676756</v>
      </c>
      <c r="M27" s="370">
        <f t="shared" si="2"/>
        <v>34</v>
      </c>
      <c r="N27" s="210" t="s">
        <v>147</v>
      </c>
      <c r="O27" s="211" t="str">
        <f t="shared" si="3"/>
        <v>NO</v>
      </c>
      <c r="P27" s="607">
        <f t="shared" si="4"/>
        <v>40</v>
      </c>
      <c r="Q27" s="757" t="str">
        <f t="shared" si="5"/>
        <v>--</v>
      </c>
      <c r="R27" s="182">
        <f t="shared" si="6"/>
        <v>2045.04</v>
      </c>
      <c r="S27" s="363">
        <f t="shared" si="7"/>
        <v>1165.6727999999998</v>
      </c>
      <c r="T27" s="364" t="str">
        <f t="shared" si="8"/>
        <v>--</v>
      </c>
      <c r="U27" s="211" t="s">
        <v>128</v>
      </c>
      <c r="V27" s="371">
        <f>IF(F27="","",SUM(Q27:T27)*IF(U27="SI",1,2))</f>
        <v>3210.7128</v>
      </c>
      <c r="W27" s="6"/>
    </row>
    <row r="28" spans="2:23" s="5" customFormat="1" ht="16.5" customHeight="1">
      <c r="B28" s="50"/>
      <c r="C28" s="264">
        <v>42</v>
      </c>
      <c r="D28" s="264">
        <v>209658</v>
      </c>
      <c r="E28" s="149">
        <v>149</v>
      </c>
      <c r="F28" s="366" t="s">
        <v>178</v>
      </c>
      <c r="G28" s="366" t="s">
        <v>179</v>
      </c>
      <c r="H28" s="367">
        <v>132</v>
      </c>
      <c r="I28" s="128">
        <f t="shared" si="0"/>
        <v>51.126</v>
      </c>
      <c r="J28" s="368">
        <v>40029.373611111114</v>
      </c>
      <c r="K28" s="147">
        <v>40029.82152777778</v>
      </c>
      <c r="L28" s="369">
        <f t="shared" si="1"/>
        <v>10.749999999941792</v>
      </c>
      <c r="M28" s="370">
        <f t="shared" si="2"/>
        <v>645</v>
      </c>
      <c r="N28" s="210" t="s">
        <v>144</v>
      </c>
      <c r="O28" s="211" t="str">
        <f t="shared" si="3"/>
        <v>--</v>
      </c>
      <c r="P28" s="607">
        <f t="shared" si="4"/>
        <v>40</v>
      </c>
      <c r="Q28" s="757">
        <f t="shared" si="5"/>
        <v>2198.418</v>
      </c>
      <c r="R28" s="182" t="str">
        <f t="shared" si="6"/>
        <v>--</v>
      </c>
      <c r="S28" s="363" t="str">
        <f t="shared" si="7"/>
        <v>--</v>
      </c>
      <c r="T28" s="364" t="str">
        <f t="shared" si="8"/>
        <v>--</v>
      </c>
      <c r="U28" s="211" t="s">
        <v>128</v>
      </c>
      <c r="V28" s="371">
        <v>0</v>
      </c>
      <c r="W28" s="6"/>
    </row>
    <row r="29" spans="2:23" s="5" customFormat="1" ht="16.5" customHeight="1">
      <c r="B29" s="50"/>
      <c r="C29" s="264">
        <v>43</v>
      </c>
      <c r="D29" s="264">
        <v>209660</v>
      </c>
      <c r="E29" s="264">
        <v>146</v>
      </c>
      <c r="F29" s="366" t="s">
        <v>161</v>
      </c>
      <c r="G29" s="366" t="s">
        <v>180</v>
      </c>
      <c r="H29" s="367">
        <v>132</v>
      </c>
      <c r="I29" s="128">
        <f t="shared" si="0"/>
        <v>51.126</v>
      </c>
      <c r="J29" s="368">
        <v>40030.32361111111</v>
      </c>
      <c r="K29" s="147">
        <v>40030.52569444444</v>
      </c>
      <c r="L29" s="369">
        <f t="shared" si="1"/>
        <v>4.849999999918509</v>
      </c>
      <c r="M29" s="370">
        <f t="shared" si="2"/>
        <v>291</v>
      </c>
      <c r="N29" s="210" t="s">
        <v>144</v>
      </c>
      <c r="O29" s="211" t="str">
        <f t="shared" si="3"/>
        <v>--</v>
      </c>
      <c r="P29" s="607">
        <f t="shared" si="4"/>
        <v>40</v>
      </c>
      <c r="Q29" s="757">
        <f t="shared" si="5"/>
        <v>991.8444</v>
      </c>
      <c r="R29" s="182" t="str">
        <f t="shared" si="6"/>
        <v>--</v>
      </c>
      <c r="S29" s="363" t="str">
        <f t="shared" si="7"/>
        <v>--</v>
      </c>
      <c r="T29" s="364" t="str">
        <f t="shared" si="8"/>
        <v>--</v>
      </c>
      <c r="U29" s="211" t="s">
        <v>128</v>
      </c>
      <c r="V29" s="371">
        <v>0</v>
      </c>
      <c r="W29" s="6"/>
    </row>
    <row r="30" spans="2:23" s="5" customFormat="1" ht="16.5" customHeight="1">
      <c r="B30" s="50"/>
      <c r="C30" s="264">
        <v>44</v>
      </c>
      <c r="D30" s="264">
        <v>209662</v>
      </c>
      <c r="E30" s="149">
        <v>2739</v>
      </c>
      <c r="F30" s="366" t="s">
        <v>181</v>
      </c>
      <c r="G30" s="366" t="s">
        <v>182</v>
      </c>
      <c r="H30" s="367">
        <v>132</v>
      </c>
      <c r="I30" s="128">
        <f t="shared" si="0"/>
        <v>51.126</v>
      </c>
      <c r="J30" s="368">
        <v>40030.39791666667</v>
      </c>
      <c r="K30" s="147">
        <v>40030.66458333333</v>
      </c>
      <c r="L30" s="369">
        <f t="shared" si="1"/>
        <v>6.399999999906868</v>
      </c>
      <c r="M30" s="370">
        <f t="shared" si="2"/>
        <v>384</v>
      </c>
      <c r="N30" s="210" t="s">
        <v>144</v>
      </c>
      <c r="O30" s="211" t="str">
        <f t="shared" si="3"/>
        <v>--</v>
      </c>
      <c r="P30" s="607">
        <f t="shared" si="4"/>
        <v>40</v>
      </c>
      <c r="Q30" s="757">
        <f t="shared" si="5"/>
        <v>1308.8256000000001</v>
      </c>
      <c r="R30" s="182" t="str">
        <f t="shared" si="6"/>
        <v>--</v>
      </c>
      <c r="S30" s="363" t="str">
        <f t="shared" si="7"/>
        <v>--</v>
      </c>
      <c r="T30" s="364" t="str">
        <f t="shared" si="8"/>
        <v>--</v>
      </c>
      <c r="U30" s="211" t="s">
        <v>128</v>
      </c>
      <c r="V30" s="371">
        <v>0</v>
      </c>
      <c r="W30" s="6"/>
    </row>
    <row r="31" spans="2:23" s="5" customFormat="1" ht="16.5" customHeight="1">
      <c r="B31" s="50"/>
      <c r="C31" s="264">
        <v>45</v>
      </c>
      <c r="D31" s="264">
        <v>209664</v>
      </c>
      <c r="E31" s="264">
        <v>147</v>
      </c>
      <c r="F31" s="366" t="s">
        <v>183</v>
      </c>
      <c r="G31" s="366" t="s">
        <v>184</v>
      </c>
      <c r="H31" s="367">
        <v>132</v>
      </c>
      <c r="I31" s="128">
        <f t="shared" si="0"/>
        <v>51.126</v>
      </c>
      <c r="J31" s="368">
        <v>40031.353472222225</v>
      </c>
      <c r="K31" s="147">
        <v>40031.63888888889</v>
      </c>
      <c r="L31" s="369">
        <f t="shared" si="1"/>
        <v>6.849999999976717</v>
      </c>
      <c r="M31" s="370">
        <f t="shared" si="2"/>
        <v>411</v>
      </c>
      <c r="N31" s="210" t="s">
        <v>144</v>
      </c>
      <c r="O31" s="211" t="str">
        <f t="shared" si="3"/>
        <v>--</v>
      </c>
      <c r="P31" s="607">
        <f t="shared" si="4"/>
        <v>40</v>
      </c>
      <c r="Q31" s="757">
        <f t="shared" si="5"/>
        <v>1400.8524</v>
      </c>
      <c r="R31" s="182" t="str">
        <f t="shared" si="6"/>
        <v>--</v>
      </c>
      <c r="S31" s="363" t="str">
        <f t="shared" si="7"/>
        <v>--</v>
      </c>
      <c r="T31" s="364" t="str">
        <f t="shared" si="8"/>
        <v>--</v>
      </c>
      <c r="U31" s="211" t="s">
        <v>128</v>
      </c>
      <c r="V31" s="371">
        <v>0</v>
      </c>
      <c r="W31" s="6"/>
    </row>
    <row r="32" spans="2:23" s="5" customFormat="1" ht="16.5" customHeight="1">
      <c r="B32" s="50"/>
      <c r="C32" s="264">
        <v>46</v>
      </c>
      <c r="D32" s="264">
        <v>209668</v>
      </c>
      <c r="E32" s="149">
        <v>3805</v>
      </c>
      <c r="F32" s="366" t="s">
        <v>163</v>
      </c>
      <c r="G32" s="366" t="s">
        <v>185</v>
      </c>
      <c r="H32" s="367">
        <v>132</v>
      </c>
      <c r="I32" s="128">
        <f t="shared" si="0"/>
        <v>51.126</v>
      </c>
      <c r="J32" s="368">
        <v>40032.39791666667</v>
      </c>
      <c r="K32" s="147">
        <v>40032.47638888889</v>
      </c>
      <c r="L32" s="369">
        <f t="shared" si="1"/>
        <v>1.883333333360497</v>
      </c>
      <c r="M32" s="370">
        <f t="shared" si="2"/>
        <v>113</v>
      </c>
      <c r="N32" s="210" t="s">
        <v>144</v>
      </c>
      <c r="O32" s="211" t="str">
        <f t="shared" si="3"/>
        <v>--</v>
      </c>
      <c r="P32" s="607">
        <f t="shared" si="4"/>
        <v>40</v>
      </c>
      <c r="Q32" s="757">
        <f t="shared" si="5"/>
        <v>384.46752</v>
      </c>
      <c r="R32" s="182" t="str">
        <f t="shared" si="6"/>
        <v>--</v>
      </c>
      <c r="S32" s="363" t="str">
        <f t="shared" si="7"/>
        <v>--</v>
      </c>
      <c r="T32" s="364" t="str">
        <f t="shared" si="8"/>
        <v>--</v>
      </c>
      <c r="U32" s="211" t="s">
        <v>128</v>
      </c>
      <c r="V32" s="371">
        <v>0</v>
      </c>
      <c r="W32" s="6"/>
    </row>
    <row r="33" spans="2:23" s="5" customFormat="1" ht="16.5" customHeight="1">
      <c r="B33" s="50"/>
      <c r="C33" s="264">
        <v>47</v>
      </c>
      <c r="D33" s="264">
        <v>209670</v>
      </c>
      <c r="E33" s="264">
        <v>112</v>
      </c>
      <c r="F33" s="366" t="s">
        <v>186</v>
      </c>
      <c r="G33" s="366" t="s">
        <v>187</v>
      </c>
      <c r="H33" s="367">
        <v>132</v>
      </c>
      <c r="I33" s="128">
        <f t="shared" si="0"/>
        <v>51.126</v>
      </c>
      <c r="J33" s="368">
        <v>40033.385416666664</v>
      </c>
      <c r="K33" s="147">
        <v>40033.54722222222</v>
      </c>
      <c r="L33" s="369">
        <f t="shared" si="1"/>
        <v>3.8833333334187046</v>
      </c>
      <c r="M33" s="370">
        <f t="shared" si="2"/>
        <v>233</v>
      </c>
      <c r="N33" s="210" t="s">
        <v>144</v>
      </c>
      <c r="O33" s="211" t="str">
        <f t="shared" si="3"/>
        <v>--</v>
      </c>
      <c r="P33" s="607">
        <f t="shared" si="4"/>
        <v>40</v>
      </c>
      <c r="Q33" s="757">
        <f t="shared" si="5"/>
        <v>793.47552</v>
      </c>
      <c r="R33" s="182" t="str">
        <f t="shared" si="6"/>
        <v>--</v>
      </c>
      <c r="S33" s="363" t="str">
        <f t="shared" si="7"/>
        <v>--</v>
      </c>
      <c r="T33" s="364" t="str">
        <f t="shared" si="8"/>
        <v>--</v>
      </c>
      <c r="U33" s="211" t="s">
        <v>128</v>
      </c>
      <c r="V33" s="371">
        <v>0</v>
      </c>
      <c r="W33" s="6"/>
    </row>
    <row r="34" spans="2:23" s="5" customFormat="1" ht="16.5" customHeight="1">
      <c r="B34" s="50"/>
      <c r="C34" s="264">
        <v>48</v>
      </c>
      <c r="D34" s="264">
        <v>209883</v>
      </c>
      <c r="E34" s="149">
        <v>2600</v>
      </c>
      <c r="F34" s="366" t="s">
        <v>188</v>
      </c>
      <c r="G34" s="366" t="s">
        <v>189</v>
      </c>
      <c r="H34" s="367">
        <v>500</v>
      </c>
      <c r="I34" s="128">
        <f t="shared" si="0"/>
        <v>63.904</v>
      </c>
      <c r="J34" s="368">
        <v>40035.40347222222</v>
      </c>
      <c r="K34" s="147">
        <v>40035.558333333334</v>
      </c>
      <c r="L34" s="369">
        <f t="shared" si="1"/>
        <v>3.7166666667326353</v>
      </c>
      <c r="M34" s="370">
        <f t="shared" si="2"/>
        <v>223</v>
      </c>
      <c r="N34" s="210" t="s">
        <v>144</v>
      </c>
      <c r="O34" s="211" t="str">
        <f t="shared" si="3"/>
        <v>--</v>
      </c>
      <c r="P34" s="607">
        <f t="shared" si="4"/>
        <v>200</v>
      </c>
      <c r="Q34" s="757">
        <f t="shared" si="5"/>
        <v>4754.457600000001</v>
      </c>
      <c r="R34" s="182" t="str">
        <f t="shared" si="6"/>
        <v>--</v>
      </c>
      <c r="S34" s="363" t="str">
        <f t="shared" si="7"/>
        <v>--</v>
      </c>
      <c r="T34" s="364" t="str">
        <f t="shared" si="8"/>
        <v>--</v>
      </c>
      <c r="U34" s="211" t="s">
        <v>128</v>
      </c>
      <c r="V34" s="371">
        <f>IF(F34="","",SUM(Q34:T34)*IF(U34="SI",1,2))</f>
        <v>4754.457600000001</v>
      </c>
      <c r="W34" s="6"/>
    </row>
    <row r="35" spans="2:23" s="5" customFormat="1" ht="16.5" customHeight="1">
      <c r="B35" s="50"/>
      <c r="C35" s="264">
        <v>50</v>
      </c>
      <c r="D35" s="264">
        <v>209888</v>
      </c>
      <c r="E35" s="149">
        <v>143</v>
      </c>
      <c r="F35" s="366" t="s">
        <v>161</v>
      </c>
      <c r="G35" s="366" t="s">
        <v>190</v>
      </c>
      <c r="H35" s="367">
        <v>132</v>
      </c>
      <c r="I35" s="128">
        <f t="shared" si="0"/>
        <v>51.126</v>
      </c>
      <c r="J35" s="368">
        <v>40036.316666666666</v>
      </c>
      <c r="K35" s="147">
        <v>40036.475</v>
      </c>
      <c r="L35" s="369">
        <f t="shared" si="1"/>
        <v>3.7999999999883585</v>
      </c>
      <c r="M35" s="370">
        <f t="shared" si="2"/>
        <v>228</v>
      </c>
      <c r="N35" s="210" t="s">
        <v>144</v>
      </c>
      <c r="O35" s="211" t="str">
        <f t="shared" si="3"/>
        <v>--</v>
      </c>
      <c r="P35" s="607">
        <f t="shared" si="4"/>
        <v>40</v>
      </c>
      <c r="Q35" s="757">
        <f t="shared" si="5"/>
        <v>777.1152</v>
      </c>
      <c r="R35" s="182" t="str">
        <f t="shared" si="6"/>
        <v>--</v>
      </c>
      <c r="S35" s="363" t="str">
        <f t="shared" si="7"/>
        <v>--</v>
      </c>
      <c r="T35" s="364" t="str">
        <f t="shared" si="8"/>
        <v>--</v>
      </c>
      <c r="U35" s="211" t="s">
        <v>128</v>
      </c>
      <c r="V35" s="371">
        <v>0</v>
      </c>
      <c r="W35" s="6"/>
    </row>
    <row r="36" spans="2:23" s="5" customFormat="1" ht="16.5" customHeight="1">
      <c r="B36" s="50"/>
      <c r="C36" s="264">
        <v>51</v>
      </c>
      <c r="D36" s="264">
        <v>209896</v>
      </c>
      <c r="E36" s="264">
        <v>3677</v>
      </c>
      <c r="F36" s="366" t="s">
        <v>167</v>
      </c>
      <c r="G36" s="366" t="s">
        <v>191</v>
      </c>
      <c r="H36" s="367">
        <v>132</v>
      </c>
      <c r="I36" s="128">
        <f t="shared" si="0"/>
        <v>51.126</v>
      </c>
      <c r="J36" s="368">
        <v>40037.3625</v>
      </c>
      <c r="K36" s="147">
        <v>40037.68541666667</v>
      </c>
      <c r="L36" s="369">
        <f t="shared" si="1"/>
        <v>7.749999999941792</v>
      </c>
      <c r="M36" s="370">
        <f t="shared" si="2"/>
        <v>465</v>
      </c>
      <c r="N36" s="210" t="s">
        <v>144</v>
      </c>
      <c r="O36" s="211" t="str">
        <f t="shared" si="3"/>
        <v>--</v>
      </c>
      <c r="P36" s="607">
        <f t="shared" si="4"/>
        <v>40</v>
      </c>
      <c r="Q36" s="757">
        <f t="shared" si="5"/>
        <v>1584.906</v>
      </c>
      <c r="R36" s="182" t="str">
        <f t="shared" si="6"/>
        <v>--</v>
      </c>
      <c r="S36" s="363" t="str">
        <f t="shared" si="7"/>
        <v>--</v>
      </c>
      <c r="T36" s="364" t="str">
        <f t="shared" si="8"/>
        <v>--</v>
      </c>
      <c r="U36" s="211" t="s">
        <v>128</v>
      </c>
      <c r="V36" s="371">
        <f>IF(F36="","",SUM(Q36:T36)*IF(U36="SI",1,2))</f>
        <v>1584.906</v>
      </c>
      <c r="W36" s="6"/>
    </row>
    <row r="37" spans="2:23" s="5" customFormat="1" ht="16.5" customHeight="1">
      <c r="B37" s="50"/>
      <c r="C37" s="264">
        <v>53</v>
      </c>
      <c r="D37" s="264">
        <v>209900</v>
      </c>
      <c r="E37" s="264">
        <v>142</v>
      </c>
      <c r="F37" s="366" t="s">
        <v>161</v>
      </c>
      <c r="G37" s="366" t="s">
        <v>192</v>
      </c>
      <c r="H37" s="367">
        <v>132</v>
      </c>
      <c r="I37" s="128">
        <f t="shared" si="0"/>
        <v>51.126</v>
      </c>
      <c r="J37" s="368">
        <v>40038.35902777778</v>
      </c>
      <c r="K37" s="147">
        <v>40038.486805555556</v>
      </c>
      <c r="L37" s="369">
        <f t="shared" si="1"/>
        <v>3.0666666667093523</v>
      </c>
      <c r="M37" s="370">
        <f t="shared" si="2"/>
        <v>184</v>
      </c>
      <c r="N37" s="210" t="s">
        <v>144</v>
      </c>
      <c r="O37" s="211" t="str">
        <f t="shared" si="3"/>
        <v>--</v>
      </c>
      <c r="P37" s="607">
        <f t="shared" si="4"/>
        <v>40</v>
      </c>
      <c r="Q37" s="757">
        <f t="shared" si="5"/>
        <v>627.82728</v>
      </c>
      <c r="R37" s="182" t="str">
        <f t="shared" si="6"/>
        <v>--</v>
      </c>
      <c r="S37" s="363" t="str">
        <f t="shared" si="7"/>
        <v>--</v>
      </c>
      <c r="T37" s="364" t="str">
        <f t="shared" si="8"/>
        <v>--</v>
      </c>
      <c r="U37" s="211" t="s">
        <v>128</v>
      </c>
      <c r="V37" s="371">
        <v>0</v>
      </c>
      <c r="W37" s="6"/>
    </row>
    <row r="38" spans="2:23" s="5" customFormat="1" ht="16.5" customHeight="1">
      <c r="B38" s="50"/>
      <c r="C38" s="264">
        <v>54</v>
      </c>
      <c r="D38" s="264">
        <v>209902</v>
      </c>
      <c r="E38" s="149">
        <v>96</v>
      </c>
      <c r="F38" s="366" t="s">
        <v>193</v>
      </c>
      <c r="G38" s="366" t="s">
        <v>194</v>
      </c>
      <c r="H38" s="367">
        <v>132</v>
      </c>
      <c r="I38" s="128">
        <f t="shared" si="0"/>
        <v>51.126</v>
      </c>
      <c r="J38" s="368">
        <v>40038.38333333333</v>
      </c>
      <c r="K38" s="147">
        <v>40038.56180555555</v>
      </c>
      <c r="L38" s="369">
        <f t="shared" si="1"/>
        <v>4.283333333325572</v>
      </c>
      <c r="M38" s="370">
        <f t="shared" si="2"/>
        <v>257</v>
      </c>
      <c r="N38" s="210" t="s">
        <v>144</v>
      </c>
      <c r="O38" s="211" t="str">
        <f t="shared" si="3"/>
        <v>--</v>
      </c>
      <c r="P38" s="607">
        <f t="shared" si="4"/>
        <v>40</v>
      </c>
      <c r="Q38" s="757">
        <f t="shared" si="5"/>
        <v>875.2771200000002</v>
      </c>
      <c r="R38" s="182" t="str">
        <f t="shared" si="6"/>
        <v>--</v>
      </c>
      <c r="S38" s="363" t="str">
        <f t="shared" si="7"/>
        <v>--</v>
      </c>
      <c r="T38" s="364" t="str">
        <f t="shared" si="8"/>
        <v>--</v>
      </c>
      <c r="U38" s="211" t="s">
        <v>128</v>
      </c>
      <c r="V38" s="371">
        <v>0</v>
      </c>
      <c r="W38" s="6"/>
    </row>
    <row r="39" spans="2:23" s="5" customFormat="1" ht="16.5" customHeight="1">
      <c r="B39" s="50"/>
      <c r="C39" s="264">
        <v>55</v>
      </c>
      <c r="D39" s="264">
        <v>209905</v>
      </c>
      <c r="E39" s="264">
        <v>4082</v>
      </c>
      <c r="F39" s="366" t="s">
        <v>193</v>
      </c>
      <c r="G39" s="366" t="s">
        <v>195</v>
      </c>
      <c r="H39" s="367">
        <v>132</v>
      </c>
      <c r="I39" s="128">
        <f t="shared" si="0"/>
        <v>51.126</v>
      </c>
      <c r="J39" s="368">
        <v>40039.339583333334</v>
      </c>
      <c r="K39" s="147">
        <v>40039.493055555555</v>
      </c>
      <c r="L39" s="369">
        <f t="shared" si="1"/>
        <v>3.6833333332906477</v>
      </c>
      <c r="M39" s="370">
        <f t="shared" si="2"/>
        <v>221</v>
      </c>
      <c r="N39" s="210" t="s">
        <v>144</v>
      </c>
      <c r="O39" s="211" t="str">
        <f t="shared" si="3"/>
        <v>--</v>
      </c>
      <c r="P39" s="607">
        <f t="shared" si="4"/>
        <v>40</v>
      </c>
      <c r="Q39" s="757">
        <f t="shared" si="5"/>
        <v>752.5747200000001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211" t="s">
        <v>128</v>
      </c>
      <c r="V39" s="371">
        <f>IF(F39="","",SUM(Q39:T39)*IF(U39="SI",1,2))</f>
        <v>752.5747200000001</v>
      </c>
      <c r="W39" s="6"/>
    </row>
    <row r="40" spans="2:23" s="5" customFormat="1" ht="16.5" customHeight="1">
      <c r="B40" s="50"/>
      <c r="C40" s="264">
        <v>56</v>
      </c>
      <c r="D40" s="264">
        <v>209908</v>
      </c>
      <c r="E40" s="149">
        <v>100</v>
      </c>
      <c r="F40" s="366" t="s">
        <v>196</v>
      </c>
      <c r="G40" s="366" t="s">
        <v>197</v>
      </c>
      <c r="H40" s="367">
        <v>500</v>
      </c>
      <c r="I40" s="128">
        <f t="shared" si="0"/>
        <v>63.904</v>
      </c>
      <c r="J40" s="368">
        <v>40039.40625</v>
      </c>
      <c r="K40" s="147">
        <v>40039.50347222222</v>
      </c>
      <c r="L40" s="369">
        <f t="shared" si="1"/>
        <v>2.333333333255723</v>
      </c>
      <c r="M40" s="370">
        <f t="shared" si="2"/>
        <v>140</v>
      </c>
      <c r="N40" s="210" t="s">
        <v>144</v>
      </c>
      <c r="O40" s="211" t="str">
        <f t="shared" si="3"/>
        <v>--</v>
      </c>
      <c r="P40" s="607">
        <f t="shared" si="4"/>
        <v>200</v>
      </c>
      <c r="Q40" s="757">
        <f t="shared" si="5"/>
        <v>2977.9264000000003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211" t="s">
        <v>128</v>
      </c>
      <c r="V40" s="371">
        <f>IF(F40="","",SUM(Q40:T40)*IF(U40="SI",1,2))</f>
        <v>2977.9264000000003</v>
      </c>
      <c r="W40" s="6"/>
    </row>
    <row r="41" spans="2:23" s="5" customFormat="1" ht="16.5" customHeight="1">
      <c r="B41" s="50"/>
      <c r="C41" s="264"/>
      <c r="D41" s="264"/>
      <c r="E41" s="264"/>
      <c r="F41" s="366"/>
      <c r="G41" s="366"/>
      <c r="H41" s="367"/>
      <c r="I41" s="128">
        <f t="shared" si="0"/>
        <v>51.126</v>
      </c>
      <c r="J41" s="368"/>
      <c r="K41" s="147"/>
      <c r="L41" s="369">
        <f t="shared" si="1"/>
      </c>
      <c r="M41" s="370">
        <f t="shared" si="2"/>
      </c>
      <c r="N41" s="210"/>
      <c r="O41" s="211">
        <f t="shared" si="3"/>
      </c>
      <c r="P41" s="607">
        <f t="shared" si="4"/>
        <v>40</v>
      </c>
      <c r="Q41" s="757" t="str">
        <f t="shared" si="5"/>
        <v>--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211">
        <f>IF(F41="","","SI")</f>
      </c>
      <c r="V41" s="371">
        <f>IF(F41="","",SUM(Q41:T41)*IF(U41="SI",1,2))</f>
      </c>
      <c r="W41" s="6"/>
    </row>
    <row r="42" spans="2:23" s="5" customFormat="1" ht="16.5" customHeight="1" thickBot="1">
      <c r="B42" s="50"/>
      <c r="C42" s="218"/>
      <c r="D42" s="218"/>
      <c r="E42" s="218"/>
      <c r="F42" s="218"/>
      <c r="G42" s="218"/>
      <c r="H42" s="218"/>
      <c r="I42" s="129"/>
      <c r="J42" s="372"/>
      <c r="K42" s="372"/>
      <c r="L42" s="373"/>
      <c r="M42" s="373"/>
      <c r="N42" s="372"/>
      <c r="O42" s="148"/>
      <c r="P42" s="374"/>
      <c r="Q42" s="375"/>
      <c r="R42" s="376"/>
      <c r="S42" s="377"/>
      <c r="T42" s="154"/>
      <c r="U42" s="148"/>
      <c r="V42" s="378"/>
      <c r="W42" s="6"/>
    </row>
    <row r="43" spans="2:23" s="5" customFormat="1" ht="16.5" customHeight="1" thickBot="1" thickTop="1">
      <c r="B43" s="50"/>
      <c r="C43" s="125" t="s">
        <v>23</v>
      </c>
      <c r="D43" s="977" t="s">
        <v>229</v>
      </c>
      <c r="E43" s="125"/>
      <c r="F43" s="126"/>
      <c r="G43"/>
      <c r="H43" s="4"/>
      <c r="I43" s="4"/>
      <c r="J43" s="4"/>
      <c r="K43" s="4"/>
      <c r="L43" s="4"/>
      <c r="M43" s="4"/>
      <c r="N43" s="4"/>
      <c r="O43" s="4"/>
      <c r="P43" s="4"/>
      <c r="Q43" s="379">
        <f>SUM(Q22:Q42)</f>
        <v>39962.631680000006</v>
      </c>
      <c r="R43" s="380">
        <f>SUM(R22:R42)</f>
        <v>2045.04</v>
      </c>
      <c r="S43" s="381">
        <f>SUM(S22:S42)</f>
        <v>1165.6727999999998</v>
      </c>
      <c r="T43" s="382">
        <f>SUM(T22:T42)</f>
        <v>0</v>
      </c>
      <c r="U43" s="383"/>
      <c r="V43" s="98">
        <f>ROUND(SUM(V22:V42),2)</f>
        <v>21635.14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69"/>
      <c r="X45" s="169"/>
      <c r="Y45" s="169"/>
    </row>
    <row r="46" spans="23:25" ht="16.5" customHeight="1">
      <c r="W46" s="169"/>
      <c r="X46" s="169"/>
      <c r="Y46" s="169"/>
    </row>
    <row r="47" spans="23:25" ht="16.5" customHeight="1">
      <c r="W47" s="169"/>
      <c r="X47" s="169"/>
      <c r="Y47" s="169"/>
    </row>
    <row r="48" spans="23:25" ht="16.5" customHeight="1">
      <c r="W48" s="169"/>
      <c r="X48" s="169"/>
      <c r="Y48" s="169"/>
    </row>
    <row r="49" spans="23:25" ht="16.5" customHeight="1">
      <c r="W49" s="169"/>
      <c r="X49" s="169"/>
      <c r="Y49" s="169"/>
    </row>
    <row r="50" spans="6:25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6:25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6:25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6:25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6:25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6:25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6:25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6:25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6:25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6:25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6:25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6:25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6:25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6:25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6:25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6:25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6:25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6:25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6:25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6:25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6:25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6:25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6:25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6:25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6:25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6:25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6:25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6:25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6:25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6:25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6:25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6:25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6:25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6:25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6:25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6:25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6:25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6:25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6:25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  <row r="89" spans="6:25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</row>
    <row r="90" spans="6:25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</row>
    <row r="91" spans="6:25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6:25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</row>
    <row r="93" spans="6:25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</row>
    <row r="94" spans="6:25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6:25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</row>
    <row r="96" spans="6:25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</row>
    <row r="97" spans="6:25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6:25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</row>
    <row r="99" spans="6:25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6:25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spans="6:25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</row>
    <row r="102" spans="6:25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6:25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</row>
    <row r="104" spans="6:25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6:25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6:25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6:25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6:25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6:25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</row>
    <row r="110" spans="6:25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</row>
    <row r="111" spans="6:25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</row>
    <row r="112" spans="6:25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</row>
    <row r="113" spans="6:25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</row>
    <row r="114" spans="6:25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</row>
    <row r="115" spans="6:25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</row>
    <row r="116" spans="6:25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</row>
    <row r="117" spans="6:25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</row>
    <row r="118" spans="6:25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</row>
    <row r="119" spans="6:25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</row>
    <row r="120" spans="6:25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</row>
    <row r="121" spans="6:25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</row>
    <row r="122" spans="6:25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</row>
    <row r="123" spans="6:25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</row>
    <row r="124" spans="6:25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</row>
    <row r="125" spans="6:25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</row>
    <row r="126" spans="6:25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</row>
    <row r="127" spans="6:25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</row>
    <row r="128" spans="6:25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</row>
    <row r="129" spans="6:25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</row>
    <row r="130" spans="6:25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</row>
    <row r="131" spans="6:25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</row>
    <row r="132" spans="6:25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</row>
    <row r="133" spans="6:25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</row>
    <row r="134" spans="6:25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6:25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</row>
    <row r="136" spans="6:25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</row>
    <row r="137" spans="6:25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6:25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</row>
    <row r="139" spans="6:25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6:25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6:25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6:25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6:25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6:25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6:25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6:25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6:25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6:25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6:25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6:25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6:25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6:25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  <row r="153" spans="6:25" ht="16.5" customHeight="1"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</row>
    <row r="154" spans="6:25" ht="16.5" customHeight="1"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</row>
    <row r="155" spans="6:25" ht="16.5" customHeight="1"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</row>
    <row r="156" spans="6:25" ht="16.5" customHeight="1"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</row>
    <row r="157" spans="6:25" ht="16.5" customHeight="1"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7"/>
  <sheetViews>
    <sheetView zoomScale="70" zoomScaleNormal="70" workbookViewId="0" topLeftCell="E19">
      <selection activeCell="V25" sqref="V2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55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129</v>
      </c>
      <c r="G10" s="332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3"/>
      <c r="G11" s="333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65</v>
      </c>
      <c r="G12" s="332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3"/>
      <c r="G13" s="333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'TOT-0809'!B14</f>
        <v>Desde el 01 al 31 de agosto de 2009</v>
      </c>
      <c r="C14" s="40"/>
      <c r="D14" s="40"/>
      <c r="E14" s="40"/>
      <c r="F14" s="40"/>
      <c r="G14" s="40"/>
      <c r="H14" s="40"/>
      <c r="I14" s="334"/>
      <c r="J14" s="334"/>
      <c r="K14" s="334"/>
      <c r="L14" s="334"/>
      <c r="M14" s="334"/>
      <c r="N14" s="334"/>
      <c r="O14" s="334"/>
      <c r="P14" s="334"/>
      <c r="Q14" s="40"/>
      <c r="R14" s="40"/>
      <c r="S14" s="40"/>
      <c r="T14" s="40"/>
      <c r="U14" s="40"/>
      <c r="V14" s="40"/>
      <c r="W14" s="335"/>
    </row>
    <row r="15" spans="2:23" s="5" customFormat="1" ht="14.25" thickBot="1">
      <c r="B15" s="336"/>
      <c r="C15" s="337"/>
      <c r="D15" s="337"/>
      <c r="E15" s="337"/>
      <c r="F15" s="337"/>
      <c r="G15" s="337"/>
      <c r="H15" s="337"/>
      <c r="I15" s="338"/>
      <c r="J15" s="338"/>
      <c r="K15" s="338"/>
      <c r="L15" s="338"/>
      <c r="M15" s="338"/>
      <c r="N15" s="338"/>
      <c r="O15" s="338"/>
      <c r="P15" s="338"/>
      <c r="Q15" s="337"/>
      <c r="R15" s="337"/>
      <c r="S15" s="337"/>
      <c r="T15" s="337"/>
      <c r="U15" s="337"/>
      <c r="V15" s="337"/>
      <c r="W15" s="339"/>
    </row>
    <row r="16" spans="2:23" s="5" customFormat="1" ht="15" thickBot="1" thickTop="1">
      <c r="B16" s="50"/>
      <c r="C16" s="4"/>
      <c r="D16" s="4"/>
      <c r="E16" s="4"/>
      <c r="F16" s="340"/>
      <c r="G16" s="340"/>
      <c r="H16" s="115" t="s">
        <v>66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1" t="s">
        <v>67</v>
      </c>
      <c r="G17" s="342">
        <v>63.904</v>
      </c>
      <c r="H17" s="343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44" t="s">
        <v>68</v>
      </c>
      <c r="G18" s="345">
        <v>57.511</v>
      </c>
      <c r="H18" s="34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6" t="s">
        <v>69</v>
      </c>
      <c r="G19" s="345">
        <v>51.126</v>
      </c>
      <c r="H19" s="343">
        <v>40</v>
      </c>
      <c r="K19" s="194"/>
      <c r="L19" s="19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60">
        <v>3</v>
      </c>
      <c r="D20" s="760">
        <v>4</v>
      </c>
      <c r="E20" s="760">
        <v>5</v>
      </c>
      <c r="F20" s="760">
        <v>6</v>
      </c>
      <c r="G20" s="760">
        <v>7</v>
      </c>
      <c r="H20" s="760">
        <v>8</v>
      </c>
      <c r="I20" s="760">
        <v>9</v>
      </c>
      <c r="J20" s="760">
        <v>10</v>
      </c>
      <c r="K20" s="760">
        <v>11</v>
      </c>
      <c r="L20" s="760">
        <v>12</v>
      </c>
      <c r="M20" s="760">
        <v>13</v>
      </c>
      <c r="N20" s="760">
        <v>14</v>
      </c>
      <c r="O20" s="760">
        <v>15</v>
      </c>
      <c r="P20" s="760">
        <v>16</v>
      </c>
      <c r="Q20" s="760">
        <v>17</v>
      </c>
      <c r="R20" s="760">
        <v>18</v>
      </c>
      <c r="S20" s="760">
        <v>19</v>
      </c>
      <c r="T20" s="760">
        <v>20</v>
      </c>
      <c r="U20" s="760">
        <v>21</v>
      </c>
      <c r="V20" s="760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138</v>
      </c>
      <c r="E21" s="84" t="s">
        <v>139</v>
      </c>
      <c r="F21" s="86" t="s">
        <v>25</v>
      </c>
      <c r="G21" s="347" t="s">
        <v>26</v>
      </c>
      <c r="H21" s="348" t="s">
        <v>13</v>
      </c>
      <c r="I21" s="127" t="s">
        <v>15</v>
      </c>
      <c r="J21" s="85" t="s">
        <v>16</v>
      </c>
      <c r="K21" s="347" t="s">
        <v>17</v>
      </c>
      <c r="L21" s="349" t="s">
        <v>34</v>
      </c>
      <c r="M21" s="349" t="s">
        <v>29</v>
      </c>
      <c r="N21" s="87" t="s">
        <v>18</v>
      </c>
      <c r="O21" s="172" t="s">
        <v>30</v>
      </c>
      <c r="P21" s="133" t="s">
        <v>35</v>
      </c>
      <c r="Q21" s="350" t="s">
        <v>56</v>
      </c>
      <c r="R21" s="173" t="s">
        <v>33</v>
      </c>
      <c r="S21" s="351"/>
      <c r="T21" s="132" t="s">
        <v>21</v>
      </c>
      <c r="U21" s="130" t="s">
        <v>59</v>
      </c>
      <c r="V21" s="119" t="s">
        <v>22</v>
      </c>
      <c r="W21" s="6"/>
    </row>
    <row r="22" spans="2:23" s="5" customFormat="1" ht="16.5" customHeight="1" thickTop="1">
      <c r="B22" s="50"/>
      <c r="C22" s="250"/>
      <c r="D22" s="250"/>
      <c r="E22" s="250"/>
      <c r="F22" s="352"/>
      <c r="G22" s="352"/>
      <c r="H22" s="352"/>
      <c r="I22" s="208"/>
      <c r="J22" s="352"/>
      <c r="K22" s="352"/>
      <c r="L22" s="352"/>
      <c r="M22" s="352"/>
      <c r="N22" s="352"/>
      <c r="O22" s="352"/>
      <c r="P22" s="353"/>
      <c r="Q22" s="354"/>
      <c r="R22" s="355"/>
      <c r="S22" s="356"/>
      <c r="T22" s="357"/>
      <c r="U22" s="352"/>
      <c r="V22" s="358">
        <f>'SA-08 (1)'!V43</f>
        <v>21635.14</v>
      </c>
      <c r="W22" s="6"/>
    </row>
    <row r="23" spans="2:23" s="5" customFormat="1" ht="16.5" customHeight="1">
      <c r="B23" s="50"/>
      <c r="C23" s="264"/>
      <c r="D23" s="264"/>
      <c r="E23" s="264"/>
      <c r="F23" s="359"/>
      <c r="G23" s="359"/>
      <c r="H23" s="359"/>
      <c r="I23" s="360"/>
      <c r="J23" s="359"/>
      <c r="K23" s="359"/>
      <c r="L23" s="359"/>
      <c r="M23" s="359"/>
      <c r="N23" s="359"/>
      <c r="O23" s="359"/>
      <c r="P23" s="361"/>
      <c r="Q23" s="362"/>
      <c r="R23" s="182"/>
      <c r="S23" s="363"/>
      <c r="T23" s="364"/>
      <c r="U23" s="359"/>
      <c r="V23" s="365"/>
      <c r="W23" s="6"/>
    </row>
    <row r="24" spans="2:23" s="5" customFormat="1" ht="16.5" customHeight="1">
      <c r="B24" s="50"/>
      <c r="C24" s="264">
        <v>57</v>
      </c>
      <c r="D24" s="264">
        <v>209909</v>
      </c>
      <c r="E24" s="149">
        <v>140</v>
      </c>
      <c r="F24" s="366" t="s">
        <v>198</v>
      </c>
      <c r="G24" s="366" t="s">
        <v>199</v>
      </c>
      <c r="H24" s="367">
        <v>132</v>
      </c>
      <c r="I24" s="128">
        <f aca="true" t="shared" si="0" ref="I24:I41">IF(H24=500,$G$17,IF(H24=220,$G$18,$G$19))</f>
        <v>51.126</v>
      </c>
      <c r="J24" s="368">
        <v>40039.58541666667</v>
      </c>
      <c r="K24" s="147">
        <v>40039.61319444444</v>
      </c>
      <c r="L24" s="369">
        <f aca="true" t="shared" si="1" ref="L24:L41">IF(F24="","",(K24-J24)*24)</f>
        <v>0.6666666665696539</v>
      </c>
      <c r="M24" s="370">
        <f aca="true" t="shared" si="2" ref="M24:M41">IF(F24="","",ROUND((K24-J24)*24*60,0))</f>
        <v>40</v>
      </c>
      <c r="N24" s="210" t="s">
        <v>144</v>
      </c>
      <c r="O24" s="211" t="str">
        <f aca="true" t="shared" si="3" ref="O24:O41">IF(F24="","",IF(N24="P","--","NO"))</f>
        <v>--</v>
      </c>
      <c r="P24" s="607">
        <f aca="true" t="shared" si="4" ref="P24:P41">IF(H24=500,$H$17,IF(H24=220,$H$18,$H$19))</f>
        <v>40</v>
      </c>
      <c r="Q24" s="757">
        <f aca="true" t="shared" si="5" ref="Q24:Q41">IF(N24="P",I24*P24*ROUND(M24/60,2)*0.1,"--")</f>
        <v>137.01768</v>
      </c>
      <c r="R24" s="182" t="str">
        <f aca="true" t="shared" si="6" ref="R24:R41">IF(AND(N24="F",O24="NO"),I24*P24,"--")</f>
        <v>--</v>
      </c>
      <c r="S24" s="363" t="str">
        <f aca="true" t="shared" si="7" ref="S24:S41">IF(N24="F",I24*P24*ROUND(M24/60,2),"--")</f>
        <v>--</v>
      </c>
      <c r="T24" s="364" t="str">
        <f aca="true" t="shared" si="8" ref="T24:T41">IF(N24="RF",I24*P24*ROUND(M24/60,2),"--")</f>
        <v>--</v>
      </c>
      <c r="U24" s="211" t="s">
        <v>128</v>
      </c>
      <c r="V24" s="371">
        <f>IF(F24="","",SUM(Q24:T24)*IF(U24="SI",1,2))</f>
        <v>137.01768</v>
      </c>
      <c r="W24" s="6"/>
    </row>
    <row r="25" spans="2:23" s="5" customFormat="1" ht="16.5" customHeight="1">
      <c r="B25" s="50"/>
      <c r="C25" s="264">
        <v>58</v>
      </c>
      <c r="D25" s="264">
        <v>209910</v>
      </c>
      <c r="E25" s="264">
        <v>4823</v>
      </c>
      <c r="F25" s="366" t="s">
        <v>280</v>
      </c>
      <c r="G25" s="366" t="s">
        <v>281</v>
      </c>
      <c r="H25" s="367">
        <v>500</v>
      </c>
      <c r="I25" s="128">
        <f t="shared" si="0"/>
        <v>63.904</v>
      </c>
      <c r="J25" s="368">
        <v>40040.35277777778</v>
      </c>
      <c r="K25" s="147">
        <v>40040.76944444444</v>
      </c>
      <c r="L25" s="369">
        <f t="shared" si="1"/>
        <v>9.999999999941792</v>
      </c>
      <c r="M25" s="370">
        <f t="shared" si="2"/>
        <v>600</v>
      </c>
      <c r="N25" s="210" t="s">
        <v>144</v>
      </c>
      <c r="O25" s="211" t="str">
        <f t="shared" si="3"/>
        <v>--</v>
      </c>
      <c r="P25" s="607">
        <f t="shared" si="4"/>
        <v>200</v>
      </c>
      <c r="Q25" s="757">
        <f t="shared" si="5"/>
        <v>12780.800000000003</v>
      </c>
      <c r="R25" s="182" t="str">
        <f t="shared" si="6"/>
        <v>--</v>
      </c>
      <c r="S25" s="363" t="str">
        <f t="shared" si="7"/>
        <v>--</v>
      </c>
      <c r="T25" s="364" t="str">
        <f t="shared" si="8"/>
        <v>--</v>
      </c>
      <c r="U25" s="211" t="s">
        <v>128</v>
      </c>
      <c r="V25" s="371">
        <v>0</v>
      </c>
      <c r="W25" s="6"/>
    </row>
    <row r="26" spans="2:23" s="5" customFormat="1" ht="16.5" customHeight="1">
      <c r="B26" s="50"/>
      <c r="C26" s="264">
        <v>59</v>
      </c>
      <c r="D26" s="264">
        <v>210117</v>
      </c>
      <c r="E26" s="149">
        <v>120</v>
      </c>
      <c r="F26" s="366" t="s">
        <v>200</v>
      </c>
      <c r="G26" s="366" t="s">
        <v>201</v>
      </c>
      <c r="H26" s="367">
        <v>132</v>
      </c>
      <c r="I26" s="128">
        <f t="shared" si="0"/>
        <v>51.126</v>
      </c>
      <c r="J26" s="368">
        <v>40043.39444444444</v>
      </c>
      <c r="K26" s="147">
        <v>40043.56319444445</v>
      </c>
      <c r="L26" s="369">
        <f t="shared" si="1"/>
        <v>4.050000000104774</v>
      </c>
      <c r="M26" s="370">
        <f t="shared" si="2"/>
        <v>243</v>
      </c>
      <c r="N26" s="210" t="s">
        <v>144</v>
      </c>
      <c r="O26" s="211" t="str">
        <f t="shared" si="3"/>
        <v>--</v>
      </c>
      <c r="P26" s="607">
        <f t="shared" si="4"/>
        <v>40</v>
      </c>
      <c r="Q26" s="757">
        <f t="shared" si="5"/>
        <v>828.2412</v>
      </c>
      <c r="R26" s="182" t="str">
        <f t="shared" si="6"/>
        <v>--</v>
      </c>
      <c r="S26" s="363" t="str">
        <f t="shared" si="7"/>
        <v>--</v>
      </c>
      <c r="T26" s="364" t="str">
        <f t="shared" si="8"/>
        <v>--</v>
      </c>
      <c r="U26" s="211" t="s">
        <v>128</v>
      </c>
      <c r="V26" s="371">
        <f>IF(F26="","",SUM(Q26:T26)*IF(U26="SI",1,2))</f>
        <v>828.2412</v>
      </c>
      <c r="W26" s="6"/>
    </row>
    <row r="27" spans="2:23" s="5" customFormat="1" ht="16.5" customHeight="1">
      <c r="B27" s="50"/>
      <c r="C27" s="264">
        <v>61</v>
      </c>
      <c r="D27" s="264">
        <v>210127</v>
      </c>
      <c r="E27" s="149">
        <v>122</v>
      </c>
      <c r="F27" s="366" t="s">
        <v>200</v>
      </c>
      <c r="G27" s="366" t="s">
        <v>202</v>
      </c>
      <c r="H27" s="367">
        <v>132</v>
      </c>
      <c r="I27" s="128">
        <f t="shared" si="0"/>
        <v>51.126</v>
      </c>
      <c r="J27" s="368">
        <v>40045.39375</v>
      </c>
      <c r="K27" s="147">
        <v>40045.55</v>
      </c>
      <c r="L27" s="369">
        <f t="shared" si="1"/>
        <v>3.75</v>
      </c>
      <c r="M27" s="370">
        <f t="shared" si="2"/>
        <v>225</v>
      </c>
      <c r="N27" s="210" t="s">
        <v>144</v>
      </c>
      <c r="O27" s="211" t="str">
        <f t="shared" si="3"/>
        <v>--</v>
      </c>
      <c r="P27" s="607">
        <f t="shared" si="4"/>
        <v>40</v>
      </c>
      <c r="Q27" s="757">
        <f t="shared" si="5"/>
        <v>766.89</v>
      </c>
      <c r="R27" s="182" t="str">
        <f t="shared" si="6"/>
        <v>--</v>
      </c>
      <c r="S27" s="363" t="str">
        <f t="shared" si="7"/>
        <v>--</v>
      </c>
      <c r="T27" s="364" t="str">
        <f t="shared" si="8"/>
        <v>--</v>
      </c>
      <c r="U27" s="211" t="s">
        <v>128</v>
      </c>
      <c r="V27" s="371">
        <f>IF(F27="","",SUM(Q27:T27)*IF(U27="SI",1,2))</f>
        <v>766.89</v>
      </c>
      <c r="W27" s="6"/>
    </row>
    <row r="28" spans="2:23" s="5" customFormat="1" ht="16.5" customHeight="1">
      <c r="B28" s="50"/>
      <c r="C28" s="264">
        <v>62</v>
      </c>
      <c r="D28" s="264">
        <v>210130</v>
      </c>
      <c r="E28" s="264">
        <v>4918</v>
      </c>
      <c r="F28" s="366" t="s">
        <v>181</v>
      </c>
      <c r="G28" s="366" t="s">
        <v>282</v>
      </c>
      <c r="H28" s="367">
        <v>132</v>
      </c>
      <c r="I28" s="128">
        <f t="shared" si="0"/>
        <v>51.126</v>
      </c>
      <c r="J28" s="368">
        <v>40045.45763888889</v>
      </c>
      <c r="K28" s="147">
        <v>40045.768055555556</v>
      </c>
      <c r="L28" s="369">
        <f t="shared" si="1"/>
        <v>7.4500000000116415</v>
      </c>
      <c r="M28" s="370">
        <f t="shared" si="2"/>
        <v>447</v>
      </c>
      <c r="N28" s="210" t="s">
        <v>144</v>
      </c>
      <c r="O28" s="211" t="str">
        <f t="shared" si="3"/>
        <v>--</v>
      </c>
      <c r="P28" s="607">
        <f t="shared" si="4"/>
        <v>40</v>
      </c>
      <c r="Q28" s="757">
        <f t="shared" si="5"/>
        <v>1523.5548000000001</v>
      </c>
      <c r="R28" s="182" t="str">
        <f t="shared" si="6"/>
        <v>--</v>
      </c>
      <c r="S28" s="363" t="str">
        <f t="shared" si="7"/>
        <v>--</v>
      </c>
      <c r="T28" s="364" t="str">
        <f t="shared" si="8"/>
        <v>--</v>
      </c>
      <c r="U28" s="211" t="s">
        <v>128</v>
      </c>
      <c r="V28" s="371">
        <f>IF(F28="","",SUM(Q28:T28)*IF(U28="SI",1,2))</f>
        <v>1523.5548000000001</v>
      </c>
      <c r="W28" s="6"/>
    </row>
    <row r="29" spans="2:23" s="5" customFormat="1" ht="16.5" customHeight="1">
      <c r="B29" s="50"/>
      <c r="C29" s="264">
        <v>63</v>
      </c>
      <c r="D29" s="264">
        <v>210136</v>
      </c>
      <c r="E29" s="149">
        <v>85</v>
      </c>
      <c r="F29" s="366" t="s">
        <v>203</v>
      </c>
      <c r="G29" s="366" t="s">
        <v>204</v>
      </c>
      <c r="H29" s="367">
        <v>500</v>
      </c>
      <c r="I29" s="128">
        <f t="shared" si="0"/>
        <v>63.904</v>
      </c>
      <c r="J29" s="368">
        <v>40047.455555555556</v>
      </c>
      <c r="K29" s="147">
        <v>40047.77361111111</v>
      </c>
      <c r="L29" s="369">
        <f t="shared" si="1"/>
        <v>7.633333333244082</v>
      </c>
      <c r="M29" s="370">
        <f t="shared" si="2"/>
        <v>458</v>
      </c>
      <c r="N29" s="210" t="s">
        <v>144</v>
      </c>
      <c r="O29" s="211" t="str">
        <f t="shared" si="3"/>
        <v>--</v>
      </c>
      <c r="P29" s="607">
        <f t="shared" si="4"/>
        <v>200</v>
      </c>
      <c r="Q29" s="757">
        <f t="shared" si="5"/>
        <v>9751.7504</v>
      </c>
      <c r="R29" s="182" t="str">
        <f t="shared" si="6"/>
        <v>--</v>
      </c>
      <c r="S29" s="363" t="str">
        <f t="shared" si="7"/>
        <v>--</v>
      </c>
      <c r="T29" s="364" t="str">
        <f t="shared" si="8"/>
        <v>--</v>
      </c>
      <c r="U29" s="211" t="s">
        <v>128</v>
      </c>
      <c r="V29" s="371">
        <v>0</v>
      </c>
      <c r="W29" s="6"/>
    </row>
    <row r="30" spans="2:23" s="5" customFormat="1" ht="16.5" customHeight="1">
      <c r="B30" s="50"/>
      <c r="C30" s="264">
        <v>64</v>
      </c>
      <c r="D30" s="264">
        <v>210137</v>
      </c>
      <c r="E30" s="264">
        <v>108</v>
      </c>
      <c r="F30" s="366" t="s">
        <v>205</v>
      </c>
      <c r="G30" s="366" t="s">
        <v>206</v>
      </c>
      <c r="H30" s="367">
        <v>132</v>
      </c>
      <c r="I30" s="128">
        <f t="shared" si="0"/>
        <v>51.126</v>
      </c>
      <c r="J30" s="368">
        <v>40048.30902777778</v>
      </c>
      <c r="K30" s="147">
        <v>40048.48888888889</v>
      </c>
      <c r="L30" s="369">
        <f t="shared" si="1"/>
        <v>4.316666666592937</v>
      </c>
      <c r="M30" s="370">
        <f t="shared" si="2"/>
        <v>259</v>
      </c>
      <c r="N30" s="210" t="s">
        <v>144</v>
      </c>
      <c r="O30" s="211" t="str">
        <f t="shared" si="3"/>
        <v>--</v>
      </c>
      <c r="P30" s="607">
        <f t="shared" si="4"/>
        <v>40</v>
      </c>
      <c r="Q30" s="757">
        <f t="shared" si="5"/>
        <v>883.4572800000001</v>
      </c>
      <c r="R30" s="182" t="str">
        <f t="shared" si="6"/>
        <v>--</v>
      </c>
      <c r="S30" s="363" t="str">
        <f t="shared" si="7"/>
        <v>--</v>
      </c>
      <c r="T30" s="364" t="str">
        <f t="shared" si="8"/>
        <v>--</v>
      </c>
      <c r="U30" s="211" t="s">
        <v>128</v>
      </c>
      <c r="V30" s="371">
        <v>0</v>
      </c>
      <c r="W30" s="6"/>
    </row>
    <row r="31" spans="2:23" s="5" customFormat="1" ht="16.5" customHeight="1">
      <c r="B31" s="50"/>
      <c r="C31" s="264">
        <v>65</v>
      </c>
      <c r="D31" s="264">
        <v>210138</v>
      </c>
      <c r="E31" s="149">
        <v>3777</v>
      </c>
      <c r="F31" s="366" t="s">
        <v>205</v>
      </c>
      <c r="G31" s="366" t="s">
        <v>207</v>
      </c>
      <c r="H31" s="367">
        <v>132</v>
      </c>
      <c r="I31" s="128">
        <f t="shared" si="0"/>
        <v>51.126</v>
      </c>
      <c r="J31" s="368">
        <v>40048.30972222222</v>
      </c>
      <c r="K31" s="147">
        <v>40048.489583333336</v>
      </c>
      <c r="L31" s="369">
        <f t="shared" si="1"/>
        <v>4.31666666676756</v>
      </c>
      <c r="M31" s="370">
        <f t="shared" si="2"/>
        <v>259</v>
      </c>
      <c r="N31" s="210" t="s">
        <v>144</v>
      </c>
      <c r="O31" s="211" t="str">
        <f t="shared" si="3"/>
        <v>--</v>
      </c>
      <c r="P31" s="607">
        <f t="shared" si="4"/>
        <v>40</v>
      </c>
      <c r="Q31" s="757">
        <f t="shared" si="5"/>
        <v>883.4572800000001</v>
      </c>
      <c r="R31" s="182" t="str">
        <f t="shared" si="6"/>
        <v>--</v>
      </c>
      <c r="S31" s="363" t="str">
        <f t="shared" si="7"/>
        <v>--</v>
      </c>
      <c r="T31" s="364" t="str">
        <f t="shared" si="8"/>
        <v>--</v>
      </c>
      <c r="U31" s="211" t="s">
        <v>128</v>
      </c>
      <c r="V31" s="371">
        <v>0</v>
      </c>
      <c r="W31" s="6"/>
    </row>
    <row r="32" spans="2:23" s="5" customFormat="1" ht="16.5" customHeight="1">
      <c r="B32" s="50"/>
      <c r="C32" s="264">
        <v>66</v>
      </c>
      <c r="D32" s="264">
        <v>210140</v>
      </c>
      <c r="E32" s="264">
        <v>2746</v>
      </c>
      <c r="F32" s="366" t="s">
        <v>167</v>
      </c>
      <c r="G32" s="366" t="s">
        <v>208</v>
      </c>
      <c r="H32" s="367">
        <v>132</v>
      </c>
      <c r="I32" s="128">
        <f t="shared" si="0"/>
        <v>51.126</v>
      </c>
      <c r="J32" s="368">
        <v>40048.35902777778</v>
      </c>
      <c r="K32" s="147">
        <v>40048.71111111111</v>
      </c>
      <c r="L32" s="369">
        <f t="shared" si="1"/>
        <v>8.449999999953434</v>
      </c>
      <c r="M32" s="370">
        <f t="shared" si="2"/>
        <v>507</v>
      </c>
      <c r="N32" s="210" t="s">
        <v>144</v>
      </c>
      <c r="O32" s="211" t="str">
        <f t="shared" si="3"/>
        <v>--</v>
      </c>
      <c r="P32" s="607">
        <f t="shared" si="4"/>
        <v>40</v>
      </c>
      <c r="Q32" s="757">
        <f t="shared" si="5"/>
        <v>1728.0588</v>
      </c>
      <c r="R32" s="182" t="str">
        <f t="shared" si="6"/>
        <v>--</v>
      </c>
      <c r="S32" s="363" t="str">
        <f t="shared" si="7"/>
        <v>--</v>
      </c>
      <c r="T32" s="364" t="str">
        <f t="shared" si="8"/>
        <v>--</v>
      </c>
      <c r="U32" s="211" t="s">
        <v>128</v>
      </c>
      <c r="V32" s="371">
        <v>0</v>
      </c>
      <c r="W32" s="6"/>
    </row>
    <row r="33" spans="2:23" s="5" customFormat="1" ht="16.5" customHeight="1">
      <c r="B33" s="50"/>
      <c r="C33" s="264">
        <v>68</v>
      </c>
      <c r="D33" s="264">
        <v>210455</v>
      </c>
      <c r="E33" s="264">
        <v>125</v>
      </c>
      <c r="F33" s="366" t="s">
        <v>209</v>
      </c>
      <c r="G33" s="366" t="s">
        <v>210</v>
      </c>
      <c r="H33" s="367">
        <v>220</v>
      </c>
      <c r="I33" s="128">
        <f t="shared" si="0"/>
        <v>57.511</v>
      </c>
      <c r="J33" s="368">
        <v>40050.35555555556</v>
      </c>
      <c r="K33" s="147">
        <v>40050.728472222225</v>
      </c>
      <c r="L33" s="369">
        <f t="shared" si="1"/>
        <v>8.950000000011642</v>
      </c>
      <c r="M33" s="370">
        <f t="shared" si="2"/>
        <v>537</v>
      </c>
      <c r="N33" s="210" t="s">
        <v>144</v>
      </c>
      <c r="O33" s="211" t="str">
        <f t="shared" si="3"/>
        <v>--</v>
      </c>
      <c r="P33" s="607">
        <f t="shared" si="4"/>
        <v>100</v>
      </c>
      <c r="Q33" s="757">
        <f t="shared" si="5"/>
        <v>5147.2345000000005</v>
      </c>
      <c r="R33" s="182" t="str">
        <f t="shared" si="6"/>
        <v>--</v>
      </c>
      <c r="S33" s="363" t="str">
        <f t="shared" si="7"/>
        <v>--</v>
      </c>
      <c r="T33" s="364" t="str">
        <f t="shared" si="8"/>
        <v>--</v>
      </c>
      <c r="U33" s="211" t="s">
        <v>128</v>
      </c>
      <c r="V33" s="371">
        <v>0</v>
      </c>
      <c r="W33" s="6"/>
    </row>
    <row r="34" spans="2:23" s="5" customFormat="1" ht="16.5" customHeight="1">
      <c r="B34" s="50"/>
      <c r="C34" s="264">
        <v>69</v>
      </c>
      <c r="D34" s="264">
        <v>210458</v>
      </c>
      <c r="E34" s="149">
        <v>2794</v>
      </c>
      <c r="F34" s="366" t="s">
        <v>211</v>
      </c>
      <c r="G34" s="366" t="s">
        <v>212</v>
      </c>
      <c r="H34" s="367">
        <v>132</v>
      </c>
      <c r="I34" s="128">
        <f t="shared" si="0"/>
        <v>51.126</v>
      </c>
      <c r="J34" s="368">
        <v>40050.38958333333</v>
      </c>
      <c r="K34" s="147">
        <v>40050.51597222222</v>
      </c>
      <c r="L34" s="369">
        <f t="shared" si="1"/>
        <v>3.0333333334419876</v>
      </c>
      <c r="M34" s="370">
        <f t="shared" si="2"/>
        <v>182</v>
      </c>
      <c r="N34" s="210" t="s">
        <v>144</v>
      </c>
      <c r="O34" s="211" t="str">
        <f t="shared" si="3"/>
        <v>--</v>
      </c>
      <c r="P34" s="607">
        <f t="shared" si="4"/>
        <v>40</v>
      </c>
      <c r="Q34" s="757">
        <f t="shared" si="5"/>
        <v>619.64712</v>
      </c>
      <c r="R34" s="182" t="str">
        <f t="shared" si="6"/>
        <v>--</v>
      </c>
      <c r="S34" s="363" t="str">
        <f t="shared" si="7"/>
        <v>--</v>
      </c>
      <c r="T34" s="364" t="str">
        <f t="shared" si="8"/>
        <v>--</v>
      </c>
      <c r="U34" s="211" t="s">
        <v>128</v>
      </c>
      <c r="V34" s="371">
        <v>0</v>
      </c>
      <c r="W34" s="6"/>
    </row>
    <row r="35" spans="2:23" s="5" customFormat="1" ht="16.5" customHeight="1">
      <c r="B35" s="50"/>
      <c r="C35" s="264">
        <v>70</v>
      </c>
      <c r="D35" s="264">
        <v>210460</v>
      </c>
      <c r="E35" s="264">
        <v>4758</v>
      </c>
      <c r="F35" s="366" t="s">
        <v>283</v>
      </c>
      <c r="G35" s="366" t="s">
        <v>284</v>
      </c>
      <c r="H35" s="367">
        <v>500</v>
      </c>
      <c r="I35" s="128">
        <f t="shared" si="0"/>
        <v>63.904</v>
      </c>
      <c r="J35" s="368">
        <v>40051.31458333333</v>
      </c>
      <c r="K35" s="147">
        <v>40051.73125</v>
      </c>
      <c r="L35" s="369">
        <f t="shared" si="1"/>
        <v>9.999999999941792</v>
      </c>
      <c r="M35" s="370">
        <f t="shared" si="2"/>
        <v>600</v>
      </c>
      <c r="N35" s="210" t="s">
        <v>144</v>
      </c>
      <c r="O35" s="211" t="str">
        <f t="shared" si="3"/>
        <v>--</v>
      </c>
      <c r="P35" s="607">
        <f t="shared" si="4"/>
        <v>200</v>
      </c>
      <c r="Q35" s="757">
        <f t="shared" si="5"/>
        <v>12780.800000000003</v>
      </c>
      <c r="R35" s="182" t="str">
        <f t="shared" si="6"/>
        <v>--</v>
      </c>
      <c r="S35" s="363" t="str">
        <f t="shared" si="7"/>
        <v>--</v>
      </c>
      <c r="T35" s="364" t="str">
        <f t="shared" si="8"/>
        <v>--</v>
      </c>
      <c r="U35" s="211" t="s">
        <v>128</v>
      </c>
      <c r="V35" s="371">
        <v>0</v>
      </c>
      <c r="W35" s="6"/>
    </row>
    <row r="36" spans="2:23" s="5" customFormat="1" ht="16.5" customHeight="1">
      <c r="B36" s="50"/>
      <c r="C36" s="264">
        <v>71</v>
      </c>
      <c r="D36" s="264">
        <v>210463</v>
      </c>
      <c r="E36" s="149">
        <v>131</v>
      </c>
      <c r="F36" s="366" t="s">
        <v>167</v>
      </c>
      <c r="G36" s="366" t="s">
        <v>213</v>
      </c>
      <c r="H36" s="367">
        <v>132</v>
      </c>
      <c r="I36" s="128">
        <f t="shared" si="0"/>
        <v>51.126</v>
      </c>
      <c r="J36" s="368">
        <v>40051.35763888889</v>
      </c>
      <c r="K36" s="147">
        <v>40051.65972222222</v>
      </c>
      <c r="L36" s="369">
        <f t="shared" si="1"/>
        <v>7.249999999883585</v>
      </c>
      <c r="M36" s="370">
        <f t="shared" si="2"/>
        <v>435</v>
      </c>
      <c r="N36" s="210" t="s">
        <v>144</v>
      </c>
      <c r="O36" s="211" t="str">
        <f t="shared" si="3"/>
        <v>--</v>
      </c>
      <c r="P36" s="607">
        <f t="shared" si="4"/>
        <v>40</v>
      </c>
      <c r="Q36" s="757">
        <f t="shared" si="5"/>
        <v>1482.654</v>
      </c>
      <c r="R36" s="182" t="str">
        <f t="shared" si="6"/>
        <v>--</v>
      </c>
      <c r="S36" s="363" t="str">
        <f t="shared" si="7"/>
        <v>--</v>
      </c>
      <c r="T36" s="364" t="str">
        <f t="shared" si="8"/>
        <v>--</v>
      </c>
      <c r="U36" s="211" t="s">
        <v>128</v>
      </c>
      <c r="V36" s="371">
        <f>IF(F36="","",SUM(Q36:T36)*IF(U36="SI",1,2))</f>
        <v>1482.654</v>
      </c>
      <c r="W36" s="6"/>
    </row>
    <row r="37" spans="2:23" s="5" customFormat="1" ht="16.5" customHeight="1">
      <c r="B37" s="50"/>
      <c r="C37" s="264">
        <v>72</v>
      </c>
      <c r="D37" s="264">
        <v>210464</v>
      </c>
      <c r="E37" s="264">
        <v>125</v>
      </c>
      <c r="F37" s="366" t="s">
        <v>209</v>
      </c>
      <c r="G37" s="366" t="s">
        <v>210</v>
      </c>
      <c r="H37" s="367">
        <v>220</v>
      </c>
      <c r="I37" s="128">
        <f t="shared" si="0"/>
        <v>57.511</v>
      </c>
      <c r="J37" s="368">
        <v>40051.35833333333</v>
      </c>
      <c r="K37" s="147">
        <v>40051.66805555556</v>
      </c>
      <c r="L37" s="369">
        <f t="shared" si="1"/>
        <v>7.433333333465271</v>
      </c>
      <c r="M37" s="370">
        <f t="shared" si="2"/>
        <v>446</v>
      </c>
      <c r="N37" s="210" t="s">
        <v>144</v>
      </c>
      <c r="O37" s="211" t="str">
        <f t="shared" si="3"/>
        <v>--</v>
      </c>
      <c r="P37" s="607">
        <f t="shared" si="4"/>
        <v>100</v>
      </c>
      <c r="Q37" s="757">
        <f t="shared" si="5"/>
        <v>4273.067300000001</v>
      </c>
      <c r="R37" s="182" t="str">
        <f t="shared" si="6"/>
        <v>--</v>
      </c>
      <c r="S37" s="363" t="str">
        <f t="shared" si="7"/>
        <v>--</v>
      </c>
      <c r="T37" s="364" t="str">
        <f t="shared" si="8"/>
        <v>--</v>
      </c>
      <c r="U37" s="211" t="s">
        <v>128</v>
      </c>
      <c r="V37" s="371">
        <v>0</v>
      </c>
      <c r="W37" s="6"/>
    </row>
    <row r="38" spans="2:23" s="5" customFormat="1" ht="16.5" customHeight="1">
      <c r="B38" s="50"/>
      <c r="C38" s="264">
        <v>73</v>
      </c>
      <c r="D38" s="264">
        <v>210466</v>
      </c>
      <c r="E38" s="149">
        <v>4822</v>
      </c>
      <c r="F38" s="366" t="s">
        <v>280</v>
      </c>
      <c r="G38" s="366" t="s">
        <v>285</v>
      </c>
      <c r="H38" s="367">
        <v>500</v>
      </c>
      <c r="I38" s="128">
        <f t="shared" si="0"/>
        <v>63.904</v>
      </c>
      <c r="J38" s="368">
        <v>40051.40069444444</v>
      </c>
      <c r="K38" s="147">
        <v>40051.81736111111</v>
      </c>
      <c r="L38" s="369">
        <f t="shared" si="1"/>
        <v>10.000000000116415</v>
      </c>
      <c r="M38" s="370">
        <f t="shared" si="2"/>
        <v>600</v>
      </c>
      <c r="N38" s="210" t="s">
        <v>144</v>
      </c>
      <c r="O38" s="211" t="str">
        <f t="shared" si="3"/>
        <v>--</v>
      </c>
      <c r="P38" s="607">
        <f t="shared" si="4"/>
        <v>200</v>
      </c>
      <c r="Q38" s="757">
        <f t="shared" si="5"/>
        <v>12780.800000000003</v>
      </c>
      <c r="R38" s="182" t="str">
        <f t="shared" si="6"/>
        <v>--</v>
      </c>
      <c r="S38" s="363" t="str">
        <f t="shared" si="7"/>
        <v>--</v>
      </c>
      <c r="T38" s="364" t="str">
        <f t="shared" si="8"/>
        <v>--</v>
      </c>
      <c r="U38" s="211" t="s">
        <v>128</v>
      </c>
      <c r="V38" s="371">
        <v>0</v>
      </c>
      <c r="W38" s="6"/>
    </row>
    <row r="39" spans="2:23" s="5" customFormat="1" ht="16.5" customHeight="1">
      <c r="B39" s="50"/>
      <c r="C39" s="264">
        <v>74</v>
      </c>
      <c r="D39" s="264">
        <v>210470</v>
      </c>
      <c r="E39" s="264">
        <v>131</v>
      </c>
      <c r="F39" s="366" t="s">
        <v>167</v>
      </c>
      <c r="G39" s="366" t="s">
        <v>213</v>
      </c>
      <c r="H39" s="367">
        <v>132</v>
      </c>
      <c r="I39" s="128">
        <f t="shared" si="0"/>
        <v>51.126</v>
      </c>
      <c r="J39" s="368">
        <v>40052.33263888889</v>
      </c>
      <c r="K39" s="147">
        <v>40052.60555555556</v>
      </c>
      <c r="L39" s="369">
        <f t="shared" si="1"/>
        <v>6.550000000046566</v>
      </c>
      <c r="M39" s="370">
        <f t="shared" si="2"/>
        <v>393</v>
      </c>
      <c r="N39" s="210" t="s">
        <v>144</v>
      </c>
      <c r="O39" s="211" t="str">
        <f t="shared" si="3"/>
        <v>--</v>
      </c>
      <c r="P39" s="607">
        <f t="shared" si="4"/>
        <v>40</v>
      </c>
      <c r="Q39" s="757">
        <f t="shared" si="5"/>
        <v>1339.5012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211" t="s">
        <v>128</v>
      </c>
      <c r="V39" s="371">
        <f>IF(F39="","",SUM(Q39:T39)*IF(U39="SI",1,2))</f>
        <v>1339.5012</v>
      </c>
      <c r="W39" s="6"/>
    </row>
    <row r="40" spans="2:23" s="5" customFormat="1" ht="16.5" customHeight="1">
      <c r="B40" s="50"/>
      <c r="C40" s="264">
        <v>75</v>
      </c>
      <c r="D40" s="264">
        <v>210476</v>
      </c>
      <c r="E40" s="149">
        <v>132</v>
      </c>
      <c r="F40" s="366" t="s">
        <v>167</v>
      </c>
      <c r="G40" s="366" t="s">
        <v>176</v>
      </c>
      <c r="H40" s="367">
        <v>132</v>
      </c>
      <c r="I40" s="128">
        <f t="shared" si="0"/>
        <v>51.126</v>
      </c>
      <c r="J40" s="368">
        <v>40053.36736111111</v>
      </c>
      <c r="K40" s="147">
        <v>40053.66458333333</v>
      </c>
      <c r="L40" s="369">
        <f t="shared" si="1"/>
        <v>7.133333333360497</v>
      </c>
      <c r="M40" s="370">
        <f t="shared" si="2"/>
        <v>428</v>
      </c>
      <c r="N40" s="210" t="s">
        <v>144</v>
      </c>
      <c r="O40" s="211" t="str">
        <f t="shared" si="3"/>
        <v>--</v>
      </c>
      <c r="P40" s="607">
        <f t="shared" si="4"/>
        <v>40</v>
      </c>
      <c r="Q40" s="757">
        <f t="shared" si="5"/>
        <v>1458.1135199999999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211" t="s">
        <v>128</v>
      </c>
      <c r="V40" s="371">
        <f>IF(F40="","",SUM(Q40:T40)*IF(U40="SI",1,2))</f>
        <v>1458.1135199999999</v>
      </c>
      <c r="W40" s="6"/>
    </row>
    <row r="41" spans="2:23" s="5" customFormat="1" ht="16.5" customHeight="1">
      <c r="B41" s="50"/>
      <c r="C41" s="264">
        <v>76</v>
      </c>
      <c r="D41" s="264">
        <v>210484</v>
      </c>
      <c r="E41" s="264">
        <v>2746</v>
      </c>
      <c r="F41" s="366" t="s">
        <v>167</v>
      </c>
      <c r="G41" s="366" t="s">
        <v>208</v>
      </c>
      <c r="H41" s="367">
        <v>132</v>
      </c>
      <c r="I41" s="128">
        <f t="shared" si="0"/>
        <v>51.126</v>
      </c>
      <c r="J41" s="368">
        <v>40054.325694444444</v>
      </c>
      <c r="K41" s="147">
        <v>40054.53125</v>
      </c>
      <c r="L41" s="369">
        <f t="shared" si="1"/>
        <v>4.933333333348855</v>
      </c>
      <c r="M41" s="370">
        <f t="shared" si="2"/>
        <v>296</v>
      </c>
      <c r="N41" s="210" t="s">
        <v>144</v>
      </c>
      <c r="O41" s="211" t="str">
        <f t="shared" si="3"/>
        <v>--</v>
      </c>
      <c r="P41" s="607">
        <f t="shared" si="4"/>
        <v>40</v>
      </c>
      <c r="Q41" s="757">
        <f t="shared" si="5"/>
        <v>1008.20472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211" t="s">
        <v>128</v>
      </c>
      <c r="V41" s="371">
        <f>IF(F41="","",SUM(Q41:T41)*IF(U41="SI",1,2))</f>
        <v>1008.20472</v>
      </c>
      <c r="W41" s="6"/>
    </row>
    <row r="42" spans="2:23" s="5" customFormat="1" ht="16.5" customHeight="1" thickBot="1">
      <c r="B42" s="50"/>
      <c r="C42" s="218"/>
      <c r="D42" s="218"/>
      <c r="E42" s="218"/>
      <c r="F42" s="218"/>
      <c r="G42" s="218"/>
      <c r="H42" s="218"/>
      <c r="I42" s="129"/>
      <c r="J42" s="372"/>
      <c r="K42" s="372"/>
      <c r="L42" s="373"/>
      <c r="M42" s="373"/>
      <c r="N42" s="372"/>
      <c r="O42" s="148"/>
      <c r="P42" s="374"/>
      <c r="Q42" s="375"/>
      <c r="R42" s="376"/>
      <c r="S42" s="377"/>
      <c r="T42" s="154"/>
      <c r="U42" s="148"/>
      <c r="V42" s="378"/>
      <c r="W42" s="6"/>
    </row>
    <row r="43" spans="2:23" s="5" customFormat="1" ht="16.5" customHeight="1" thickBot="1" thickTop="1">
      <c r="B43" s="50"/>
      <c r="C43" s="125" t="s">
        <v>23</v>
      </c>
      <c r="D43" s="977" t="s">
        <v>230</v>
      </c>
      <c r="E43" s="125"/>
      <c r="F43" s="126"/>
      <c r="G43"/>
      <c r="H43" s="4"/>
      <c r="I43" s="4"/>
      <c r="J43" s="4"/>
      <c r="K43" s="4"/>
      <c r="L43" s="4"/>
      <c r="M43" s="4"/>
      <c r="N43" s="4"/>
      <c r="O43" s="4"/>
      <c r="P43" s="4"/>
      <c r="Q43" s="379">
        <f>SUM(Q22:Q42)</f>
        <v>70173.2498</v>
      </c>
      <c r="R43" s="380">
        <f>SUM(R22:R42)</f>
        <v>0</v>
      </c>
      <c r="S43" s="381">
        <f>SUM(S22:S42)</f>
        <v>0</v>
      </c>
      <c r="T43" s="382">
        <f>SUM(T22:T42)</f>
        <v>0</v>
      </c>
      <c r="U43" s="383"/>
      <c r="V43" s="98">
        <f>ROUND(SUM(V22:V42),2)</f>
        <v>30179.32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69"/>
      <c r="X45" s="169"/>
      <c r="Y45" s="169"/>
    </row>
    <row r="46" spans="23:25" ht="16.5" customHeight="1">
      <c r="W46" s="169"/>
      <c r="X46" s="169"/>
      <c r="Y46" s="169"/>
    </row>
    <row r="47" spans="23:25" ht="16.5" customHeight="1">
      <c r="W47" s="169"/>
      <c r="X47" s="169"/>
      <c r="Y47" s="169"/>
    </row>
    <row r="48" spans="23:25" ht="16.5" customHeight="1">
      <c r="W48" s="169"/>
      <c r="X48" s="169"/>
      <c r="Y48" s="169"/>
    </row>
    <row r="49" spans="23:25" ht="16.5" customHeight="1">
      <c r="W49" s="169"/>
      <c r="X49" s="169"/>
      <c r="Y49" s="169"/>
    </row>
    <row r="50" spans="6:25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6:25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6:25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6:25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6:25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6:25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6:25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6:25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6:25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6:25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6:25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6:25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6:25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6:25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6:25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6:25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6:25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6:25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6:25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6:25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6:25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6:25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6:25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6:25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6:25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6:25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6:25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6:25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6:25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6:25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6:25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6:25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6:25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6:25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6:25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6:25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6:25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6:25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6:25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  <row r="89" spans="6:25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</row>
    <row r="90" spans="6:25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</row>
    <row r="91" spans="6:25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6:25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</row>
    <row r="93" spans="6:25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</row>
    <row r="94" spans="6:25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6:25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</row>
    <row r="96" spans="6:25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</row>
    <row r="97" spans="6:25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6:25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</row>
    <row r="99" spans="6:25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6:25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spans="6:25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</row>
    <row r="102" spans="6:25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6:25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</row>
    <row r="104" spans="6:25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6:25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6:25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6:25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6:25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6:25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</row>
    <row r="110" spans="6:25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</row>
    <row r="111" spans="6:25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</row>
    <row r="112" spans="6:25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</row>
    <row r="113" spans="6:25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</row>
    <row r="114" spans="6:25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</row>
    <row r="115" spans="6:25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</row>
    <row r="116" spans="6:25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</row>
    <row r="117" spans="6:25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</row>
    <row r="118" spans="6:25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</row>
    <row r="119" spans="6:25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</row>
    <row r="120" spans="6:25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</row>
    <row r="121" spans="6:25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</row>
    <row r="122" spans="6:25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</row>
    <row r="123" spans="6:25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</row>
    <row r="124" spans="6:25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</row>
    <row r="125" spans="6:25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</row>
    <row r="126" spans="6:25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</row>
    <row r="127" spans="6:25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</row>
    <row r="128" spans="6:25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</row>
    <row r="129" spans="6:25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</row>
    <row r="130" spans="6:25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</row>
    <row r="131" spans="6:25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</row>
    <row r="132" spans="6:25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</row>
    <row r="133" spans="6:25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</row>
    <row r="134" spans="6:25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6:25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</row>
    <row r="136" spans="6:25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</row>
    <row r="137" spans="6:25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6:25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</row>
    <row r="139" spans="6:25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6:25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6:25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6:25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6:25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6:25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6:25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6:25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6:25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6:25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6:25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6:25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6:25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6:25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  <row r="153" spans="6:25" ht="16.5" customHeight="1"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</row>
    <row r="154" spans="6:25" ht="16.5" customHeight="1"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</row>
    <row r="155" spans="6:25" ht="16.5" customHeight="1"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</row>
    <row r="156" spans="6:25" ht="16.5" customHeight="1"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</row>
    <row r="157" spans="6:25" ht="16.5" customHeight="1"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Y158"/>
  <sheetViews>
    <sheetView zoomScale="70" zoomScaleNormal="70" workbookViewId="0" topLeftCell="C19">
      <selection activeCell="J35" sqref="J3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55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129</v>
      </c>
      <c r="G10" s="332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33"/>
      <c r="G11" s="333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65</v>
      </c>
      <c r="G12" s="332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33"/>
      <c r="G13" s="333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'TOT-0809'!B14</f>
        <v>Desde el 01 al 31 de agosto de 2009</v>
      </c>
      <c r="C14" s="40"/>
      <c r="D14" s="40"/>
      <c r="E14" s="40"/>
      <c r="F14" s="40"/>
      <c r="G14" s="40"/>
      <c r="H14" s="40"/>
      <c r="I14" s="334"/>
      <c r="J14" s="334"/>
      <c r="K14" s="334"/>
      <c r="L14" s="334"/>
      <c r="M14" s="334"/>
      <c r="N14" s="334"/>
      <c r="O14" s="334"/>
      <c r="P14" s="334"/>
      <c r="Q14" s="40"/>
      <c r="R14" s="40"/>
      <c r="S14" s="40"/>
      <c r="T14" s="40"/>
      <c r="U14" s="40"/>
      <c r="V14" s="40"/>
      <c r="W14" s="335"/>
    </row>
    <row r="15" spans="2:23" s="5" customFormat="1" ht="14.25" thickBot="1">
      <c r="B15" s="336"/>
      <c r="C15" s="337"/>
      <c r="D15" s="337"/>
      <c r="E15" s="337"/>
      <c r="F15" s="337"/>
      <c r="G15" s="337"/>
      <c r="H15" s="337"/>
      <c r="I15" s="338"/>
      <c r="J15" s="338"/>
      <c r="K15" s="338"/>
      <c r="L15" s="338"/>
      <c r="M15" s="338"/>
      <c r="N15" s="338"/>
      <c r="O15" s="338"/>
      <c r="P15" s="338"/>
      <c r="Q15" s="337"/>
      <c r="R15" s="337"/>
      <c r="S15" s="337"/>
      <c r="T15" s="337"/>
      <c r="U15" s="337"/>
      <c r="V15" s="337"/>
      <c r="W15" s="339"/>
    </row>
    <row r="16" spans="2:23" s="5" customFormat="1" ht="15" thickBot="1" thickTop="1">
      <c r="B16" s="50"/>
      <c r="C16" s="4"/>
      <c r="D16" s="4"/>
      <c r="E16" s="4"/>
      <c r="F16" s="340"/>
      <c r="G16" s="340"/>
      <c r="H16" s="115" t="s">
        <v>66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1" t="s">
        <v>67</v>
      </c>
      <c r="G17" s="342">
        <v>63.904</v>
      </c>
      <c r="H17" s="343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44" t="s">
        <v>68</v>
      </c>
      <c r="G18" s="345">
        <v>57.511</v>
      </c>
      <c r="H18" s="343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46" t="s">
        <v>69</v>
      </c>
      <c r="G19" s="345">
        <v>51.126</v>
      </c>
      <c r="H19" s="343">
        <v>40</v>
      </c>
      <c r="K19" s="194"/>
      <c r="L19" s="19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60">
        <v>3</v>
      </c>
      <c r="D20" s="760">
        <v>4</v>
      </c>
      <c r="E20" s="760">
        <v>5</v>
      </c>
      <c r="F20" s="760">
        <v>6</v>
      </c>
      <c r="G20" s="760">
        <v>7</v>
      </c>
      <c r="H20" s="760">
        <v>8</v>
      </c>
      <c r="I20" s="760">
        <v>9</v>
      </c>
      <c r="J20" s="760">
        <v>10</v>
      </c>
      <c r="K20" s="760">
        <v>11</v>
      </c>
      <c r="L20" s="760">
        <v>12</v>
      </c>
      <c r="M20" s="760">
        <v>13</v>
      </c>
      <c r="N20" s="760">
        <v>14</v>
      </c>
      <c r="O20" s="760">
        <v>15</v>
      </c>
      <c r="P20" s="760">
        <v>16</v>
      </c>
      <c r="Q20" s="760">
        <v>17</v>
      </c>
      <c r="R20" s="760">
        <v>18</v>
      </c>
      <c r="S20" s="760">
        <v>19</v>
      </c>
      <c r="T20" s="760">
        <v>20</v>
      </c>
      <c r="U20" s="760">
        <v>21</v>
      </c>
      <c r="V20" s="760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138</v>
      </c>
      <c r="E21" s="84" t="s">
        <v>139</v>
      </c>
      <c r="F21" s="86" t="s">
        <v>25</v>
      </c>
      <c r="G21" s="347" t="s">
        <v>26</v>
      </c>
      <c r="H21" s="348" t="s">
        <v>13</v>
      </c>
      <c r="I21" s="127" t="s">
        <v>15</v>
      </c>
      <c r="J21" s="85" t="s">
        <v>16</v>
      </c>
      <c r="K21" s="347" t="s">
        <v>17</v>
      </c>
      <c r="L21" s="349" t="s">
        <v>34</v>
      </c>
      <c r="M21" s="349" t="s">
        <v>29</v>
      </c>
      <c r="N21" s="87" t="s">
        <v>18</v>
      </c>
      <c r="O21" s="172" t="s">
        <v>30</v>
      </c>
      <c r="P21" s="133" t="s">
        <v>35</v>
      </c>
      <c r="Q21" s="350" t="s">
        <v>56</v>
      </c>
      <c r="R21" s="173" t="s">
        <v>33</v>
      </c>
      <c r="S21" s="351"/>
      <c r="T21" s="132" t="s">
        <v>21</v>
      </c>
      <c r="U21" s="130" t="s">
        <v>59</v>
      </c>
      <c r="V21" s="119" t="s">
        <v>22</v>
      </c>
      <c r="W21" s="6"/>
    </row>
    <row r="22" spans="2:23" s="5" customFormat="1" ht="16.5" customHeight="1" thickTop="1">
      <c r="B22" s="50"/>
      <c r="C22" s="250"/>
      <c r="D22" s="250"/>
      <c r="E22" s="250"/>
      <c r="F22" s="352"/>
      <c r="G22" s="352"/>
      <c r="H22" s="352"/>
      <c r="I22" s="208"/>
      <c r="J22" s="352"/>
      <c r="K22" s="352"/>
      <c r="L22" s="352"/>
      <c r="M22" s="352"/>
      <c r="N22" s="352"/>
      <c r="O22" s="352"/>
      <c r="P22" s="353"/>
      <c r="Q22" s="354"/>
      <c r="R22" s="355"/>
      <c r="S22" s="356"/>
      <c r="T22" s="357"/>
      <c r="U22" s="352"/>
      <c r="V22" s="358">
        <f>'SA-08 (2)'!V43</f>
        <v>30179.32</v>
      </c>
      <c r="W22" s="6"/>
    </row>
    <row r="23" spans="2:23" s="5" customFormat="1" ht="16.5" customHeight="1">
      <c r="B23" s="50"/>
      <c r="C23" s="264"/>
      <c r="D23" s="264"/>
      <c r="E23" s="264"/>
      <c r="F23" s="359"/>
      <c r="G23" s="359"/>
      <c r="H23" s="359"/>
      <c r="I23" s="360"/>
      <c r="J23" s="359"/>
      <c r="K23" s="359"/>
      <c r="L23" s="359"/>
      <c r="M23" s="359"/>
      <c r="N23" s="359"/>
      <c r="O23" s="359"/>
      <c r="P23" s="361"/>
      <c r="Q23" s="362"/>
      <c r="R23" s="182"/>
      <c r="S23" s="363"/>
      <c r="T23" s="364"/>
      <c r="U23" s="359"/>
      <c r="V23" s="365"/>
      <c r="W23" s="6"/>
    </row>
    <row r="24" spans="2:23" s="5" customFormat="1" ht="16.5" customHeight="1">
      <c r="B24" s="50"/>
      <c r="C24" s="264">
        <v>78</v>
      </c>
      <c r="D24" s="264">
        <v>210488</v>
      </c>
      <c r="E24" s="264">
        <v>3677</v>
      </c>
      <c r="F24" s="366" t="s">
        <v>167</v>
      </c>
      <c r="G24" s="366" t="s">
        <v>191</v>
      </c>
      <c r="H24" s="367">
        <v>132</v>
      </c>
      <c r="I24" s="128">
        <f aca="true" t="shared" si="0" ref="I24:I42">IF(H24=500,$G$17,IF(H24=220,$G$18,$G$19))</f>
        <v>51.126</v>
      </c>
      <c r="J24" s="368">
        <v>40056.384722222225</v>
      </c>
      <c r="K24" s="147">
        <v>40056.71388888889</v>
      </c>
      <c r="L24" s="369">
        <f aca="true" t="shared" si="1" ref="L24:L42">IF(F24="","",(K24-J24)*24)</f>
        <v>7.899999999906868</v>
      </c>
      <c r="M24" s="370">
        <f aca="true" t="shared" si="2" ref="M24:M42">IF(F24="","",ROUND((K24-J24)*24*60,0))</f>
        <v>474</v>
      </c>
      <c r="N24" s="210" t="s">
        <v>144</v>
      </c>
      <c r="O24" s="211" t="str">
        <f aca="true" t="shared" si="3" ref="O24:O42">IF(F24="","",IF(N24="P","--","NO"))</f>
        <v>--</v>
      </c>
      <c r="P24" s="607">
        <f aca="true" t="shared" si="4" ref="P24:P42">IF(H24=500,$H$17,IF(H24=220,$H$18,$H$19))</f>
        <v>40</v>
      </c>
      <c r="Q24" s="757">
        <f aca="true" t="shared" si="5" ref="Q24:Q42">IF(N24="P",I24*P24*ROUND(M24/60,2)*0.1,"--")</f>
        <v>1615.5816000000002</v>
      </c>
      <c r="R24" s="182" t="str">
        <f aca="true" t="shared" si="6" ref="R24:R42">IF(AND(N24="F",O24="NO"),I24*P24,"--")</f>
        <v>--</v>
      </c>
      <c r="S24" s="363" t="str">
        <f aca="true" t="shared" si="7" ref="S24:S42">IF(N24="F",I24*P24*ROUND(M24/60,2),"--")</f>
        <v>--</v>
      </c>
      <c r="T24" s="364" t="str">
        <f aca="true" t="shared" si="8" ref="T24:T42">IF(N24="RF",I24*P24*ROUND(M24/60,2),"--")</f>
        <v>--</v>
      </c>
      <c r="U24" s="211" t="s">
        <v>128</v>
      </c>
      <c r="V24" s="371">
        <f aca="true" t="shared" si="9" ref="V24:V42">IF(F24="","",SUM(Q24:T24)*IF(U24="SI",1,2))</f>
        <v>1615.5816000000002</v>
      </c>
      <c r="W24" s="6"/>
    </row>
    <row r="25" spans="2:23" s="5" customFormat="1" ht="16.5" customHeight="1">
      <c r="B25" s="50"/>
      <c r="C25" s="264"/>
      <c r="D25" s="264"/>
      <c r="E25" s="149"/>
      <c r="F25" s="366"/>
      <c r="G25" s="366"/>
      <c r="H25" s="367"/>
      <c r="I25" s="128">
        <f t="shared" si="0"/>
        <v>51.126</v>
      </c>
      <c r="J25" s="368"/>
      <c r="K25" s="147"/>
      <c r="L25" s="369">
        <f t="shared" si="1"/>
      </c>
      <c r="M25" s="370">
        <f t="shared" si="2"/>
      </c>
      <c r="N25" s="210"/>
      <c r="O25" s="211">
        <f t="shared" si="3"/>
      </c>
      <c r="P25" s="607">
        <f t="shared" si="4"/>
        <v>40</v>
      </c>
      <c r="Q25" s="757" t="str">
        <f t="shared" si="5"/>
        <v>--</v>
      </c>
      <c r="R25" s="182" t="str">
        <f t="shared" si="6"/>
        <v>--</v>
      </c>
      <c r="S25" s="363" t="str">
        <f t="shared" si="7"/>
        <v>--</v>
      </c>
      <c r="T25" s="364" t="str">
        <f t="shared" si="8"/>
        <v>--</v>
      </c>
      <c r="U25" s="211">
        <f aca="true" t="shared" si="10" ref="U25:U42">IF(F25="","","SI")</f>
      </c>
      <c r="V25" s="371">
        <f t="shared" si="9"/>
      </c>
      <c r="W25" s="6"/>
    </row>
    <row r="26" spans="2:23" s="5" customFormat="1" ht="16.5" customHeight="1">
      <c r="B26" s="50"/>
      <c r="C26" s="264"/>
      <c r="D26" s="264"/>
      <c r="E26" s="264"/>
      <c r="F26" s="366"/>
      <c r="G26" s="366"/>
      <c r="H26" s="367"/>
      <c r="I26" s="128">
        <f t="shared" si="0"/>
        <v>51.126</v>
      </c>
      <c r="J26" s="368"/>
      <c r="K26" s="147"/>
      <c r="L26" s="369">
        <f t="shared" si="1"/>
      </c>
      <c r="M26" s="370">
        <f t="shared" si="2"/>
      </c>
      <c r="N26" s="210"/>
      <c r="O26" s="211">
        <f t="shared" si="3"/>
      </c>
      <c r="P26" s="607">
        <f t="shared" si="4"/>
        <v>40</v>
      </c>
      <c r="Q26" s="757" t="str">
        <f t="shared" si="5"/>
        <v>--</v>
      </c>
      <c r="R26" s="182" t="str">
        <f t="shared" si="6"/>
        <v>--</v>
      </c>
      <c r="S26" s="363" t="str">
        <f t="shared" si="7"/>
        <v>--</v>
      </c>
      <c r="T26" s="364" t="str">
        <f t="shared" si="8"/>
        <v>--</v>
      </c>
      <c r="U26" s="211">
        <f t="shared" si="10"/>
      </c>
      <c r="V26" s="371">
        <f t="shared" si="9"/>
      </c>
      <c r="W26" s="6"/>
    </row>
    <row r="27" spans="2:23" s="5" customFormat="1" ht="16.5" customHeight="1">
      <c r="B27" s="50"/>
      <c r="C27" s="264"/>
      <c r="D27" s="264"/>
      <c r="E27" s="149"/>
      <c r="F27" s="366"/>
      <c r="G27" s="366"/>
      <c r="H27" s="367"/>
      <c r="I27" s="128">
        <f t="shared" si="0"/>
        <v>51.126</v>
      </c>
      <c r="J27" s="368"/>
      <c r="K27" s="147"/>
      <c r="L27" s="369">
        <f t="shared" si="1"/>
      </c>
      <c r="M27" s="370">
        <f t="shared" si="2"/>
      </c>
      <c r="N27" s="210"/>
      <c r="O27" s="211">
        <f t="shared" si="3"/>
      </c>
      <c r="P27" s="607">
        <f t="shared" si="4"/>
        <v>40</v>
      </c>
      <c r="Q27" s="757" t="str">
        <f t="shared" si="5"/>
        <v>--</v>
      </c>
      <c r="R27" s="182" t="str">
        <f t="shared" si="6"/>
        <v>--</v>
      </c>
      <c r="S27" s="363" t="str">
        <f t="shared" si="7"/>
        <v>--</v>
      </c>
      <c r="T27" s="364" t="str">
        <f t="shared" si="8"/>
        <v>--</v>
      </c>
      <c r="U27" s="211">
        <f t="shared" si="10"/>
      </c>
      <c r="V27" s="371">
        <f t="shared" si="9"/>
      </c>
      <c r="W27" s="6"/>
    </row>
    <row r="28" spans="2:23" s="5" customFormat="1" ht="16.5" customHeight="1">
      <c r="B28" s="50"/>
      <c r="C28" s="264"/>
      <c r="D28" s="264"/>
      <c r="E28" s="264"/>
      <c r="F28" s="366"/>
      <c r="G28" s="366"/>
      <c r="H28" s="367"/>
      <c r="I28" s="128">
        <f t="shared" si="0"/>
        <v>51.126</v>
      </c>
      <c r="J28" s="368"/>
      <c r="K28" s="147"/>
      <c r="L28" s="369">
        <f t="shared" si="1"/>
      </c>
      <c r="M28" s="370">
        <f t="shared" si="2"/>
      </c>
      <c r="N28" s="210"/>
      <c r="O28" s="211">
        <f t="shared" si="3"/>
      </c>
      <c r="P28" s="607">
        <f t="shared" si="4"/>
        <v>40</v>
      </c>
      <c r="Q28" s="757" t="str">
        <f t="shared" si="5"/>
        <v>--</v>
      </c>
      <c r="R28" s="182" t="str">
        <f t="shared" si="6"/>
        <v>--</v>
      </c>
      <c r="S28" s="363" t="str">
        <f t="shared" si="7"/>
        <v>--</v>
      </c>
      <c r="T28" s="364" t="str">
        <f t="shared" si="8"/>
        <v>--</v>
      </c>
      <c r="U28" s="211">
        <f t="shared" si="10"/>
      </c>
      <c r="V28" s="371">
        <f t="shared" si="9"/>
      </c>
      <c r="W28" s="6"/>
    </row>
    <row r="29" spans="2:23" s="5" customFormat="1" ht="16.5" customHeight="1">
      <c r="B29" s="50"/>
      <c r="C29" s="264"/>
      <c r="D29" s="264"/>
      <c r="E29" s="149"/>
      <c r="F29" s="366"/>
      <c r="G29" s="366"/>
      <c r="H29" s="367"/>
      <c r="I29" s="128">
        <f t="shared" si="0"/>
        <v>51.126</v>
      </c>
      <c r="J29" s="368"/>
      <c r="K29" s="147"/>
      <c r="L29" s="369">
        <f t="shared" si="1"/>
      </c>
      <c r="M29" s="370">
        <f t="shared" si="2"/>
      </c>
      <c r="N29" s="210"/>
      <c r="O29" s="211">
        <f t="shared" si="3"/>
      </c>
      <c r="P29" s="607">
        <f t="shared" si="4"/>
        <v>40</v>
      </c>
      <c r="Q29" s="757" t="str">
        <f t="shared" si="5"/>
        <v>--</v>
      </c>
      <c r="R29" s="182" t="str">
        <f t="shared" si="6"/>
        <v>--</v>
      </c>
      <c r="S29" s="363" t="str">
        <f t="shared" si="7"/>
        <v>--</v>
      </c>
      <c r="T29" s="364" t="str">
        <f t="shared" si="8"/>
        <v>--</v>
      </c>
      <c r="U29" s="211">
        <f t="shared" si="10"/>
      </c>
      <c r="V29" s="371">
        <f t="shared" si="9"/>
      </c>
      <c r="W29" s="6"/>
    </row>
    <row r="30" spans="2:23" s="5" customFormat="1" ht="16.5" customHeight="1">
      <c r="B30" s="50"/>
      <c r="C30" s="264"/>
      <c r="D30" s="264"/>
      <c r="E30" s="264"/>
      <c r="F30" s="366"/>
      <c r="G30" s="366"/>
      <c r="H30" s="367"/>
      <c r="I30" s="128">
        <f t="shared" si="0"/>
        <v>51.126</v>
      </c>
      <c r="J30" s="368"/>
      <c r="K30" s="147"/>
      <c r="L30" s="369">
        <f t="shared" si="1"/>
      </c>
      <c r="M30" s="370">
        <f t="shared" si="2"/>
      </c>
      <c r="N30" s="210"/>
      <c r="O30" s="211">
        <f t="shared" si="3"/>
      </c>
      <c r="P30" s="607">
        <f t="shared" si="4"/>
        <v>40</v>
      </c>
      <c r="Q30" s="757" t="str">
        <f t="shared" si="5"/>
        <v>--</v>
      </c>
      <c r="R30" s="182" t="str">
        <f t="shared" si="6"/>
        <v>--</v>
      </c>
      <c r="S30" s="363" t="str">
        <f t="shared" si="7"/>
        <v>--</v>
      </c>
      <c r="T30" s="364" t="str">
        <f t="shared" si="8"/>
        <v>--</v>
      </c>
      <c r="U30" s="211">
        <f t="shared" si="10"/>
      </c>
      <c r="V30" s="371">
        <f t="shared" si="9"/>
      </c>
      <c r="W30" s="6"/>
    </row>
    <row r="31" spans="2:23" s="5" customFormat="1" ht="16.5" customHeight="1">
      <c r="B31" s="50"/>
      <c r="C31" s="264"/>
      <c r="D31" s="264"/>
      <c r="E31" s="149"/>
      <c r="F31" s="366"/>
      <c r="G31" s="366"/>
      <c r="H31" s="367"/>
      <c r="I31" s="128">
        <f t="shared" si="0"/>
        <v>51.126</v>
      </c>
      <c r="J31" s="368"/>
      <c r="K31" s="147"/>
      <c r="L31" s="369">
        <f t="shared" si="1"/>
      </c>
      <c r="M31" s="370">
        <f t="shared" si="2"/>
      </c>
      <c r="N31" s="210"/>
      <c r="O31" s="211">
        <f t="shared" si="3"/>
      </c>
      <c r="P31" s="607">
        <f t="shared" si="4"/>
        <v>40</v>
      </c>
      <c r="Q31" s="757" t="str">
        <f t="shared" si="5"/>
        <v>--</v>
      </c>
      <c r="R31" s="182" t="str">
        <f t="shared" si="6"/>
        <v>--</v>
      </c>
      <c r="S31" s="363" t="str">
        <f t="shared" si="7"/>
        <v>--</v>
      </c>
      <c r="T31" s="364" t="str">
        <f t="shared" si="8"/>
        <v>--</v>
      </c>
      <c r="U31" s="211">
        <f t="shared" si="10"/>
      </c>
      <c r="V31" s="371">
        <f t="shared" si="9"/>
      </c>
      <c r="W31" s="6"/>
    </row>
    <row r="32" spans="2:23" s="5" customFormat="1" ht="16.5" customHeight="1">
      <c r="B32" s="50"/>
      <c r="C32" s="264"/>
      <c r="D32" s="264"/>
      <c r="E32" s="264"/>
      <c r="F32" s="366"/>
      <c r="G32" s="366"/>
      <c r="H32" s="367"/>
      <c r="I32" s="128">
        <f t="shared" si="0"/>
        <v>51.126</v>
      </c>
      <c r="J32" s="368"/>
      <c r="K32" s="147"/>
      <c r="L32" s="369">
        <f t="shared" si="1"/>
      </c>
      <c r="M32" s="370">
        <f t="shared" si="2"/>
      </c>
      <c r="N32" s="210"/>
      <c r="O32" s="211">
        <f t="shared" si="3"/>
      </c>
      <c r="P32" s="607">
        <f t="shared" si="4"/>
        <v>40</v>
      </c>
      <c r="Q32" s="757" t="str">
        <f t="shared" si="5"/>
        <v>--</v>
      </c>
      <c r="R32" s="182" t="str">
        <f t="shared" si="6"/>
        <v>--</v>
      </c>
      <c r="S32" s="363" t="str">
        <f t="shared" si="7"/>
        <v>--</v>
      </c>
      <c r="T32" s="364" t="str">
        <f t="shared" si="8"/>
        <v>--</v>
      </c>
      <c r="U32" s="211">
        <f t="shared" si="10"/>
      </c>
      <c r="V32" s="371">
        <f t="shared" si="9"/>
      </c>
      <c r="W32" s="6"/>
    </row>
    <row r="33" spans="2:23" s="5" customFormat="1" ht="16.5" customHeight="1">
      <c r="B33" s="50"/>
      <c r="C33" s="264"/>
      <c r="D33" s="264"/>
      <c r="E33" s="149"/>
      <c r="F33" s="366"/>
      <c r="G33" s="366"/>
      <c r="H33" s="367"/>
      <c r="I33" s="128">
        <f t="shared" si="0"/>
        <v>51.126</v>
      </c>
      <c r="J33" s="368"/>
      <c r="K33" s="147"/>
      <c r="L33" s="369">
        <f t="shared" si="1"/>
      </c>
      <c r="M33" s="370">
        <f t="shared" si="2"/>
      </c>
      <c r="N33" s="210"/>
      <c r="O33" s="211">
        <f t="shared" si="3"/>
      </c>
      <c r="P33" s="607">
        <f t="shared" si="4"/>
        <v>40</v>
      </c>
      <c r="Q33" s="757" t="str">
        <f t="shared" si="5"/>
        <v>--</v>
      </c>
      <c r="R33" s="182" t="str">
        <f t="shared" si="6"/>
        <v>--</v>
      </c>
      <c r="S33" s="363" t="str">
        <f t="shared" si="7"/>
        <v>--</v>
      </c>
      <c r="T33" s="364" t="str">
        <f t="shared" si="8"/>
        <v>--</v>
      </c>
      <c r="U33" s="211">
        <f t="shared" si="10"/>
      </c>
      <c r="V33" s="371">
        <f t="shared" si="9"/>
      </c>
      <c r="W33" s="6"/>
    </row>
    <row r="34" spans="2:23" s="5" customFormat="1" ht="16.5" customHeight="1">
      <c r="B34" s="50"/>
      <c r="C34" s="264"/>
      <c r="D34" s="264"/>
      <c r="E34" s="264"/>
      <c r="F34" s="366"/>
      <c r="G34" s="366"/>
      <c r="H34" s="367"/>
      <c r="I34" s="128">
        <f t="shared" si="0"/>
        <v>51.126</v>
      </c>
      <c r="J34" s="368"/>
      <c r="K34" s="147"/>
      <c r="L34" s="369">
        <f t="shared" si="1"/>
      </c>
      <c r="M34" s="370">
        <f t="shared" si="2"/>
      </c>
      <c r="N34" s="210"/>
      <c r="O34" s="211">
        <f t="shared" si="3"/>
      </c>
      <c r="P34" s="607">
        <f t="shared" si="4"/>
        <v>40</v>
      </c>
      <c r="Q34" s="757" t="str">
        <f t="shared" si="5"/>
        <v>--</v>
      </c>
      <c r="R34" s="182" t="str">
        <f t="shared" si="6"/>
        <v>--</v>
      </c>
      <c r="S34" s="363" t="str">
        <f t="shared" si="7"/>
        <v>--</v>
      </c>
      <c r="T34" s="364" t="str">
        <f t="shared" si="8"/>
        <v>--</v>
      </c>
      <c r="U34" s="211">
        <f t="shared" si="10"/>
      </c>
      <c r="V34" s="371">
        <f t="shared" si="9"/>
      </c>
      <c r="W34" s="6"/>
    </row>
    <row r="35" spans="2:23" s="5" customFormat="1" ht="16.5" customHeight="1">
      <c r="B35" s="50"/>
      <c r="C35" s="264"/>
      <c r="D35" s="264"/>
      <c r="E35" s="149"/>
      <c r="F35" s="366"/>
      <c r="G35" s="366"/>
      <c r="H35" s="367"/>
      <c r="I35" s="128">
        <f t="shared" si="0"/>
        <v>51.126</v>
      </c>
      <c r="J35" s="368"/>
      <c r="K35" s="147"/>
      <c r="L35" s="369">
        <f t="shared" si="1"/>
      </c>
      <c r="M35" s="370">
        <f t="shared" si="2"/>
      </c>
      <c r="N35" s="210"/>
      <c r="O35" s="211">
        <f t="shared" si="3"/>
      </c>
      <c r="P35" s="607">
        <f t="shared" si="4"/>
        <v>40</v>
      </c>
      <c r="Q35" s="757" t="str">
        <f t="shared" si="5"/>
        <v>--</v>
      </c>
      <c r="R35" s="182" t="str">
        <f t="shared" si="6"/>
        <v>--</v>
      </c>
      <c r="S35" s="363" t="str">
        <f t="shared" si="7"/>
        <v>--</v>
      </c>
      <c r="T35" s="364" t="str">
        <f t="shared" si="8"/>
        <v>--</v>
      </c>
      <c r="U35" s="211">
        <f t="shared" si="10"/>
      </c>
      <c r="V35" s="371">
        <f t="shared" si="9"/>
      </c>
      <c r="W35" s="6"/>
    </row>
    <row r="36" spans="2:23" s="5" customFormat="1" ht="16.5" customHeight="1">
      <c r="B36" s="50"/>
      <c r="C36" s="264"/>
      <c r="D36" s="264"/>
      <c r="E36" s="264"/>
      <c r="F36" s="366"/>
      <c r="G36" s="366"/>
      <c r="H36" s="367"/>
      <c r="I36" s="128">
        <f t="shared" si="0"/>
        <v>51.126</v>
      </c>
      <c r="J36" s="368"/>
      <c r="K36" s="147"/>
      <c r="L36" s="369">
        <f t="shared" si="1"/>
      </c>
      <c r="M36" s="370">
        <f t="shared" si="2"/>
      </c>
      <c r="N36" s="210"/>
      <c r="O36" s="211">
        <f t="shared" si="3"/>
      </c>
      <c r="P36" s="607">
        <f t="shared" si="4"/>
        <v>40</v>
      </c>
      <c r="Q36" s="757" t="str">
        <f t="shared" si="5"/>
        <v>--</v>
      </c>
      <c r="R36" s="182" t="str">
        <f t="shared" si="6"/>
        <v>--</v>
      </c>
      <c r="S36" s="363" t="str">
        <f t="shared" si="7"/>
        <v>--</v>
      </c>
      <c r="T36" s="364" t="str">
        <f t="shared" si="8"/>
        <v>--</v>
      </c>
      <c r="U36" s="211">
        <f t="shared" si="10"/>
      </c>
      <c r="V36" s="371">
        <f t="shared" si="9"/>
      </c>
      <c r="W36" s="6"/>
    </row>
    <row r="37" spans="2:23" s="5" customFormat="1" ht="16.5" customHeight="1">
      <c r="B37" s="50"/>
      <c r="C37" s="264"/>
      <c r="D37" s="264"/>
      <c r="E37" s="149"/>
      <c r="F37" s="366"/>
      <c r="G37" s="366"/>
      <c r="H37" s="367"/>
      <c r="I37" s="128">
        <f t="shared" si="0"/>
        <v>51.126</v>
      </c>
      <c r="J37" s="368"/>
      <c r="K37" s="147"/>
      <c r="L37" s="369">
        <f t="shared" si="1"/>
      </c>
      <c r="M37" s="370">
        <f t="shared" si="2"/>
      </c>
      <c r="N37" s="210"/>
      <c r="O37" s="211">
        <f t="shared" si="3"/>
      </c>
      <c r="P37" s="607">
        <f t="shared" si="4"/>
        <v>40</v>
      </c>
      <c r="Q37" s="757" t="str">
        <f t="shared" si="5"/>
        <v>--</v>
      </c>
      <c r="R37" s="182" t="str">
        <f t="shared" si="6"/>
        <v>--</v>
      </c>
      <c r="S37" s="363" t="str">
        <f t="shared" si="7"/>
        <v>--</v>
      </c>
      <c r="T37" s="364" t="str">
        <f t="shared" si="8"/>
        <v>--</v>
      </c>
      <c r="U37" s="211">
        <f t="shared" si="10"/>
      </c>
      <c r="V37" s="371">
        <f t="shared" si="9"/>
      </c>
      <c r="W37" s="6"/>
    </row>
    <row r="38" spans="2:23" s="5" customFormat="1" ht="16.5" customHeight="1">
      <c r="B38" s="50"/>
      <c r="C38" s="264"/>
      <c r="D38" s="264"/>
      <c r="E38" s="264"/>
      <c r="F38" s="366"/>
      <c r="G38" s="366"/>
      <c r="H38" s="367"/>
      <c r="I38" s="128">
        <f t="shared" si="0"/>
        <v>51.126</v>
      </c>
      <c r="J38" s="368"/>
      <c r="K38" s="147"/>
      <c r="L38" s="369">
        <f t="shared" si="1"/>
      </c>
      <c r="M38" s="370">
        <f t="shared" si="2"/>
      </c>
      <c r="N38" s="210"/>
      <c r="O38" s="211">
        <f t="shared" si="3"/>
      </c>
      <c r="P38" s="607">
        <f t="shared" si="4"/>
        <v>40</v>
      </c>
      <c r="Q38" s="757" t="str">
        <f t="shared" si="5"/>
        <v>--</v>
      </c>
      <c r="R38" s="182" t="str">
        <f t="shared" si="6"/>
        <v>--</v>
      </c>
      <c r="S38" s="363" t="str">
        <f t="shared" si="7"/>
        <v>--</v>
      </c>
      <c r="T38" s="364" t="str">
        <f t="shared" si="8"/>
        <v>--</v>
      </c>
      <c r="U38" s="211">
        <f t="shared" si="10"/>
      </c>
      <c r="V38" s="371">
        <f t="shared" si="9"/>
      </c>
      <c r="W38" s="6"/>
    </row>
    <row r="39" spans="2:23" s="5" customFormat="1" ht="16.5" customHeight="1">
      <c r="B39" s="50"/>
      <c r="C39" s="264"/>
      <c r="D39" s="264"/>
      <c r="E39" s="149"/>
      <c r="F39" s="366"/>
      <c r="G39" s="366"/>
      <c r="H39" s="367"/>
      <c r="I39" s="128">
        <f t="shared" si="0"/>
        <v>51.126</v>
      </c>
      <c r="J39" s="368"/>
      <c r="K39" s="147"/>
      <c r="L39" s="369">
        <f t="shared" si="1"/>
      </c>
      <c r="M39" s="370">
        <f t="shared" si="2"/>
      </c>
      <c r="N39" s="210"/>
      <c r="O39" s="211">
        <f t="shared" si="3"/>
      </c>
      <c r="P39" s="607">
        <f t="shared" si="4"/>
        <v>40</v>
      </c>
      <c r="Q39" s="757" t="str">
        <f t="shared" si="5"/>
        <v>--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211">
        <f t="shared" si="10"/>
      </c>
      <c r="V39" s="371">
        <f t="shared" si="9"/>
      </c>
      <c r="W39" s="6"/>
    </row>
    <row r="40" spans="2:23" s="5" customFormat="1" ht="16.5" customHeight="1">
      <c r="B40" s="50"/>
      <c r="C40" s="264"/>
      <c r="D40" s="264"/>
      <c r="E40" s="264"/>
      <c r="F40" s="366"/>
      <c r="G40" s="366"/>
      <c r="H40" s="367"/>
      <c r="I40" s="128">
        <f t="shared" si="0"/>
        <v>51.126</v>
      </c>
      <c r="J40" s="368"/>
      <c r="K40" s="147"/>
      <c r="L40" s="369">
        <f t="shared" si="1"/>
      </c>
      <c r="M40" s="370">
        <f t="shared" si="2"/>
      </c>
      <c r="N40" s="210"/>
      <c r="O40" s="211">
        <f t="shared" si="3"/>
      </c>
      <c r="P40" s="607">
        <f t="shared" si="4"/>
        <v>40</v>
      </c>
      <c r="Q40" s="757" t="str">
        <f t="shared" si="5"/>
        <v>--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211">
        <f t="shared" si="10"/>
      </c>
      <c r="V40" s="371">
        <f t="shared" si="9"/>
      </c>
      <c r="W40" s="6"/>
    </row>
    <row r="41" spans="2:23" s="5" customFormat="1" ht="16.5" customHeight="1">
      <c r="B41" s="50"/>
      <c r="C41" s="264"/>
      <c r="D41" s="264"/>
      <c r="E41" s="149"/>
      <c r="F41" s="366"/>
      <c r="G41" s="366"/>
      <c r="H41" s="367"/>
      <c r="I41" s="128">
        <f t="shared" si="0"/>
        <v>51.126</v>
      </c>
      <c r="J41" s="368"/>
      <c r="K41" s="147"/>
      <c r="L41" s="369">
        <f t="shared" si="1"/>
      </c>
      <c r="M41" s="370">
        <f t="shared" si="2"/>
      </c>
      <c r="N41" s="210"/>
      <c r="O41" s="211">
        <f t="shared" si="3"/>
      </c>
      <c r="P41" s="607">
        <f t="shared" si="4"/>
        <v>40</v>
      </c>
      <c r="Q41" s="757" t="str">
        <f t="shared" si="5"/>
        <v>--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211">
        <f t="shared" si="10"/>
      </c>
      <c r="V41" s="371">
        <f t="shared" si="9"/>
      </c>
      <c r="W41" s="6"/>
    </row>
    <row r="42" spans="2:23" s="5" customFormat="1" ht="16.5" customHeight="1">
      <c r="B42" s="50"/>
      <c r="C42" s="264"/>
      <c r="D42" s="264"/>
      <c r="E42" s="264"/>
      <c r="F42" s="366"/>
      <c r="G42" s="366"/>
      <c r="H42" s="367"/>
      <c r="I42" s="128">
        <f t="shared" si="0"/>
        <v>51.126</v>
      </c>
      <c r="J42" s="368"/>
      <c r="K42" s="147"/>
      <c r="L42" s="369">
        <f t="shared" si="1"/>
      </c>
      <c r="M42" s="370">
        <f t="shared" si="2"/>
      </c>
      <c r="N42" s="210"/>
      <c r="O42" s="211">
        <f t="shared" si="3"/>
      </c>
      <c r="P42" s="607">
        <f t="shared" si="4"/>
        <v>40</v>
      </c>
      <c r="Q42" s="757" t="str">
        <f t="shared" si="5"/>
        <v>--</v>
      </c>
      <c r="R42" s="182" t="str">
        <f t="shared" si="6"/>
        <v>--</v>
      </c>
      <c r="S42" s="363" t="str">
        <f t="shared" si="7"/>
        <v>--</v>
      </c>
      <c r="T42" s="364" t="str">
        <f t="shared" si="8"/>
        <v>--</v>
      </c>
      <c r="U42" s="211">
        <f t="shared" si="10"/>
      </c>
      <c r="V42" s="371">
        <f t="shared" si="9"/>
      </c>
      <c r="W42" s="6"/>
    </row>
    <row r="43" spans="2:23" s="5" customFormat="1" ht="16.5" customHeight="1" thickBot="1">
      <c r="B43" s="50"/>
      <c r="C43" s="218"/>
      <c r="D43" s="218"/>
      <c r="E43" s="218"/>
      <c r="F43" s="218"/>
      <c r="G43" s="218"/>
      <c r="H43" s="218"/>
      <c r="I43" s="129"/>
      <c r="J43" s="372"/>
      <c r="K43" s="372"/>
      <c r="L43" s="373"/>
      <c r="M43" s="373"/>
      <c r="N43" s="372"/>
      <c r="O43" s="148"/>
      <c r="P43" s="374"/>
      <c r="Q43" s="375"/>
      <c r="R43" s="376"/>
      <c r="S43" s="377"/>
      <c r="T43" s="154"/>
      <c r="U43" s="148"/>
      <c r="V43" s="378"/>
      <c r="W43" s="6"/>
    </row>
    <row r="44" spans="2:23" s="5" customFormat="1" ht="16.5" customHeight="1" thickBot="1" thickTop="1">
      <c r="B44" s="50"/>
      <c r="C44" s="125" t="s">
        <v>23</v>
      </c>
      <c r="D44" s="977" t="s">
        <v>230</v>
      </c>
      <c r="E44" s="125"/>
      <c r="F44" s="126"/>
      <c r="G44"/>
      <c r="H44" s="4"/>
      <c r="I44" s="4"/>
      <c r="J44" s="4"/>
      <c r="K44" s="4"/>
      <c r="L44" s="4"/>
      <c r="M44" s="4"/>
      <c r="N44" s="4"/>
      <c r="O44" s="4"/>
      <c r="P44" s="4"/>
      <c r="Q44" s="379">
        <f>SUM(Q22:Q43)</f>
        <v>1615.5816000000002</v>
      </c>
      <c r="R44" s="380">
        <f>SUM(R22:R43)</f>
        <v>0</v>
      </c>
      <c r="S44" s="381">
        <f>SUM(S22:S43)</f>
        <v>0</v>
      </c>
      <c r="T44" s="382">
        <f>SUM(T22:T43)</f>
        <v>0</v>
      </c>
      <c r="U44" s="383"/>
      <c r="V44" s="98">
        <f>ROUND(SUM(V22:V43),2)</f>
        <v>31794.9</v>
      </c>
      <c r="W44" s="6"/>
    </row>
    <row r="45" spans="2:23" s="5" customFormat="1" ht="16.5" customHeight="1" thickBot="1" thickTop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23:25" ht="16.5" customHeight="1" thickTop="1">
      <c r="W46" s="169"/>
      <c r="X46" s="169"/>
      <c r="Y46" s="169"/>
    </row>
    <row r="47" spans="23:25" ht="16.5" customHeight="1">
      <c r="W47" s="169"/>
      <c r="X47" s="169"/>
      <c r="Y47" s="169"/>
    </row>
    <row r="48" spans="23:25" ht="16.5" customHeight="1">
      <c r="W48" s="169"/>
      <c r="X48" s="169"/>
      <c r="Y48" s="169"/>
    </row>
    <row r="49" spans="23:25" ht="16.5" customHeight="1">
      <c r="W49" s="169"/>
      <c r="X49" s="169"/>
      <c r="Y49" s="169"/>
    </row>
    <row r="50" spans="23:25" ht="16.5" customHeight="1">
      <c r="W50" s="169"/>
      <c r="X50" s="169"/>
      <c r="Y50" s="169"/>
    </row>
    <row r="51" spans="6:25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6:25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6:25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6:25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6:25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6:25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6:25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6:25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6:25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6:25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6:25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6:25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6:25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6:25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6:25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6:25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6:25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6:25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6:25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6:25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6:25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6:25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6:25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6:25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6:25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6:25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6:25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6:25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6:25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6:25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6:25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6:25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6:25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6:25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6:25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6:25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6:25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6:25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  <row r="89" spans="6:25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</row>
    <row r="90" spans="6:25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</row>
    <row r="91" spans="6:25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6:25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</row>
    <row r="93" spans="6:25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</row>
    <row r="94" spans="6:25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6:25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</row>
    <row r="96" spans="6:25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</row>
    <row r="97" spans="6:25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6:25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</row>
    <row r="99" spans="6:25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6:25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spans="6:25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</row>
    <row r="102" spans="6:25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6:25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</row>
    <row r="104" spans="6:25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6:25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6:25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6:25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6:25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6:25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</row>
    <row r="110" spans="6:25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</row>
    <row r="111" spans="6:25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</row>
    <row r="112" spans="6:25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</row>
    <row r="113" spans="6:25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</row>
    <row r="114" spans="6:25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</row>
    <row r="115" spans="6:25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</row>
    <row r="116" spans="6:25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</row>
    <row r="117" spans="6:25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</row>
    <row r="118" spans="6:25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</row>
    <row r="119" spans="6:25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</row>
    <row r="120" spans="6:25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</row>
    <row r="121" spans="6:25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</row>
    <row r="122" spans="6:25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</row>
    <row r="123" spans="6:25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</row>
    <row r="124" spans="6:25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</row>
    <row r="125" spans="6:25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</row>
    <row r="126" spans="6:25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</row>
    <row r="127" spans="6:25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</row>
    <row r="128" spans="6:25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</row>
    <row r="129" spans="6:25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</row>
    <row r="130" spans="6:25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</row>
    <row r="131" spans="6:25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</row>
    <row r="132" spans="6:25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</row>
    <row r="133" spans="6:25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</row>
    <row r="134" spans="6:25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6:25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</row>
    <row r="136" spans="6:25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</row>
    <row r="137" spans="6:25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6:25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</row>
    <row r="139" spans="6:25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6:25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6:25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6:25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6:25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6:25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6:25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6:25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6:25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6:25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6:25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6:25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6:25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6:25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  <row r="153" spans="6:25" ht="16.5" customHeight="1"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</row>
    <row r="154" spans="6:25" ht="16.5" customHeight="1"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</row>
    <row r="155" spans="6:25" ht="16.5" customHeight="1"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</row>
    <row r="156" spans="6:25" ht="16.5" customHeight="1"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</row>
    <row r="157" spans="6:25" ht="16.5" customHeight="1"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</row>
    <row r="158" spans="6:25" ht="16.5" customHeight="1"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Y157"/>
  <sheetViews>
    <sheetView zoomScale="70" zoomScaleNormal="70" workbookViewId="0" topLeftCell="A14">
      <selection activeCell="F45" sqref="F45:G45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55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709" customFormat="1" ht="33" customHeight="1">
      <c r="B10" s="710"/>
      <c r="C10" s="708"/>
      <c r="D10" s="708"/>
      <c r="E10" s="708"/>
      <c r="F10" s="730" t="s">
        <v>129</v>
      </c>
      <c r="G10" s="731"/>
      <c r="H10" s="732"/>
      <c r="I10" s="733"/>
      <c r="K10" s="733"/>
      <c r="L10" s="733"/>
      <c r="M10" s="733"/>
      <c r="N10" s="733"/>
      <c r="O10" s="733"/>
      <c r="P10" s="733"/>
      <c r="Q10" s="708"/>
      <c r="R10" s="708"/>
      <c r="S10" s="708"/>
      <c r="T10" s="708"/>
      <c r="U10" s="708"/>
      <c r="V10" s="708"/>
      <c r="W10" s="734"/>
    </row>
    <row r="11" spans="2:23" s="712" customFormat="1" ht="33" customHeight="1">
      <c r="B11" s="713"/>
      <c r="C11" s="714"/>
      <c r="D11" s="714"/>
      <c r="E11" s="714"/>
      <c r="F11" s="730" t="s">
        <v>132</v>
      </c>
      <c r="G11" s="735"/>
      <c r="H11" s="736"/>
      <c r="I11" s="737"/>
      <c r="J11" s="738"/>
      <c r="K11" s="737"/>
      <c r="L11" s="737"/>
      <c r="M11" s="737"/>
      <c r="N11" s="737"/>
      <c r="O11" s="737"/>
      <c r="P11" s="737"/>
      <c r="Q11" s="714"/>
      <c r="R11" s="714"/>
      <c r="S11" s="714"/>
      <c r="T11" s="714"/>
      <c r="U11" s="714"/>
      <c r="V11" s="714"/>
      <c r="W11" s="739"/>
    </row>
    <row r="12" spans="2:23" s="5" customFormat="1" ht="19.5">
      <c r="B12" s="37" t="str">
        <f>'TOT-0809'!B14</f>
        <v>Desde el 01 al 31 de agosto de 2009</v>
      </c>
      <c r="C12" s="40"/>
      <c r="D12" s="40"/>
      <c r="E12" s="40"/>
      <c r="F12" s="40"/>
      <c r="G12" s="40"/>
      <c r="H12" s="40"/>
      <c r="I12" s="334"/>
      <c r="J12" s="334"/>
      <c r="K12" s="334"/>
      <c r="L12" s="334"/>
      <c r="M12" s="334"/>
      <c r="N12" s="334"/>
      <c r="O12" s="334"/>
      <c r="P12" s="334"/>
      <c r="Q12" s="40"/>
      <c r="R12" s="40"/>
      <c r="S12" s="40"/>
      <c r="T12" s="40"/>
      <c r="U12" s="40"/>
      <c r="V12" s="40"/>
      <c r="W12" s="335"/>
    </row>
    <row r="13" spans="2:23" s="5" customFormat="1" ht="14.25" thickBot="1">
      <c r="B13" s="336"/>
      <c r="C13" s="337"/>
      <c r="D13" s="337"/>
      <c r="E13" s="337"/>
      <c r="F13" s="337"/>
      <c r="G13" s="337"/>
      <c r="H13" s="337"/>
      <c r="I13" s="338"/>
      <c r="J13" s="338"/>
      <c r="K13" s="338"/>
      <c r="L13" s="338"/>
      <c r="M13" s="338"/>
      <c r="N13" s="338"/>
      <c r="O13" s="338"/>
      <c r="P13" s="338"/>
      <c r="Q13" s="337"/>
      <c r="R13" s="337"/>
      <c r="S13" s="337"/>
      <c r="T13" s="337"/>
      <c r="U13" s="337"/>
      <c r="V13" s="337"/>
      <c r="W13" s="339"/>
    </row>
    <row r="14" spans="2:23" s="5" customFormat="1" ht="15" thickBot="1" thickTop="1">
      <c r="B14" s="50"/>
      <c r="C14" s="4"/>
      <c r="D14" s="4"/>
      <c r="E14" s="4"/>
      <c r="F14" s="340"/>
      <c r="G14" s="340"/>
      <c r="H14" s="115" t="s">
        <v>66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41" t="s">
        <v>67</v>
      </c>
      <c r="G15" s="342">
        <v>23.525</v>
      </c>
      <c r="H15" s="343">
        <v>200</v>
      </c>
      <c r="V15" s="113"/>
      <c r="W15" s="6"/>
    </row>
    <row r="16" spans="2:23" s="5" customFormat="1" ht="16.5" customHeight="1" thickBot="1" thickTop="1">
      <c r="B16" s="50"/>
      <c r="C16" s="4"/>
      <c r="D16" s="4"/>
      <c r="E16" s="4"/>
      <c r="F16" s="344" t="s">
        <v>68</v>
      </c>
      <c r="G16" s="345" t="s">
        <v>140</v>
      </c>
      <c r="H16" s="343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6" t="s">
        <v>69</v>
      </c>
      <c r="G17" s="384">
        <v>18.82</v>
      </c>
      <c r="H17" s="343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6"/>
    </row>
    <row r="19" spans="2:23" s="5" customFormat="1" ht="33.75" customHeight="1" thickBot="1" thickTop="1">
      <c r="B19" s="50"/>
      <c r="C19" s="121" t="s">
        <v>12</v>
      </c>
      <c r="D19" s="84" t="s">
        <v>138</v>
      </c>
      <c r="E19" s="84" t="s">
        <v>139</v>
      </c>
      <c r="F19" s="86" t="s">
        <v>25</v>
      </c>
      <c r="G19" s="347" t="s">
        <v>26</v>
      </c>
      <c r="H19" s="348" t="s">
        <v>13</v>
      </c>
      <c r="I19" s="127" t="s">
        <v>15</v>
      </c>
      <c r="J19" s="85" t="s">
        <v>16</v>
      </c>
      <c r="K19" s="347" t="s">
        <v>17</v>
      </c>
      <c r="L19" s="349" t="s">
        <v>34</v>
      </c>
      <c r="M19" s="349" t="s">
        <v>29</v>
      </c>
      <c r="N19" s="87" t="s">
        <v>18</v>
      </c>
      <c r="O19" s="172" t="s">
        <v>30</v>
      </c>
      <c r="P19" s="133" t="s">
        <v>35</v>
      </c>
      <c r="Q19" s="350" t="s">
        <v>56</v>
      </c>
      <c r="R19" s="173" t="s">
        <v>33</v>
      </c>
      <c r="S19" s="351"/>
      <c r="T19" s="132" t="s">
        <v>21</v>
      </c>
      <c r="U19" s="130" t="s">
        <v>59</v>
      </c>
      <c r="V19" s="119" t="s">
        <v>22</v>
      </c>
      <c r="W19" s="6"/>
    </row>
    <row r="20" spans="2:23" s="5" customFormat="1" ht="16.5" customHeight="1" thickTop="1">
      <c r="B20" s="50"/>
      <c r="C20" s="250"/>
      <c r="D20" s="250"/>
      <c r="E20" s="250"/>
      <c r="F20" s="352"/>
      <c r="G20" s="352"/>
      <c r="H20" s="352"/>
      <c r="I20" s="208"/>
      <c r="J20" s="352"/>
      <c r="K20" s="352"/>
      <c r="L20" s="352"/>
      <c r="M20" s="352"/>
      <c r="N20" s="352"/>
      <c r="O20" s="352"/>
      <c r="P20" s="353"/>
      <c r="Q20" s="354"/>
      <c r="R20" s="355"/>
      <c r="S20" s="356"/>
      <c r="T20" s="357"/>
      <c r="U20" s="352"/>
      <c r="V20" s="358"/>
      <c r="W20" s="6"/>
    </row>
    <row r="21" spans="2:23" s="5" customFormat="1" ht="16.5" customHeight="1">
      <c r="B21" s="50"/>
      <c r="C21" s="264"/>
      <c r="D21" s="264"/>
      <c r="E21" s="264"/>
      <c r="F21" s="359"/>
      <c r="G21" s="359"/>
      <c r="H21" s="359"/>
      <c r="I21" s="360"/>
      <c r="J21" s="359"/>
      <c r="K21" s="359"/>
      <c r="L21" s="359"/>
      <c r="M21" s="359"/>
      <c r="N21" s="359"/>
      <c r="O21" s="359"/>
      <c r="P21" s="361"/>
      <c r="Q21" s="362"/>
      <c r="R21" s="182"/>
      <c r="S21" s="363"/>
      <c r="T21" s="364"/>
      <c r="U21" s="359"/>
      <c r="V21" s="365"/>
      <c r="W21" s="6"/>
    </row>
    <row r="22" spans="2:23" s="5" customFormat="1" ht="16.5" customHeight="1">
      <c r="B22" s="50"/>
      <c r="C22" s="264">
        <v>79</v>
      </c>
      <c r="D22" s="264">
        <v>209659</v>
      </c>
      <c r="E22" s="149">
        <v>2594</v>
      </c>
      <c r="F22" s="366" t="s">
        <v>172</v>
      </c>
      <c r="G22" s="366" t="s">
        <v>214</v>
      </c>
      <c r="H22" s="367">
        <v>132</v>
      </c>
      <c r="I22" s="128">
        <f aca="true" t="shared" si="0" ref="I22:I41">IF(H22=500,$G$15,IF(H22=220,$G$16,$G$17))</f>
        <v>18.82</v>
      </c>
      <c r="J22" s="368">
        <v>40029.37986111111</v>
      </c>
      <c r="K22" s="147">
        <v>40029.479166666664</v>
      </c>
      <c r="L22" s="369">
        <f aca="true" t="shared" si="1" ref="L22:L41">IF(F22="","",(K22-J22)*24)</f>
        <v>2.3833333332440816</v>
      </c>
      <c r="M22" s="370">
        <f aca="true" t="shared" si="2" ref="M22:M41">IF(F22="","",ROUND((K22-J22)*24*60,0))</f>
        <v>143</v>
      </c>
      <c r="N22" s="210" t="s">
        <v>144</v>
      </c>
      <c r="O22" s="211" t="str">
        <f aca="true" t="shared" si="3" ref="O22:O41">IF(F22="","",IF(N22="P","--","NO"))</f>
        <v>--</v>
      </c>
      <c r="P22" s="607">
        <f aca="true" t="shared" si="4" ref="P22:P41">IF(H22=500,$H$15,IF(H22=220,$H$16,$H$17))</f>
        <v>40</v>
      </c>
      <c r="Q22" s="757">
        <f aca="true" t="shared" si="5" ref="Q22:Q41">IF(N22="P",I22*P22*ROUND(M22/60,2)*0.1,"--")</f>
        <v>179.16639999999998</v>
      </c>
      <c r="R22" s="182" t="str">
        <f aca="true" t="shared" si="6" ref="R22:R41">IF(AND(N22="F",O22="NO"),I22*P22,"--")</f>
        <v>--</v>
      </c>
      <c r="S22" s="363" t="str">
        <f aca="true" t="shared" si="7" ref="S22:S41">IF(N22="F",I22*P22*ROUND(M22/60,2),"--")</f>
        <v>--</v>
      </c>
      <c r="T22" s="364" t="str">
        <f aca="true" t="shared" si="8" ref="T22:T41">IF(N22="RF",I22*P22*ROUND(M22/60,2),"--")</f>
        <v>--</v>
      </c>
      <c r="U22" s="211" t="s">
        <v>128</v>
      </c>
      <c r="V22" s="371">
        <f aca="true" t="shared" si="9" ref="V22:V41">IF(F22="","",SUM(Q22:T22)*IF(U22="SI",1,2))</f>
        <v>179.16639999999998</v>
      </c>
      <c r="W22" s="6"/>
    </row>
    <row r="23" spans="2:23" s="5" customFormat="1" ht="16.5" customHeight="1">
      <c r="B23" s="50"/>
      <c r="C23" s="264">
        <v>80</v>
      </c>
      <c r="D23" s="264">
        <v>209667</v>
      </c>
      <c r="E23" s="264">
        <v>2602</v>
      </c>
      <c r="F23" s="366" t="s">
        <v>215</v>
      </c>
      <c r="G23" s="366" t="s">
        <v>216</v>
      </c>
      <c r="H23" s="367">
        <v>132</v>
      </c>
      <c r="I23" s="128">
        <f t="shared" si="0"/>
        <v>18.82</v>
      </c>
      <c r="J23" s="368">
        <v>40032.364583333336</v>
      </c>
      <c r="K23" s="147">
        <v>40032.61388888889</v>
      </c>
      <c r="L23" s="369">
        <f t="shared" si="1"/>
        <v>5.983333333279006</v>
      </c>
      <c r="M23" s="370">
        <f t="shared" si="2"/>
        <v>359</v>
      </c>
      <c r="N23" s="210" t="s">
        <v>144</v>
      </c>
      <c r="O23" s="211" t="str">
        <f t="shared" si="3"/>
        <v>--</v>
      </c>
      <c r="P23" s="607">
        <f t="shared" si="4"/>
        <v>40</v>
      </c>
      <c r="Q23" s="757">
        <f t="shared" si="5"/>
        <v>450.1744</v>
      </c>
      <c r="R23" s="182" t="str">
        <f t="shared" si="6"/>
        <v>--</v>
      </c>
      <c r="S23" s="363" t="str">
        <f t="shared" si="7"/>
        <v>--</v>
      </c>
      <c r="T23" s="364" t="str">
        <f t="shared" si="8"/>
        <v>--</v>
      </c>
      <c r="U23" s="211" t="s">
        <v>128</v>
      </c>
      <c r="V23" s="371">
        <f t="shared" si="9"/>
        <v>450.1744</v>
      </c>
      <c r="W23" s="6"/>
    </row>
    <row r="24" spans="2:23" s="5" customFormat="1" ht="16.5" customHeight="1">
      <c r="B24" s="50"/>
      <c r="C24" s="264">
        <v>81</v>
      </c>
      <c r="D24" s="264">
        <v>209882</v>
      </c>
      <c r="E24" s="149">
        <v>2592</v>
      </c>
      <c r="F24" s="366" t="s">
        <v>172</v>
      </c>
      <c r="G24" s="366" t="s">
        <v>217</v>
      </c>
      <c r="H24" s="367">
        <v>132</v>
      </c>
      <c r="I24" s="128">
        <f t="shared" si="0"/>
        <v>18.82</v>
      </c>
      <c r="J24" s="368">
        <v>40035.388194444444</v>
      </c>
      <c r="K24" s="147">
        <v>40035.66180555556</v>
      </c>
      <c r="L24" s="369">
        <f t="shared" si="1"/>
        <v>6.56666666676756</v>
      </c>
      <c r="M24" s="370">
        <f t="shared" si="2"/>
        <v>394</v>
      </c>
      <c r="N24" s="210" t="s">
        <v>144</v>
      </c>
      <c r="O24" s="211" t="str">
        <f t="shared" si="3"/>
        <v>--</v>
      </c>
      <c r="P24" s="607">
        <f t="shared" si="4"/>
        <v>40</v>
      </c>
      <c r="Q24" s="757">
        <f t="shared" si="5"/>
        <v>494.5896</v>
      </c>
      <c r="R24" s="182" t="str">
        <f t="shared" si="6"/>
        <v>--</v>
      </c>
      <c r="S24" s="363" t="str">
        <f t="shared" si="7"/>
        <v>--</v>
      </c>
      <c r="T24" s="364" t="str">
        <f t="shared" si="8"/>
        <v>--</v>
      </c>
      <c r="U24" s="211" t="s">
        <v>128</v>
      </c>
      <c r="V24" s="371">
        <f t="shared" si="9"/>
        <v>494.5896</v>
      </c>
      <c r="W24" s="6"/>
    </row>
    <row r="25" spans="2:23" s="5" customFormat="1" ht="16.5" customHeight="1">
      <c r="B25" s="50"/>
      <c r="C25" s="264">
        <v>82</v>
      </c>
      <c r="D25" s="264">
        <v>209899</v>
      </c>
      <c r="E25" s="264">
        <v>2596</v>
      </c>
      <c r="F25" s="366" t="s">
        <v>172</v>
      </c>
      <c r="G25" s="366" t="s">
        <v>218</v>
      </c>
      <c r="H25" s="367">
        <v>132</v>
      </c>
      <c r="I25" s="128">
        <f t="shared" si="0"/>
        <v>18.82</v>
      </c>
      <c r="J25" s="368">
        <v>40038.356944444444</v>
      </c>
      <c r="K25" s="147">
        <v>40038.69375</v>
      </c>
      <c r="L25" s="369">
        <f t="shared" si="1"/>
        <v>8.08333333331393</v>
      </c>
      <c r="M25" s="370">
        <f t="shared" si="2"/>
        <v>485</v>
      </c>
      <c r="N25" s="210" t="s">
        <v>144</v>
      </c>
      <c r="O25" s="211" t="str">
        <f t="shared" si="3"/>
        <v>--</v>
      </c>
      <c r="P25" s="607">
        <f t="shared" si="4"/>
        <v>40</v>
      </c>
      <c r="Q25" s="757">
        <f t="shared" si="5"/>
        <v>608.2624</v>
      </c>
      <c r="R25" s="182" t="str">
        <f t="shared" si="6"/>
        <v>--</v>
      </c>
      <c r="S25" s="363" t="str">
        <f t="shared" si="7"/>
        <v>--</v>
      </c>
      <c r="T25" s="364" t="str">
        <f t="shared" si="8"/>
        <v>--</v>
      </c>
      <c r="U25" s="211" t="s">
        <v>128</v>
      </c>
      <c r="V25" s="371">
        <f t="shared" si="9"/>
        <v>608.2624</v>
      </c>
      <c r="W25" s="6"/>
    </row>
    <row r="26" spans="2:23" s="5" customFormat="1" ht="16.5" customHeight="1">
      <c r="B26" s="50"/>
      <c r="C26" s="264">
        <v>83</v>
      </c>
      <c r="D26" s="264">
        <v>210459</v>
      </c>
      <c r="E26" s="149">
        <v>3480</v>
      </c>
      <c r="F26" s="366" t="s">
        <v>219</v>
      </c>
      <c r="G26" s="366" t="s">
        <v>220</v>
      </c>
      <c r="H26" s="367">
        <v>132</v>
      </c>
      <c r="I26" s="128">
        <f t="shared" si="0"/>
        <v>18.82</v>
      </c>
      <c r="J26" s="368">
        <v>40050.45347222222</v>
      </c>
      <c r="K26" s="147">
        <v>40050.728472222225</v>
      </c>
      <c r="L26" s="369">
        <f t="shared" si="1"/>
        <v>6.600000000034925</v>
      </c>
      <c r="M26" s="370">
        <f t="shared" si="2"/>
        <v>396</v>
      </c>
      <c r="N26" s="210" t="s">
        <v>144</v>
      </c>
      <c r="O26" s="211" t="str">
        <f t="shared" si="3"/>
        <v>--</v>
      </c>
      <c r="P26" s="607">
        <f t="shared" si="4"/>
        <v>40</v>
      </c>
      <c r="Q26" s="757">
        <f t="shared" si="5"/>
        <v>496.84799999999996</v>
      </c>
      <c r="R26" s="182" t="str">
        <f t="shared" si="6"/>
        <v>--</v>
      </c>
      <c r="S26" s="363" t="str">
        <f t="shared" si="7"/>
        <v>--</v>
      </c>
      <c r="T26" s="364" t="str">
        <f t="shared" si="8"/>
        <v>--</v>
      </c>
      <c r="U26" s="211" t="s">
        <v>128</v>
      </c>
      <c r="V26" s="371">
        <f t="shared" si="9"/>
        <v>496.84799999999996</v>
      </c>
      <c r="W26" s="6"/>
    </row>
    <row r="27" spans="2:23" s="5" customFormat="1" ht="16.5" customHeight="1">
      <c r="B27" s="50"/>
      <c r="C27" s="264">
        <v>84</v>
      </c>
      <c r="D27" s="264">
        <v>210467</v>
      </c>
      <c r="E27" s="264">
        <v>3481</v>
      </c>
      <c r="F27" s="366" t="s">
        <v>219</v>
      </c>
      <c r="G27" s="366" t="s">
        <v>221</v>
      </c>
      <c r="H27" s="367">
        <v>132</v>
      </c>
      <c r="I27" s="128">
        <f t="shared" si="0"/>
        <v>18.82</v>
      </c>
      <c r="J27" s="368">
        <v>40051.45277777778</v>
      </c>
      <c r="K27" s="147">
        <v>40051.72083333333</v>
      </c>
      <c r="L27" s="369">
        <f t="shared" si="1"/>
        <v>6.433333333348855</v>
      </c>
      <c r="M27" s="370">
        <f t="shared" si="2"/>
        <v>386</v>
      </c>
      <c r="N27" s="210" t="s">
        <v>144</v>
      </c>
      <c r="O27" s="211" t="str">
        <f t="shared" si="3"/>
        <v>--</v>
      </c>
      <c r="P27" s="607">
        <f t="shared" si="4"/>
        <v>40</v>
      </c>
      <c r="Q27" s="757">
        <f t="shared" si="5"/>
        <v>484.0504</v>
      </c>
      <c r="R27" s="182" t="str">
        <f t="shared" si="6"/>
        <v>--</v>
      </c>
      <c r="S27" s="363" t="str">
        <f t="shared" si="7"/>
        <v>--</v>
      </c>
      <c r="T27" s="364" t="str">
        <f t="shared" si="8"/>
        <v>--</v>
      </c>
      <c r="U27" s="211" t="s">
        <v>128</v>
      </c>
      <c r="V27" s="371">
        <f t="shared" si="9"/>
        <v>484.0504</v>
      </c>
      <c r="W27" s="6"/>
    </row>
    <row r="28" spans="2:23" s="5" customFormat="1" ht="16.5" customHeight="1">
      <c r="B28" s="50"/>
      <c r="C28" s="264">
        <v>85</v>
      </c>
      <c r="D28" s="264">
        <v>210472</v>
      </c>
      <c r="E28" s="149">
        <v>2588</v>
      </c>
      <c r="F28" s="366" t="s">
        <v>219</v>
      </c>
      <c r="G28" s="366" t="s">
        <v>222</v>
      </c>
      <c r="H28" s="367">
        <v>132</v>
      </c>
      <c r="I28" s="128">
        <f t="shared" si="0"/>
        <v>18.82</v>
      </c>
      <c r="J28" s="368">
        <v>40052.43194444444</v>
      </c>
      <c r="K28" s="147">
        <v>40052.70694444444</v>
      </c>
      <c r="L28" s="369">
        <f t="shared" si="1"/>
        <v>6.600000000034925</v>
      </c>
      <c r="M28" s="370">
        <f t="shared" si="2"/>
        <v>396</v>
      </c>
      <c r="N28" s="210" t="s">
        <v>144</v>
      </c>
      <c r="O28" s="211" t="str">
        <f t="shared" si="3"/>
        <v>--</v>
      </c>
      <c r="P28" s="607">
        <f t="shared" si="4"/>
        <v>40</v>
      </c>
      <c r="Q28" s="757">
        <f t="shared" si="5"/>
        <v>496.84799999999996</v>
      </c>
      <c r="R28" s="182" t="str">
        <f t="shared" si="6"/>
        <v>--</v>
      </c>
      <c r="S28" s="363" t="str">
        <f t="shared" si="7"/>
        <v>--</v>
      </c>
      <c r="T28" s="364" t="str">
        <f t="shared" si="8"/>
        <v>--</v>
      </c>
      <c r="U28" s="211" t="s">
        <v>128</v>
      </c>
      <c r="V28" s="371">
        <f t="shared" si="9"/>
        <v>496.84799999999996</v>
      </c>
      <c r="W28" s="6"/>
    </row>
    <row r="29" spans="2:23" s="5" customFormat="1" ht="16.5" customHeight="1">
      <c r="B29" s="50"/>
      <c r="C29" s="264"/>
      <c r="D29" s="264"/>
      <c r="E29" s="264"/>
      <c r="F29" s="366"/>
      <c r="G29" s="366"/>
      <c r="H29" s="367"/>
      <c r="I29" s="128">
        <f t="shared" si="0"/>
        <v>18.82</v>
      </c>
      <c r="J29" s="368"/>
      <c r="K29" s="147"/>
      <c r="L29" s="369">
        <f t="shared" si="1"/>
      </c>
      <c r="M29" s="370">
        <f t="shared" si="2"/>
      </c>
      <c r="N29" s="210"/>
      <c r="O29" s="211">
        <f t="shared" si="3"/>
      </c>
      <c r="P29" s="607">
        <f t="shared" si="4"/>
        <v>40</v>
      </c>
      <c r="Q29" s="757" t="str">
        <f t="shared" si="5"/>
        <v>--</v>
      </c>
      <c r="R29" s="182" t="str">
        <f t="shared" si="6"/>
        <v>--</v>
      </c>
      <c r="S29" s="363" t="str">
        <f t="shared" si="7"/>
        <v>--</v>
      </c>
      <c r="T29" s="364" t="str">
        <f t="shared" si="8"/>
        <v>--</v>
      </c>
      <c r="U29" s="211">
        <f aca="true" t="shared" si="10" ref="U29:U41">IF(F29="","","SI")</f>
      </c>
      <c r="V29" s="371">
        <f t="shared" si="9"/>
      </c>
      <c r="W29" s="6"/>
    </row>
    <row r="30" spans="2:23" s="5" customFormat="1" ht="16.5" customHeight="1">
      <c r="B30" s="50"/>
      <c r="C30" s="264"/>
      <c r="D30" s="264"/>
      <c r="E30" s="149"/>
      <c r="F30" s="366"/>
      <c r="G30" s="366"/>
      <c r="H30" s="367"/>
      <c r="I30" s="128">
        <f t="shared" si="0"/>
        <v>18.82</v>
      </c>
      <c r="J30" s="368"/>
      <c r="K30" s="147"/>
      <c r="L30" s="369">
        <f t="shared" si="1"/>
      </c>
      <c r="M30" s="370">
        <f t="shared" si="2"/>
      </c>
      <c r="N30" s="210"/>
      <c r="O30" s="211">
        <f t="shared" si="3"/>
      </c>
      <c r="P30" s="607">
        <f t="shared" si="4"/>
        <v>40</v>
      </c>
      <c r="Q30" s="757" t="str">
        <f t="shared" si="5"/>
        <v>--</v>
      </c>
      <c r="R30" s="182" t="str">
        <f t="shared" si="6"/>
        <v>--</v>
      </c>
      <c r="S30" s="363" t="str">
        <f t="shared" si="7"/>
        <v>--</v>
      </c>
      <c r="T30" s="364" t="str">
        <f t="shared" si="8"/>
        <v>--</v>
      </c>
      <c r="U30" s="211">
        <f t="shared" si="10"/>
      </c>
      <c r="V30" s="371">
        <f t="shared" si="9"/>
      </c>
      <c r="W30" s="6"/>
    </row>
    <row r="31" spans="2:23" s="5" customFormat="1" ht="16.5" customHeight="1">
      <c r="B31" s="50"/>
      <c r="C31" s="264"/>
      <c r="D31" s="264"/>
      <c r="E31" s="264"/>
      <c r="F31" s="366"/>
      <c r="G31" s="366"/>
      <c r="H31" s="367"/>
      <c r="I31" s="128">
        <f t="shared" si="0"/>
        <v>18.82</v>
      </c>
      <c r="J31" s="368"/>
      <c r="K31" s="147"/>
      <c r="L31" s="369">
        <f t="shared" si="1"/>
      </c>
      <c r="M31" s="370">
        <f t="shared" si="2"/>
      </c>
      <c r="N31" s="210"/>
      <c r="O31" s="211">
        <f t="shared" si="3"/>
      </c>
      <c r="P31" s="607">
        <f t="shared" si="4"/>
        <v>40</v>
      </c>
      <c r="Q31" s="757" t="str">
        <f t="shared" si="5"/>
        <v>--</v>
      </c>
      <c r="R31" s="182" t="str">
        <f t="shared" si="6"/>
        <v>--</v>
      </c>
      <c r="S31" s="363" t="str">
        <f t="shared" si="7"/>
        <v>--</v>
      </c>
      <c r="T31" s="364" t="str">
        <f t="shared" si="8"/>
        <v>--</v>
      </c>
      <c r="U31" s="211">
        <f t="shared" si="10"/>
      </c>
      <c r="V31" s="371">
        <f t="shared" si="9"/>
      </c>
      <c r="W31" s="6"/>
    </row>
    <row r="32" spans="2:23" s="5" customFormat="1" ht="16.5" customHeight="1">
      <c r="B32" s="50"/>
      <c r="C32" s="264"/>
      <c r="D32" s="264"/>
      <c r="E32" s="149"/>
      <c r="F32" s="366"/>
      <c r="G32" s="366"/>
      <c r="H32" s="367"/>
      <c r="I32" s="128">
        <f t="shared" si="0"/>
        <v>18.82</v>
      </c>
      <c r="J32" s="368"/>
      <c r="K32" s="147"/>
      <c r="L32" s="369">
        <f t="shared" si="1"/>
      </c>
      <c r="M32" s="370">
        <f t="shared" si="2"/>
      </c>
      <c r="N32" s="210"/>
      <c r="O32" s="211">
        <f t="shared" si="3"/>
      </c>
      <c r="P32" s="607">
        <f t="shared" si="4"/>
        <v>40</v>
      </c>
      <c r="Q32" s="757" t="str">
        <f t="shared" si="5"/>
        <v>--</v>
      </c>
      <c r="R32" s="182" t="str">
        <f t="shared" si="6"/>
        <v>--</v>
      </c>
      <c r="S32" s="363" t="str">
        <f t="shared" si="7"/>
        <v>--</v>
      </c>
      <c r="T32" s="364" t="str">
        <f t="shared" si="8"/>
        <v>--</v>
      </c>
      <c r="U32" s="211">
        <f t="shared" si="10"/>
      </c>
      <c r="V32" s="371">
        <f t="shared" si="9"/>
      </c>
      <c r="W32" s="6"/>
    </row>
    <row r="33" spans="2:23" s="5" customFormat="1" ht="16.5" customHeight="1">
      <c r="B33" s="50"/>
      <c r="C33" s="264"/>
      <c r="D33" s="264"/>
      <c r="E33" s="264"/>
      <c r="F33" s="366"/>
      <c r="G33" s="366"/>
      <c r="H33" s="367"/>
      <c r="I33" s="128">
        <f t="shared" si="0"/>
        <v>18.82</v>
      </c>
      <c r="J33" s="368"/>
      <c r="K33" s="147"/>
      <c r="L33" s="369">
        <f t="shared" si="1"/>
      </c>
      <c r="M33" s="370">
        <f t="shared" si="2"/>
      </c>
      <c r="N33" s="210"/>
      <c r="O33" s="211">
        <f t="shared" si="3"/>
      </c>
      <c r="P33" s="607">
        <f t="shared" si="4"/>
        <v>40</v>
      </c>
      <c r="Q33" s="757" t="str">
        <f t="shared" si="5"/>
        <v>--</v>
      </c>
      <c r="R33" s="182" t="str">
        <f t="shared" si="6"/>
        <v>--</v>
      </c>
      <c r="S33" s="363" t="str">
        <f t="shared" si="7"/>
        <v>--</v>
      </c>
      <c r="T33" s="364" t="str">
        <f t="shared" si="8"/>
        <v>--</v>
      </c>
      <c r="U33" s="211">
        <f t="shared" si="10"/>
      </c>
      <c r="V33" s="371">
        <f t="shared" si="9"/>
      </c>
      <c r="W33" s="6"/>
    </row>
    <row r="34" spans="2:23" s="5" customFormat="1" ht="16.5" customHeight="1">
      <c r="B34" s="50"/>
      <c r="C34" s="264"/>
      <c r="D34" s="264"/>
      <c r="E34" s="149"/>
      <c r="F34" s="366"/>
      <c r="G34" s="366"/>
      <c r="H34" s="367"/>
      <c r="I34" s="128">
        <f t="shared" si="0"/>
        <v>18.82</v>
      </c>
      <c r="J34" s="368"/>
      <c r="K34" s="147"/>
      <c r="L34" s="369">
        <f t="shared" si="1"/>
      </c>
      <c r="M34" s="370">
        <f t="shared" si="2"/>
      </c>
      <c r="N34" s="210"/>
      <c r="O34" s="211">
        <f t="shared" si="3"/>
      </c>
      <c r="P34" s="607">
        <f t="shared" si="4"/>
        <v>40</v>
      </c>
      <c r="Q34" s="757" t="str">
        <f t="shared" si="5"/>
        <v>--</v>
      </c>
      <c r="R34" s="182" t="str">
        <f t="shared" si="6"/>
        <v>--</v>
      </c>
      <c r="S34" s="363" t="str">
        <f t="shared" si="7"/>
        <v>--</v>
      </c>
      <c r="T34" s="364" t="str">
        <f t="shared" si="8"/>
        <v>--</v>
      </c>
      <c r="U34" s="211">
        <f t="shared" si="10"/>
      </c>
      <c r="V34" s="371">
        <f t="shared" si="9"/>
      </c>
      <c r="W34" s="6"/>
    </row>
    <row r="35" spans="2:23" s="5" customFormat="1" ht="16.5" customHeight="1">
      <c r="B35" s="50"/>
      <c r="C35" s="264"/>
      <c r="D35" s="264"/>
      <c r="E35" s="264"/>
      <c r="F35" s="366"/>
      <c r="G35" s="366"/>
      <c r="H35" s="367"/>
      <c r="I35" s="128">
        <f t="shared" si="0"/>
        <v>18.82</v>
      </c>
      <c r="J35" s="368"/>
      <c r="K35" s="147"/>
      <c r="L35" s="369">
        <f t="shared" si="1"/>
      </c>
      <c r="M35" s="370">
        <f t="shared" si="2"/>
      </c>
      <c r="N35" s="210"/>
      <c r="O35" s="211">
        <f t="shared" si="3"/>
      </c>
      <c r="P35" s="607">
        <f t="shared" si="4"/>
        <v>40</v>
      </c>
      <c r="Q35" s="757" t="str">
        <f t="shared" si="5"/>
        <v>--</v>
      </c>
      <c r="R35" s="182" t="str">
        <f t="shared" si="6"/>
        <v>--</v>
      </c>
      <c r="S35" s="363" t="str">
        <f t="shared" si="7"/>
        <v>--</v>
      </c>
      <c r="T35" s="364" t="str">
        <f t="shared" si="8"/>
        <v>--</v>
      </c>
      <c r="U35" s="211">
        <f t="shared" si="10"/>
      </c>
      <c r="V35" s="371">
        <f t="shared" si="9"/>
      </c>
      <c r="W35" s="6"/>
    </row>
    <row r="36" spans="2:23" s="5" customFormat="1" ht="16.5" customHeight="1">
      <c r="B36" s="50"/>
      <c r="C36" s="264"/>
      <c r="D36" s="264"/>
      <c r="E36" s="149"/>
      <c r="F36" s="366"/>
      <c r="G36" s="366"/>
      <c r="H36" s="367"/>
      <c r="I36" s="128">
        <f t="shared" si="0"/>
        <v>18.82</v>
      </c>
      <c r="J36" s="368"/>
      <c r="K36" s="147"/>
      <c r="L36" s="369">
        <f t="shared" si="1"/>
      </c>
      <c r="M36" s="370">
        <f t="shared" si="2"/>
      </c>
      <c r="N36" s="210"/>
      <c r="O36" s="211">
        <f t="shared" si="3"/>
      </c>
      <c r="P36" s="607">
        <f t="shared" si="4"/>
        <v>40</v>
      </c>
      <c r="Q36" s="757" t="str">
        <f t="shared" si="5"/>
        <v>--</v>
      </c>
      <c r="R36" s="182" t="str">
        <f t="shared" si="6"/>
        <v>--</v>
      </c>
      <c r="S36" s="363" t="str">
        <f t="shared" si="7"/>
        <v>--</v>
      </c>
      <c r="T36" s="364" t="str">
        <f t="shared" si="8"/>
        <v>--</v>
      </c>
      <c r="U36" s="211">
        <f t="shared" si="10"/>
      </c>
      <c r="V36" s="371">
        <f t="shared" si="9"/>
      </c>
      <c r="W36" s="6"/>
    </row>
    <row r="37" spans="2:23" s="5" customFormat="1" ht="16.5" customHeight="1">
      <c r="B37" s="50"/>
      <c r="C37" s="264"/>
      <c r="D37" s="264"/>
      <c r="E37" s="264"/>
      <c r="F37" s="366"/>
      <c r="G37" s="366"/>
      <c r="H37" s="367"/>
      <c r="I37" s="128">
        <f t="shared" si="0"/>
        <v>18.82</v>
      </c>
      <c r="J37" s="368"/>
      <c r="K37" s="147"/>
      <c r="L37" s="369">
        <f t="shared" si="1"/>
      </c>
      <c r="M37" s="370">
        <f t="shared" si="2"/>
      </c>
      <c r="N37" s="210"/>
      <c r="O37" s="211">
        <f t="shared" si="3"/>
      </c>
      <c r="P37" s="607">
        <f t="shared" si="4"/>
        <v>40</v>
      </c>
      <c r="Q37" s="757" t="str">
        <f t="shared" si="5"/>
        <v>--</v>
      </c>
      <c r="R37" s="182" t="str">
        <f t="shared" si="6"/>
        <v>--</v>
      </c>
      <c r="S37" s="363" t="str">
        <f t="shared" si="7"/>
        <v>--</v>
      </c>
      <c r="T37" s="364" t="str">
        <f t="shared" si="8"/>
        <v>--</v>
      </c>
      <c r="U37" s="211">
        <f t="shared" si="10"/>
      </c>
      <c r="V37" s="371">
        <f t="shared" si="9"/>
      </c>
      <c r="W37" s="6"/>
    </row>
    <row r="38" spans="2:23" s="5" customFormat="1" ht="16.5" customHeight="1">
      <c r="B38" s="50"/>
      <c r="C38" s="264"/>
      <c r="D38" s="264"/>
      <c r="E38" s="149"/>
      <c r="F38" s="366"/>
      <c r="G38" s="366"/>
      <c r="H38" s="367"/>
      <c r="I38" s="128">
        <f t="shared" si="0"/>
        <v>18.82</v>
      </c>
      <c r="J38" s="368"/>
      <c r="K38" s="147"/>
      <c r="L38" s="369">
        <f t="shared" si="1"/>
      </c>
      <c r="M38" s="370">
        <f t="shared" si="2"/>
      </c>
      <c r="N38" s="210"/>
      <c r="O38" s="211">
        <f t="shared" si="3"/>
      </c>
      <c r="P38" s="607">
        <f t="shared" si="4"/>
        <v>40</v>
      </c>
      <c r="Q38" s="757" t="str">
        <f t="shared" si="5"/>
        <v>--</v>
      </c>
      <c r="R38" s="182" t="str">
        <f t="shared" si="6"/>
        <v>--</v>
      </c>
      <c r="S38" s="363" t="str">
        <f t="shared" si="7"/>
        <v>--</v>
      </c>
      <c r="T38" s="364" t="str">
        <f t="shared" si="8"/>
        <v>--</v>
      </c>
      <c r="U38" s="211">
        <f t="shared" si="10"/>
      </c>
      <c r="V38" s="371">
        <f t="shared" si="9"/>
      </c>
      <c r="W38" s="6"/>
    </row>
    <row r="39" spans="2:23" s="5" customFormat="1" ht="16.5" customHeight="1">
      <c r="B39" s="50"/>
      <c r="C39" s="264"/>
      <c r="D39" s="264"/>
      <c r="E39" s="264"/>
      <c r="F39" s="366"/>
      <c r="G39" s="366"/>
      <c r="H39" s="367"/>
      <c r="I39" s="128">
        <f t="shared" si="0"/>
        <v>18.82</v>
      </c>
      <c r="J39" s="368"/>
      <c r="K39" s="147"/>
      <c r="L39" s="369">
        <f t="shared" si="1"/>
      </c>
      <c r="M39" s="370">
        <f t="shared" si="2"/>
      </c>
      <c r="N39" s="210"/>
      <c r="O39" s="211">
        <f t="shared" si="3"/>
      </c>
      <c r="P39" s="607">
        <f t="shared" si="4"/>
        <v>40</v>
      </c>
      <c r="Q39" s="757" t="str">
        <f t="shared" si="5"/>
        <v>--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211">
        <f t="shared" si="10"/>
      </c>
      <c r="V39" s="371">
        <f t="shared" si="9"/>
      </c>
      <c r="W39" s="6"/>
    </row>
    <row r="40" spans="2:23" s="5" customFormat="1" ht="16.5" customHeight="1">
      <c r="B40" s="50"/>
      <c r="C40" s="264"/>
      <c r="D40" s="264"/>
      <c r="E40" s="149"/>
      <c r="F40" s="366"/>
      <c r="G40" s="366"/>
      <c r="H40" s="367"/>
      <c r="I40" s="128">
        <f t="shared" si="0"/>
        <v>18.82</v>
      </c>
      <c r="J40" s="368"/>
      <c r="K40" s="147"/>
      <c r="L40" s="369">
        <f t="shared" si="1"/>
      </c>
      <c r="M40" s="370">
        <f t="shared" si="2"/>
      </c>
      <c r="N40" s="210"/>
      <c r="O40" s="211">
        <f t="shared" si="3"/>
      </c>
      <c r="P40" s="607">
        <f t="shared" si="4"/>
        <v>40</v>
      </c>
      <c r="Q40" s="757" t="str">
        <f t="shared" si="5"/>
        <v>--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211">
        <f t="shared" si="10"/>
      </c>
      <c r="V40" s="371">
        <f t="shared" si="9"/>
      </c>
      <c r="W40" s="6"/>
    </row>
    <row r="41" spans="2:23" s="5" customFormat="1" ht="16.5" customHeight="1">
      <c r="B41" s="50"/>
      <c r="C41" s="264"/>
      <c r="D41" s="264"/>
      <c r="E41" s="264"/>
      <c r="F41" s="366"/>
      <c r="G41" s="366"/>
      <c r="H41" s="367"/>
      <c r="I41" s="128">
        <f t="shared" si="0"/>
        <v>18.82</v>
      </c>
      <c r="J41" s="368"/>
      <c r="K41" s="147"/>
      <c r="L41" s="369">
        <f t="shared" si="1"/>
      </c>
      <c r="M41" s="370">
        <f t="shared" si="2"/>
      </c>
      <c r="N41" s="210"/>
      <c r="O41" s="211">
        <f t="shared" si="3"/>
      </c>
      <c r="P41" s="607">
        <f t="shared" si="4"/>
        <v>40</v>
      </c>
      <c r="Q41" s="757" t="str">
        <f t="shared" si="5"/>
        <v>--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211">
        <f t="shared" si="10"/>
      </c>
      <c r="V41" s="371">
        <f t="shared" si="9"/>
      </c>
      <c r="W41" s="6"/>
    </row>
    <row r="42" spans="2:23" s="5" customFormat="1" ht="16.5" customHeight="1" thickBot="1">
      <c r="B42" s="50"/>
      <c r="C42" s="218"/>
      <c r="D42" s="218"/>
      <c r="E42" s="218"/>
      <c r="F42" s="218"/>
      <c r="G42" s="218"/>
      <c r="H42" s="218"/>
      <c r="I42" s="129"/>
      <c r="J42" s="372"/>
      <c r="K42" s="372"/>
      <c r="L42" s="373"/>
      <c r="M42" s="373"/>
      <c r="N42" s="372"/>
      <c r="O42" s="148"/>
      <c r="P42" s="374"/>
      <c r="Q42" s="375"/>
      <c r="R42" s="376"/>
      <c r="S42" s="377"/>
      <c r="T42" s="154"/>
      <c r="U42" s="148"/>
      <c r="V42" s="378"/>
      <c r="W42" s="6"/>
    </row>
    <row r="43" spans="2:23" s="5" customFormat="1" ht="16.5" customHeight="1" thickBot="1" thickTop="1">
      <c r="B43" s="50"/>
      <c r="C43" s="125" t="s">
        <v>23</v>
      </c>
      <c r="D43" s="977" t="s">
        <v>230</v>
      </c>
      <c r="E43" s="125"/>
      <c r="F43" s="126"/>
      <c r="G43"/>
      <c r="H43" s="4"/>
      <c r="I43" s="4"/>
      <c r="J43" s="4"/>
      <c r="K43" s="4"/>
      <c r="L43" s="4"/>
      <c r="M43" s="4"/>
      <c r="N43" s="4"/>
      <c r="O43" s="4"/>
      <c r="P43" s="4"/>
      <c r="Q43" s="379">
        <f>SUM(Q20:Q42)</f>
        <v>3209.9392</v>
      </c>
      <c r="R43" s="380">
        <f>SUM(R20:R42)</f>
        <v>0</v>
      </c>
      <c r="S43" s="381">
        <f>SUM(S20:S42)</f>
        <v>0</v>
      </c>
      <c r="T43" s="382">
        <f>SUM(T20:T42)</f>
        <v>0</v>
      </c>
      <c r="U43" s="383"/>
      <c r="V43" s="98">
        <f>ROUND(SUM(V20:V42),2)</f>
        <v>3209.94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69"/>
      <c r="X45" s="169"/>
      <c r="Y45" s="169"/>
    </row>
    <row r="46" spans="23:25" ht="16.5" customHeight="1">
      <c r="W46" s="169"/>
      <c r="X46" s="169"/>
      <c r="Y46" s="169"/>
    </row>
    <row r="47" spans="23:25" ht="16.5" customHeight="1">
      <c r="W47" s="169"/>
      <c r="X47" s="169"/>
      <c r="Y47" s="169"/>
    </row>
    <row r="48" spans="23:25" ht="16.5" customHeight="1">
      <c r="W48" s="169"/>
      <c r="X48" s="169"/>
      <c r="Y48" s="169"/>
    </row>
    <row r="49" spans="23:25" ht="16.5" customHeight="1">
      <c r="W49" s="169"/>
      <c r="X49" s="169"/>
      <c r="Y49" s="169"/>
    </row>
    <row r="50" spans="6:25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6:25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6:25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6:25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6:25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6:25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6:25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6:25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6:25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6:25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6:25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6:25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6:25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6:25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6:25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6:25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6:25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6:25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6:25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6:25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6:25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6:25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6:25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6:25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6:25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6:25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6:25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6:25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6:25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6:25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6:25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6:25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6:25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6:25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6:25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6:25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6:25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6:25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6:25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  <row r="89" spans="6:25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</row>
    <row r="90" spans="6:25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</row>
    <row r="91" spans="6:25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6:25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</row>
    <row r="93" spans="6:25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</row>
    <row r="94" spans="6:25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6:25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</row>
    <row r="96" spans="6:25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</row>
    <row r="97" spans="6:25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6:25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</row>
    <row r="99" spans="6:25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6:25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spans="6:25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</row>
    <row r="102" spans="6:25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6:25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</row>
    <row r="104" spans="6:25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6:25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6:25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6:25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6:25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6:25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</row>
    <row r="110" spans="6:25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</row>
    <row r="111" spans="6:25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</row>
    <row r="112" spans="6:25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</row>
    <row r="113" spans="6:25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</row>
    <row r="114" spans="6:25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</row>
    <row r="115" spans="6:25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</row>
    <row r="116" spans="6:25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</row>
    <row r="117" spans="6:25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</row>
    <row r="118" spans="6:25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</row>
    <row r="119" spans="6:25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</row>
    <row r="120" spans="6:25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</row>
    <row r="121" spans="6:25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</row>
    <row r="122" spans="6:25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</row>
    <row r="123" spans="6:25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</row>
    <row r="124" spans="6:25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</row>
    <row r="125" spans="6:25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</row>
    <row r="126" spans="6:25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</row>
    <row r="127" spans="6:25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</row>
    <row r="128" spans="6:25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</row>
    <row r="129" spans="6:25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</row>
    <row r="130" spans="6:25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</row>
    <row r="131" spans="6:25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</row>
    <row r="132" spans="6:25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</row>
    <row r="133" spans="6:25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</row>
    <row r="134" spans="6:25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6:25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</row>
    <row r="136" spans="6:25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</row>
    <row r="137" spans="6:25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6:25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</row>
    <row r="139" spans="6:25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6:25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6:25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6:25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6:25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6:25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6:25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6:25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6:25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6:25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6:25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6:25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6:25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6:25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  <row r="153" spans="6:25" ht="16.5" customHeight="1"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</row>
    <row r="154" spans="6:25" ht="16.5" customHeight="1"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</row>
    <row r="155" spans="6:25" ht="16.5" customHeight="1"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</row>
    <row r="156" spans="6:25" ht="16.5" customHeight="1"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</row>
    <row r="157" spans="6:25" ht="16.5" customHeight="1"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Y157"/>
  <sheetViews>
    <sheetView zoomScale="70" zoomScaleNormal="70" workbookViewId="0" topLeftCell="B11">
      <selection activeCell="J22" sqref="J22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55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33" customHeight="1">
      <c r="B10" s="79"/>
      <c r="C10" s="30"/>
      <c r="D10" s="30"/>
      <c r="E10" s="30"/>
      <c r="F10" s="730" t="s">
        <v>129</v>
      </c>
      <c r="G10" s="332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33" customHeight="1">
      <c r="B11" s="50"/>
      <c r="C11" s="4"/>
      <c r="D11" s="4"/>
      <c r="E11" s="4"/>
      <c r="F11" s="730" t="s">
        <v>70</v>
      </c>
      <c r="G11" s="333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5" customFormat="1" ht="19.5">
      <c r="B12" s="37" t="str">
        <f>'TOT-0809'!B14</f>
        <v>Desde el 01 al 31 de agosto de 2009</v>
      </c>
      <c r="C12" s="40"/>
      <c r="D12" s="40"/>
      <c r="E12" s="40"/>
      <c r="F12" s="40"/>
      <c r="G12" s="40"/>
      <c r="H12" s="40"/>
      <c r="I12" s="334"/>
      <c r="J12" s="334"/>
      <c r="K12" s="334"/>
      <c r="L12" s="334"/>
      <c r="M12" s="334"/>
      <c r="N12" s="334"/>
      <c r="O12" s="334"/>
      <c r="P12" s="334"/>
      <c r="Q12" s="40"/>
      <c r="R12" s="40"/>
      <c r="S12" s="40"/>
      <c r="T12" s="40"/>
      <c r="U12" s="40"/>
      <c r="V12" s="40"/>
      <c r="W12" s="335"/>
    </row>
    <row r="13" spans="2:23" s="5" customFormat="1" ht="14.25" thickBot="1">
      <c r="B13" s="336"/>
      <c r="C13" s="337"/>
      <c r="D13" s="337"/>
      <c r="E13" s="337"/>
      <c r="F13" s="337"/>
      <c r="G13" s="337"/>
      <c r="H13" s="337"/>
      <c r="I13" s="338"/>
      <c r="J13" s="338"/>
      <c r="K13" s="338"/>
      <c r="L13" s="338"/>
      <c r="M13" s="338"/>
      <c r="N13" s="338"/>
      <c r="O13" s="338"/>
      <c r="P13" s="338"/>
      <c r="Q13" s="337"/>
      <c r="R13" s="337"/>
      <c r="S13" s="337"/>
      <c r="T13" s="337"/>
      <c r="U13" s="337"/>
      <c r="V13" s="337"/>
      <c r="W13" s="339"/>
    </row>
    <row r="14" spans="2:23" s="5" customFormat="1" ht="15" thickBot="1" thickTop="1">
      <c r="B14" s="50"/>
      <c r="C14" s="4"/>
      <c r="D14" s="4"/>
      <c r="E14" s="4"/>
      <c r="F14" s="340"/>
      <c r="G14" s="340"/>
      <c r="H14" s="115" t="s">
        <v>66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41" t="s">
        <v>67</v>
      </c>
      <c r="G15" s="342">
        <v>63.904</v>
      </c>
      <c r="H15" s="343">
        <v>200</v>
      </c>
      <c r="V15" s="113"/>
      <c r="W15" s="6"/>
    </row>
    <row r="16" spans="2:23" s="5" customFormat="1" ht="16.5" customHeight="1" thickBot="1" thickTop="1">
      <c r="B16" s="50"/>
      <c r="C16" s="4"/>
      <c r="D16" s="4"/>
      <c r="E16" s="4"/>
      <c r="F16" s="344" t="s">
        <v>68</v>
      </c>
      <c r="G16" s="345">
        <v>57.511</v>
      </c>
      <c r="H16" s="343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46" t="s">
        <v>69</v>
      </c>
      <c r="G17" s="345">
        <v>51.126</v>
      </c>
      <c r="H17" s="343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6"/>
    </row>
    <row r="19" spans="2:23" s="5" customFormat="1" ht="33.75" customHeight="1" thickBot="1" thickTop="1">
      <c r="B19" s="50"/>
      <c r="C19" s="121" t="s">
        <v>12</v>
      </c>
      <c r="D19" s="84" t="s">
        <v>138</v>
      </c>
      <c r="E19" s="84" t="s">
        <v>139</v>
      </c>
      <c r="F19" s="86" t="s">
        <v>25</v>
      </c>
      <c r="G19" s="347" t="s">
        <v>26</v>
      </c>
      <c r="H19" s="348" t="s">
        <v>13</v>
      </c>
      <c r="I19" s="127" t="s">
        <v>15</v>
      </c>
      <c r="J19" s="85" t="s">
        <v>16</v>
      </c>
      <c r="K19" s="347" t="s">
        <v>17</v>
      </c>
      <c r="L19" s="349" t="s">
        <v>34</v>
      </c>
      <c r="M19" s="349" t="s">
        <v>29</v>
      </c>
      <c r="N19" s="87" t="s">
        <v>18</v>
      </c>
      <c r="O19" s="172" t="s">
        <v>30</v>
      </c>
      <c r="P19" s="133" t="s">
        <v>35</v>
      </c>
      <c r="Q19" s="350" t="s">
        <v>56</v>
      </c>
      <c r="R19" s="173" t="s">
        <v>33</v>
      </c>
      <c r="S19" s="351"/>
      <c r="T19" s="132" t="s">
        <v>21</v>
      </c>
      <c r="U19" s="130" t="s">
        <v>59</v>
      </c>
      <c r="V19" s="119" t="s">
        <v>22</v>
      </c>
      <c r="W19" s="6"/>
    </row>
    <row r="20" spans="2:23" s="5" customFormat="1" ht="16.5" customHeight="1" thickTop="1">
      <c r="B20" s="50"/>
      <c r="C20" s="250"/>
      <c r="D20" s="250"/>
      <c r="E20" s="250"/>
      <c r="F20" s="352"/>
      <c r="G20" s="352"/>
      <c r="H20" s="352"/>
      <c r="I20" s="208"/>
      <c r="J20" s="352"/>
      <c r="K20" s="352"/>
      <c r="L20" s="352"/>
      <c r="M20" s="352"/>
      <c r="N20" s="352"/>
      <c r="O20" s="352"/>
      <c r="P20" s="353"/>
      <c r="Q20" s="354"/>
      <c r="R20" s="355"/>
      <c r="S20" s="356"/>
      <c r="T20" s="357"/>
      <c r="U20" s="352"/>
      <c r="V20" s="358"/>
      <c r="W20" s="6"/>
    </row>
    <row r="21" spans="2:23" s="5" customFormat="1" ht="16.5" customHeight="1">
      <c r="B21" s="50"/>
      <c r="C21" s="264"/>
      <c r="D21" s="264"/>
      <c r="E21" s="264"/>
      <c r="F21" s="359"/>
      <c r="G21" s="359"/>
      <c r="H21" s="359"/>
      <c r="I21" s="360"/>
      <c r="J21" s="359"/>
      <c r="K21" s="359"/>
      <c r="L21" s="359"/>
      <c r="M21" s="359"/>
      <c r="N21" s="359"/>
      <c r="O21" s="359"/>
      <c r="P21" s="361"/>
      <c r="Q21" s="362"/>
      <c r="R21" s="182"/>
      <c r="S21" s="363"/>
      <c r="T21" s="364"/>
      <c r="U21" s="359"/>
      <c r="V21" s="365"/>
      <c r="W21" s="6"/>
    </row>
    <row r="22" spans="2:23" s="5" customFormat="1" ht="16.5" customHeight="1">
      <c r="B22" s="50"/>
      <c r="C22" s="264">
        <v>86</v>
      </c>
      <c r="D22" s="264">
        <v>210113</v>
      </c>
      <c r="E22" s="149">
        <v>2950</v>
      </c>
      <c r="F22" s="366" t="s">
        <v>170</v>
      </c>
      <c r="G22" s="366" t="s">
        <v>223</v>
      </c>
      <c r="H22" s="367">
        <v>132</v>
      </c>
      <c r="I22" s="128">
        <f aca="true" t="shared" si="0" ref="I22:I41">IF(H22=500,$G$15,IF(H22=220,$G$16,$G$17))</f>
        <v>51.126</v>
      </c>
      <c r="J22" s="368">
        <v>40042.342361111114</v>
      </c>
      <c r="K22" s="147">
        <v>40042.51527777778</v>
      </c>
      <c r="L22" s="369">
        <f aca="true" t="shared" si="1" ref="L22:L41">IF(F22="","",(K22-J22)*24)</f>
        <v>4.149999999906868</v>
      </c>
      <c r="M22" s="370">
        <f aca="true" t="shared" si="2" ref="M22:M41">IF(F22="","",ROUND((K22-J22)*24*60,0))</f>
        <v>249</v>
      </c>
      <c r="N22" s="210" t="s">
        <v>144</v>
      </c>
      <c r="O22" s="211" t="str">
        <f aca="true" t="shared" si="3" ref="O22:O41">IF(F22="","",IF(N22="P","--","NO"))</f>
        <v>--</v>
      </c>
      <c r="P22" s="607">
        <f aca="true" t="shared" si="4" ref="P22:P41">IF(H22=500,$H$15,IF(H22=220,$H$16,$H$17))</f>
        <v>40</v>
      </c>
      <c r="Q22" s="757">
        <f aca="true" t="shared" si="5" ref="Q22:Q41">IF(N22="P",I22*P22*ROUND(M22/60,2)*0.1,"--")</f>
        <v>848.6916000000001</v>
      </c>
      <c r="R22" s="182" t="str">
        <f aca="true" t="shared" si="6" ref="R22:R41">IF(AND(N22="F",O22="NO"),I22*P22,"--")</f>
        <v>--</v>
      </c>
      <c r="S22" s="363" t="str">
        <f aca="true" t="shared" si="7" ref="S22:S41">IF(N22="F",I22*P22*ROUND(M22/60,2),"--")</f>
        <v>--</v>
      </c>
      <c r="T22" s="364" t="str">
        <f aca="true" t="shared" si="8" ref="T22:T41">IF(N22="RF",I22*P22*ROUND(M22/60,2),"--")</f>
        <v>--</v>
      </c>
      <c r="U22" s="211" t="s">
        <v>128</v>
      </c>
      <c r="V22" s="371">
        <f aca="true" t="shared" si="9" ref="V22:V41">IF(F22="","",SUM(Q22:T22)*IF(U22="SI",1,2))</f>
        <v>848.6916000000001</v>
      </c>
      <c r="W22" s="6"/>
    </row>
    <row r="23" spans="2:23" s="5" customFormat="1" ht="16.5" customHeight="1">
      <c r="B23" s="50"/>
      <c r="C23" s="264">
        <v>87</v>
      </c>
      <c r="D23" s="264">
        <v>210114</v>
      </c>
      <c r="E23" s="264">
        <v>2951</v>
      </c>
      <c r="F23" s="366" t="s">
        <v>170</v>
      </c>
      <c r="G23" s="366" t="s">
        <v>224</v>
      </c>
      <c r="H23" s="367">
        <v>132</v>
      </c>
      <c r="I23" s="128">
        <f t="shared" si="0"/>
        <v>51.126</v>
      </c>
      <c r="J23" s="368">
        <v>40042.34305555555</v>
      </c>
      <c r="K23" s="147">
        <v>40042.51527777778</v>
      </c>
      <c r="L23" s="369">
        <f t="shared" si="1"/>
        <v>4.133333333360497</v>
      </c>
      <c r="M23" s="370">
        <f t="shared" si="2"/>
        <v>248</v>
      </c>
      <c r="N23" s="210" t="s">
        <v>144</v>
      </c>
      <c r="O23" s="211" t="str">
        <f t="shared" si="3"/>
        <v>--</v>
      </c>
      <c r="P23" s="607">
        <f t="shared" si="4"/>
        <v>40</v>
      </c>
      <c r="Q23" s="757">
        <f t="shared" si="5"/>
        <v>844.60152</v>
      </c>
      <c r="R23" s="182" t="str">
        <f t="shared" si="6"/>
        <v>--</v>
      </c>
      <c r="S23" s="363" t="str">
        <f t="shared" si="7"/>
        <v>--</v>
      </c>
      <c r="T23" s="364" t="str">
        <f t="shared" si="8"/>
        <v>--</v>
      </c>
      <c r="U23" s="211" t="s">
        <v>128</v>
      </c>
      <c r="V23" s="371">
        <f t="shared" si="9"/>
        <v>844.60152</v>
      </c>
      <c r="W23" s="6"/>
    </row>
    <row r="24" spans="2:23" s="5" customFormat="1" ht="16.5" customHeight="1">
      <c r="B24" s="50"/>
      <c r="C24" s="264"/>
      <c r="D24" s="264"/>
      <c r="E24" s="149"/>
      <c r="F24" s="366"/>
      <c r="G24" s="366"/>
      <c r="H24" s="367"/>
      <c r="I24" s="128">
        <f t="shared" si="0"/>
        <v>51.126</v>
      </c>
      <c r="J24" s="368"/>
      <c r="K24" s="147"/>
      <c r="L24" s="369">
        <f t="shared" si="1"/>
      </c>
      <c r="M24" s="370">
        <f t="shared" si="2"/>
      </c>
      <c r="N24" s="210"/>
      <c r="O24" s="211">
        <f t="shared" si="3"/>
      </c>
      <c r="P24" s="607">
        <f t="shared" si="4"/>
        <v>40</v>
      </c>
      <c r="Q24" s="757" t="str">
        <f t="shared" si="5"/>
        <v>--</v>
      </c>
      <c r="R24" s="182" t="str">
        <f t="shared" si="6"/>
        <v>--</v>
      </c>
      <c r="S24" s="363" t="str">
        <f t="shared" si="7"/>
        <v>--</v>
      </c>
      <c r="T24" s="364" t="str">
        <f t="shared" si="8"/>
        <v>--</v>
      </c>
      <c r="U24" s="211">
        <f aca="true" t="shared" si="10" ref="U24:U41">IF(F24="","","SI")</f>
      </c>
      <c r="V24" s="371">
        <f t="shared" si="9"/>
      </c>
      <c r="W24" s="6"/>
    </row>
    <row r="25" spans="2:23" s="5" customFormat="1" ht="16.5" customHeight="1">
      <c r="B25" s="50"/>
      <c r="C25" s="264"/>
      <c r="D25" s="264"/>
      <c r="E25" s="264"/>
      <c r="F25" s="366"/>
      <c r="G25" s="366"/>
      <c r="H25" s="367"/>
      <c r="I25" s="128">
        <f t="shared" si="0"/>
        <v>51.126</v>
      </c>
      <c r="J25" s="368"/>
      <c r="K25" s="147"/>
      <c r="L25" s="369">
        <f t="shared" si="1"/>
      </c>
      <c r="M25" s="370">
        <f t="shared" si="2"/>
      </c>
      <c r="N25" s="210"/>
      <c r="O25" s="211">
        <f t="shared" si="3"/>
      </c>
      <c r="P25" s="607">
        <f t="shared" si="4"/>
        <v>40</v>
      </c>
      <c r="Q25" s="757" t="str">
        <f t="shared" si="5"/>
        <v>--</v>
      </c>
      <c r="R25" s="182" t="str">
        <f t="shared" si="6"/>
        <v>--</v>
      </c>
      <c r="S25" s="363" t="str">
        <f t="shared" si="7"/>
        <v>--</v>
      </c>
      <c r="T25" s="364" t="str">
        <f t="shared" si="8"/>
        <v>--</v>
      </c>
      <c r="U25" s="211">
        <f t="shared" si="10"/>
      </c>
      <c r="V25" s="371">
        <f t="shared" si="9"/>
      </c>
      <c r="W25" s="6"/>
    </row>
    <row r="26" spans="2:23" s="5" customFormat="1" ht="16.5" customHeight="1">
      <c r="B26" s="50"/>
      <c r="C26" s="264"/>
      <c r="D26" s="264"/>
      <c r="E26" s="149"/>
      <c r="F26" s="366"/>
      <c r="G26" s="366"/>
      <c r="H26" s="367"/>
      <c r="I26" s="128">
        <f t="shared" si="0"/>
        <v>51.126</v>
      </c>
      <c r="J26" s="368"/>
      <c r="K26" s="147"/>
      <c r="L26" s="369">
        <f t="shared" si="1"/>
      </c>
      <c r="M26" s="370">
        <f t="shared" si="2"/>
      </c>
      <c r="N26" s="210"/>
      <c r="O26" s="211">
        <f t="shared" si="3"/>
      </c>
      <c r="P26" s="607">
        <f t="shared" si="4"/>
        <v>40</v>
      </c>
      <c r="Q26" s="757" t="str">
        <f t="shared" si="5"/>
        <v>--</v>
      </c>
      <c r="R26" s="182" t="str">
        <f t="shared" si="6"/>
        <v>--</v>
      </c>
      <c r="S26" s="363" t="str">
        <f t="shared" si="7"/>
        <v>--</v>
      </c>
      <c r="T26" s="364" t="str">
        <f t="shared" si="8"/>
        <v>--</v>
      </c>
      <c r="U26" s="211">
        <f t="shared" si="10"/>
      </c>
      <c r="V26" s="371">
        <f t="shared" si="9"/>
      </c>
      <c r="W26" s="6"/>
    </row>
    <row r="27" spans="2:23" s="5" customFormat="1" ht="16.5" customHeight="1">
      <c r="B27" s="50"/>
      <c r="C27" s="264"/>
      <c r="D27" s="264"/>
      <c r="E27" s="264"/>
      <c r="F27" s="366"/>
      <c r="G27" s="366"/>
      <c r="H27" s="367"/>
      <c r="I27" s="128">
        <f t="shared" si="0"/>
        <v>51.126</v>
      </c>
      <c r="J27" s="368"/>
      <c r="K27" s="147"/>
      <c r="L27" s="369">
        <f t="shared" si="1"/>
      </c>
      <c r="M27" s="370">
        <f t="shared" si="2"/>
      </c>
      <c r="N27" s="210"/>
      <c r="O27" s="211">
        <f t="shared" si="3"/>
      </c>
      <c r="P27" s="607">
        <f t="shared" si="4"/>
        <v>40</v>
      </c>
      <c r="Q27" s="757" t="str">
        <f t="shared" si="5"/>
        <v>--</v>
      </c>
      <c r="R27" s="182" t="str">
        <f t="shared" si="6"/>
        <v>--</v>
      </c>
      <c r="S27" s="363" t="str">
        <f t="shared" si="7"/>
        <v>--</v>
      </c>
      <c r="T27" s="364" t="str">
        <f t="shared" si="8"/>
        <v>--</v>
      </c>
      <c r="U27" s="211">
        <f t="shared" si="10"/>
      </c>
      <c r="V27" s="371">
        <f t="shared" si="9"/>
      </c>
      <c r="W27" s="6"/>
    </row>
    <row r="28" spans="2:23" s="5" customFormat="1" ht="16.5" customHeight="1">
      <c r="B28" s="50"/>
      <c r="C28" s="264"/>
      <c r="D28" s="264"/>
      <c r="E28" s="149"/>
      <c r="F28" s="366"/>
      <c r="G28" s="366"/>
      <c r="H28" s="367"/>
      <c r="I28" s="128">
        <f t="shared" si="0"/>
        <v>51.126</v>
      </c>
      <c r="J28" s="368"/>
      <c r="K28" s="147"/>
      <c r="L28" s="369">
        <f t="shared" si="1"/>
      </c>
      <c r="M28" s="370">
        <f t="shared" si="2"/>
      </c>
      <c r="N28" s="210"/>
      <c r="O28" s="211">
        <f t="shared" si="3"/>
      </c>
      <c r="P28" s="607">
        <f t="shared" si="4"/>
        <v>40</v>
      </c>
      <c r="Q28" s="757" t="str">
        <f t="shared" si="5"/>
        <v>--</v>
      </c>
      <c r="R28" s="182" t="str">
        <f t="shared" si="6"/>
        <v>--</v>
      </c>
      <c r="S28" s="363" t="str">
        <f t="shared" si="7"/>
        <v>--</v>
      </c>
      <c r="T28" s="364" t="str">
        <f t="shared" si="8"/>
        <v>--</v>
      </c>
      <c r="U28" s="211">
        <f t="shared" si="10"/>
      </c>
      <c r="V28" s="371">
        <f t="shared" si="9"/>
      </c>
      <c r="W28" s="6"/>
    </row>
    <row r="29" spans="2:23" s="5" customFormat="1" ht="16.5" customHeight="1">
      <c r="B29" s="50"/>
      <c r="C29" s="264"/>
      <c r="D29" s="264"/>
      <c r="E29" s="264"/>
      <c r="F29" s="366"/>
      <c r="G29" s="366"/>
      <c r="H29" s="367"/>
      <c r="I29" s="128">
        <f t="shared" si="0"/>
        <v>51.126</v>
      </c>
      <c r="J29" s="368"/>
      <c r="K29" s="147"/>
      <c r="L29" s="369">
        <f t="shared" si="1"/>
      </c>
      <c r="M29" s="370">
        <f t="shared" si="2"/>
      </c>
      <c r="N29" s="210"/>
      <c r="O29" s="211">
        <f t="shared" si="3"/>
      </c>
      <c r="P29" s="607">
        <f t="shared" si="4"/>
        <v>40</v>
      </c>
      <c r="Q29" s="757" t="str">
        <f t="shared" si="5"/>
        <v>--</v>
      </c>
      <c r="R29" s="182" t="str">
        <f t="shared" si="6"/>
        <v>--</v>
      </c>
      <c r="S29" s="363" t="str">
        <f t="shared" si="7"/>
        <v>--</v>
      </c>
      <c r="T29" s="364" t="str">
        <f t="shared" si="8"/>
        <v>--</v>
      </c>
      <c r="U29" s="211">
        <f t="shared" si="10"/>
      </c>
      <c r="V29" s="371">
        <f t="shared" si="9"/>
      </c>
      <c r="W29" s="6"/>
    </row>
    <row r="30" spans="2:23" s="5" customFormat="1" ht="16.5" customHeight="1">
      <c r="B30" s="50"/>
      <c r="C30" s="264"/>
      <c r="D30" s="264"/>
      <c r="E30" s="149"/>
      <c r="F30" s="366"/>
      <c r="G30" s="366"/>
      <c r="H30" s="367"/>
      <c r="I30" s="128">
        <f t="shared" si="0"/>
        <v>51.126</v>
      </c>
      <c r="J30" s="368"/>
      <c r="K30" s="147"/>
      <c r="L30" s="369">
        <f t="shared" si="1"/>
      </c>
      <c r="M30" s="370">
        <f t="shared" si="2"/>
      </c>
      <c r="N30" s="210"/>
      <c r="O30" s="211">
        <f t="shared" si="3"/>
      </c>
      <c r="P30" s="607">
        <f t="shared" si="4"/>
        <v>40</v>
      </c>
      <c r="Q30" s="757" t="str">
        <f t="shared" si="5"/>
        <v>--</v>
      </c>
      <c r="R30" s="182" t="str">
        <f t="shared" si="6"/>
        <v>--</v>
      </c>
      <c r="S30" s="363" t="str">
        <f t="shared" si="7"/>
        <v>--</v>
      </c>
      <c r="T30" s="364" t="str">
        <f t="shared" si="8"/>
        <v>--</v>
      </c>
      <c r="U30" s="211">
        <f t="shared" si="10"/>
      </c>
      <c r="V30" s="371">
        <f t="shared" si="9"/>
      </c>
      <c r="W30" s="6"/>
    </row>
    <row r="31" spans="2:23" s="5" customFormat="1" ht="16.5" customHeight="1">
      <c r="B31" s="50"/>
      <c r="C31" s="264"/>
      <c r="D31" s="264"/>
      <c r="E31" s="264"/>
      <c r="F31" s="366"/>
      <c r="G31" s="366"/>
      <c r="H31" s="367"/>
      <c r="I31" s="128">
        <f t="shared" si="0"/>
        <v>51.126</v>
      </c>
      <c r="J31" s="368"/>
      <c r="K31" s="147"/>
      <c r="L31" s="369">
        <f t="shared" si="1"/>
      </c>
      <c r="M31" s="370">
        <f t="shared" si="2"/>
      </c>
      <c r="N31" s="210"/>
      <c r="O31" s="211">
        <f t="shared" si="3"/>
      </c>
      <c r="P31" s="607">
        <f t="shared" si="4"/>
        <v>40</v>
      </c>
      <c r="Q31" s="757" t="str">
        <f t="shared" si="5"/>
        <v>--</v>
      </c>
      <c r="R31" s="182" t="str">
        <f t="shared" si="6"/>
        <v>--</v>
      </c>
      <c r="S31" s="363" t="str">
        <f t="shared" si="7"/>
        <v>--</v>
      </c>
      <c r="T31" s="364" t="str">
        <f t="shared" si="8"/>
        <v>--</v>
      </c>
      <c r="U31" s="211">
        <f t="shared" si="10"/>
      </c>
      <c r="V31" s="371">
        <f t="shared" si="9"/>
      </c>
      <c r="W31" s="6"/>
    </row>
    <row r="32" spans="2:23" s="5" customFormat="1" ht="16.5" customHeight="1">
      <c r="B32" s="50"/>
      <c r="C32" s="264"/>
      <c r="D32" s="264"/>
      <c r="E32" s="149"/>
      <c r="F32" s="366"/>
      <c r="G32" s="366"/>
      <c r="H32" s="367"/>
      <c r="I32" s="128">
        <f t="shared" si="0"/>
        <v>51.126</v>
      </c>
      <c r="J32" s="368"/>
      <c r="K32" s="147"/>
      <c r="L32" s="369">
        <f t="shared" si="1"/>
      </c>
      <c r="M32" s="370">
        <f t="shared" si="2"/>
      </c>
      <c r="N32" s="210"/>
      <c r="O32" s="211">
        <f t="shared" si="3"/>
      </c>
      <c r="P32" s="607">
        <f t="shared" si="4"/>
        <v>40</v>
      </c>
      <c r="Q32" s="757" t="str">
        <f t="shared" si="5"/>
        <v>--</v>
      </c>
      <c r="R32" s="182" t="str">
        <f t="shared" si="6"/>
        <v>--</v>
      </c>
      <c r="S32" s="363" t="str">
        <f t="shared" si="7"/>
        <v>--</v>
      </c>
      <c r="T32" s="364" t="str">
        <f t="shared" si="8"/>
        <v>--</v>
      </c>
      <c r="U32" s="211">
        <f t="shared" si="10"/>
      </c>
      <c r="V32" s="371">
        <f t="shared" si="9"/>
      </c>
      <c r="W32" s="6"/>
    </row>
    <row r="33" spans="2:23" s="5" customFormat="1" ht="16.5" customHeight="1">
      <c r="B33" s="50"/>
      <c r="C33" s="264"/>
      <c r="D33" s="264"/>
      <c r="E33" s="264"/>
      <c r="F33" s="366"/>
      <c r="G33" s="366"/>
      <c r="H33" s="367"/>
      <c r="I33" s="128">
        <f t="shared" si="0"/>
        <v>51.126</v>
      </c>
      <c r="J33" s="368"/>
      <c r="K33" s="147"/>
      <c r="L33" s="369">
        <f t="shared" si="1"/>
      </c>
      <c r="M33" s="370">
        <f t="shared" si="2"/>
      </c>
      <c r="N33" s="210"/>
      <c r="O33" s="211">
        <f t="shared" si="3"/>
      </c>
      <c r="P33" s="607">
        <f t="shared" si="4"/>
        <v>40</v>
      </c>
      <c r="Q33" s="757" t="str">
        <f t="shared" si="5"/>
        <v>--</v>
      </c>
      <c r="R33" s="182" t="str">
        <f t="shared" si="6"/>
        <v>--</v>
      </c>
      <c r="S33" s="363" t="str">
        <f t="shared" si="7"/>
        <v>--</v>
      </c>
      <c r="T33" s="364" t="str">
        <f t="shared" si="8"/>
        <v>--</v>
      </c>
      <c r="U33" s="211">
        <f t="shared" si="10"/>
      </c>
      <c r="V33" s="371">
        <f t="shared" si="9"/>
      </c>
      <c r="W33" s="6"/>
    </row>
    <row r="34" spans="2:23" s="5" customFormat="1" ht="16.5" customHeight="1">
      <c r="B34" s="50"/>
      <c r="C34" s="264"/>
      <c r="D34" s="264"/>
      <c r="E34" s="149"/>
      <c r="F34" s="366"/>
      <c r="G34" s="366"/>
      <c r="H34" s="367"/>
      <c r="I34" s="128">
        <f t="shared" si="0"/>
        <v>51.126</v>
      </c>
      <c r="J34" s="368"/>
      <c r="K34" s="147"/>
      <c r="L34" s="369">
        <f t="shared" si="1"/>
      </c>
      <c r="M34" s="370">
        <f t="shared" si="2"/>
      </c>
      <c r="N34" s="210"/>
      <c r="O34" s="211">
        <f t="shared" si="3"/>
      </c>
      <c r="P34" s="607">
        <f t="shared" si="4"/>
        <v>40</v>
      </c>
      <c r="Q34" s="757" t="str">
        <f t="shared" si="5"/>
        <v>--</v>
      </c>
      <c r="R34" s="182" t="str">
        <f t="shared" si="6"/>
        <v>--</v>
      </c>
      <c r="S34" s="363" t="str">
        <f t="shared" si="7"/>
        <v>--</v>
      </c>
      <c r="T34" s="364" t="str">
        <f t="shared" si="8"/>
        <v>--</v>
      </c>
      <c r="U34" s="211">
        <f t="shared" si="10"/>
      </c>
      <c r="V34" s="371">
        <f t="shared" si="9"/>
      </c>
      <c r="W34" s="6"/>
    </row>
    <row r="35" spans="2:23" s="5" customFormat="1" ht="16.5" customHeight="1">
      <c r="B35" s="50"/>
      <c r="C35" s="264"/>
      <c r="D35" s="264"/>
      <c r="E35" s="264"/>
      <c r="F35" s="366"/>
      <c r="G35" s="366"/>
      <c r="H35" s="367"/>
      <c r="I35" s="128">
        <f t="shared" si="0"/>
        <v>51.126</v>
      </c>
      <c r="J35" s="368"/>
      <c r="K35" s="147"/>
      <c r="L35" s="369">
        <f t="shared" si="1"/>
      </c>
      <c r="M35" s="370">
        <f t="shared" si="2"/>
      </c>
      <c r="N35" s="210"/>
      <c r="O35" s="211">
        <f t="shared" si="3"/>
      </c>
      <c r="P35" s="607">
        <f t="shared" si="4"/>
        <v>40</v>
      </c>
      <c r="Q35" s="757" t="str">
        <f t="shared" si="5"/>
        <v>--</v>
      </c>
      <c r="R35" s="182" t="str">
        <f t="shared" si="6"/>
        <v>--</v>
      </c>
      <c r="S35" s="363" t="str">
        <f t="shared" si="7"/>
        <v>--</v>
      </c>
      <c r="T35" s="364" t="str">
        <f t="shared" si="8"/>
        <v>--</v>
      </c>
      <c r="U35" s="211">
        <f t="shared" si="10"/>
      </c>
      <c r="V35" s="371">
        <f t="shared" si="9"/>
      </c>
      <c r="W35" s="6"/>
    </row>
    <row r="36" spans="2:23" s="5" customFormat="1" ht="16.5" customHeight="1">
      <c r="B36" s="50"/>
      <c r="C36" s="264"/>
      <c r="D36" s="264"/>
      <c r="E36" s="149"/>
      <c r="F36" s="366"/>
      <c r="G36" s="366"/>
      <c r="H36" s="367"/>
      <c r="I36" s="128">
        <f t="shared" si="0"/>
        <v>51.126</v>
      </c>
      <c r="J36" s="368"/>
      <c r="K36" s="147"/>
      <c r="L36" s="369">
        <f t="shared" si="1"/>
      </c>
      <c r="M36" s="370">
        <f t="shared" si="2"/>
      </c>
      <c r="N36" s="210"/>
      <c r="O36" s="211">
        <f t="shared" si="3"/>
      </c>
      <c r="P36" s="607">
        <f t="shared" si="4"/>
        <v>40</v>
      </c>
      <c r="Q36" s="757" t="str">
        <f t="shared" si="5"/>
        <v>--</v>
      </c>
      <c r="R36" s="182" t="str">
        <f t="shared" si="6"/>
        <v>--</v>
      </c>
      <c r="S36" s="363" t="str">
        <f t="shared" si="7"/>
        <v>--</v>
      </c>
      <c r="T36" s="364" t="str">
        <f t="shared" si="8"/>
        <v>--</v>
      </c>
      <c r="U36" s="211">
        <f t="shared" si="10"/>
      </c>
      <c r="V36" s="371">
        <f t="shared" si="9"/>
      </c>
      <c r="W36" s="6"/>
    </row>
    <row r="37" spans="2:23" s="5" customFormat="1" ht="16.5" customHeight="1">
      <c r="B37" s="50"/>
      <c r="C37" s="264"/>
      <c r="D37" s="264"/>
      <c r="E37" s="264"/>
      <c r="F37" s="366"/>
      <c r="G37" s="366"/>
      <c r="H37" s="367"/>
      <c r="I37" s="128">
        <f t="shared" si="0"/>
        <v>51.126</v>
      </c>
      <c r="J37" s="368"/>
      <c r="K37" s="147"/>
      <c r="L37" s="369">
        <f t="shared" si="1"/>
      </c>
      <c r="M37" s="370">
        <f t="shared" si="2"/>
      </c>
      <c r="N37" s="210"/>
      <c r="O37" s="211">
        <f t="shared" si="3"/>
      </c>
      <c r="P37" s="607">
        <f t="shared" si="4"/>
        <v>40</v>
      </c>
      <c r="Q37" s="757" t="str">
        <f t="shared" si="5"/>
        <v>--</v>
      </c>
      <c r="R37" s="182" t="str">
        <f t="shared" si="6"/>
        <v>--</v>
      </c>
      <c r="S37" s="363" t="str">
        <f t="shared" si="7"/>
        <v>--</v>
      </c>
      <c r="T37" s="364" t="str">
        <f t="shared" si="8"/>
        <v>--</v>
      </c>
      <c r="U37" s="211">
        <f t="shared" si="10"/>
      </c>
      <c r="V37" s="371">
        <f t="shared" si="9"/>
      </c>
      <c r="W37" s="6"/>
    </row>
    <row r="38" spans="2:23" s="5" customFormat="1" ht="16.5" customHeight="1">
      <c r="B38" s="50"/>
      <c r="C38" s="264"/>
      <c r="D38" s="264"/>
      <c r="E38" s="149"/>
      <c r="F38" s="366"/>
      <c r="G38" s="366"/>
      <c r="H38" s="367"/>
      <c r="I38" s="128">
        <f t="shared" si="0"/>
        <v>51.126</v>
      </c>
      <c r="J38" s="368"/>
      <c r="K38" s="147"/>
      <c r="L38" s="369">
        <f t="shared" si="1"/>
      </c>
      <c r="M38" s="370">
        <f t="shared" si="2"/>
      </c>
      <c r="N38" s="210"/>
      <c r="O38" s="211">
        <f t="shared" si="3"/>
      </c>
      <c r="P38" s="607">
        <f t="shared" si="4"/>
        <v>40</v>
      </c>
      <c r="Q38" s="757" t="str">
        <f t="shared" si="5"/>
        <v>--</v>
      </c>
      <c r="R38" s="182" t="str">
        <f t="shared" si="6"/>
        <v>--</v>
      </c>
      <c r="S38" s="363" t="str">
        <f t="shared" si="7"/>
        <v>--</v>
      </c>
      <c r="T38" s="364" t="str">
        <f t="shared" si="8"/>
        <v>--</v>
      </c>
      <c r="U38" s="211">
        <f t="shared" si="10"/>
      </c>
      <c r="V38" s="371">
        <f t="shared" si="9"/>
      </c>
      <c r="W38" s="6"/>
    </row>
    <row r="39" spans="2:23" s="5" customFormat="1" ht="16.5" customHeight="1">
      <c r="B39" s="50"/>
      <c r="C39" s="264"/>
      <c r="D39" s="264"/>
      <c r="E39" s="264"/>
      <c r="F39" s="366"/>
      <c r="G39" s="366"/>
      <c r="H39" s="367"/>
      <c r="I39" s="128">
        <f t="shared" si="0"/>
        <v>51.126</v>
      </c>
      <c r="J39" s="368"/>
      <c r="K39" s="147"/>
      <c r="L39" s="369">
        <f t="shared" si="1"/>
      </c>
      <c r="M39" s="370">
        <f t="shared" si="2"/>
      </c>
      <c r="N39" s="210"/>
      <c r="O39" s="211">
        <f t="shared" si="3"/>
      </c>
      <c r="P39" s="607">
        <f t="shared" si="4"/>
        <v>40</v>
      </c>
      <c r="Q39" s="757" t="str">
        <f t="shared" si="5"/>
        <v>--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211">
        <f t="shared" si="10"/>
      </c>
      <c r="V39" s="371">
        <f t="shared" si="9"/>
      </c>
      <c r="W39" s="6"/>
    </row>
    <row r="40" spans="2:23" s="5" customFormat="1" ht="16.5" customHeight="1">
      <c r="B40" s="50"/>
      <c r="C40" s="264"/>
      <c r="D40" s="264"/>
      <c r="E40" s="149"/>
      <c r="F40" s="366"/>
      <c r="G40" s="366"/>
      <c r="H40" s="367"/>
      <c r="I40" s="128">
        <f t="shared" si="0"/>
        <v>51.126</v>
      </c>
      <c r="J40" s="368"/>
      <c r="K40" s="147"/>
      <c r="L40" s="369">
        <f t="shared" si="1"/>
      </c>
      <c r="M40" s="370">
        <f t="shared" si="2"/>
      </c>
      <c r="N40" s="210"/>
      <c r="O40" s="211">
        <f t="shared" si="3"/>
      </c>
      <c r="P40" s="607">
        <f t="shared" si="4"/>
        <v>40</v>
      </c>
      <c r="Q40" s="757" t="str">
        <f t="shared" si="5"/>
        <v>--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211">
        <f t="shared" si="10"/>
      </c>
      <c r="V40" s="371">
        <f t="shared" si="9"/>
      </c>
      <c r="W40" s="6"/>
    </row>
    <row r="41" spans="2:23" s="5" customFormat="1" ht="16.5" customHeight="1">
      <c r="B41" s="50"/>
      <c r="C41" s="264"/>
      <c r="D41" s="264"/>
      <c r="E41" s="264"/>
      <c r="F41" s="366"/>
      <c r="G41" s="366"/>
      <c r="H41" s="367"/>
      <c r="I41" s="128">
        <f t="shared" si="0"/>
        <v>51.126</v>
      </c>
      <c r="J41" s="368"/>
      <c r="K41" s="147"/>
      <c r="L41" s="369">
        <f t="shared" si="1"/>
      </c>
      <c r="M41" s="370">
        <f t="shared" si="2"/>
      </c>
      <c r="N41" s="210"/>
      <c r="O41" s="211">
        <f t="shared" si="3"/>
      </c>
      <c r="P41" s="607">
        <f t="shared" si="4"/>
        <v>40</v>
      </c>
      <c r="Q41" s="757" t="str">
        <f t="shared" si="5"/>
        <v>--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211">
        <f t="shared" si="10"/>
      </c>
      <c r="V41" s="371">
        <f t="shared" si="9"/>
      </c>
      <c r="W41" s="6"/>
    </row>
    <row r="42" spans="2:23" s="5" customFormat="1" ht="16.5" customHeight="1" thickBot="1">
      <c r="B42" s="50"/>
      <c r="C42" s="218"/>
      <c r="D42" s="218"/>
      <c r="E42" s="218"/>
      <c r="F42" s="218"/>
      <c r="G42" s="218"/>
      <c r="H42" s="218"/>
      <c r="I42" s="129"/>
      <c r="J42" s="372"/>
      <c r="K42" s="372"/>
      <c r="L42" s="373"/>
      <c r="M42" s="373"/>
      <c r="N42" s="372"/>
      <c r="O42" s="148"/>
      <c r="P42" s="374"/>
      <c r="Q42" s="375"/>
      <c r="R42" s="376"/>
      <c r="S42" s="377"/>
      <c r="T42" s="154"/>
      <c r="U42" s="148"/>
      <c r="V42" s="378"/>
      <c r="W42" s="6"/>
    </row>
    <row r="43" spans="2:23" s="5" customFormat="1" ht="16.5" customHeight="1" thickBot="1" thickTop="1">
      <c r="B43" s="50"/>
      <c r="C43" s="125" t="s">
        <v>23</v>
      </c>
      <c r="D43" s="977" t="s">
        <v>230</v>
      </c>
      <c r="E43" s="125"/>
      <c r="F43" s="126"/>
      <c r="G43"/>
      <c r="H43" s="4"/>
      <c r="I43" s="4"/>
      <c r="J43" s="4"/>
      <c r="K43" s="4"/>
      <c r="L43" s="4"/>
      <c r="M43" s="4"/>
      <c r="N43" s="4"/>
      <c r="O43" s="4"/>
      <c r="P43" s="4"/>
      <c r="Q43" s="379">
        <f>SUM(Q20:Q42)</f>
        <v>1693.2931200000003</v>
      </c>
      <c r="R43" s="380">
        <f>SUM(R20:R42)</f>
        <v>0</v>
      </c>
      <c r="S43" s="381">
        <f>SUM(S20:S42)</f>
        <v>0</v>
      </c>
      <c r="T43" s="382">
        <f>SUM(T20:T42)</f>
        <v>0</v>
      </c>
      <c r="U43" s="383"/>
      <c r="V43" s="98">
        <f>ROUND(SUM(V20:V42),2)</f>
        <v>1693.29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69"/>
      <c r="X45" s="169"/>
      <c r="Y45" s="169"/>
    </row>
    <row r="46" spans="23:25" ht="16.5" customHeight="1">
      <c r="W46" s="169"/>
      <c r="X46" s="169"/>
      <c r="Y46" s="169"/>
    </row>
    <row r="47" spans="23:25" ht="16.5" customHeight="1">
      <c r="W47" s="169"/>
      <c r="X47" s="169"/>
      <c r="Y47" s="169"/>
    </row>
    <row r="48" spans="23:25" ht="16.5" customHeight="1">
      <c r="W48" s="169"/>
      <c r="X48" s="169"/>
      <c r="Y48" s="169"/>
    </row>
    <row r="49" spans="23:25" ht="16.5" customHeight="1">
      <c r="W49" s="169"/>
      <c r="X49" s="169"/>
      <c r="Y49" s="169"/>
    </row>
    <row r="50" spans="6:25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6:25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6:25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6:25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6:25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6:25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6:25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6:25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6:25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6:25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6:25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6:25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6:25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6:25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6:25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6:25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6:25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6:25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6:25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6:25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6:25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6:25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6:25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6:25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6:25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6:25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6:25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6:25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6:25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6:25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6:25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6:25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6:25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6:25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6:25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6:25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6:25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6:25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6:25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  <row r="89" spans="6:25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</row>
    <row r="90" spans="6:25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</row>
    <row r="91" spans="6:25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</row>
    <row r="92" spans="6:25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</row>
    <row r="93" spans="6:25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</row>
    <row r="94" spans="6:25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</row>
    <row r="95" spans="6:25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</row>
    <row r="96" spans="6:25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</row>
    <row r="97" spans="6:25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</row>
    <row r="98" spans="6:25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</row>
    <row r="99" spans="6:25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6:25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spans="6:25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</row>
    <row r="102" spans="6:25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6:25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</row>
    <row r="104" spans="6:25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</row>
    <row r="105" spans="6:25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6:25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</row>
    <row r="107" spans="6:25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</row>
    <row r="108" spans="6:25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6:25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</row>
    <row r="110" spans="6:25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</row>
    <row r="111" spans="6:25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</row>
    <row r="112" spans="6:25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</row>
    <row r="113" spans="6:25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</row>
    <row r="114" spans="6:25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</row>
    <row r="115" spans="6:25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</row>
    <row r="116" spans="6:25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</row>
    <row r="117" spans="6:25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</row>
    <row r="118" spans="6:25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</row>
    <row r="119" spans="6:25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</row>
    <row r="120" spans="6:25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</row>
    <row r="121" spans="6:25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</row>
    <row r="122" spans="6:25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</row>
    <row r="123" spans="6:25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</row>
    <row r="124" spans="6:25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</row>
    <row r="125" spans="6:25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</row>
    <row r="126" spans="6:25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</row>
    <row r="127" spans="6:25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</row>
    <row r="128" spans="6:25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</row>
    <row r="129" spans="6:25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</row>
    <row r="130" spans="6:25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</row>
    <row r="131" spans="6:25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</row>
    <row r="132" spans="6:25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</row>
    <row r="133" spans="6:25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</row>
    <row r="134" spans="6:25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</row>
    <row r="135" spans="6:25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</row>
    <row r="136" spans="6:25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</row>
    <row r="137" spans="6:25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</row>
    <row r="138" spans="6:25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</row>
    <row r="139" spans="6:25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</row>
    <row r="140" spans="6:25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</row>
    <row r="141" spans="6:25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</row>
    <row r="142" spans="6:25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</row>
    <row r="143" spans="6:25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</row>
    <row r="144" spans="6:25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</row>
    <row r="145" spans="6:25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</row>
    <row r="146" spans="6:25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6:25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</row>
    <row r="148" spans="6:25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</row>
    <row r="149" spans="6:25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6:25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</row>
    <row r="151" spans="6:25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</row>
    <row r="152" spans="6:25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  <row r="153" spans="6:25" ht="16.5" customHeight="1"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</row>
    <row r="154" spans="6:25" ht="16.5" customHeight="1"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</row>
    <row r="155" spans="6:25" ht="16.5" customHeight="1"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</row>
    <row r="156" spans="6:25" ht="16.5" customHeight="1"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</row>
    <row r="157" spans="6:25" ht="16.5" customHeight="1"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56"/>
  <sheetViews>
    <sheetView zoomScale="70" zoomScaleNormal="70" workbookViewId="0" topLeftCell="B10">
      <selection activeCell="Z36" sqref="Z36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1"/>
    </row>
    <row r="2" spans="1:27" s="18" customFormat="1" ht="26.25">
      <c r="A2" s="89"/>
      <c r="B2" s="385" t="str">
        <f>+'TOT-0809'!B2</f>
        <v>ANEXO III al Memorándum D.T.E.E. N°   256 /2011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8" t="s">
        <v>71</v>
      </c>
      <c r="G8" s="386"/>
      <c r="H8" s="165"/>
      <c r="I8" s="164"/>
      <c r="J8" s="164"/>
      <c r="K8" s="164"/>
      <c r="L8" s="164"/>
      <c r="M8" s="164"/>
      <c r="N8" s="164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387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72</v>
      </c>
      <c r="H10" s="388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73</v>
      </c>
      <c r="H12" s="388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'TOT-0809'!B14</f>
        <v>Desde el 01 al 31 de agosto de 2009</v>
      </c>
      <c r="C14" s="40"/>
      <c r="D14" s="40"/>
      <c r="E14" s="389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89"/>
      <c r="S14" s="389"/>
      <c r="T14" s="389"/>
      <c r="U14" s="389"/>
      <c r="V14" s="389"/>
      <c r="W14" s="389"/>
      <c r="X14" s="389"/>
      <c r="Y14" s="389"/>
      <c r="Z14" s="389"/>
      <c r="AA14" s="391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4" t="s">
        <v>61</v>
      </c>
      <c r="G16" s="392"/>
      <c r="H16" s="242">
        <v>0.319</v>
      </c>
      <c r="I16" s="340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393" t="s">
        <v>24</v>
      </c>
      <c r="G17" s="394"/>
      <c r="H17" s="705">
        <v>20</v>
      </c>
      <c r="I17" s="340"/>
      <c r="J17"/>
      <c r="K17" s="194"/>
      <c r="L17" s="195"/>
      <c r="M17" s="4"/>
      <c r="N17" s="4"/>
      <c r="O17" s="4"/>
      <c r="Q17" s="4"/>
      <c r="R17" s="4"/>
      <c r="S17" s="4"/>
      <c r="T17" s="113"/>
      <c r="U17" s="113"/>
      <c r="V17" s="113"/>
      <c r="W17" s="113"/>
      <c r="X17" s="113"/>
      <c r="Y17" s="113"/>
      <c r="Z17" s="113"/>
      <c r="AA17" s="6"/>
    </row>
    <row r="18" spans="2:27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760">
        <v>23</v>
      </c>
      <c r="X18" s="760">
        <v>24</v>
      </c>
      <c r="Y18" s="760">
        <v>25</v>
      </c>
      <c r="Z18" s="760">
        <v>26</v>
      </c>
      <c r="AA18" s="6"/>
    </row>
    <row r="19" spans="2:27" s="5" customFormat="1" ht="33.75" customHeight="1" thickBot="1" thickTop="1">
      <c r="B19" s="50"/>
      <c r="C19" s="121" t="s">
        <v>12</v>
      </c>
      <c r="D19" s="84" t="s">
        <v>138</v>
      </c>
      <c r="E19" s="84" t="s">
        <v>139</v>
      </c>
      <c r="F19" s="86" t="s">
        <v>25</v>
      </c>
      <c r="G19" s="85" t="s">
        <v>26</v>
      </c>
      <c r="H19" s="396" t="s">
        <v>137</v>
      </c>
      <c r="I19" s="127" t="s">
        <v>15</v>
      </c>
      <c r="J19" s="85" t="s">
        <v>16</v>
      </c>
      <c r="K19" s="85" t="s">
        <v>17</v>
      </c>
      <c r="L19" s="86" t="s">
        <v>34</v>
      </c>
      <c r="M19" s="86" t="s">
        <v>29</v>
      </c>
      <c r="N19" s="87" t="s">
        <v>18</v>
      </c>
      <c r="O19" s="87" t="s">
        <v>44</v>
      </c>
      <c r="P19" s="85" t="s">
        <v>30</v>
      </c>
      <c r="Q19" s="127" t="s">
        <v>35</v>
      </c>
      <c r="R19" s="397" t="s">
        <v>56</v>
      </c>
      <c r="S19" s="398" t="s">
        <v>133</v>
      </c>
      <c r="T19" s="399"/>
      <c r="U19" s="246" t="s">
        <v>134</v>
      </c>
      <c r="V19" s="247"/>
      <c r="W19" s="400" t="s">
        <v>21</v>
      </c>
      <c r="X19" s="245" t="s">
        <v>20</v>
      </c>
      <c r="Y19" s="130" t="s">
        <v>59</v>
      </c>
      <c r="Z19" s="401" t="s">
        <v>22</v>
      </c>
      <c r="AA19" s="6"/>
    </row>
    <row r="20" spans="2:27" s="5" customFormat="1" ht="16.5" customHeight="1" thickTop="1">
      <c r="B20" s="50"/>
      <c r="C20" s="250"/>
      <c r="D20" s="250"/>
      <c r="E20" s="250"/>
      <c r="F20" s="403"/>
      <c r="G20" s="403"/>
      <c r="H20" s="403"/>
      <c r="I20" s="321"/>
      <c r="J20" s="404"/>
      <c r="K20" s="404"/>
      <c r="L20" s="402"/>
      <c r="M20" s="402"/>
      <c r="N20" s="403"/>
      <c r="O20" s="175"/>
      <c r="P20" s="402"/>
      <c r="Q20" s="405"/>
      <c r="R20" s="406"/>
      <c r="S20" s="407"/>
      <c r="T20" s="408"/>
      <c r="U20" s="259"/>
      <c r="V20" s="260"/>
      <c r="W20" s="409"/>
      <c r="X20" s="409"/>
      <c r="Y20" s="410"/>
      <c r="Z20" s="411"/>
      <c r="AA20" s="6"/>
    </row>
    <row r="21" spans="2:27" s="5" customFormat="1" ht="16.5" customHeight="1">
      <c r="B21" s="50"/>
      <c r="C21" s="264"/>
      <c r="D21" s="264"/>
      <c r="E21" s="264"/>
      <c r="F21" s="412"/>
      <c r="G21" s="413"/>
      <c r="H21" s="414"/>
      <c r="I21" s="415"/>
      <c r="J21" s="416"/>
      <c r="K21" s="417"/>
      <c r="L21" s="418"/>
      <c r="M21" s="419"/>
      <c r="N21" s="420"/>
      <c r="O21" s="176"/>
      <c r="P21" s="421"/>
      <c r="Q21" s="422"/>
      <c r="R21" s="423"/>
      <c r="S21" s="424"/>
      <c r="T21" s="425"/>
      <c r="U21" s="273"/>
      <c r="V21" s="274"/>
      <c r="W21" s="426"/>
      <c r="X21" s="426"/>
      <c r="Y21" s="421"/>
      <c r="Z21" s="427"/>
      <c r="AA21" s="6"/>
    </row>
    <row r="22" spans="2:27" s="5" customFormat="1" ht="16.5" customHeight="1">
      <c r="B22" s="50"/>
      <c r="C22" s="264">
        <v>88</v>
      </c>
      <c r="D22" s="264">
        <v>209881</v>
      </c>
      <c r="E22" s="264">
        <v>588</v>
      </c>
      <c r="F22" s="428" t="s">
        <v>165</v>
      </c>
      <c r="G22" s="366" t="s">
        <v>225</v>
      </c>
      <c r="H22" s="429">
        <v>245</v>
      </c>
      <c r="I22" s="281">
        <f aca="true" t="shared" si="0" ref="I22:I40">H22*$H$16</f>
        <v>78.155</v>
      </c>
      <c r="J22" s="368">
        <v>40028.25069444445</v>
      </c>
      <c r="K22" s="179">
        <v>40036.69583333333</v>
      </c>
      <c r="L22" s="369">
        <f aca="true" t="shared" si="1" ref="L22:L40">IF(F22="","",(K22-J22)*24)</f>
        <v>202.68333333323244</v>
      </c>
      <c r="M22" s="370">
        <f aca="true" t="shared" si="2" ref="M22:M40">IF(F22="","",ROUND((K22-J22)*24*60,0))</f>
        <v>12161</v>
      </c>
      <c r="N22" s="210" t="s">
        <v>144</v>
      </c>
      <c r="O22" s="470"/>
      <c r="P22" s="211" t="str">
        <f aca="true" t="shared" si="3" ref="P22:P40">IF(F22="","",IF(OR(N22="P",N22="RP"),"--","NO"))</f>
        <v>--</v>
      </c>
      <c r="Q22" s="758">
        <f aca="true" t="shared" si="4" ref="Q22:Q40">IF(OR(N22="P",N22="RP"),$H$17/10,$H$17)</f>
        <v>2</v>
      </c>
      <c r="R22" s="759">
        <f aca="true" t="shared" si="5" ref="R22:R40">IF(N22="P",I22*Q22*ROUND(M22/60,2),"--")</f>
        <v>31680.9108</v>
      </c>
      <c r="S22" s="424" t="str">
        <f aca="true" t="shared" si="6" ref="S22:S40">IF(AND(N22="F",P22="NO"),I22*Q22,"--")</f>
        <v>--</v>
      </c>
      <c r="T22" s="425" t="str">
        <f aca="true" t="shared" si="7" ref="T22:T40">IF(N22="F",I22*Q22*ROUND(M22/60,2),"--")</f>
        <v>--</v>
      </c>
      <c r="U22" s="288" t="str">
        <f aca="true" t="shared" si="8" ref="U22:U40">IF(AND(N22="R",P22="NO"),I22*Q22*O22/100,"--")</f>
        <v>--</v>
      </c>
      <c r="V22" s="289" t="str">
        <f aca="true" t="shared" si="9" ref="V22:V40">IF(N22="R",I22*Q22*O22/100*ROUND(M22/60,2),"--")</f>
        <v>--</v>
      </c>
      <c r="W22" s="426" t="str">
        <f aca="true" t="shared" si="10" ref="W22:W40">IF(N22="RF",I22*Q22*ROUND(M22/60,2),"--")</f>
        <v>--</v>
      </c>
      <c r="X22" s="755" t="str">
        <f aca="true" t="shared" si="11" ref="X22:X40">IF(N22="RP",I22*Q22*O22/100*ROUND(M22/60,2),"--")</f>
        <v>--</v>
      </c>
      <c r="Y22" s="211" t="s">
        <v>128</v>
      </c>
      <c r="Z22" s="371">
        <f aca="true" t="shared" si="12" ref="Z22:Z40">IF(F22="","",SUM(R22:X22)*IF(Y22="SI",1,2)*IF(AND(O22&lt;&gt;"--",N22="RF"),O22/100,1))</f>
        <v>31680.9108</v>
      </c>
      <c r="AA22" s="6"/>
    </row>
    <row r="23" spans="2:27" s="5" customFormat="1" ht="16.5" customHeight="1">
      <c r="B23" s="50"/>
      <c r="C23" s="264">
        <v>89</v>
      </c>
      <c r="D23" s="264">
        <v>209655</v>
      </c>
      <c r="E23" s="149">
        <v>666</v>
      </c>
      <c r="F23" s="428" t="s">
        <v>286</v>
      </c>
      <c r="G23" s="366" t="s">
        <v>287</v>
      </c>
      <c r="H23" s="429">
        <v>80</v>
      </c>
      <c r="I23" s="281">
        <f t="shared" si="0"/>
        <v>25.52</v>
      </c>
      <c r="J23" s="368">
        <v>40028.40069444444</v>
      </c>
      <c r="K23" s="179">
        <v>40028.61041666667</v>
      </c>
      <c r="L23" s="369">
        <f t="shared" si="1"/>
        <v>5.033333333500195</v>
      </c>
      <c r="M23" s="370">
        <f t="shared" si="2"/>
        <v>302</v>
      </c>
      <c r="N23" s="210" t="s">
        <v>144</v>
      </c>
      <c r="O23" s="470"/>
      <c r="P23" s="211" t="str">
        <f t="shared" si="3"/>
        <v>--</v>
      </c>
      <c r="Q23" s="758">
        <f t="shared" si="4"/>
        <v>2</v>
      </c>
      <c r="R23" s="759">
        <f t="shared" si="5"/>
        <v>256.7312</v>
      </c>
      <c r="S23" s="424" t="str">
        <f t="shared" si="6"/>
        <v>--</v>
      </c>
      <c r="T23" s="425" t="str">
        <f t="shared" si="7"/>
        <v>--</v>
      </c>
      <c r="U23" s="288" t="str">
        <f t="shared" si="8"/>
        <v>--</v>
      </c>
      <c r="V23" s="289" t="str">
        <f t="shared" si="9"/>
        <v>--</v>
      </c>
      <c r="W23" s="426" t="str">
        <f t="shared" si="10"/>
        <v>--</v>
      </c>
      <c r="X23" s="755" t="str">
        <f t="shared" si="11"/>
        <v>--</v>
      </c>
      <c r="Y23" s="211" t="s">
        <v>128</v>
      </c>
      <c r="Z23" s="371">
        <f t="shared" si="12"/>
        <v>256.7312</v>
      </c>
      <c r="AA23" s="6"/>
    </row>
    <row r="24" spans="2:27" s="5" customFormat="1" ht="16.5" customHeight="1">
      <c r="B24" s="50"/>
      <c r="C24" s="264">
        <v>90</v>
      </c>
      <c r="D24" s="264">
        <v>209657</v>
      </c>
      <c r="E24" s="264">
        <v>666</v>
      </c>
      <c r="F24" s="428" t="s">
        <v>286</v>
      </c>
      <c r="G24" s="366" t="s">
        <v>287</v>
      </c>
      <c r="H24" s="429">
        <v>80</v>
      </c>
      <c r="I24" s="281">
        <f t="shared" si="0"/>
        <v>25.52</v>
      </c>
      <c r="J24" s="368">
        <v>40029.354166666664</v>
      </c>
      <c r="K24" s="179">
        <v>40029.55902777778</v>
      </c>
      <c r="L24" s="369">
        <f t="shared" si="1"/>
        <v>4.9166666668024845</v>
      </c>
      <c r="M24" s="370">
        <f t="shared" si="2"/>
        <v>295</v>
      </c>
      <c r="N24" s="210" t="s">
        <v>144</v>
      </c>
      <c r="O24" s="470"/>
      <c r="P24" s="211" t="str">
        <f t="shared" si="3"/>
        <v>--</v>
      </c>
      <c r="Q24" s="758">
        <f t="shared" si="4"/>
        <v>2</v>
      </c>
      <c r="R24" s="759">
        <f t="shared" si="5"/>
        <v>251.11679999999998</v>
      </c>
      <c r="S24" s="424" t="str">
        <f t="shared" si="6"/>
        <v>--</v>
      </c>
      <c r="T24" s="425" t="str">
        <f t="shared" si="7"/>
        <v>--</v>
      </c>
      <c r="U24" s="288" t="str">
        <f t="shared" si="8"/>
        <v>--</v>
      </c>
      <c r="V24" s="289" t="str">
        <f t="shared" si="9"/>
        <v>--</v>
      </c>
      <c r="W24" s="426" t="str">
        <f t="shared" si="10"/>
        <v>--</v>
      </c>
      <c r="X24" s="755" t="str">
        <f t="shared" si="11"/>
        <v>--</v>
      </c>
      <c r="Y24" s="211" t="s">
        <v>128</v>
      </c>
      <c r="Z24" s="371">
        <f t="shared" si="12"/>
        <v>251.11679999999998</v>
      </c>
      <c r="AA24" s="430"/>
    </row>
    <row r="25" spans="2:27" s="5" customFormat="1" ht="16.5" customHeight="1">
      <c r="B25" s="50"/>
      <c r="C25" s="264">
        <v>91</v>
      </c>
      <c r="D25" s="264">
        <v>209661</v>
      </c>
      <c r="E25" s="149">
        <v>666</v>
      </c>
      <c r="F25" s="428" t="s">
        <v>286</v>
      </c>
      <c r="G25" s="366" t="s">
        <v>287</v>
      </c>
      <c r="H25" s="429">
        <v>80</v>
      </c>
      <c r="I25" s="281">
        <f t="shared" si="0"/>
        <v>25.52</v>
      </c>
      <c r="J25" s="368">
        <v>40030.34861111111</v>
      </c>
      <c r="K25" s="179">
        <v>40030.59583333333</v>
      </c>
      <c r="L25" s="369">
        <f t="shared" si="1"/>
        <v>5.933333333290648</v>
      </c>
      <c r="M25" s="370">
        <f t="shared" si="2"/>
        <v>356</v>
      </c>
      <c r="N25" s="210" t="s">
        <v>144</v>
      </c>
      <c r="O25" s="470"/>
      <c r="P25" s="211" t="str">
        <f t="shared" si="3"/>
        <v>--</v>
      </c>
      <c r="Q25" s="758">
        <f t="shared" si="4"/>
        <v>2</v>
      </c>
      <c r="R25" s="759">
        <f t="shared" si="5"/>
        <v>302.6672</v>
      </c>
      <c r="S25" s="424" t="str">
        <f t="shared" si="6"/>
        <v>--</v>
      </c>
      <c r="T25" s="425" t="str">
        <f t="shared" si="7"/>
        <v>--</v>
      </c>
      <c r="U25" s="288" t="str">
        <f t="shared" si="8"/>
        <v>--</v>
      </c>
      <c r="V25" s="289" t="str">
        <f t="shared" si="9"/>
        <v>--</v>
      </c>
      <c r="W25" s="426" t="str">
        <f t="shared" si="10"/>
        <v>--</v>
      </c>
      <c r="X25" s="755" t="str">
        <f t="shared" si="11"/>
        <v>--</v>
      </c>
      <c r="Y25" s="211" t="s">
        <v>128</v>
      </c>
      <c r="Z25" s="371">
        <f t="shared" si="12"/>
        <v>302.6672</v>
      </c>
      <c r="AA25" s="430"/>
    </row>
    <row r="26" spans="2:27" s="5" customFormat="1" ht="16.5" customHeight="1">
      <c r="B26" s="50"/>
      <c r="C26" s="264">
        <v>92</v>
      </c>
      <c r="D26" s="264">
        <v>209665</v>
      </c>
      <c r="E26" s="264">
        <v>666</v>
      </c>
      <c r="F26" s="428" t="s">
        <v>286</v>
      </c>
      <c r="G26" s="366" t="s">
        <v>287</v>
      </c>
      <c r="H26" s="429">
        <v>80</v>
      </c>
      <c r="I26" s="281">
        <f t="shared" si="0"/>
        <v>25.52</v>
      </c>
      <c r="J26" s="368">
        <v>40031.35972222222</v>
      </c>
      <c r="K26" s="179">
        <v>40031.626388888886</v>
      </c>
      <c r="L26" s="369">
        <f t="shared" si="1"/>
        <v>6.399999999906868</v>
      </c>
      <c r="M26" s="370">
        <f t="shared" si="2"/>
        <v>384</v>
      </c>
      <c r="N26" s="210" t="s">
        <v>144</v>
      </c>
      <c r="O26" s="470"/>
      <c r="P26" s="211" t="str">
        <f t="shared" si="3"/>
        <v>--</v>
      </c>
      <c r="Q26" s="758">
        <f t="shared" si="4"/>
        <v>2</v>
      </c>
      <c r="R26" s="759">
        <f t="shared" si="5"/>
        <v>326.656</v>
      </c>
      <c r="S26" s="424" t="str">
        <f t="shared" si="6"/>
        <v>--</v>
      </c>
      <c r="T26" s="425" t="str">
        <f t="shared" si="7"/>
        <v>--</v>
      </c>
      <c r="U26" s="288" t="str">
        <f t="shared" si="8"/>
        <v>--</v>
      </c>
      <c r="V26" s="289" t="str">
        <f t="shared" si="9"/>
        <v>--</v>
      </c>
      <c r="W26" s="426" t="str">
        <f t="shared" si="10"/>
        <v>--</v>
      </c>
      <c r="X26" s="755" t="str">
        <f t="shared" si="11"/>
        <v>--</v>
      </c>
      <c r="Y26" s="211" t="s">
        <v>128</v>
      </c>
      <c r="Z26" s="371">
        <f t="shared" si="12"/>
        <v>326.656</v>
      </c>
      <c r="AA26" s="430"/>
    </row>
    <row r="27" spans="2:27" s="5" customFormat="1" ht="16.5" customHeight="1">
      <c r="B27" s="50"/>
      <c r="C27" s="264">
        <v>93</v>
      </c>
      <c r="D27" s="264">
        <v>209889</v>
      </c>
      <c r="E27" s="149">
        <v>666</v>
      </c>
      <c r="F27" s="428" t="s">
        <v>286</v>
      </c>
      <c r="G27" s="366" t="s">
        <v>287</v>
      </c>
      <c r="H27" s="429">
        <v>80</v>
      </c>
      <c r="I27" s="281">
        <f t="shared" si="0"/>
        <v>25.52</v>
      </c>
      <c r="J27" s="368">
        <v>40036.347916666666</v>
      </c>
      <c r="K27" s="179">
        <v>40036.59375</v>
      </c>
      <c r="L27" s="369">
        <f t="shared" si="1"/>
        <v>5.900000000023283</v>
      </c>
      <c r="M27" s="370">
        <f t="shared" si="2"/>
        <v>354</v>
      </c>
      <c r="N27" s="210" t="s">
        <v>144</v>
      </c>
      <c r="O27" s="470"/>
      <c r="P27" s="211" t="str">
        <f t="shared" si="3"/>
        <v>--</v>
      </c>
      <c r="Q27" s="758">
        <f t="shared" si="4"/>
        <v>2</v>
      </c>
      <c r="R27" s="759">
        <f t="shared" si="5"/>
        <v>301.136</v>
      </c>
      <c r="S27" s="424" t="str">
        <f t="shared" si="6"/>
        <v>--</v>
      </c>
      <c r="T27" s="425" t="str">
        <f t="shared" si="7"/>
        <v>--</v>
      </c>
      <c r="U27" s="288" t="str">
        <f t="shared" si="8"/>
        <v>--</v>
      </c>
      <c r="V27" s="289" t="str">
        <f t="shared" si="9"/>
        <v>--</v>
      </c>
      <c r="W27" s="426" t="str">
        <f t="shared" si="10"/>
        <v>--</v>
      </c>
      <c r="X27" s="755" t="str">
        <f t="shared" si="11"/>
        <v>--</v>
      </c>
      <c r="Y27" s="211" t="s">
        <v>128</v>
      </c>
      <c r="Z27" s="371">
        <f t="shared" si="12"/>
        <v>301.136</v>
      </c>
      <c r="AA27" s="430"/>
    </row>
    <row r="28" spans="2:27" s="5" customFormat="1" ht="16.5" customHeight="1">
      <c r="B28" s="50"/>
      <c r="C28" s="264">
        <v>94</v>
      </c>
      <c r="D28" s="264">
        <v>209895</v>
      </c>
      <c r="E28" s="264">
        <v>666</v>
      </c>
      <c r="F28" s="428" t="s">
        <v>286</v>
      </c>
      <c r="G28" s="366" t="s">
        <v>287</v>
      </c>
      <c r="H28" s="429">
        <v>80</v>
      </c>
      <c r="I28" s="281">
        <f t="shared" si="0"/>
        <v>25.52</v>
      </c>
      <c r="J28" s="368">
        <v>40037.356944444444</v>
      </c>
      <c r="K28" s="179">
        <v>40037.584027777775</v>
      </c>
      <c r="L28" s="369">
        <f t="shared" si="1"/>
        <v>5.449999999953434</v>
      </c>
      <c r="M28" s="370">
        <f t="shared" si="2"/>
        <v>327</v>
      </c>
      <c r="N28" s="210" t="s">
        <v>144</v>
      </c>
      <c r="O28" s="470"/>
      <c r="P28" s="211" t="str">
        <f t="shared" si="3"/>
        <v>--</v>
      </c>
      <c r="Q28" s="758">
        <f t="shared" si="4"/>
        <v>2</v>
      </c>
      <c r="R28" s="759">
        <f t="shared" si="5"/>
        <v>278.168</v>
      </c>
      <c r="S28" s="424" t="str">
        <f t="shared" si="6"/>
        <v>--</v>
      </c>
      <c r="T28" s="425" t="str">
        <f t="shared" si="7"/>
        <v>--</v>
      </c>
      <c r="U28" s="288" t="str">
        <f t="shared" si="8"/>
        <v>--</v>
      </c>
      <c r="V28" s="289" t="str">
        <f t="shared" si="9"/>
        <v>--</v>
      </c>
      <c r="W28" s="426" t="str">
        <f t="shared" si="10"/>
        <v>--</v>
      </c>
      <c r="X28" s="755" t="str">
        <f t="shared" si="11"/>
        <v>--</v>
      </c>
      <c r="Y28" s="211" t="s">
        <v>128</v>
      </c>
      <c r="Z28" s="371">
        <f t="shared" si="12"/>
        <v>278.168</v>
      </c>
      <c r="AA28" s="430"/>
    </row>
    <row r="29" spans="2:27" s="5" customFormat="1" ht="16.5" customHeight="1">
      <c r="B29" s="50"/>
      <c r="C29" s="264">
        <v>95</v>
      </c>
      <c r="D29" s="264">
        <v>209898</v>
      </c>
      <c r="E29" s="149">
        <v>615</v>
      </c>
      <c r="F29" s="428" t="s">
        <v>193</v>
      </c>
      <c r="G29" s="366" t="s">
        <v>226</v>
      </c>
      <c r="H29" s="429">
        <v>150</v>
      </c>
      <c r="I29" s="281">
        <f t="shared" si="0"/>
        <v>47.85</v>
      </c>
      <c r="J29" s="368">
        <v>40038.34444444445</v>
      </c>
      <c r="K29" s="179">
        <v>40038.467361111114</v>
      </c>
      <c r="L29" s="369">
        <f t="shared" si="1"/>
        <v>2.9500000000116415</v>
      </c>
      <c r="M29" s="370">
        <f t="shared" si="2"/>
        <v>177</v>
      </c>
      <c r="N29" s="210" t="s">
        <v>144</v>
      </c>
      <c r="O29" s="470"/>
      <c r="P29" s="211" t="str">
        <f t="shared" si="3"/>
        <v>--</v>
      </c>
      <c r="Q29" s="758">
        <f t="shared" si="4"/>
        <v>2</v>
      </c>
      <c r="R29" s="759">
        <f t="shared" si="5"/>
        <v>282.315</v>
      </c>
      <c r="S29" s="424" t="str">
        <f t="shared" si="6"/>
        <v>--</v>
      </c>
      <c r="T29" s="425" t="str">
        <f t="shared" si="7"/>
        <v>--</v>
      </c>
      <c r="U29" s="288" t="str">
        <f t="shared" si="8"/>
        <v>--</v>
      </c>
      <c r="V29" s="289" t="str">
        <f t="shared" si="9"/>
        <v>--</v>
      </c>
      <c r="W29" s="426" t="str">
        <f t="shared" si="10"/>
        <v>--</v>
      </c>
      <c r="X29" s="755" t="str">
        <f t="shared" si="11"/>
        <v>--</v>
      </c>
      <c r="Y29" s="211" t="s">
        <v>128</v>
      </c>
      <c r="Z29" s="371">
        <f t="shared" si="12"/>
        <v>282.315</v>
      </c>
      <c r="AA29" s="430"/>
    </row>
    <row r="30" spans="2:27" s="5" customFormat="1" ht="16.5" customHeight="1">
      <c r="B30" s="50"/>
      <c r="C30" s="264">
        <v>96</v>
      </c>
      <c r="D30" s="264">
        <v>209901</v>
      </c>
      <c r="E30" s="264">
        <v>666</v>
      </c>
      <c r="F30" s="428" t="s">
        <v>286</v>
      </c>
      <c r="G30" s="366" t="s">
        <v>287</v>
      </c>
      <c r="H30" s="429">
        <v>80</v>
      </c>
      <c r="I30" s="281">
        <f t="shared" si="0"/>
        <v>25.52</v>
      </c>
      <c r="J30" s="368">
        <v>40038.370833333334</v>
      </c>
      <c r="K30" s="179">
        <v>40038.57777777778</v>
      </c>
      <c r="L30" s="369">
        <f t="shared" si="1"/>
        <v>4.96666666661622</v>
      </c>
      <c r="M30" s="370">
        <f t="shared" si="2"/>
        <v>298</v>
      </c>
      <c r="N30" s="210" t="s">
        <v>144</v>
      </c>
      <c r="O30" s="470"/>
      <c r="P30" s="211" t="str">
        <f t="shared" si="3"/>
        <v>--</v>
      </c>
      <c r="Q30" s="758">
        <f t="shared" si="4"/>
        <v>2</v>
      </c>
      <c r="R30" s="759">
        <f t="shared" si="5"/>
        <v>253.66879999999998</v>
      </c>
      <c r="S30" s="424" t="str">
        <f t="shared" si="6"/>
        <v>--</v>
      </c>
      <c r="T30" s="425" t="str">
        <f t="shared" si="7"/>
        <v>--</v>
      </c>
      <c r="U30" s="288" t="str">
        <f t="shared" si="8"/>
        <v>--</v>
      </c>
      <c r="V30" s="289" t="str">
        <f t="shared" si="9"/>
        <v>--</v>
      </c>
      <c r="W30" s="426" t="str">
        <f t="shared" si="10"/>
        <v>--</v>
      </c>
      <c r="X30" s="755" t="str">
        <f t="shared" si="11"/>
        <v>--</v>
      </c>
      <c r="Y30" s="211" t="s">
        <v>128</v>
      </c>
      <c r="Z30" s="371">
        <f t="shared" si="12"/>
        <v>253.66879999999998</v>
      </c>
      <c r="AA30" s="6"/>
    </row>
    <row r="31" spans="2:27" s="5" customFormat="1" ht="16.5" customHeight="1">
      <c r="B31" s="50"/>
      <c r="C31" s="264">
        <v>97</v>
      </c>
      <c r="D31" s="264">
        <v>209906</v>
      </c>
      <c r="E31" s="149">
        <v>666</v>
      </c>
      <c r="F31" s="428" t="s">
        <v>286</v>
      </c>
      <c r="G31" s="366" t="s">
        <v>287</v>
      </c>
      <c r="H31" s="429">
        <v>80</v>
      </c>
      <c r="I31" s="281">
        <f t="shared" si="0"/>
        <v>25.52</v>
      </c>
      <c r="J31" s="368">
        <v>40039.34375</v>
      </c>
      <c r="K31" s="179">
        <v>40039.544444444444</v>
      </c>
      <c r="L31" s="369">
        <f t="shared" si="1"/>
        <v>4.816666666651145</v>
      </c>
      <c r="M31" s="370">
        <f t="shared" si="2"/>
        <v>289</v>
      </c>
      <c r="N31" s="210" t="s">
        <v>144</v>
      </c>
      <c r="O31" s="470"/>
      <c r="P31" s="211" t="str">
        <f t="shared" si="3"/>
        <v>--</v>
      </c>
      <c r="Q31" s="758">
        <f t="shared" si="4"/>
        <v>2</v>
      </c>
      <c r="R31" s="759">
        <f t="shared" si="5"/>
        <v>246.0128</v>
      </c>
      <c r="S31" s="424" t="str">
        <f t="shared" si="6"/>
        <v>--</v>
      </c>
      <c r="T31" s="425" t="str">
        <f t="shared" si="7"/>
        <v>--</v>
      </c>
      <c r="U31" s="288" t="str">
        <f t="shared" si="8"/>
        <v>--</v>
      </c>
      <c r="V31" s="289" t="str">
        <f t="shared" si="9"/>
        <v>--</v>
      </c>
      <c r="W31" s="426" t="str">
        <f t="shared" si="10"/>
        <v>--</v>
      </c>
      <c r="X31" s="755" t="str">
        <f t="shared" si="11"/>
        <v>--</v>
      </c>
      <c r="Y31" s="211" t="s">
        <v>128</v>
      </c>
      <c r="Z31" s="371">
        <f t="shared" si="12"/>
        <v>246.0128</v>
      </c>
      <c r="AA31" s="6"/>
    </row>
    <row r="32" spans="2:27" s="5" customFormat="1" ht="16.5" customHeight="1">
      <c r="B32" s="50"/>
      <c r="C32" s="264">
        <v>98</v>
      </c>
      <c r="D32" s="264">
        <v>210118</v>
      </c>
      <c r="E32" s="264">
        <v>651</v>
      </c>
      <c r="F32" s="428" t="s">
        <v>288</v>
      </c>
      <c r="G32" s="366" t="s">
        <v>289</v>
      </c>
      <c r="H32" s="429">
        <v>120</v>
      </c>
      <c r="I32" s="281">
        <f t="shared" si="0"/>
        <v>38.28</v>
      </c>
      <c r="J32" s="368">
        <v>40043.364583333336</v>
      </c>
      <c r="K32" s="179">
        <v>40046.79583333333</v>
      </c>
      <c r="L32" s="369">
        <f t="shared" si="1"/>
        <v>82.3499999998603</v>
      </c>
      <c r="M32" s="370">
        <f t="shared" si="2"/>
        <v>4941</v>
      </c>
      <c r="N32" s="210" t="s">
        <v>144</v>
      </c>
      <c r="O32" s="470"/>
      <c r="P32" s="211" t="str">
        <f t="shared" si="3"/>
        <v>--</v>
      </c>
      <c r="Q32" s="758">
        <f t="shared" si="4"/>
        <v>2</v>
      </c>
      <c r="R32" s="759">
        <f t="shared" si="5"/>
        <v>6304.715999999999</v>
      </c>
      <c r="S32" s="424" t="str">
        <f t="shared" si="6"/>
        <v>--</v>
      </c>
      <c r="T32" s="425" t="str">
        <f t="shared" si="7"/>
        <v>--</v>
      </c>
      <c r="U32" s="288" t="str">
        <f t="shared" si="8"/>
        <v>--</v>
      </c>
      <c r="V32" s="289" t="str">
        <f t="shared" si="9"/>
        <v>--</v>
      </c>
      <c r="W32" s="426" t="str">
        <f t="shared" si="10"/>
        <v>--</v>
      </c>
      <c r="X32" s="755" t="str">
        <f t="shared" si="11"/>
        <v>--</v>
      </c>
      <c r="Y32" s="211" t="s">
        <v>128</v>
      </c>
      <c r="Z32" s="371">
        <f t="shared" si="12"/>
        <v>6304.715999999999</v>
      </c>
      <c r="AA32" s="6"/>
    </row>
    <row r="33" spans="2:27" s="5" customFormat="1" ht="16.5" customHeight="1">
      <c r="B33" s="50"/>
      <c r="C33" s="264">
        <v>99</v>
      </c>
      <c r="D33" s="264">
        <v>210131</v>
      </c>
      <c r="E33" s="149">
        <v>589</v>
      </c>
      <c r="F33" s="428" t="s">
        <v>165</v>
      </c>
      <c r="G33" s="366" t="s">
        <v>227</v>
      </c>
      <c r="H33" s="429">
        <v>245</v>
      </c>
      <c r="I33" s="281">
        <f t="shared" si="0"/>
        <v>78.155</v>
      </c>
      <c r="J33" s="368">
        <v>40046.25277777778</v>
      </c>
      <c r="K33" s="179">
        <v>40046.58819444444</v>
      </c>
      <c r="L33" s="369">
        <f t="shared" si="1"/>
        <v>8.049999999871943</v>
      </c>
      <c r="M33" s="370">
        <f t="shared" si="2"/>
        <v>483</v>
      </c>
      <c r="N33" s="210" t="s">
        <v>144</v>
      </c>
      <c r="O33" s="470"/>
      <c r="P33" s="211" t="str">
        <f t="shared" si="3"/>
        <v>--</v>
      </c>
      <c r="Q33" s="758">
        <f t="shared" si="4"/>
        <v>2</v>
      </c>
      <c r="R33" s="759">
        <f t="shared" si="5"/>
        <v>1258.2955000000002</v>
      </c>
      <c r="S33" s="424" t="str">
        <f t="shared" si="6"/>
        <v>--</v>
      </c>
      <c r="T33" s="425" t="str">
        <f t="shared" si="7"/>
        <v>--</v>
      </c>
      <c r="U33" s="288" t="str">
        <f t="shared" si="8"/>
        <v>--</v>
      </c>
      <c r="V33" s="289" t="str">
        <f t="shared" si="9"/>
        <v>--</v>
      </c>
      <c r="W33" s="426" t="str">
        <f t="shared" si="10"/>
        <v>--</v>
      </c>
      <c r="X33" s="755" t="str">
        <f t="shared" si="11"/>
        <v>--</v>
      </c>
      <c r="Y33" s="211" t="s">
        <v>128</v>
      </c>
      <c r="Z33" s="371">
        <f t="shared" si="12"/>
        <v>1258.2955000000002</v>
      </c>
      <c r="AA33" s="6"/>
    </row>
    <row r="34" spans="2:27" s="5" customFormat="1" ht="16.5" customHeight="1">
      <c r="B34" s="50"/>
      <c r="C34" s="264">
        <v>100</v>
      </c>
      <c r="D34" s="264">
        <v>210143</v>
      </c>
      <c r="E34" s="264">
        <v>587</v>
      </c>
      <c r="F34" s="428" t="s">
        <v>165</v>
      </c>
      <c r="G34" s="366" t="s">
        <v>228</v>
      </c>
      <c r="H34" s="429">
        <v>245</v>
      </c>
      <c r="I34" s="281">
        <f t="shared" si="0"/>
        <v>78.155</v>
      </c>
      <c r="J34" s="368">
        <v>40048.2125</v>
      </c>
      <c r="K34" s="179">
        <v>40048.31041666667</v>
      </c>
      <c r="L34" s="369">
        <f t="shared" si="1"/>
        <v>2.349999999976717</v>
      </c>
      <c r="M34" s="370">
        <f t="shared" si="2"/>
        <v>141</v>
      </c>
      <c r="N34" s="210" t="s">
        <v>144</v>
      </c>
      <c r="O34" s="470"/>
      <c r="P34" s="211" t="str">
        <f t="shared" si="3"/>
        <v>--</v>
      </c>
      <c r="Q34" s="758">
        <f t="shared" si="4"/>
        <v>2</v>
      </c>
      <c r="R34" s="759">
        <f t="shared" si="5"/>
        <v>367.3285</v>
      </c>
      <c r="S34" s="424" t="str">
        <f t="shared" si="6"/>
        <v>--</v>
      </c>
      <c r="T34" s="425" t="str">
        <f t="shared" si="7"/>
        <v>--</v>
      </c>
      <c r="U34" s="288" t="str">
        <f t="shared" si="8"/>
        <v>--</v>
      </c>
      <c r="V34" s="289" t="str">
        <f t="shared" si="9"/>
        <v>--</v>
      </c>
      <c r="W34" s="426" t="str">
        <f t="shared" si="10"/>
        <v>--</v>
      </c>
      <c r="X34" s="755" t="str">
        <f t="shared" si="11"/>
        <v>--</v>
      </c>
      <c r="Y34" s="211" t="s">
        <v>128</v>
      </c>
      <c r="Z34" s="371">
        <f t="shared" si="12"/>
        <v>367.3285</v>
      </c>
      <c r="AA34" s="6"/>
    </row>
    <row r="35" spans="2:27" s="5" customFormat="1" ht="16.5" customHeight="1">
      <c r="B35" s="50"/>
      <c r="C35" s="264">
        <v>101</v>
      </c>
      <c r="D35" s="264">
        <v>210144</v>
      </c>
      <c r="E35" s="149">
        <v>588</v>
      </c>
      <c r="F35" s="428" t="s">
        <v>165</v>
      </c>
      <c r="G35" s="366" t="s">
        <v>225</v>
      </c>
      <c r="H35" s="429">
        <v>245</v>
      </c>
      <c r="I35" s="281">
        <f t="shared" si="0"/>
        <v>78.155</v>
      </c>
      <c r="J35" s="368">
        <v>40048.2125</v>
      </c>
      <c r="K35" s="179">
        <v>40048.31180555555</v>
      </c>
      <c r="L35" s="369">
        <f t="shared" si="1"/>
        <v>2.3833333332440816</v>
      </c>
      <c r="M35" s="370">
        <f t="shared" si="2"/>
        <v>143</v>
      </c>
      <c r="N35" s="210" t="s">
        <v>144</v>
      </c>
      <c r="O35" s="470"/>
      <c r="P35" s="211" t="str">
        <f t="shared" si="3"/>
        <v>--</v>
      </c>
      <c r="Q35" s="758">
        <f t="shared" si="4"/>
        <v>2</v>
      </c>
      <c r="R35" s="759">
        <f t="shared" si="5"/>
        <v>372.01779999999997</v>
      </c>
      <c r="S35" s="424" t="str">
        <f t="shared" si="6"/>
        <v>--</v>
      </c>
      <c r="T35" s="425" t="str">
        <f t="shared" si="7"/>
        <v>--</v>
      </c>
      <c r="U35" s="288" t="str">
        <f t="shared" si="8"/>
        <v>--</v>
      </c>
      <c r="V35" s="289" t="str">
        <f t="shared" si="9"/>
        <v>--</v>
      </c>
      <c r="W35" s="426" t="str">
        <f t="shared" si="10"/>
        <v>--</v>
      </c>
      <c r="X35" s="755" t="str">
        <f t="shared" si="11"/>
        <v>--</v>
      </c>
      <c r="Y35" s="211" t="s">
        <v>128</v>
      </c>
      <c r="Z35" s="371">
        <f t="shared" si="12"/>
        <v>372.01779999999997</v>
      </c>
      <c r="AA35" s="6"/>
    </row>
    <row r="36" spans="2:27" s="5" customFormat="1" ht="16.5" customHeight="1">
      <c r="B36" s="50"/>
      <c r="C36" s="264" t="s">
        <v>321</v>
      </c>
      <c r="D36" s="264">
        <v>211322</v>
      </c>
      <c r="E36" s="264">
        <v>592</v>
      </c>
      <c r="F36" s="428" t="s">
        <v>165</v>
      </c>
      <c r="G36" s="366" t="s">
        <v>322</v>
      </c>
      <c r="H36" s="429">
        <v>245</v>
      </c>
      <c r="I36" s="281">
        <f t="shared" si="0"/>
        <v>78.155</v>
      </c>
      <c r="J36" s="368">
        <v>40049.25208333333</v>
      </c>
      <c r="K36" s="179">
        <v>40056.99930555555</v>
      </c>
      <c r="L36" s="369">
        <f t="shared" si="1"/>
        <v>185.93333333329065</v>
      </c>
      <c r="M36" s="370">
        <f t="shared" si="2"/>
        <v>11156</v>
      </c>
      <c r="N36" s="210" t="s">
        <v>144</v>
      </c>
      <c r="O36" s="470"/>
      <c r="P36" s="211" t="str">
        <f t="shared" si="3"/>
        <v>--</v>
      </c>
      <c r="Q36" s="758">
        <f t="shared" si="4"/>
        <v>2</v>
      </c>
      <c r="R36" s="759">
        <f t="shared" si="5"/>
        <v>29062.7183</v>
      </c>
      <c r="S36" s="424" t="str">
        <f t="shared" si="6"/>
        <v>--</v>
      </c>
      <c r="T36" s="425" t="str">
        <f t="shared" si="7"/>
        <v>--</v>
      </c>
      <c r="U36" s="288" t="str">
        <f t="shared" si="8"/>
        <v>--</v>
      </c>
      <c r="V36" s="289" t="str">
        <f t="shared" si="9"/>
        <v>--</v>
      </c>
      <c r="W36" s="426" t="str">
        <f t="shared" si="10"/>
        <v>--</v>
      </c>
      <c r="X36" s="755" t="str">
        <f t="shared" si="11"/>
        <v>--</v>
      </c>
      <c r="Y36" s="211" t="str">
        <f>IF(F36="","","SI")</f>
        <v>SI</v>
      </c>
      <c r="Z36" s="371">
        <f t="shared" si="12"/>
        <v>29062.7183</v>
      </c>
      <c r="AA36" s="6"/>
    </row>
    <row r="37" spans="2:27" s="5" customFormat="1" ht="16.5" customHeight="1">
      <c r="B37" s="50"/>
      <c r="C37" s="264"/>
      <c r="D37" s="264"/>
      <c r="E37" s="149"/>
      <c r="F37" s="428"/>
      <c r="G37" s="366"/>
      <c r="H37" s="429"/>
      <c r="I37" s="281">
        <f t="shared" si="0"/>
        <v>0</v>
      </c>
      <c r="J37" s="368"/>
      <c r="K37" s="179"/>
      <c r="L37" s="369">
        <f t="shared" si="1"/>
      </c>
      <c r="M37" s="370">
        <f t="shared" si="2"/>
      </c>
      <c r="N37" s="210"/>
      <c r="O37" s="470">
        <f>IF(F37="","","--")</f>
      </c>
      <c r="P37" s="211">
        <f t="shared" si="3"/>
      </c>
      <c r="Q37" s="758">
        <f t="shared" si="4"/>
        <v>20</v>
      </c>
      <c r="R37" s="759" t="str">
        <f t="shared" si="5"/>
        <v>--</v>
      </c>
      <c r="S37" s="424" t="str">
        <f t="shared" si="6"/>
        <v>--</v>
      </c>
      <c r="T37" s="425" t="str">
        <f t="shared" si="7"/>
        <v>--</v>
      </c>
      <c r="U37" s="288" t="str">
        <f t="shared" si="8"/>
        <v>--</v>
      </c>
      <c r="V37" s="289" t="str">
        <f t="shared" si="9"/>
        <v>--</v>
      </c>
      <c r="W37" s="426" t="str">
        <f t="shared" si="10"/>
        <v>--</v>
      </c>
      <c r="X37" s="755" t="str">
        <f t="shared" si="11"/>
        <v>--</v>
      </c>
      <c r="Y37" s="211">
        <f>IF(F37="","","SI")</f>
      </c>
      <c r="Z37" s="371">
        <f t="shared" si="12"/>
      </c>
      <c r="AA37" s="6"/>
    </row>
    <row r="38" spans="2:27" s="5" customFormat="1" ht="16.5" customHeight="1">
      <c r="B38" s="50"/>
      <c r="C38" s="264"/>
      <c r="D38" s="264"/>
      <c r="E38" s="264"/>
      <c r="F38" s="428"/>
      <c r="G38" s="366"/>
      <c r="H38" s="429"/>
      <c r="I38" s="281">
        <f t="shared" si="0"/>
        <v>0</v>
      </c>
      <c r="J38" s="368"/>
      <c r="K38" s="179"/>
      <c r="L38" s="369">
        <f t="shared" si="1"/>
      </c>
      <c r="M38" s="370">
        <f t="shared" si="2"/>
      </c>
      <c r="N38" s="210"/>
      <c r="O38" s="470">
        <f>IF(F38="","","--")</f>
      </c>
      <c r="P38" s="211">
        <f t="shared" si="3"/>
      </c>
      <c r="Q38" s="758">
        <f t="shared" si="4"/>
        <v>20</v>
      </c>
      <c r="R38" s="759" t="str">
        <f t="shared" si="5"/>
        <v>--</v>
      </c>
      <c r="S38" s="424" t="str">
        <f t="shared" si="6"/>
        <v>--</v>
      </c>
      <c r="T38" s="425" t="str">
        <f t="shared" si="7"/>
        <v>--</v>
      </c>
      <c r="U38" s="288" t="str">
        <f t="shared" si="8"/>
        <v>--</v>
      </c>
      <c r="V38" s="289" t="str">
        <f t="shared" si="9"/>
        <v>--</v>
      </c>
      <c r="W38" s="426" t="str">
        <f t="shared" si="10"/>
        <v>--</v>
      </c>
      <c r="X38" s="755" t="str">
        <f t="shared" si="11"/>
        <v>--</v>
      </c>
      <c r="Y38" s="211">
        <f>IF(F38="","","SI")</f>
      </c>
      <c r="Z38" s="371">
        <f t="shared" si="12"/>
      </c>
      <c r="AA38" s="6"/>
    </row>
    <row r="39" spans="2:27" s="5" customFormat="1" ht="16.5" customHeight="1">
      <c r="B39" s="50"/>
      <c r="C39" s="264"/>
      <c r="D39" s="264"/>
      <c r="E39" s="149"/>
      <c r="F39" s="428"/>
      <c r="G39" s="366"/>
      <c r="H39" s="429"/>
      <c r="I39" s="281">
        <f t="shared" si="0"/>
        <v>0</v>
      </c>
      <c r="J39" s="368"/>
      <c r="K39" s="179"/>
      <c r="L39" s="369">
        <f t="shared" si="1"/>
      </c>
      <c r="M39" s="370">
        <f t="shared" si="2"/>
      </c>
      <c r="N39" s="210"/>
      <c r="O39" s="470">
        <f>IF(F39="","","--")</f>
      </c>
      <c r="P39" s="211">
        <f t="shared" si="3"/>
      </c>
      <c r="Q39" s="758">
        <f t="shared" si="4"/>
        <v>20</v>
      </c>
      <c r="R39" s="759" t="str">
        <f t="shared" si="5"/>
        <v>--</v>
      </c>
      <c r="S39" s="424" t="str">
        <f t="shared" si="6"/>
        <v>--</v>
      </c>
      <c r="T39" s="425" t="str">
        <f t="shared" si="7"/>
        <v>--</v>
      </c>
      <c r="U39" s="288" t="str">
        <f t="shared" si="8"/>
        <v>--</v>
      </c>
      <c r="V39" s="289" t="str">
        <f t="shared" si="9"/>
        <v>--</v>
      </c>
      <c r="W39" s="426" t="str">
        <f t="shared" si="10"/>
        <v>--</v>
      </c>
      <c r="X39" s="755" t="str">
        <f t="shared" si="11"/>
        <v>--</v>
      </c>
      <c r="Y39" s="211">
        <f>IF(F39="","","SI")</f>
      </c>
      <c r="Z39" s="371">
        <f t="shared" si="12"/>
      </c>
      <c r="AA39" s="6"/>
    </row>
    <row r="40" spans="2:27" s="5" customFormat="1" ht="16.5" customHeight="1">
      <c r="B40" s="50"/>
      <c r="C40" s="264"/>
      <c r="D40" s="264"/>
      <c r="E40" s="264"/>
      <c r="F40" s="428"/>
      <c r="G40" s="366"/>
      <c r="H40" s="429"/>
      <c r="I40" s="281">
        <f t="shared" si="0"/>
        <v>0</v>
      </c>
      <c r="J40" s="368"/>
      <c r="K40" s="179"/>
      <c r="L40" s="369">
        <f t="shared" si="1"/>
      </c>
      <c r="M40" s="370">
        <f t="shared" si="2"/>
      </c>
      <c r="N40" s="210"/>
      <c r="O40" s="470">
        <f>IF(F40="","","--")</f>
      </c>
      <c r="P40" s="211">
        <f t="shared" si="3"/>
      </c>
      <c r="Q40" s="758">
        <f t="shared" si="4"/>
        <v>20</v>
      </c>
      <c r="R40" s="759" t="str">
        <f t="shared" si="5"/>
        <v>--</v>
      </c>
      <c r="S40" s="424" t="str">
        <f t="shared" si="6"/>
        <v>--</v>
      </c>
      <c r="T40" s="425" t="str">
        <f t="shared" si="7"/>
        <v>--</v>
      </c>
      <c r="U40" s="288" t="str">
        <f t="shared" si="8"/>
        <v>--</v>
      </c>
      <c r="V40" s="289" t="str">
        <f t="shared" si="9"/>
        <v>--</v>
      </c>
      <c r="W40" s="426" t="str">
        <f t="shared" si="10"/>
        <v>--</v>
      </c>
      <c r="X40" s="755" t="str">
        <f t="shared" si="11"/>
        <v>--</v>
      </c>
      <c r="Y40" s="211">
        <f>IF(F40="","","SI")</f>
      </c>
      <c r="Z40" s="371">
        <f t="shared" si="12"/>
      </c>
      <c r="AA40" s="6"/>
    </row>
    <row r="41" spans="2:27" s="5" customFormat="1" ht="16.5" customHeight="1" thickBot="1">
      <c r="B41" s="50"/>
      <c r="C41" s="431"/>
      <c r="D41" s="431"/>
      <c r="E41" s="431"/>
      <c r="F41" s="431"/>
      <c r="G41" s="431"/>
      <c r="H41" s="431"/>
      <c r="I41" s="129"/>
      <c r="J41" s="372"/>
      <c r="K41" s="372"/>
      <c r="L41" s="373"/>
      <c r="M41" s="373"/>
      <c r="N41" s="372"/>
      <c r="O41" s="183"/>
      <c r="P41" s="148"/>
      <c r="Q41" s="432"/>
      <c r="R41" s="433"/>
      <c r="S41" s="434"/>
      <c r="T41" s="435"/>
      <c r="U41" s="306"/>
      <c r="V41" s="307"/>
      <c r="W41" s="436"/>
      <c r="X41" s="436"/>
      <c r="Y41" s="148"/>
      <c r="Z41" s="437"/>
      <c r="AA41" s="6"/>
    </row>
    <row r="42" spans="2:27" s="5" customFormat="1" ht="16.5" customHeight="1" thickBot="1" thickTop="1">
      <c r="B42" s="50"/>
      <c r="C42" s="125" t="s">
        <v>23</v>
      </c>
      <c r="D42" s="977" t="s">
        <v>230</v>
      </c>
      <c r="E42" s="125"/>
      <c r="F42" s="126"/>
      <c r="I42" s="4"/>
      <c r="J42" s="4"/>
      <c r="K42" s="4"/>
      <c r="L42" s="4"/>
      <c r="M42" s="4"/>
      <c r="N42" s="4"/>
      <c r="O42" s="4"/>
      <c r="P42" s="4"/>
      <c r="Q42" s="4"/>
      <c r="R42" s="438">
        <f aca="true" t="shared" si="13" ref="R42:X42">SUM(R20:R41)</f>
        <v>71544.4587</v>
      </c>
      <c r="S42" s="439">
        <f t="shared" si="13"/>
        <v>0</v>
      </c>
      <c r="T42" s="440">
        <f t="shared" si="13"/>
        <v>0</v>
      </c>
      <c r="U42" s="316">
        <f t="shared" si="13"/>
        <v>0</v>
      </c>
      <c r="V42" s="317">
        <f t="shared" si="13"/>
        <v>0</v>
      </c>
      <c r="W42" s="441">
        <f t="shared" si="13"/>
        <v>0</v>
      </c>
      <c r="X42" s="441">
        <f t="shared" si="13"/>
        <v>0</v>
      </c>
      <c r="Z42" s="98">
        <f>ROUND(SUM(Z20:Z41),2)</f>
        <v>71544.46</v>
      </c>
      <c r="AA42" s="442"/>
    </row>
    <row r="43" spans="2:27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</row>
    <row r="44" spans="6:29" ht="16.5" customHeight="1" thickTop="1">
      <c r="F44" s="170"/>
      <c r="G44" s="170"/>
      <c r="H44" s="170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</row>
    <row r="45" spans="6:29" ht="16.5" customHeight="1">
      <c r="F45" s="170"/>
      <c r="G45" s="170"/>
      <c r="H45" s="170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6:29" ht="16.5" customHeight="1">
      <c r="F46" s="170"/>
      <c r="G46" s="170"/>
      <c r="H46" s="170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6:29" ht="16.5" customHeight="1">
      <c r="F47" s="170"/>
      <c r="G47" s="170"/>
      <c r="H47" s="170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6:29" ht="16.5" customHeight="1">
      <c r="F48" s="170"/>
      <c r="G48" s="170"/>
      <c r="H48" s="170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6:29" ht="16.5" customHeight="1">
      <c r="F49" s="170"/>
      <c r="G49" s="170"/>
      <c r="H49" s="170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6:29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6:29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6:29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6:29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6:29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6:29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</row>
    <row r="56" spans="6:29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</row>
    <row r="57" spans="6:29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</row>
    <row r="58" spans="6:29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</row>
    <row r="59" spans="6:29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</row>
    <row r="60" spans="6:29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6:29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6:29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</row>
    <row r="63" spans="6:29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</row>
    <row r="64" spans="6:29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</row>
    <row r="65" spans="6:29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6:29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6:29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</row>
    <row r="68" spans="6:29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</row>
    <row r="69" spans="6:29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</row>
    <row r="70" spans="6:29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6:29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6:29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6:29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6:29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6:29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6:29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6:29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6:29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6:29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6:29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6:29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6:29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6:29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</row>
    <row r="84" spans="6:29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6:29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6:29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6:29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6:29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6:29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6:29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6:29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6:29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</row>
    <row r="93" spans="6:29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</row>
    <row r="94" spans="6:29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</row>
    <row r="95" spans="6:29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</row>
    <row r="96" spans="6:29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</row>
    <row r="97" spans="6:29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</row>
    <row r="98" spans="6:29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</row>
    <row r="99" spans="6:29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</row>
    <row r="100" spans="6:29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</row>
    <row r="101" spans="6:29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</row>
    <row r="102" spans="6:29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</row>
    <row r="103" spans="6:29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</row>
    <row r="104" spans="6:29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</row>
    <row r="105" spans="6:29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</row>
    <row r="106" spans="6:29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</row>
    <row r="107" spans="6:29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</row>
    <row r="108" spans="6:29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</row>
    <row r="109" spans="6:29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</row>
    <row r="110" spans="6:29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</row>
    <row r="111" spans="6:29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</row>
    <row r="112" spans="6:29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</row>
    <row r="113" spans="6:29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</row>
    <row r="114" spans="6:29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</row>
    <row r="115" spans="6:29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</row>
    <row r="116" spans="6:29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</row>
    <row r="117" spans="6:29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</row>
    <row r="118" spans="6:29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</row>
    <row r="119" spans="6:29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</row>
    <row r="120" spans="6:29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</row>
    <row r="121" spans="6:29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6:29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</row>
    <row r="123" spans="6:29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</row>
    <row r="124" spans="6:29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</row>
    <row r="125" spans="6:29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</row>
    <row r="126" spans="6:29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</row>
    <row r="127" spans="6:29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</row>
    <row r="128" spans="6:29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</row>
    <row r="129" spans="6:29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</row>
    <row r="130" spans="6:29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</row>
    <row r="131" spans="6:29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</row>
    <row r="132" spans="6:29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</row>
    <row r="133" spans="6:29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</row>
    <row r="134" spans="6:29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</row>
    <row r="135" spans="6:29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</row>
    <row r="136" spans="6:29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6:29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6:29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</row>
    <row r="139" spans="6:29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6:29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6:29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6:29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</row>
    <row r="143" spans="6:29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6:29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6:29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</row>
    <row r="146" spans="6:29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6:29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</row>
    <row r="148" spans="6:29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</row>
    <row r="149" spans="6:29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</row>
    <row r="150" spans="6:29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</row>
    <row r="151" spans="6:29" ht="16.5" customHeight="1">
      <c r="F151" s="169"/>
      <c r="G151" s="169"/>
      <c r="H151" s="169"/>
      <c r="AB151" s="169"/>
      <c r="AC151" s="169"/>
    </row>
    <row r="152" spans="6:8" ht="16.5" customHeight="1">
      <c r="F152" s="169"/>
      <c r="G152" s="169"/>
      <c r="H152" s="169"/>
    </row>
    <row r="153" spans="6:8" ht="16.5" customHeight="1">
      <c r="F153" s="169"/>
      <c r="G153" s="169"/>
      <c r="H153" s="169"/>
    </row>
    <row r="154" spans="6:8" ht="16.5" customHeight="1">
      <c r="F154" s="169"/>
      <c r="G154" s="169"/>
      <c r="H154" s="169"/>
    </row>
    <row r="155" spans="6:8" ht="16.5" customHeight="1">
      <c r="F155" s="169"/>
      <c r="G155" s="169"/>
      <c r="H155" s="169"/>
    </row>
    <row r="156" spans="6:8" ht="16.5" customHeight="1">
      <c r="F156" s="169"/>
      <c r="G156" s="169"/>
      <c r="H156" s="169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"/>
  <dimension ref="A1:AG79"/>
  <sheetViews>
    <sheetView zoomScale="50" zoomScaleNormal="50" workbookViewId="0" topLeftCell="A1">
      <selection activeCell="A22" sqref="A22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6.14062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7109375" style="0" hidden="1" customWidth="1"/>
    <col min="23" max="27" width="8.421875" style="0" hidden="1" customWidth="1"/>
    <col min="28" max="28" width="9.7109375" style="0" customWidth="1"/>
    <col min="29" max="29" width="17.281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1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55" customFormat="1" ht="30.75">
      <c r="A3" s="452"/>
      <c r="B3" s="453" t="str">
        <f>'TOT-0809'!B2</f>
        <v>ANEXO III al Memorándum D.T.E.E. N°   256 /2011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AB3" s="454"/>
      <c r="AC3" s="454"/>
      <c r="AD3" s="454"/>
    </row>
    <row r="4" spans="1:2" s="25" customFormat="1" ht="11.25">
      <c r="A4" s="578" t="s">
        <v>1</v>
      </c>
      <c r="B4" s="578"/>
    </row>
    <row r="5" spans="1:2" s="25" customFormat="1" ht="12" thickBot="1">
      <c r="A5" s="578" t="s">
        <v>301</v>
      </c>
      <c r="B5" s="577"/>
    </row>
    <row r="6" spans="1:30" ht="16.5" customHeight="1" thickTop="1">
      <c r="A6" s="5"/>
      <c r="B6" s="69"/>
      <c r="C6" s="70"/>
      <c r="D6" s="70"/>
      <c r="E6" s="18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63"/>
      <c r="X6" s="763"/>
      <c r="Y6" s="763"/>
      <c r="Z6" s="763"/>
      <c r="AA6" s="763"/>
      <c r="AB6" s="763"/>
      <c r="AC6" s="763"/>
      <c r="AD6" s="92"/>
    </row>
    <row r="7" spans="1:30" ht="20.25">
      <c r="A7" s="5"/>
      <c r="B7" s="50"/>
      <c r="C7" s="4"/>
      <c r="D7" s="168" t="s">
        <v>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8" t="s">
        <v>79</v>
      </c>
      <c r="E9" s="43"/>
      <c r="F9" s="43"/>
      <c r="G9" s="43"/>
      <c r="H9" s="43"/>
      <c r="N9" s="43"/>
      <c r="O9" s="43"/>
      <c r="P9" s="189"/>
      <c r="Q9" s="189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0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8" t="s">
        <v>252</v>
      </c>
      <c r="E11" s="43"/>
      <c r="F11" s="43"/>
      <c r="G11" s="43"/>
      <c r="H11" s="43"/>
      <c r="N11" s="43"/>
      <c r="O11" s="43"/>
      <c r="P11" s="189"/>
      <c r="Q11" s="189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0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'TOT-0809'!B14</f>
        <v>Desde el 01 al 31 de agosto de 2009</v>
      </c>
      <c r="C13" s="38"/>
      <c r="D13" s="40"/>
      <c r="E13" s="40"/>
      <c r="F13" s="40"/>
      <c r="G13" s="40"/>
      <c r="H13" s="40"/>
      <c r="I13" s="41"/>
      <c r="J13" s="16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/>
      <c r="X13" s="849"/>
      <c r="Y13" s="849"/>
      <c r="Z13" s="849"/>
      <c r="AA13" s="849"/>
      <c r="AB13" s="124"/>
      <c r="AC13" s="16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56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6" t="s">
        <v>80</v>
      </c>
      <c r="D17" s="54" t="s">
        <v>81</v>
      </c>
      <c r="E17" s="66"/>
      <c r="F17" s="66"/>
      <c r="G17" s="4"/>
      <c r="H17" s="4"/>
      <c r="I17" s="4"/>
      <c r="J17" s="456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57"/>
      <c r="C18" s="33"/>
      <c r="D18" s="458"/>
      <c r="E18" s="459"/>
      <c r="F18" s="460"/>
      <c r="G18" s="33"/>
      <c r="H18" s="33"/>
      <c r="I18" s="33"/>
      <c r="J18" s="461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62"/>
    </row>
    <row r="19" spans="2:30" s="32" customFormat="1" ht="16.5" customHeight="1">
      <c r="B19" s="457"/>
      <c r="C19" s="33"/>
      <c r="D19" s="850" t="s">
        <v>246</v>
      </c>
      <c r="F19" s="463">
        <v>117.179</v>
      </c>
      <c r="G19" s="850" t="s">
        <v>247</v>
      </c>
      <c r="H19" s="33"/>
      <c r="I19" s="33"/>
      <c r="J19" s="464"/>
      <c r="K19" s="465" t="s">
        <v>38</v>
      </c>
      <c r="L19" s="466">
        <v>0.04</v>
      </c>
      <c r="R19" s="33"/>
      <c r="S19" s="33"/>
      <c r="T19" s="33"/>
      <c r="U19" s="33"/>
      <c r="V19" s="33"/>
      <c r="W19"/>
      <c r="AD19" s="462"/>
    </row>
    <row r="20" spans="2:30" s="32" customFormat="1" ht="16.5" customHeight="1">
      <c r="B20" s="457"/>
      <c r="C20" s="33"/>
      <c r="D20" s="850" t="s">
        <v>248</v>
      </c>
      <c r="F20" s="463">
        <v>0.319</v>
      </c>
      <c r="G20" s="850" t="s">
        <v>91</v>
      </c>
      <c r="H20" s="33"/>
      <c r="I20" s="33"/>
      <c r="J20" s="33"/>
      <c r="K20" s="458" t="s">
        <v>36</v>
      </c>
      <c r="L20" s="33">
        <f>MID(B13,16,2)*24</f>
        <v>744</v>
      </c>
      <c r="M20" s="33" t="s">
        <v>37</v>
      </c>
      <c r="N20" s="33"/>
      <c r="O20" s="33"/>
      <c r="P20" s="579"/>
      <c r="Q20" s="33"/>
      <c r="R20" s="33"/>
      <c r="S20" s="33"/>
      <c r="T20" s="33"/>
      <c r="U20" s="33"/>
      <c r="V20" s="33"/>
      <c r="W20"/>
      <c r="AD20" s="462"/>
    </row>
    <row r="21" spans="2:30" s="32" customFormat="1" ht="16.5" customHeight="1">
      <c r="B21" s="457"/>
      <c r="C21" s="33"/>
      <c r="D21" s="850" t="s">
        <v>253</v>
      </c>
      <c r="F21" s="463">
        <v>51.126</v>
      </c>
      <c r="G21" s="850" t="s">
        <v>254</v>
      </c>
      <c r="H21" s="33"/>
      <c r="I21" s="33"/>
      <c r="J21" s="33"/>
      <c r="K21" s="194"/>
      <c r="L21" s="195"/>
      <c r="M21" s="33"/>
      <c r="N21" s="33"/>
      <c r="O21" s="33"/>
      <c r="P21" s="579"/>
      <c r="Q21" s="33"/>
      <c r="R21" s="33"/>
      <c r="S21" s="33"/>
      <c r="T21" s="33"/>
      <c r="U21" s="33"/>
      <c r="V21" s="33"/>
      <c r="W21"/>
      <c r="AD21" s="462"/>
    </row>
    <row r="22" spans="2:30" s="32" customFormat="1" ht="16.5" customHeight="1">
      <c r="B22" s="457"/>
      <c r="C22" s="33"/>
      <c r="D22" s="850" t="s">
        <v>255</v>
      </c>
      <c r="F22" s="463">
        <v>63.904</v>
      </c>
      <c r="G22" s="850" t="s">
        <v>254</v>
      </c>
      <c r="H22" s="33"/>
      <c r="I22" s="33"/>
      <c r="J22" s="33"/>
      <c r="K22" s="194"/>
      <c r="L22" s="195"/>
      <c r="M22" s="33"/>
      <c r="N22" s="33"/>
      <c r="O22" s="33"/>
      <c r="P22" s="579"/>
      <c r="Q22" s="33"/>
      <c r="R22" s="33"/>
      <c r="S22" s="33"/>
      <c r="T22" s="33"/>
      <c r="U22" s="33"/>
      <c r="V22" s="33"/>
      <c r="W22"/>
      <c r="AD22" s="462"/>
    </row>
    <row r="23" spans="2:30" s="32" customFormat="1" ht="16.5" customHeight="1">
      <c r="B23" s="457"/>
      <c r="C23" s="33"/>
      <c r="D23" s="33"/>
      <c r="E23" s="46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62"/>
    </row>
    <row r="24" spans="1:30" ht="16.5" customHeight="1">
      <c r="A24" s="5"/>
      <c r="B24" s="50"/>
      <c r="C24" s="156" t="s">
        <v>82</v>
      </c>
      <c r="D24" s="3" t="s">
        <v>113</v>
      </c>
      <c r="E24" s="19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AD24" s="17"/>
    </row>
    <row r="25" spans="1:30" ht="21.75" customHeight="1" thickBot="1">
      <c r="A25" s="5"/>
      <c r="B25" s="50"/>
      <c r="C25" s="4"/>
      <c r="D25" s="4"/>
      <c r="E25" s="19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D25" s="17"/>
    </row>
    <row r="26" spans="2:31" s="5" customFormat="1" ht="33.75" customHeight="1" thickBot="1" thickTop="1">
      <c r="B26" s="50"/>
      <c r="C26" s="84" t="s">
        <v>12</v>
      </c>
      <c r="D26" s="780" t="s">
        <v>0</v>
      </c>
      <c r="E26" s="171" t="s">
        <v>13</v>
      </c>
      <c r="F26" s="781" t="s">
        <v>14</v>
      </c>
      <c r="G26" s="197" t="s">
        <v>57</v>
      </c>
      <c r="H26" s="782" t="s">
        <v>35</v>
      </c>
      <c r="I26" s="133" t="s">
        <v>15</v>
      </c>
      <c r="J26" s="85" t="s">
        <v>16</v>
      </c>
      <c r="K26" s="172" t="s">
        <v>17</v>
      </c>
      <c r="L26" s="87" t="s">
        <v>34</v>
      </c>
      <c r="M26" s="86" t="s">
        <v>29</v>
      </c>
      <c r="N26" s="87" t="s">
        <v>249</v>
      </c>
      <c r="O26" s="87" t="s">
        <v>44</v>
      </c>
      <c r="P26" s="172" t="s">
        <v>45</v>
      </c>
      <c r="Q26" s="85" t="s">
        <v>30</v>
      </c>
      <c r="R26" s="853" t="s">
        <v>19</v>
      </c>
      <c r="S26" s="854" t="s">
        <v>20</v>
      </c>
      <c r="T26" s="855" t="s">
        <v>240</v>
      </c>
      <c r="U26" s="856"/>
      <c r="V26" s="857"/>
      <c r="W26" s="858" t="s">
        <v>250</v>
      </c>
      <c r="X26" s="859"/>
      <c r="Y26" s="860"/>
      <c r="Z26" s="861" t="s">
        <v>21</v>
      </c>
      <c r="AA26" s="862" t="s">
        <v>231</v>
      </c>
      <c r="AB26" s="863" t="s">
        <v>59</v>
      </c>
      <c r="AC26" s="119" t="s">
        <v>22</v>
      </c>
      <c r="AD26" s="203"/>
      <c r="AE26"/>
    </row>
    <row r="27" spans="1:30" ht="16.5" customHeight="1" thickTop="1">
      <c r="A27" s="5"/>
      <c r="B27" s="50"/>
      <c r="C27" s="7"/>
      <c r="D27" s="864"/>
      <c r="E27" s="865"/>
      <c r="F27" s="866"/>
      <c r="G27" s="867"/>
      <c r="H27" s="868"/>
      <c r="I27" s="869"/>
      <c r="J27" s="870"/>
      <c r="K27" s="871"/>
      <c r="L27" s="7"/>
      <c r="M27" s="7"/>
      <c r="N27" s="766"/>
      <c r="O27" s="766"/>
      <c r="P27" s="7"/>
      <c r="Q27" s="765"/>
      <c r="R27" s="872"/>
      <c r="S27" s="873"/>
      <c r="T27" s="874"/>
      <c r="U27" s="875"/>
      <c r="V27" s="876"/>
      <c r="W27" s="877"/>
      <c r="X27" s="878"/>
      <c r="Y27" s="879"/>
      <c r="Z27" s="880"/>
      <c r="AA27" s="881"/>
      <c r="AB27" s="882"/>
      <c r="AC27" s="883"/>
      <c r="AD27" s="17"/>
    </row>
    <row r="28" spans="1:30" ht="16.5" customHeight="1">
      <c r="A28" s="5"/>
      <c r="B28" s="50"/>
      <c r="C28" s="702" t="s">
        <v>119</v>
      </c>
      <c r="D28" s="7" t="s">
        <v>242</v>
      </c>
      <c r="E28" s="450">
        <v>500</v>
      </c>
      <c r="F28" s="884">
        <v>85</v>
      </c>
      <c r="G28" s="885" t="s">
        <v>143</v>
      </c>
      <c r="H28" s="886">
        <f>IF(G28="A",200,IF(G28="B",60,20))</f>
        <v>20</v>
      </c>
      <c r="I28" s="887">
        <f>IF(F28&gt;100,F28,100)*$F$19/100</f>
        <v>117.179</v>
      </c>
      <c r="J28" s="888">
        <v>40048.32152777778</v>
      </c>
      <c r="K28" s="451">
        <v>40048.70486111111</v>
      </c>
      <c r="L28" s="889">
        <f>IF(D28="","",(K28-J28)*24)</f>
        <v>9.199999999953434</v>
      </c>
      <c r="M28" s="370">
        <f>IF(D28="","",ROUND((K28-J28)*24*60,0))</f>
        <v>552</v>
      </c>
      <c r="N28" s="469" t="s">
        <v>144</v>
      </c>
      <c r="O28" s="470" t="str">
        <f>IF(D28="","","--")</f>
        <v>--</v>
      </c>
      <c r="P28" s="211" t="str">
        <f>IF(D28="","","NO")</f>
        <v>NO</v>
      </c>
      <c r="Q28" s="211" t="str">
        <f>IF(D28="","",IF(OR(N28="P",N28="RP"),"--","NO"))</f>
        <v>--</v>
      </c>
      <c r="R28" s="890">
        <f>IF(N28="P",+I28*H28*ROUND(M28/60,2)/100,"--")</f>
        <v>215.60935999999998</v>
      </c>
      <c r="S28" s="891" t="str">
        <f>IF(N28="RP",I28*H28*ROUND(M28/60,2)*0.01*O28/100,"--")</f>
        <v>--</v>
      </c>
      <c r="T28" s="892" t="str">
        <f>IF(AND(N28="F",Q28="NO"),IF(P28="SI",1.2,1)*I28*H28,"--")</f>
        <v>--</v>
      </c>
      <c r="U28" s="893" t="str">
        <f>IF(AND(M28&gt;10,N28="F"),IF(M28&lt;=300,ROUND(M28/60,2),5)*I28*H28*IF(P28="SI",1.2,1),"--")</f>
        <v>--</v>
      </c>
      <c r="V28" s="894" t="str">
        <f>IF(AND(N28="F",M28&gt;300),IF(P28="SI",1.2,1)*(ROUND(M28/60,2)-5)*I28*H28*0.1,"--")</f>
        <v>--</v>
      </c>
      <c r="W28" s="895" t="str">
        <f>IF(AND(N28="R",Q28="NO"),IF(P28="SI",1.2,1)*I28*H28*O28/100,"--")</f>
        <v>--</v>
      </c>
      <c r="X28" s="896" t="str">
        <f>IF(AND(M28&gt;10,N28="R"),IF(M28&lt;=300,ROUND(M28/60,2),5)*I28*H28*O28/100*IF(P28="SI",1.2,1),"--")</f>
        <v>--</v>
      </c>
      <c r="Y28" s="897" t="str">
        <f>IF(AND(N28="R",M28&gt;300),IF(P28="SI",1.2,1)*(ROUND(M28/60,2)-5)*I28*H28*O28/100*0.1,"--")</f>
        <v>--</v>
      </c>
      <c r="Z28" s="898" t="str">
        <f>IF(N28="RF",IF(P28="SI",1.2,1)*ROUND(M28/60,2)*I28*H28*0.1,"--")</f>
        <v>--</v>
      </c>
      <c r="AA28" s="899" t="str">
        <f>IF(N28="RR",IF(P28="SI",1.2,1)*ROUND(M28/60,2)*I28*H28*O28/100*0.1,"--")</f>
        <v>--</v>
      </c>
      <c r="AB28" s="900" t="s">
        <v>128</v>
      </c>
      <c r="AC28" s="16">
        <f>IF(D28="","",SUM(R28:AA28)*IF(AB28="SI",1,2))</f>
        <v>215.60935999999998</v>
      </c>
      <c r="AD28" s="17"/>
    </row>
    <row r="29" spans="1:30" ht="16.5" customHeight="1">
      <c r="A29" s="5"/>
      <c r="B29" s="50"/>
      <c r="C29" s="702" t="s">
        <v>120</v>
      </c>
      <c r="D29" s="7"/>
      <c r="E29" s="450"/>
      <c r="F29" s="884"/>
      <c r="G29" s="885"/>
      <c r="H29" s="886">
        <f>IF(G29="A",200,IF(G29="B",60,20))</f>
        <v>20</v>
      </c>
      <c r="I29" s="887">
        <f>IF(F29&gt;100,F29,100)*$F$19/100</f>
        <v>117.179</v>
      </c>
      <c r="J29" s="888"/>
      <c r="K29" s="451"/>
      <c r="L29" s="889">
        <f>IF(D29="","",(K29-J29)*24)</f>
      </c>
      <c r="M29" s="370">
        <f>IF(D29="","",ROUND((K29-J29)*24*60,0))</f>
      </c>
      <c r="N29" s="469"/>
      <c r="O29" s="470">
        <f>IF(D29="","","--")</f>
      </c>
      <c r="P29" s="211">
        <f>IF(D29="","","NO")</f>
      </c>
      <c r="Q29" s="211">
        <f>IF(D29="","",IF(OR(N29="P",N29="RP"),"--","NO"))</f>
      </c>
      <c r="R29" s="890" t="str">
        <f>IF(N29="P",+I29*H29*ROUND(M29/60,2)/100,"--")</f>
        <v>--</v>
      </c>
      <c r="S29" s="891" t="str">
        <f>IF(N29="RP",I29*H29*ROUND(M29/60,2)*0.01*O29/100,"--")</f>
        <v>--</v>
      </c>
      <c r="T29" s="892" t="str">
        <f>IF(AND(N29="F",Q29="NO"),IF(P29="SI",1.2,1)*I29*H29,"--")</f>
        <v>--</v>
      </c>
      <c r="U29" s="893" t="str">
        <f>IF(AND(M29&gt;10,N29="F"),IF(M29&lt;=300,ROUND(M29/60,2),5)*I29*H29*IF(P29="SI",1.2,1),"--")</f>
        <v>--</v>
      </c>
      <c r="V29" s="894" t="str">
        <f>IF(AND(N29="F",M29&gt;300),IF(P29="SI",1.2,1)*(ROUND(M29/60,2)-5)*I29*H29*0.1,"--")</f>
        <v>--</v>
      </c>
      <c r="W29" s="895" t="str">
        <f>IF(AND(N29="R",Q29="NO"),IF(P29="SI",1.2,1)*I29*H29*O29/100,"--")</f>
        <v>--</v>
      </c>
      <c r="X29" s="896" t="str">
        <f>IF(AND(M29&gt;10,N29="R"),IF(M29&lt;=300,ROUND(M29/60,2),5)*I29*H29*O29/100*IF(P29="SI",1.2,1),"--")</f>
        <v>--</v>
      </c>
      <c r="Y29" s="897" t="str">
        <f>IF(AND(N29="R",M29&gt;300),IF(P29="SI",1.2,1)*(ROUND(M29/60,2)-5)*I29*H29*O29/100*0.1,"--")</f>
        <v>--</v>
      </c>
      <c r="Z29" s="898" t="str">
        <f>IF(N29="RF",IF(P29="SI",1.2,1)*ROUND(M29/60,2)*I29*H29*0.1,"--")</f>
        <v>--</v>
      </c>
      <c r="AA29" s="899" t="str">
        <f>IF(N29="RR",IF(P29="SI",1.2,1)*ROUND(M29/60,2)*I29*H29*O29/100*0.1,"--")</f>
        <v>--</v>
      </c>
      <c r="AB29" s="900">
        <f>IF(D29="","","SI")</f>
      </c>
      <c r="AC29" s="16">
        <f>IF(D29="","",SUM(R29:AA29)*IF(AB29="SI",1,2))</f>
      </c>
      <c r="AD29" s="17"/>
    </row>
    <row r="30" spans="1:30" ht="16.5" customHeight="1">
      <c r="A30" s="5"/>
      <c r="B30" s="50"/>
      <c r="C30" s="702" t="s">
        <v>121</v>
      </c>
      <c r="D30" s="7"/>
      <c r="E30" s="450"/>
      <c r="F30" s="884"/>
      <c r="G30" s="885"/>
      <c r="H30" s="886">
        <f>IF(G30="A",200,IF(G30="B",60,20))</f>
        <v>20</v>
      </c>
      <c r="I30" s="887">
        <f>IF(F30&gt;100,F30,100)*$F$19/100</f>
        <v>117.179</v>
      </c>
      <c r="J30" s="888"/>
      <c r="K30" s="451"/>
      <c r="L30" s="889">
        <f>IF(D30="","",(K30-J30)*24)</f>
      </c>
      <c r="M30" s="370">
        <f>IF(D30="","",ROUND((K30-J30)*24*60,0))</f>
      </c>
      <c r="N30" s="469"/>
      <c r="O30" s="470">
        <f>IF(D30="","","--")</f>
      </c>
      <c r="P30" s="211">
        <f>IF(D30="","","NO")</f>
      </c>
      <c r="Q30" s="211">
        <f>IF(D30="","",IF(OR(N30="P",N30="RP"),"--","NO"))</f>
      </c>
      <c r="R30" s="890" t="str">
        <f>IF(N30="P",+I30*H30*ROUND(M30/60,2)/100,"--")</f>
        <v>--</v>
      </c>
      <c r="S30" s="891" t="str">
        <f>IF(N30="RP",I30*H30*ROUND(M30/60,2)*0.01*O30/100,"--")</f>
        <v>--</v>
      </c>
      <c r="T30" s="892" t="str">
        <f>IF(AND(N30="F",Q30="NO"),IF(P30="SI",1.2,1)*I30*H30,"--")</f>
        <v>--</v>
      </c>
      <c r="U30" s="893" t="str">
        <f>IF(AND(M30&gt;10,N30="F"),IF(M30&lt;=300,ROUND(M30/60,2),5)*I30*H30*IF(P30="SI",1.2,1),"--")</f>
        <v>--</v>
      </c>
      <c r="V30" s="894" t="str">
        <f>IF(AND(N30="F",M30&gt;300),IF(P30="SI",1.2,1)*(ROUND(M30/60,2)-5)*I30*H30*0.1,"--")</f>
        <v>--</v>
      </c>
      <c r="W30" s="895" t="str">
        <f>IF(AND(N30="R",Q30="NO"),IF(P30="SI",1.2,1)*I30*H30*O30/100,"--")</f>
        <v>--</v>
      </c>
      <c r="X30" s="896" t="str">
        <f>IF(AND(M30&gt;10,N30="R"),IF(M30&lt;=300,ROUND(M30/60,2),5)*I30*H30*O30/100*IF(P30="SI",1.2,1),"--")</f>
        <v>--</v>
      </c>
      <c r="Y30" s="897" t="str">
        <f>IF(AND(N30="R",M30&gt;300),IF(P30="SI",1.2,1)*(ROUND(M30/60,2)-5)*I30*H30*O30/100*0.1,"--")</f>
        <v>--</v>
      </c>
      <c r="Z30" s="898" t="str">
        <f>IF(N30="RF",IF(P30="SI",1.2,1)*ROUND(M30/60,2)*I30*H30*0.1,"--")</f>
        <v>--</v>
      </c>
      <c r="AA30" s="899" t="str">
        <f>IF(N30="RR",IF(P30="SI",1.2,1)*ROUND(M30/60,2)*I30*H30*O30/100*0.1,"--")</f>
        <v>--</v>
      </c>
      <c r="AB30" s="900">
        <f>IF(D30="","","SI")</f>
      </c>
      <c r="AC30" s="16">
        <f>IF(D30="","",SUM(R30:AA30)*IF(AB30="SI",1,2))</f>
      </c>
      <c r="AD30" s="17"/>
    </row>
    <row r="31" spans="1:30" ht="16.5" customHeight="1">
      <c r="A31" s="5"/>
      <c r="B31" s="50"/>
      <c r="C31" s="702" t="s">
        <v>256</v>
      </c>
      <c r="D31" s="7"/>
      <c r="E31" s="450"/>
      <c r="F31" s="884"/>
      <c r="G31" s="885"/>
      <c r="H31" s="886">
        <f>IF(G31="A",200,IF(G31="B",60,20))</f>
        <v>20</v>
      </c>
      <c r="I31" s="887">
        <f>IF(F31&gt;100,F31,100)*$F$19/100</f>
        <v>117.179</v>
      </c>
      <c r="J31" s="888"/>
      <c r="K31" s="451"/>
      <c r="L31" s="889">
        <f>IF(D31="","",(K31-J31)*24)</f>
      </c>
      <c r="M31" s="370">
        <f>IF(D31="","",ROUND((K31-J31)*24*60,0))</f>
      </c>
      <c r="N31" s="469"/>
      <c r="O31" s="470">
        <f>IF(D31="","","--")</f>
      </c>
      <c r="P31" s="211">
        <f>IF(D31="","","NO")</f>
      </c>
      <c r="Q31" s="211">
        <f>IF(D31="","",IF(OR(N31="P",N31="RP"),"--","NO"))</f>
      </c>
      <c r="R31" s="890" t="str">
        <f>IF(N31="P",+I31*H31*ROUND(M31/60,2)/100,"--")</f>
        <v>--</v>
      </c>
      <c r="S31" s="891" t="str">
        <f>IF(N31="RP",I31*H31*ROUND(M31/60,2)*0.01*O31/100,"--")</f>
        <v>--</v>
      </c>
      <c r="T31" s="892" t="str">
        <f>IF(AND(N31="F",Q31="NO"),IF(P31="SI",1.2,1)*I31*H31,"--")</f>
        <v>--</v>
      </c>
      <c r="U31" s="893" t="str">
        <f>IF(AND(M31&gt;10,N31="F"),IF(M31&lt;=300,ROUND(M31/60,2),5)*I31*H31*IF(P31="SI",1.2,1),"--")</f>
        <v>--</v>
      </c>
      <c r="V31" s="894" t="str">
        <f>IF(AND(N31="F",M31&gt;300),IF(P31="SI",1.2,1)*(ROUND(M31/60,2)-5)*I31*H31*0.1,"--")</f>
        <v>--</v>
      </c>
      <c r="W31" s="895" t="str">
        <f>IF(AND(N31="R",Q31="NO"),IF(P31="SI",1.2,1)*I31*H31*O31/100,"--")</f>
        <v>--</v>
      </c>
      <c r="X31" s="896" t="str">
        <f>IF(AND(M31&gt;10,N31="R"),IF(M31&lt;=300,ROUND(M31/60,2),5)*I31*H31*O31/100*IF(P31="SI",1.2,1),"--")</f>
        <v>--</v>
      </c>
      <c r="Y31" s="897" t="str">
        <f>IF(AND(N31="R",M31&gt;300),IF(P31="SI",1.2,1)*(ROUND(M31/60,2)-5)*I31*H31*O31/100*0.1,"--")</f>
        <v>--</v>
      </c>
      <c r="Z31" s="898" t="str">
        <f>IF(N31="RF",IF(P31="SI",1.2,1)*ROUND(M31/60,2)*I31*H31*0.1,"--")</f>
        <v>--</v>
      </c>
      <c r="AA31" s="899" t="str">
        <f>IF(N31="RR",IF(P31="SI",1.2,1)*ROUND(M31/60,2)*I31*H31*O31/100*0.1,"--")</f>
        <v>--</v>
      </c>
      <c r="AB31" s="900">
        <f>IF(D31="","","SI")</f>
      </c>
      <c r="AC31" s="16">
        <f>IF(D31="","",SUM(R31:AA31)*IF(AB31="SI",1,2))</f>
      </c>
      <c r="AD31" s="217"/>
    </row>
    <row r="32" spans="1:30" ht="16.5" customHeight="1" thickBot="1">
      <c r="A32" s="32"/>
      <c r="B32" s="50"/>
      <c r="C32" s="500"/>
      <c r="D32" s="901"/>
      <c r="E32" s="902"/>
      <c r="F32" s="903"/>
      <c r="G32" s="904"/>
      <c r="H32" s="905"/>
      <c r="I32" s="906"/>
      <c r="J32" s="907"/>
      <c r="K32" s="907"/>
      <c r="L32" s="9"/>
      <c r="M32" s="9"/>
      <c r="N32" s="9"/>
      <c r="O32" s="908"/>
      <c r="P32" s="9"/>
      <c r="Q32" s="9"/>
      <c r="R32" s="909"/>
      <c r="S32" s="910"/>
      <c r="T32" s="911"/>
      <c r="U32" s="912"/>
      <c r="V32" s="913"/>
      <c r="W32" s="914"/>
      <c r="X32" s="915"/>
      <c r="Y32" s="916"/>
      <c r="Z32" s="917"/>
      <c r="AA32" s="918"/>
      <c r="AB32" s="919"/>
      <c r="AC32" s="920"/>
      <c r="AD32" s="217"/>
    </row>
    <row r="33" spans="1:30" ht="16.5" customHeight="1" thickBot="1" thickTop="1">
      <c r="A33" s="32"/>
      <c r="B33" s="50"/>
      <c r="C33" s="460"/>
      <c r="D33" s="460"/>
      <c r="E33" s="471"/>
      <c r="F33" s="467"/>
      <c r="G33" s="472"/>
      <c r="H33" s="472"/>
      <c r="I33" s="473"/>
      <c r="J33" s="473"/>
      <c r="K33" s="473"/>
      <c r="L33" s="473"/>
      <c r="M33" s="473"/>
      <c r="N33" s="473"/>
      <c r="O33" s="474"/>
      <c r="P33" s="473"/>
      <c r="Q33" s="473"/>
      <c r="R33" s="921">
        <f aca="true" t="shared" si="0" ref="R33:AA33">SUM(R27:R32)</f>
        <v>215.60935999999998</v>
      </c>
      <c r="S33" s="922">
        <f t="shared" si="0"/>
        <v>0</v>
      </c>
      <c r="T33" s="923">
        <f t="shared" si="0"/>
        <v>0</v>
      </c>
      <c r="U33" s="923">
        <f t="shared" si="0"/>
        <v>0</v>
      </c>
      <c r="V33" s="923">
        <f t="shared" si="0"/>
        <v>0</v>
      </c>
      <c r="W33" s="924">
        <f t="shared" si="0"/>
        <v>0</v>
      </c>
      <c r="X33" s="924">
        <f t="shared" si="0"/>
        <v>0</v>
      </c>
      <c r="Y33" s="924">
        <f t="shared" si="0"/>
        <v>0</v>
      </c>
      <c r="Z33" s="925">
        <f t="shared" si="0"/>
        <v>0</v>
      </c>
      <c r="AA33" s="926">
        <f t="shared" si="0"/>
        <v>0</v>
      </c>
      <c r="AB33" s="927"/>
      <c r="AC33" s="928">
        <f>SUM(AC27:AC32)</f>
        <v>215.60935999999998</v>
      </c>
      <c r="AD33" s="217"/>
    </row>
    <row r="34" spans="1:30" ht="13.5" customHeight="1" thickBot="1" thickTop="1">
      <c r="A34" s="32"/>
      <c r="B34" s="50"/>
      <c r="C34" s="460"/>
      <c r="D34" s="460"/>
      <c r="E34" s="471"/>
      <c r="F34" s="467"/>
      <c r="G34" s="472"/>
      <c r="H34" s="472"/>
      <c r="I34" s="473"/>
      <c r="J34" s="473"/>
      <c r="K34" s="473"/>
      <c r="L34" s="473"/>
      <c r="M34" s="473"/>
      <c r="N34" s="473"/>
      <c r="O34" s="474"/>
      <c r="P34" s="473"/>
      <c r="Q34" s="473"/>
      <c r="R34" s="929"/>
      <c r="S34" s="930"/>
      <c r="T34" s="931"/>
      <c r="U34" s="931"/>
      <c r="V34" s="931"/>
      <c r="W34" s="929"/>
      <c r="X34" s="929"/>
      <c r="Y34" s="929"/>
      <c r="Z34" s="929"/>
      <c r="AA34" s="929"/>
      <c r="AB34" s="475"/>
      <c r="AC34" s="476"/>
      <c r="AD34" s="217"/>
    </row>
    <row r="35" spans="1:33" s="5" customFormat="1" ht="33.75" customHeight="1" thickBot="1" thickTop="1">
      <c r="A35" s="88"/>
      <c r="B35" s="93"/>
      <c r="C35" s="121" t="s">
        <v>12</v>
      </c>
      <c r="D35" s="117" t="s">
        <v>25</v>
      </c>
      <c r="E35" s="116" t="s">
        <v>26</v>
      </c>
      <c r="F35" s="118" t="s">
        <v>27</v>
      </c>
      <c r="G35" s="119" t="s">
        <v>13</v>
      </c>
      <c r="H35" s="127" t="s">
        <v>15</v>
      </c>
      <c r="I35" s="932"/>
      <c r="J35" s="116" t="s">
        <v>16</v>
      </c>
      <c r="K35" s="116" t="s">
        <v>17</v>
      </c>
      <c r="L35" s="117" t="s">
        <v>28</v>
      </c>
      <c r="M35" s="117" t="s">
        <v>29</v>
      </c>
      <c r="N35" s="87" t="s">
        <v>84</v>
      </c>
      <c r="O35" s="116" t="s">
        <v>30</v>
      </c>
      <c r="P35" s="477" t="s">
        <v>31</v>
      </c>
      <c r="Q35" s="950"/>
      <c r="R35" s="127" t="s">
        <v>32</v>
      </c>
      <c r="S35" s="478" t="s">
        <v>19</v>
      </c>
      <c r="T35" s="479" t="s">
        <v>85</v>
      </c>
      <c r="U35" s="480"/>
      <c r="V35" s="481" t="s">
        <v>21</v>
      </c>
      <c r="W35" s="951"/>
      <c r="X35" s="933"/>
      <c r="Y35" s="933"/>
      <c r="Z35" s="933"/>
      <c r="AA35" s="934"/>
      <c r="AB35" s="130" t="s">
        <v>59</v>
      </c>
      <c r="AC35" s="119" t="s">
        <v>22</v>
      </c>
      <c r="AD35" s="17"/>
      <c r="AF35"/>
      <c r="AG35"/>
    </row>
    <row r="36" spans="1:30" ht="16.5" customHeight="1" thickTop="1">
      <c r="A36" s="5"/>
      <c r="B36" s="50"/>
      <c r="C36" s="7"/>
      <c r="D36" s="10"/>
      <c r="E36" s="10"/>
      <c r="F36" s="10"/>
      <c r="G36" s="482"/>
      <c r="H36" s="483"/>
      <c r="I36" s="935"/>
      <c r="J36" s="10"/>
      <c r="K36" s="10"/>
      <c r="L36" s="10"/>
      <c r="M36" s="10"/>
      <c r="N36" s="10"/>
      <c r="O36" s="484"/>
      <c r="P36" s="1084"/>
      <c r="Q36" s="1085"/>
      <c r="R36" s="131"/>
      <c r="S36" s="485"/>
      <c r="T36" s="486"/>
      <c r="U36" s="487"/>
      <c r="V36" s="488"/>
      <c r="W36" s="952"/>
      <c r="X36" s="936"/>
      <c r="Y36" s="936"/>
      <c r="Z36" s="936"/>
      <c r="AA36" s="937"/>
      <c r="AB36" s="484"/>
      <c r="AC36" s="489"/>
      <c r="AD36" s="17"/>
    </row>
    <row r="37" spans="1:30" ht="16.5" customHeight="1">
      <c r="A37" s="5"/>
      <c r="B37" s="50"/>
      <c r="C37" s="702" t="s">
        <v>119</v>
      </c>
      <c r="D37" s="490"/>
      <c r="E37" s="491"/>
      <c r="F37" s="492"/>
      <c r="G37" s="493"/>
      <c r="H37" s="494">
        <f>F37*$F$20</f>
        <v>0</v>
      </c>
      <c r="I37" s="938"/>
      <c r="J37" s="495"/>
      <c r="K37" s="495"/>
      <c r="L37" s="282">
        <f>IF(D37="","",(K37-J37)*24)</f>
      </c>
      <c r="M37" s="14">
        <f>IF(D37="","",(K37-J37)*24*60)</f>
      </c>
      <c r="N37" s="13"/>
      <c r="O37" s="8">
        <f>IF(D37="","",IF(OR(N37="P",N37="RP"),"--","NO"))</f>
      </c>
      <c r="P37" s="1089">
        <f>IF(D37="","","NO")</f>
      </c>
      <c r="Q37" s="1090"/>
      <c r="R37" s="496">
        <f>200*IF(P37="SI",1,0.1)*IF(N37="P",0.1,1)</f>
        <v>20</v>
      </c>
      <c r="S37" s="497" t="str">
        <f>IF(N37="P",H37*R37*ROUND(M37/60,2),"--")</f>
        <v>--</v>
      </c>
      <c r="T37" s="498" t="str">
        <f>IF(AND(N37="F",O37="NO"),H37*R37,"--")</f>
        <v>--</v>
      </c>
      <c r="U37" s="499" t="str">
        <f>IF(N37="F",H37*R37*ROUND(M37/60,2),"--")</f>
        <v>--</v>
      </c>
      <c r="V37" s="364" t="str">
        <f>IF(N37="RF",H37*R37*ROUND(M37/60,2),"--")</f>
        <v>--</v>
      </c>
      <c r="W37" s="953"/>
      <c r="X37" s="939"/>
      <c r="Y37" s="939"/>
      <c r="Z37" s="939"/>
      <c r="AA37" s="940"/>
      <c r="AB37" s="292">
        <f>IF(D37="","","SI")</f>
      </c>
      <c r="AC37" s="293">
        <f>IF(D37="","",SUM(S37:V37)*IF(AB37="SI",1,2))</f>
      </c>
      <c r="AD37" s="17"/>
    </row>
    <row r="38" spans="1:30" ht="16.5" customHeight="1">
      <c r="A38" s="5"/>
      <c r="B38" s="50"/>
      <c r="C38" s="702" t="s">
        <v>120</v>
      </c>
      <c r="D38" s="490"/>
      <c r="E38" s="491"/>
      <c r="F38" s="492"/>
      <c r="G38" s="493"/>
      <c r="H38" s="494">
        <f>F38*$F$20</f>
        <v>0</v>
      </c>
      <c r="I38" s="938"/>
      <c r="J38" s="495"/>
      <c r="K38" s="495"/>
      <c r="L38" s="282">
        <f>IF(D38="","",(K38-J38)*24)</f>
      </c>
      <c r="M38" s="14">
        <f>IF(D38="","",(K38-J38)*24*60)</f>
      </c>
      <c r="N38" s="13"/>
      <c r="O38" s="8">
        <f>IF(D38="","",IF(OR(N38="P",N38="RP"),"--","NO"))</f>
      </c>
      <c r="P38" s="1089">
        <f>IF(D38="","","NO")</f>
      </c>
      <c r="Q38" s="1090"/>
      <c r="R38" s="496">
        <f>200*IF(P38="SI",1,0.1)*IF(N38="P",0.1,1)</f>
        <v>20</v>
      </c>
      <c r="S38" s="497" t="str">
        <f>IF(N38="P",H38*R38*ROUND(M38/60,2),"--")</f>
        <v>--</v>
      </c>
      <c r="T38" s="498" t="str">
        <f>IF(AND(N38="F",O38="NO"),H38*R38,"--")</f>
        <v>--</v>
      </c>
      <c r="U38" s="499" t="str">
        <f>IF(N38="F",H38*R38*ROUND(M38/60,2),"--")</f>
        <v>--</v>
      </c>
      <c r="V38" s="364" t="str">
        <f>IF(N38="RF",H38*R38*ROUND(M38/60,2),"--")</f>
        <v>--</v>
      </c>
      <c r="W38" s="953"/>
      <c r="X38" s="939"/>
      <c r="Y38" s="939"/>
      <c r="Z38" s="939"/>
      <c r="AA38" s="940"/>
      <c r="AB38" s="292">
        <f>IF(D38="","","SI")</f>
      </c>
      <c r="AC38" s="293">
        <f>IF(D38="","",SUM(S38:V38)*IF(AB38="SI",1,2))</f>
      </c>
      <c r="AD38" s="17"/>
    </row>
    <row r="39" spans="1:30" ht="16.5" customHeight="1">
      <c r="A39" s="5"/>
      <c r="B39" s="50"/>
      <c r="C39" s="702" t="s">
        <v>256</v>
      </c>
      <c r="D39" s="490"/>
      <c r="E39" s="491"/>
      <c r="F39" s="492"/>
      <c r="G39" s="493"/>
      <c r="H39" s="494">
        <f>F39*$F$20</f>
        <v>0</v>
      </c>
      <c r="I39" s="938"/>
      <c r="J39" s="495"/>
      <c r="K39" s="495"/>
      <c r="L39" s="282">
        <f>IF(D39="","",(K39-J39)*24)</f>
      </c>
      <c r="M39" s="14">
        <f>IF(D39="","",(K39-J39)*24*60)</f>
      </c>
      <c r="N39" s="13"/>
      <c r="O39" s="8">
        <f>IF(D39="","",IF(OR(N39="P",N39="RP"),"--","NO"))</f>
      </c>
      <c r="P39" s="1089">
        <f>IF(D39="","","NO")</f>
      </c>
      <c r="Q39" s="1090"/>
      <c r="R39" s="496">
        <f>200*IF(P39="SI",1,0.1)*IF(N39="P",0.1,1)</f>
        <v>20</v>
      </c>
      <c r="S39" s="497" t="str">
        <f>IF(N39="P",H39*R39*ROUND(M39/60,2),"--")</f>
        <v>--</v>
      </c>
      <c r="T39" s="498" t="str">
        <f>IF(AND(N39="F",O39="NO"),H39*R39,"--")</f>
        <v>--</v>
      </c>
      <c r="U39" s="499" t="str">
        <f>IF(N39="F",H39*R39*ROUND(M39/60,2),"--")</f>
        <v>--</v>
      </c>
      <c r="V39" s="364" t="str">
        <f>IF(N39="RF",H39*R39*ROUND(M39/60,2),"--")</f>
        <v>--</v>
      </c>
      <c r="W39" s="953"/>
      <c r="X39" s="939"/>
      <c r="Y39" s="939"/>
      <c r="Z39" s="939"/>
      <c r="AA39" s="940"/>
      <c r="AB39" s="292">
        <f>IF(D39="","","SI")</f>
      </c>
      <c r="AC39" s="293">
        <f>IF(D39="","",SUM(S39:V39)*IF(AB39="SI",1,2))</f>
      </c>
      <c r="AD39" s="17"/>
    </row>
    <row r="40" spans="1:30" ht="16.5" customHeight="1" thickBot="1">
      <c r="A40" s="32"/>
      <c r="B40" s="50"/>
      <c r="C40" s="500"/>
      <c r="D40" s="501"/>
      <c r="E40" s="502"/>
      <c r="F40" s="503"/>
      <c r="G40" s="504"/>
      <c r="H40" s="505"/>
      <c r="I40" s="941"/>
      <c r="J40" s="506"/>
      <c r="K40" s="507"/>
      <c r="L40" s="508"/>
      <c r="M40" s="509"/>
      <c r="N40" s="510"/>
      <c r="O40" s="9"/>
      <c r="P40" s="1086"/>
      <c r="Q40" s="1088"/>
      <c r="R40" s="511"/>
      <c r="S40" s="512"/>
      <c r="T40" s="513"/>
      <c r="U40" s="514"/>
      <c r="V40" s="515"/>
      <c r="W40" s="954"/>
      <c r="X40" s="942"/>
      <c r="Y40" s="942"/>
      <c r="Z40" s="942"/>
      <c r="AA40" s="943"/>
      <c r="AB40" s="516"/>
      <c r="AC40" s="517"/>
      <c r="AD40" s="217"/>
    </row>
    <row r="41" spans="1:30" ht="16.5" customHeight="1" thickBot="1" thickTop="1">
      <c r="A41" s="32"/>
      <c r="B41" s="50"/>
      <c r="C41" s="96"/>
      <c r="D41" s="196"/>
      <c r="E41" s="196"/>
      <c r="F41" s="395"/>
      <c r="G41" s="518"/>
      <c r="H41" s="519"/>
      <c r="I41" s="520"/>
      <c r="J41" s="521"/>
      <c r="K41" s="522"/>
      <c r="L41" s="523"/>
      <c r="M41" s="519"/>
      <c r="N41" s="524"/>
      <c r="O41" s="184"/>
      <c r="P41" s="955"/>
      <c r="Q41" s="944"/>
      <c r="R41" s="945"/>
      <c r="S41" s="945"/>
      <c r="T41" s="945"/>
      <c r="U41" s="768"/>
      <c r="V41" s="768"/>
      <c r="W41" s="768"/>
      <c r="X41" s="768"/>
      <c r="Y41" s="768"/>
      <c r="Z41" s="768"/>
      <c r="AA41" s="768"/>
      <c r="AB41" s="768"/>
      <c r="AC41" s="956">
        <f>SUM(AC36:AC40)</f>
        <v>0</v>
      </c>
      <c r="AD41" s="217"/>
    </row>
    <row r="42" spans="1:30" ht="13.5" customHeight="1" thickBot="1" thickTop="1">
      <c r="A42" s="32"/>
      <c r="B42" s="5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217"/>
    </row>
    <row r="43" spans="1:33" s="5" customFormat="1" ht="33.75" customHeight="1" thickBot="1" thickTop="1">
      <c r="A43" s="88"/>
      <c r="B43" s="93"/>
      <c r="C43" s="121" t="s">
        <v>12</v>
      </c>
      <c r="D43" s="117" t="s">
        <v>25</v>
      </c>
      <c r="E43" s="116" t="s">
        <v>26</v>
      </c>
      <c r="F43" s="1082" t="s">
        <v>13</v>
      </c>
      <c r="G43" s="1083"/>
      <c r="H43" s="127" t="s">
        <v>15</v>
      </c>
      <c r="I43" s="932"/>
      <c r="J43" s="116" t="s">
        <v>16</v>
      </c>
      <c r="K43" s="116" t="s">
        <v>17</v>
      </c>
      <c r="L43" s="117" t="s">
        <v>28</v>
      </c>
      <c r="M43" s="117" t="s">
        <v>29</v>
      </c>
      <c r="N43" s="87" t="s">
        <v>84</v>
      </c>
      <c r="O43" s="1091" t="s">
        <v>30</v>
      </c>
      <c r="P43" s="1092"/>
      <c r="Q43" s="1093"/>
      <c r="R43" s="133" t="s">
        <v>35</v>
      </c>
      <c r="S43" s="350" t="s">
        <v>56</v>
      </c>
      <c r="T43" s="173" t="s">
        <v>33</v>
      </c>
      <c r="U43" s="351"/>
      <c r="V43" s="132" t="s">
        <v>21</v>
      </c>
      <c r="W43" s="933"/>
      <c r="X43" s="933"/>
      <c r="Y43" s="933"/>
      <c r="Z43" s="933"/>
      <c r="AA43" s="934"/>
      <c r="AB43" s="130" t="s">
        <v>59</v>
      </c>
      <c r="AC43" s="119" t="s">
        <v>22</v>
      </c>
      <c r="AD43" s="17"/>
      <c r="AF43"/>
      <c r="AG43"/>
    </row>
    <row r="44" spans="1:30" ht="16.5" customHeight="1" thickTop="1">
      <c r="A44" s="5"/>
      <c r="B44" s="50"/>
      <c r="C44" s="7"/>
      <c r="D44" s="10"/>
      <c r="E44" s="10"/>
      <c r="F44" s="1084"/>
      <c r="G44" s="1085"/>
      <c r="H44" s="483"/>
      <c r="I44" s="935"/>
      <c r="J44" s="10"/>
      <c r="K44" s="10"/>
      <c r="L44" s="10"/>
      <c r="M44" s="10"/>
      <c r="N44" s="10"/>
      <c r="O44" s="1084"/>
      <c r="P44" s="1094"/>
      <c r="Q44" s="1085"/>
      <c r="R44" s="607"/>
      <c r="S44" s="354"/>
      <c r="T44" s="355"/>
      <c r="U44" s="356"/>
      <c r="V44" s="357"/>
      <c r="W44" s="936"/>
      <c r="X44" s="936"/>
      <c r="Y44" s="936"/>
      <c r="Z44" s="936"/>
      <c r="AA44" s="937"/>
      <c r="AB44" s="484"/>
      <c r="AC44" s="489"/>
      <c r="AD44" s="17"/>
    </row>
    <row r="45" spans="1:30" ht="15">
      <c r="A45" s="5"/>
      <c r="B45" s="50"/>
      <c r="C45" s="702" t="s">
        <v>119</v>
      </c>
      <c r="D45" s="490"/>
      <c r="E45" s="491"/>
      <c r="F45" s="1080"/>
      <c r="G45" s="1081"/>
      <c r="H45" s="494">
        <f>IF(F45=132,$F$21,IF(F45=500,$F$22,0))</f>
        <v>0</v>
      </c>
      <c r="I45" s="938"/>
      <c r="J45" s="368"/>
      <c r="K45" s="179"/>
      <c r="L45" s="282">
        <f>IF(D45="","",(K45-J45)*24)</f>
      </c>
      <c r="M45" s="14">
        <f>IF(D45="","",(K45-J45)*24*60)</f>
      </c>
      <c r="N45" s="13"/>
      <c r="O45" s="1075">
        <f>IF(D45="","",IF(N45="P","--","NO"))</f>
      </c>
      <c r="P45" s="1076"/>
      <c r="Q45" s="1077"/>
      <c r="R45" s="607">
        <f>IF(F45=500,200,IF(F45=132,40,0))</f>
        <v>0</v>
      </c>
      <c r="S45" s="757" t="str">
        <f>IF(N45="P",H45*R45*ROUND(M45/60,2)*0.1,"--")</f>
        <v>--</v>
      </c>
      <c r="T45" s="182" t="str">
        <f>IF(AND(N45="F",O45="NO"),H45*R45,"--")</f>
        <v>--</v>
      </c>
      <c r="U45" s="363" t="str">
        <f>IF(N45="F",H45*R45*ROUND(M45/60,2),"--")</f>
        <v>--</v>
      </c>
      <c r="V45" s="364" t="str">
        <f>IF(N45="RF",H45*R45*ROUND(M45/60,2),"--")</f>
        <v>--</v>
      </c>
      <c r="W45" s="939"/>
      <c r="X45" s="939"/>
      <c r="Y45" s="939"/>
      <c r="Z45" s="939"/>
      <c r="AA45" s="940"/>
      <c r="AB45" s="292">
        <f>IF(D45="","","SI")</f>
      </c>
      <c r="AC45" s="371">
        <f>IF(D45="","",SUM(S45:V45)*IF(AB45="SI",1,2))</f>
      </c>
      <c r="AD45" s="217"/>
    </row>
    <row r="46" spans="1:30" ht="16.5" customHeight="1">
      <c r="A46" s="5"/>
      <c r="B46" s="50"/>
      <c r="C46" s="702" t="s">
        <v>120</v>
      </c>
      <c r="D46" s="490"/>
      <c r="E46" s="491"/>
      <c r="F46" s="1080"/>
      <c r="G46" s="1081"/>
      <c r="H46" s="494">
        <f>IF(F46=132,$F$21,IF(F46=500,$F$22,0))</f>
        <v>0</v>
      </c>
      <c r="I46" s="938"/>
      <c r="J46" s="495"/>
      <c r="K46" s="495"/>
      <c r="L46" s="282">
        <f>IF(D46="","",(K46-J46)*24)</f>
      </c>
      <c r="M46" s="14">
        <f>IF(D46="","",(K46-J46)*24*60)</f>
      </c>
      <c r="N46" s="13"/>
      <c r="O46" s="1075">
        <f>IF(D46="","",IF(N46="P","--","NO"))</f>
      </c>
      <c r="P46" s="1076"/>
      <c r="Q46" s="1077"/>
      <c r="R46" s="607">
        <f>IF(F46=500,200,IF(F46=132,40,0))</f>
        <v>0</v>
      </c>
      <c r="S46" s="757" t="str">
        <f>IF(N46="P",H46*R46*ROUND(M46/60,2)*0.1,"--")</f>
        <v>--</v>
      </c>
      <c r="T46" s="182" t="str">
        <f>IF(AND(N46="F",O46="NO"),H46*R46,"--")</f>
        <v>--</v>
      </c>
      <c r="U46" s="363" t="str">
        <f>IF(N46="F",H46*R46*ROUND(M46/60,2),"--")</f>
        <v>--</v>
      </c>
      <c r="V46" s="364" t="str">
        <f>IF(N46="RF",H46*R46*ROUND(M46/60,2),"--")</f>
        <v>--</v>
      </c>
      <c r="W46" s="939"/>
      <c r="X46" s="939"/>
      <c r="Y46" s="939"/>
      <c r="Z46" s="939"/>
      <c r="AA46" s="940"/>
      <c r="AB46" s="292">
        <f>IF(D46="","","SI")</f>
      </c>
      <c r="AC46" s="371">
        <f>IF(D46="","",SUM(S46:V46)*IF(AB46="SI",1,2))</f>
      </c>
      <c r="AD46" s="17"/>
    </row>
    <row r="47" spans="1:30" ht="16.5" customHeight="1">
      <c r="A47" s="5"/>
      <c r="B47" s="50"/>
      <c r="C47" s="702" t="s">
        <v>257</v>
      </c>
      <c r="D47" s="490"/>
      <c r="E47" s="491"/>
      <c r="F47" s="1080"/>
      <c r="G47" s="1081"/>
      <c r="H47" s="494">
        <f>IF(F47=132,$F$21,IF(F47=500,$F$22,0))</f>
        <v>0</v>
      </c>
      <c r="I47" s="938"/>
      <c r="J47" s="495"/>
      <c r="K47" s="495"/>
      <c r="L47" s="282">
        <f>IF(D47="","",(K47-J47)*24)</f>
      </c>
      <c r="M47" s="14">
        <f>IF(D47="","",(K47-J47)*24*60)</f>
      </c>
      <c r="N47" s="13"/>
      <c r="O47" s="1075">
        <f>IF(D47="","",IF(N47="P","--","NO"))</f>
      </c>
      <c r="P47" s="1076"/>
      <c r="Q47" s="1077"/>
      <c r="R47" s="607">
        <f>IF(F47=500,200,IF(F47=132,40,0))</f>
        <v>0</v>
      </c>
      <c r="S47" s="757" t="str">
        <f>IF(N47="P",H47*R47*ROUND(M47/60,2)*0.1,"--")</f>
        <v>--</v>
      </c>
      <c r="T47" s="182" t="str">
        <f>IF(AND(N47="F",O47="NO"),H47*R47,"--")</f>
        <v>--</v>
      </c>
      <c r="U47" s="363" t="str">
        <f>IF(N47="F",H47*R47*ROUND(M47/60,2),"--")</f>
        <v>--</v>
      </c>
      <c r="V47" s="364" t="str">
        <f>IF(N47="RF",H47*R47*ROUND(M47/60,2),"--")</f>
        <v>--</v>
      </c>
      <c r="W47" s="939"/>
      <c r="X47" s="939"/>
      <c r="Y47" s="939"/>
      <c r="Z47" s="939"/>
      <c r="AA47" s="940"/>
      <c r="AB47" s="292">
        <f>IF(D47="","","SI")</f>
      </c>
      <c r="AC47" s="371">
        <f>IF(D47="","",SUM(S47:V47)*IF(AB47="SI",1,2))</f>
      </c>
      <c r="AD47" s="17"/>
    </row>
    <row r="48" spans="1:30" ht="16.5" customHeight="1" thickBot="1">
      <c r="A48" s="32"/>
      <c r="B48" s="50"/>
      <c r="C48" s="500"/>
      <c r="D48" s="501"/>
      <c r="E48" s="502"/>
      <c r="F48" s="1078"/>
      <c r="G48" s="1079"/>
      <c r="H48" s="505"/>
      <c r="I48" s="941"/>
      <c r="J48" s="506"/>
      <c r="K48" s="507"/>
      <c r="L48" s="508"/>
      <c r="M48" s="509"/>
      <c r="N48" s="510"/>
      <c r="O48" s="1086"/>
      <c r="P48" s="1087"/>
      <c r="Q48" s="1088"/>
      <c r="R48" s="607">
        <f>IF(F48=500,200,IF(F48=132,40,0))</f>
        <v>0</v>
      </c>
      <c r="S48" s="757" t="str">
        <f>IF(N48="P",H48*R48*ROUND(M48/60,2)*0.1,"--")</f>
        <v>--</v>
      </c>
      <c r="T48" s="182" t="str">
        <f>IF(AND(N48="F",O48="NO"),H48*R48,"--")</f>
        <v>--</v>
      </c>
      <c r="U48" s="363" t="str">
        <f>IF(N48="F",H48*R48*ROUND(M48/60,2),"--")</f>
        <v>--</v>
      </c>
      <c r="V48" s="364" t="str">
        <f>IF(N48="RF",H48*R48*ROUND(M48/60,2),"--")</f>
        <v>--</v>
      </c>
      <c r="W48" s="942"/>
      <c r="X48" s="942"/>
      <c r="Y48" s="942"/>
      <c r="Z48" s="942"/>
      <c r="AA48" s="943"/>
      <c r="AB48" s="516"/>
      <c r="AC48" s="371">
        <f>IF(D48="","",SUM(S48:V48)*IF(AB48="SI",1,2))</f>
      </c>
      <c r="AD48" s="217"/>
    </row>
    <row r="49" spans="1:30" ht="16.5" customHeight="1" thickBot="1" thickTop="1">
      <c r="A49" s="32"/>
      <c r="B49" s="50"/>
      <c r="C49" s="96"/>
      <c r="D49" s="196"/>
      <c r="E49" s="196"/>
      <c r="F49" s="395"/>
      <c r="G49" s="518"/>
      <c r="H49" s="519"/>
      <c r="I49" s="520"/>
      <c r="J49" s="521"/>
      <c r="K49" s="522"/>
      <c r="L49" s="523"/>
      <c r="M49" s="519"/>
      <c r="N49" s="524"/>
      <c r="O49" s="184"/>
      <c r="P49" s="525"/>
      <c r="Q49" s="526"/>
      <c r="R49" s="527"/>
      <c r="S49" s="527"/>
      <c r="T49" s="527"/>
      <c r="U49" s="185"/>
      <c r="V49" s="185"/>
      <c r="W49" s="185"/>
      <c r="X49" s="185"/>
      <c r="Y49" s="185"/>
      <c r="Z49" s="185"/>
      <c r="AA49" s="185"/>
      <c r="AB49" s="185"/>
      <c r="AC49" s="956">
        <f>SUM(AC44:AC48)</f>
        <v>0</v>
      </c>
      <c r="AD49" s="217"/>
    </row>
    <row r="50" spans="1:30" ht="16.5" customHeight="1" thickBot="1" thickTop="1">
      <c r="A50" s="32"/>
      <c r="B50" s="50"/>
      <c r="C50" s="96"/>
      <c r="D50" s="196"/>
      <c r="E50" s="196"/>
      <c r="F50" s="395"/>
      <c r="G50" s="518"/>
      <c r="H50" s="519"/>
      <c r="I50" s="520"/>
      <c r="J50" s="468" t="s">
        <v>40</v>
      </c>
      <c r="K50" s="852">
        <f>+AC41+AC33+AC49</f>
        <v>215.60935999999998</v>
      </c>
      <c r="L50" s="523"/>
      <c r="M50" s="519"/>
      <c r="N50" s="529"/>
      <c r="O50" s="530"/>
      <c r="P50" s="525"/>
      <c r="Q50" s="526"/>
      <c r="R50" s="527"/>
      <c r="S50" s="527"/>
      <c r="T50" s="527"/>
      <c r="U50" s="185"/>
      <c r="V50" s="185"/>
      <c r="W50" s="185"/>
      <c r="X50" s="185"/>
      <c r="Y50" s="185"/>
      <c r="Z50" s="185"/>
      <c r="AA50" s="185"/>
      <c r="AB50" s="185"/>
      <c r="AC50" s="946"/>
      <c r="AD50" s="217"/>
    </row>
    <row r="51" spans="1:30" ht="13.5" customHeight="1" thickTop="1">
      <c r="A51" s="32"/>
      <c r="B51" s="457"/>
      <c r="C51" s="460"/>
      <c r="D51" s="531"/>
      <c r="E51" s="532"/>
      <c r="F51" s="533"/>
      <c r="G51" s="534"/>
      <c r="H51" s="534"/>
      <c r="I51" s="532"/>
      <c r="J51" s="445"/>
      <c r="K51" s="445"/>
      <c r="L51" s="532"/>
      <c r="M51" s="532"/>
      <c r="N51" s="532"/>
      <c r="O51" s="535"/>
      <c r="P51" s="532"/>
      <c r="Q51" s="532"/>
      <c r="R51" s="536"/>
      <c r="S51" s="537"/>
      <c r="T51" s="537"/>
      <c r="U51" s="538"/>
      <c r="AC51" s="538"/>
      <c r="AD51" s="539"/>
    </row>
    <row r="52" spans="1:30" ht="16.5" customHeight="1">
      <c r="A52" s="32"/>
      <c r="B52" s="457"/>
      <c r="C52" s="540" t="s">
        <v>83</v>
      </c>
      <c r="D52" s="541" t="s">
        <v>114</v>
      </c>
      <c r="E52" s="532"/>
      <c r="F52" s="533"/>
      <c r="G52" s="534"/>
      <c r="H52" s="534"/>
      <c r="I52" s="532"/>
      <c r="J52" s="445"/>
      <c r="K52" s="445"/>
      <c r="L52" s="532"/>
      <c r="M52" s="532"/>
      <c r="N52" s="532"/>
      <c r="O52" s="535"/>
      <c r="P52" s="532"/>
      <c r="Q52" s="532"/>
      <c r="R52" s="536"/>
      <c r="S52" s="537"/>
      <c r="T52" s="537"/>
      <c r="U52" s="538"/>
      <c r="AC52" s="538"/>
      <c r="AD52" s="539"/>
    </row>
    <row r="53" spans="1:30" ht="16.5" customHeight="1">
      <c r="A53" s="32"/>
      <c r="B53" s="457"/>
      <c r="C53" s="540"/>
      <c r="D53" s="531"/>
      <c r="E53" s="532"/>
      <c r="F53" s="533"/>
      <c r="G53" s="534"/>
      <c r="H53" s="534"/>
      <c r="I53" s="532"/>
      <c r="J53" s="445"/>
      <c r="K53" s="445"/>
      <c r="L53" s="532"/>
      <c r="M53" s="532"/>
      <c r="N53" s="532"/>
      <c r="O53" s="535"/>
      <c r="P53" s="532"/>
      <c r="Q53" s="532"/>
      <c r="R53" s="532"/>
      <c r="S53" s="536"/>
      <c r="T53" s="537"/>
      <c r="AD53" s="539"/>
    </row>
    <row r="54" spans="2:30" s="32" customFormat="1" ht="16.5" customHeight="1">
      <c r="B54" s="457"/>
      <c r="C54" s="460"/>
      <c r="D54" s="542" t="s">
        <v>0</v>
      </c>
      <c r="E54" s="473" t="s">
        <v>251</v>
      </c>
      <c r="F54" s="473" t="s">
        <v>41</v>
      </c>
      <c r="G54" s="543" t="s">
        <v>273</v>
      </c>
      <c r="H54" s="474"/>
      <c r="I54" s="473"/>
      <c r="J54"/>
      <c r="K54"/>
      <c r="L54" s="544" t="s">
        <v>274</v>
      </c>
      <c r="M54"/>
      <c r="N54"/>
      <c r="O54"/>
      <c r="P54"/>
      <c r="Q54" s="547"/>
      <c r="R54" s="547"/>
      <c r="S54" s="33"/>
      <c r="T54"/>
      <c r="U54"/>
      <c r="V54"/>
      <c r="W54"/>
      <c r="X54" s="33"/>
      <c r="Y54" s="33"/>
      <c r="Z54" s="33"/>
      <c r="AA54" s="33"/>
      <c r="AB54" s="33"/>
      <c r="AC54" s="947" t="s">
        <v>276</v>
      </c>
      <c r="AD54" s="539"/>
    </row>
    <row r="55" spans="2:30" s="32" customFormat="1" ht="16.5" customHeight="1">
      <c r="B55" s="457"/>
      <c r="C55" s="460"/>
      <c r="D55" s="473" t="s">
        <v>258</v>
      </c>
      <c r="E55" s="548">
        <v>506</v>
      </c>
      <c r="F55" s="548">
        <v>500</v>
      </c>
      <c r="G55" s="549">
        <f>E55*$F$19*$L$20/100</f>
        <v>441136.75056</v>
      </c>
      <c r="H55" s="549"/>
      <c r="I55" s="549"/>
      <c r="J55" s="166"/>
      <c r="K55"/>
      <c r="L55" s="550">
        <v>807104</v>
      </c>
      <c r="M55" s="166"/>
      <c r="N55" s="551" t="str">
        <f>"(DTE "&amp;'[1]DATO'!$G$14&amp;'[1]DATO'!$H$14&amp;")"</f>
        <v>(DTE 0709)</v>
      </c>
      <c r="O55"/>
      <c r="P55"/>
      <c r="Q55" s="547"/>
      <c r="R55" s="547"/>
      <c r="S55" s="33"/>
      <c r="T55"/>
      <c r="U55"/>
      <c r="V55"/>
      <c r="W55"/>
      <c r="X55" s="33"/>
      <c r="Y55" s="33"/>
      <c r="Z55" s="33"/>
      <c r="AA55" s="33"/>
      <c r="AB55" s="948"/>
      <c r="AC55" s="851">
        <f>L55+G55</f>
        <v>1248240.75056</v>
      </c>
      <c r="AD55" s="539"/>
    </row>
    <row r="56" spans="2:30" s="32" customFormat="1" ht="16.5" customHeight="1">
      <c r="B56" s="457"/>
      <c r="C56" s="460"/>
      <c r="D56" s="552" t="s">
        <v>259</v>
      </c>
      <c r="E56" s="548">
        <v>85</v>
      </c>
      <c r="F56" s="548">
        <v>500</v>
      </c>
      <c r="G56" s="549">
        <f>E56*$F$19*$L$20/100</f>
        <v>74103.9996</v>
      </c>
      <c r="H56" s="552"/>
      <c r="I56" s="553"/>
      <c r="J56" s="166"/>
      <c r="K56"/>
      <c r="L56" s="549">
        <v>0</v>
      </c>
      <c r="M56" s="166"/>
      <c r="N56" s="551" t="str">
        <f>"(DTE "&amp;'[1]DATO'!$G$14&amp;'[1]DATO'!$H$14&amp;")"</f>
        <v>(DTE 0709)</v>
      </c>
      <c r="O56" s="949"/>
      <c r="P56"/>
      <c r="Q56" s="547"/>
      <c r="R56" s="547"/>
      <c r="S56" s="33"/>
      <c r="T56"/>
      <c r="U56"/>
      <c r="V56"/>
      <c r="W56"/>
      <c r="X56" s="33"/>
      <c r="Y56" s="33"/>
      <c r="Z56" s="33"/>
      <c r="AA56" s="33"/>
      <c r="AB56" s="33"/>
      <c r="AC56" s="851">
        <f>L56+G56</f>
        <v>74103.9996</v>
      </c>
      <c r="AD56" s="539"/>
    </row>
    <row r="57" spans="2:30" s="32" customFormat="1" ht="16.5" customHeight="1">
      <c r="B57" s="457"/>
      <c r="C57" s="460"/>
      <c r="E57" s="464"/>
      <c r="F57" s="473"/>
      <c r="G57" s="474"/>
      <c r="H57"/>
      <c r="I57" s="473"/>
      <c r="J57" s="473"/>
      <c r="K57"/>
      <c r="L57" s="851"/>
      <c r="M57" s="546"/>
      <c r="N57" s="546"/>
      <c r="O57" s="547"/>
      <c r="P57" s="547"/>
      <c r="Q57" s="547"/>
      <c r="R57" s="547"/>
      <c r="S57" s="33"/>
      <c r="T57"/>
      <c r="U57"/>
      <c r="V57"/>
      <c r="W57"/>
      <c r="X57" s="33"/>
      <c r="Y57" s="33"/>
      <c r="Z57" s="33"/>
      <c r="AA57" s="33"/>
      <c r="AB57" s="33"/>
      <c r="AC57" s="851"/>
      <c r="AD57" s="539"/>
    </row>
    <row r="58" spans="1:30" ht="16.5" customHeight="1">
      <c r="A58" s="32"/>
      <c r="B58" s="457"/>
      <c r="C58" s="460"/>
      <c r="D58" s="542" t="s">
        <v>92</v>
      </c>
      <c r="E58" s="473" t="s">
        <v>93</v>
      </c>
      <c r="F58" s="473" t="s">
        <v>41</v>
      </c>
      <c r="G58" s="543" t="s">
        <v>115</v>
      </c>
      <c r="I58" s="545"/>
      <c r="J58" s="473"/>
      <c r="L58" s="544" t="s">
        <v>275</v>
      </c>
      <c r="M58" s="545"/>
      <c r="N58" s="546"/>
      <c r="O58" s="547"/>
      <c r="P58" s="547"/>
      <c r="Q58" s="547"/>
      <c r="R58" s="547"/>
      <c r="S58" s="547"/>
      <c r="AC58" s="851">
        <f>+L59</f>
        <v>0</v>
      </c>
      <c r="AD58" s="539"/>
    </row>
    <row r="59" spans="1:30" ht="16.5" customHeight="1">
      <c r="A59" s="32"/>
      <c r="B59" s="457"/>
      <c r="C59" s="460"/>
      <c r="D59" s="473" t="s">
        <v>260</v>
      </c>
      <c r="E59" s="548">
        <v>300</v>
      </c>
      <c r="F59" s="548" t="s">
        <v>94</v>
      </c>
      <c r="G59" s="549">
        <f>E59*F20*L20</f>
        <v>71200.8</v>
      </c>
      <c r="H59" s="166"/>
      <c r="I59" s="166"/>
      <c r="J59" s="550"/>
      <c r="L59" s="550">
        <v>0</v>
      </c>
      <c r="M59" s="166"/>
      <c r="N59" s="551" t="str">
        <f>"(DTE "&amp;'[1]DATO'!$G$14&amp;'[1]DATO'!$H$14&amp;")"</f>
        <v>(DTE 0709)</v>
      </c>
      <c r="O59" s="580"/>
      <c r="P59" s="580"/>
      <c r="Q59" s="580"/>
      <c r="R59" s="580"/>
      <c r="S59" s="580"/>
      <c r="AC59" s="957">
        <f>G59</f>
        <v>71200.8</v>
      </c>
      <c r="AD59" s="539"/>
    </row>
    <row r="60" spans="1:30" ht="16.5" customHeight="1">
      <c r="A60" s="32"/>
      <c r="B60" s="457"/>
      <c r="C60" s="460"/>
      <c r="D60" s="473" t="s">
        <v>261</v>
      </c>
      <c r="E60" s="548">
        <v>150</v>
      </c>
      <c r="F60" s="548" t="s">
        <v>262</v>
      </c>
      <c r="G60" s="549">
        <f>E60*F20*L20</f>
        <v>35600.4</v>
      </c>
      <c r="H60" s="166"/>
      <c r="I60" s="166"/>
      <c r="J60" s="550"/>
      <c r="L60" s="550">
        <v>0</v>
      </c>
      <c r="M60" s="166"/>
      <c r="N60" s="551" t="str">
        <f>"(DTE "&amp;'[1]DATO'!$G$14&amp;'[1]DATO'!$H$14&amp;")"</f>
        <v>(DTE 0709)</v>
      </c>
      <c r="O60" s="580"/>
      <c r="P60" s="580"/>
      <c r="Q60" s="580"/>
      <c r="R60" s="580"/>
      <c r="S60" s="580"/>
      <c r="AC60" s="957">
        <f>G60</f>
        <v>35600.4</v>
      </c>
      <c r="AD60" s="539"/>
    </row>
    <row r="61" spans="1:30" ht="16.5" customHeight="1">
      <c r="A61" s="32"/>
      <c r="B61" s="457"/>
      <c r="C61" s="460"/>
      <c r="D61" s="473"/>
      <c r="E61" s="548"/>
      <c r="F61" s="548"/>
      <c r="G61" s="549"/>
      <c r="H61" s="166"/>
      <c r="I61" s="166"/>
      <c r="J61" s="550"/>
      <c r="L61" s="550"/>
      <c r="M61" s="166"/>
      <c r="N61" s="551"/>
      <c r="O61" s="580"/>
      <c r="P61" s="580"/>
      <c r="Q61" s="580"/>
      <c r="R61" s="580"/>
      <c r="S61" s="580"/>
      <c r="AC61" s="957"/>
      <c r="AD61" s="539"/>
    </row>
    <row r="62" spans="1:30" ht="16.5" customHeight="1">
      <c r="A62" s="32"/>
      <c r="B62" s="457"/>
      <c r="C62" s="460"/>
      <c r="D62" s="542" t="s">
        <v>47</v>
      </c>
      <c r="E62" s="553" t="s">
        <v>263</v>
      </c>
      <c r="F62" s="553"/>
      <c r="G62" s="473" t="s">
        <v>41</v>
      </c>
      <c r="I62" s="545"/>
      <c r="J62" s="543" t="s">
        <v>277</v>
      </c>
      <c r="L62" s="544"/>
      <c r="M62" s="545"/>
      <c r="N62" s="546"/>
      <c r="O62" s="547"/>
      <c r="P62" s="547"/>
      <c r="Q62" s="547"/>
      <c r="R62" s="547"/>
      <c r="S62" s="547"/>
      <c r="AC62" s="851"/>
      <c r="AD62" s="539"/>
    </row>
    <row r="63" spans="1:30" ht="16.5" customHeight="1">
      <c r="A63" s="32"/>
      <c r="B63" s="457"/>
      <c r="C63" s="460"/>
      <c r="D63" s="473" t="s">
        <v>264</v>
      </c>
      <c r="E63" s="958" t="s">
        <v>265</v>
      </c>
      <c r="F63" s="581"/>
      <c r="G63" s="548">
        <v>132</v>
      </c>
      <c r="H63" s="166"/>
      <c r="I63" s="166"/>
      <c r="J63" s="549">
        <f>0*F21*L20</f>
        <v>0</v>
      </c>
      <c r="L63" s="550"/>
      <c r="M63" s="166"/>
      <c r="N63" s="551"/>
      <c r="O63" s="580"/>
      <c r="P63" s="580"/>
      <c r="Q63" s="580"/>
      <c r="R63" s="580"/>
      <c r="S63" s="580"/>
      <c r="AC63" s="957">
        <f>J63</f>
        <v>0</v>
      </c>
      <c r="AD63" s="539"/>
    </row>
    <row r="64" spans="1:30" ht="16.5" customHeight="1">
      <c r="A64" s="32"/>
      <c r="B64" s="457"/>
      <c r="C64" s="460"/>
      <c r="D64" s="473" t="s">
        <v>266</v>
      </c>
      <c r="E64" s="958" t="s">
        <v>267</v>
      </c>
      <c r="F64" s="581"/>
      <c r="G64" s="548">
        <v>500</v>
      </c>
      <c r="H64" s="778"/>
      <c r="I64" s="778"/>
      <c r="J64" s="549">
        <f>F22*L20</f>
        <v>47544.576</v>
      </c>
      <c r="K64" s="1"/>
      <c r="L64" s="550"/>
      <c r="M64" s="778"/>
      <c r="N64" s="551"/>
      <c r="O64" s="580"/>
      <c r="P64" s="580"/>
      <c r="Q64" s="982"/>
      <c r="R64" s="580"/>
      <c r="S64" s="580"/>
      <c r="AB64" s="981"/>
      <c r="AC64" s="959">
        <f>J64</f>
        <v>47544.576</v>
      </c>
      <c r="AD64" s="539"/>
    </row>
    <row r="65" spans="1:30" ht="6.75" customHeight="1" thickBot="1">
      <c r="A65" s="32"/>
      <c r="B65" s="457"/>
      <c r="C65" s="460"/>
      <c r="D65" s="473"/>
      <c r="E65" s="958"/>
      <c r="F65" s="581"/>
      <c r="G65" s="548"/>
      <c r="H65" s="166"/>
      <c r="I65" s="166"/>
      <c r="J65" s="549"/>
      <c r="L65" s="550"/>
      <c r="M65" s="166"/>
      <c r="N65" s="551"/>
      <c r="O65" s="580"/>
      <c r="P65" s="580"/>
      <c r="Q65" s="580"/>
      <c r="R65" s="580"/>
      <c r="S65" s="580"/>
      <c r="AC65" s="957"/>
      <c r="AD65" s="539"/>
    </row>
    <row r="66" spans="1:30" ht="16.5" customHeight="1" thickBot="1" thickTop="1">
      <c r="A66" s="32"/>
      <c r="B66" s="457"/>
      <c r="C66" s="460"/>
      <c r="D66" s="445"/>
      <c r="E66" s="464"/>
      <c r="F66" s="473"/>
      <c r="G66" s="473"/>
      <c r="H66" s="474"/>
      <c r="J66" s="473"/>
      <c r="L66" s="554"/>
      <c r="M66" s="546"/>
      <c r="N66" s="546"/>
      <c r="O66" s="547"/>
      <c r="P66" s="547"/>
      <c r="Q66" s="547"/>
      <c r="R66" s="547"/>
      <c r="S66" s="547"/>
      <c r="AB66" s="979" t="s">
        <v>42</v>
      </c>
      <c r="AC66" s="980">
        <f>SUM(AC55:AC63)</f>
        <v>1429145.95016</v>
      </c>
      <c r="AD66" s="539"/>
    </row>
    <row r="67" spans="1:30" ht="16.5" customHeight="1" thickTop="1">
      <c r="A67" s="32"/>
      <c r="B67" s="457"/>
      <c r="C67" s="460"/>
      <c r="D67" s="445"/>
      <c r="E67" s="464"/>
      <c r="F67" s="473"/>
      <c r="G67" s="473"/>
      <c r="H67" s="474"/>
      <c r="J67" s="473"/>
      <c r="L67" s="554"/>
      <c r="M67" s="546"/>
      <c r="N67" s="546"/>
      <c r="O67" s="547"/>
      <c r="P67" s="547"/>
      <c r="Q67" s="547"/>
      <c r="R67" s="547"/>
      <c r="S67" s="547"/>
      <c r="AB67" s="984"/>
      <c r="AC67" s="459"/>
      <c r="AD67" s="539"/>
    </row>
    <row r="68" spans="2:30" ht="16.5" customHeight="1">
      <c r="B68" s="457"/>
      <c r="C68" s="156" t="s">
        <v>86</v>
      </c>
      <c r="D68" s="3" t="s">
        <v>112</v>
      </c>
      <c r="I68" s="4"/>
      <c r="J68" s="32"/>
      <c r="O68" s="4"/>
      <c r="P68" s="4"/>
      <c r="Q68" s="4"/>
      <c r="R68" s="4"/>
      <c r="S68" s="4"/>
      <c r="T68" s="4"/>
      <c r="V68" s="4"/>
      <c r="X68" s="4"/>
      <c r="Y68" s="4"/>
      <c r="Z68" s="4"/>
      <c r="AA68" s="4"/>
      <c r="AB68" s="4"/>
      <c r="AC68" s="4"/>
      <c r="AD68" s="449"/>
    </row>
    <row r="69" spans="2:30" s="32" customFormat="1" ht="16.5" customHeight="1" thickBot="1">
      <c r="B69" s="457"/>
      <c r="C69" s="66"/>
      <c r="D69" s="3"/>
      <c r="E69"/>
      <c r="F69"/>
      <c r="G69"/>
      <c r="H69"/>
      <c r="I69" s="4"/>
      <c r="K69"/>
      <c r="L69"/>
      <c r="M69"/>
      <c r="N69"/>
      <c r="O69" s="4"/>
      <c r="P69" s="4"/>
      <c r="Q69" s="4"/>
      <c r="R69" s="4"/>
      <c r="S69" s="4"/>
      <c r="T69" s="4"/>
      <c r="U69"/>
      <c r="V69" s="4"/>
      <c r="W69"/>
      <c r="X69" s="4"/>
      <c r="Y69" s="4"/>
      <c r="Z69" s="4"/>
      <c r="AA69" s="4"/>
      <c r="AB69" s="4"/>
      <c r="AC69" s="4"/>
      <c r="AD69" s="985"/>
    </row>
    <row r="70" spans="2:30" s="32" customFormat="1" ht="16.5" customHeight="1" thickBot="1" thickTop="1">
      <c r="B70" s="457"/>
      <c r="C70" s="460"/>
      <c r="D70"/>
      <c r="E70"/>
      <c r="F70"/>
      <c r="G70"/>
      <c r="H70"/>
      <c r="I70"/>
      <c r="J70" s="468" t="s">
        <v>43</v>
      </c>
      <c r="K70" s="852">
        <f>L19*AC70</f>
        <v>51389.0916704</v>
      </c>
      <c r="L70"/>
      <c r="S70"/>
      <c r="T70"/>
      <c r="U70"/>
      <c r="W70"/>
      <c r="AB70" s="979" t="s">
        <v>292</v>
      </c>
      <c r="AC70" s="980">
        <v>1284727.29176</v>
      </c>
      <c r="AD70" s="985"/>
    </row>
    <row r="71" spans="2:31" ht="7.5" customHeight="1" thickTop="1">
      <c r="B71" s="457"/>
      <c r="C71" s="460"/>
      <c r="D71" s="33"/>
      <c r="E71" s="460"/>
      <c r="F71" s="33"/>
      <c r="G71" s="467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X71" s="32"/>
      <c r="Z71" s="32"/>
      <c r="AA71" s="32"/>
      <c r="AB71" s="32"/>
      <c r="AC71" s="32"/>
      <c r="AD71" s="985"/>
      <c r="AE71" s="32"/>
    </row>
    <row r="72" spans="2:30" ht="16.5" customHeight="1">
      <c r="B72" s="457"/>
      <c r="C72" s="156" t="s">
        <v>87</v>
      </c>
      <c r="D72" s="555" t="s">
        <v>88</v>
      </c>
      <c r="E72" s="473"/>
      <c r="F72" s="556"/>
      <c r="G72" s="472"/>
      <c r="H72" s="445"/>
      <c r="I72" s="445"/>
      <c r="J72" s="445"/>
      <c r="K72" s="473"/>
      <c r="L72" s="473"/>
      <c r="M72" s="445"/>
      <c r="N72" s="473"/>
      <c r="O72" s="445"/>
      <c r="P72" s="445"/>
      <c r="Q72" s="445"/>
      <c r="R72" s="445"/>
      <c r="S72" s="445"/>
      <c r="T72" s="445"/>
      <c r="U72" s="445"/>
      <c r="AC72" s="445"/>
      <c r="AD72" s="539"/>
    </row>
    <row r="73" spans="2:31" s="562" customFormat="1" ht="19.5">
      <c r="B73" s="457"/>
      <c r="C73" s="460"/>
      <c r="D73" s="542" t="s">
        <v>89</v>
      </c>
      <c r="E73" s="557">
        <f>10*K50*K70/AC66</f>
        <v>77.5286048621963</v>
      </c>
      <c r="F73" s="32"/>
      <c r="G73" s="472"/>
      <c r="H73" s="32"/>
      <c r="I73" s="32"/>
      <c r="J73" s="32"/>
      <c r="K73" s="32"/>
      <c r="L73" s="473"/>
      <c r="M73" s="32"/>
      <c r="N73" s="473"/>
      <c r="O73" s="474"/>
      <c r="P73" s="32"/>
      <c r="Q73" s="32"/>
      <c r="R73" s="32"/>
      <c r="S73" s="32"/>
      <c r="T73" s="32"/>
      <c r="U73" s="32"/>
      <c r="V73"/>
      <c r="W73"/>
      <c r="X73" s="32"/>
      <c r="Y73" s="32"/>
      <c r="Z73" s="32"/>
      <c r="AA73" s="32"/>
      <c r="AB73" s="32"/>
      <c r="AC73" s="32"/>
      <c r="AD73" s="539"/>
      <c r="AE73" s="32"/>
    </row>
    <row r="74" spans="2:31" ht="16.5" customHeight="1">
      <c r="B74" s="457"/>
      <c r="C74" s="460"/>
      <c r="D74" s="32"/>
      <c r="E74" s="558"/>
      <c r="F74" s="467"/>
      <c r="G74" s="472"/>
      <c r="H74" s="32"/>
      <c r="I74" s="32"/>
      <c r="J74" s="472"/>
      <c r="K74" s="476"/>
      <c r="L74" s="473"/>
      <c r="M74" s="473"/>
      <c r="N74" s="473"/>
      <c r="O74" s="474"/>
      <c r="P74" s="473"/>
      <c r="Q74" s="473"/>
      <c r="R74" s="475"/>
      <c r="S74" s="475"/>
      <c r="T74" s="475"/>
      <c r="U74" s="559"/>
      <c r="X74" s="32"/>
      <c r="Y74" s="32"/>
      <c r="Z74" s="32"/>
      <c r="AA74" s="32"/>
      <c r="AB74" s="32"/>
      <c r="AC74" s="559"/>
      <c r="AD74" s="539"/>
      <c r="AE74" s="32"/>
    </row>
    <row r="75" spans="2:30" ht="16.5" customHeight="1">
      <c r="B75" s="457"/>
      <c r="C75" s="460"/>
      <c r="D75" s="560" t="s">
        <v>268</v>
      </c>
      <c r="E75" s="561"/>
      <c r="F75" s="467"/>
      <c r="G75" s="472"/>
      <c r="H75" s="445"/>
      <c r="I75" s="445"/>
      <c r="N75" s="473"/>
      <c r="O75" s="474"/>
      <c r="P75" s="473"/>
      <c r="Q75" s="473"/>
      <c r="R75" s="545"/>
      <c r="S75" s="545"/>
      <c r="T75" s="545"/>
      <c r="U75" s="546"/>
      <c r="AC75" s="546"/>
      <c r="AD75" s="539"/>
    </row>
    <row r="76" spans="2:30" ht="7.5" customHeight="1" thickBot="1">
      <c r="B76" s="457"/>
      <c r="C76" s="460"/>
      <c r="D76" s="560"/>
      <c r="E76" s="561"/>
      <c r="F76" s="467"/>
      <c r="G76" s="472"/>
      <c r="H76" s="445"/>
      <c r="I76" s="445"/>
      <c r="N76" s="473"/>
      <c r="O76" s="474"/>
      <c r="P76" s="473"/>
      <c r="Q76" s="473"/>
      <c r="R76" s="545"/>
      <c r="S76" s="545"/>
      <c r="T76" s="545"/>
      <c r="U76" s="546"/>
      <c r="AC76" s="546"/>
      <c r="AD76" s="539"/>
    </row>
    <row r="77" spans="2:31" ht="21" thickBot="1" thickTop="1">
      <c r="B77" s="563"/>
      <c r="C77" s="564"/>
      <c r="D77" s="565"/>
      <c r="E77" s="566"/>
      <c r="F77" s="567"/>
      <c r="G77" s="568"/>
      <c r="H77" s="562"/>
      <c r="J77" s="569" t="s">
        <v>90</v>
      </c>
      <c r="K77" s="570">
        <f>IF(E73&gt;3*K70,K70*3,E73)</f>
        <v>77.5286048621963</v>
      </c>
      <c r="L77" s="562"/>
      <c r="M77" s="571"/>
      <c r="N77" s="571"/>
      <c r="O77" s="572"/>
      <c r="P77" s="571"/>
      <c r="Q77" s="571" t="s">
        <v>293</v>
      </c>
      <c r="R77" s="573"/>
      <c r="S77" s="573"/>
      <c r="T77" s="573"/>
      <c r="U77" s="574"/>
      <c r="X77" s="562"/>
      <c r="Y77" s="562"/>
      <c r="Z77" s="562"/>
      <c r="AA77" s="562"/>
      <c r="AB77" s="562"/>
      <c r="AC77" s="574"/>
      <c r="AD77" s="575"/>
      <c r="AE77" s="562"/>
    </row>
    <row r="78" spans="2:30" ht="17.25" thickBot="1" thickTop="1">
      <c r="B78" s="57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186"/>
      <c r="W78" s="186"/>
      <c r="X78" s="186"/>
      <c r="Y78" s="186"/>
      <c r="Z78" s="186"/>
      <c r="AA78" s="186"/>
      <c r="AB78" s="186"/>
      <c r="AC78" s="59"/>
      <c r="AD78" s="576"/>
    </row>
    <row r="79" spans="2:23" ht="13.5" thickTop="1">
      <c r="B79" s="1"/>
      <c r="C79" s="73"/>
      <c r="W79" s="1"/>
    </row>
  </sheetData>
  <sheetProtection password="CC12"/>
  <mergeCells count="17">
    <mergeCell ref="P40:Q40"/>
    <mergeCell ref="O45:Q45"/>
    <mergeCell ref="O43:Q43"/>
    <mergeCell ref="O44:Q44"/>
    <mergeCell ref="P36:Q36"/>
    <mergeCell ref="P37:Q37"/>
    <mergeCell ref="P38:Q38"/>
    <mergeCell ref="P39:Q39"/>
    <mergeCell ref="O46:Q46"/>
    <mergeCell ref="F48:G48"/>
    <mergeCell ref="F47:G47"/>
    <mergeCell ref="F43:G43"/>
    <mergeCell ref="F44:G44"/>
    <mergeCell ref="F46:G46"/>
    <mergeCell ref="F45:G45"/>
    <mergeCell ref="O47:Q47"/>
    <mergeCell ref="O48:Q48"/>
  </mergeCells>
  <printOptions horizontalCentered="1"/>
  <pageMargins left="0.3937007874015748" right="0.1968503937007874" top="0.3" bottom="0.33" header="0.25" footer="0.25"/>
  <pageSetup orientation="landscape" paperSize="9" scale="4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3"/>
  <dimension ref="A1:AG64"/>
  <sheetViews>
    <sheetView zoomScale="50" zoomScaleNormal="50" workbookViewId="0" topLeftCell="A1">
      <selection activeCell="F45" sqref="F45:G45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6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1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55" customFormat="1" ht="30.75">
      <c r="A3" s="452"/>
      <c r="B3" s="453" t="str">
        <f>'TOT-0809'!B2</f>
        <v>ANEXO III al Memorándum D.T.E.E. N°   256 /2011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AB3" s="454"/>
      <c r="AC3" s="454"/>
      <c r="AD3" s="454"/>
    </row>
    <row r="4" spans="1:2" s="25" customFormat="1" ht="11.25">
      <c r="A4" s="577" t="s">
        <v>1</v>
      </c>
      <c r="B4" s="578"/>
    </row>
    <row r="5" spans="1:2" s="25" customFormat="1" ht="12" thickBot="1">
      <c r="A5" s="577" t="s">
        <v>2</v>
      </c>
      <c r="B5" s="577"/>
    </row>
    <row r="6" spans="1:30" ht="16.5" customHeight="1" thickTop="1">
      <c r="A6" s="5"/>
      <c r="B6" s="69"/>
      <c r="C6" s="70"/>
      <c r="D6" s="70"/>
      <c r="E6" s="18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63"/>
      <c r="X6" s="763"/>
      <c r="Y6" s="763"/>
      <c r="Z6" s="763"/>
      <c r="AA6" s="763"/>
      <c r="AB6" s="763"/>
      <c r="AC6" s="763"/>
      <c r="AD6" s="92"/>
    </row>
    <row r="7" spans="1:30" ht="20.25">
      <c r="A7" s="5"/>
      <c r="B7" s="50"/>
      <c r="C7" s="4"/>
      <c r="D7" s="168" t="s">
        <v>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8" t="s">
        <v>79</v>
      </c>
      <c r="E9" s="43"/>
      <c r="F9" s="43"/>
      <c r="G9" s="43"/>
      <c r="H9" s="43"/>
      <c r="N9" s="43"/>
      <c r="O9" s="43"/>
      <c r="P9" s="189"/>
      <c r="Q9" s="189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0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8" t="s">
        <v>298</v>
      </c>
      <c r="E11" s="43"/>
      <c r="F11" s="43"/>
      <c r="G11" s="43"/>
      <c r="H11" s="43"/>
      <c r="N11" s="43"/>
      <c r="O11" s="43"/>
      <c r="P11" s="189"/>
      <c r="Q11" s="189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0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'TOT-0809'!B14</f>
        <v>Desde el 01 al 31 de agosto de 2009</v>
      </c>
      <c r="C13" s="38"/>
      <c r="D13" s="40"/>
      <c r="E13" s="40"/>
      <c r="F13" s="40"/>
      <c r="G13" s="40"/>
      <c r="H13" s="40"/>
      <c r="I13" s="41"/>
      <c r="J13" s="16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/>
      <c r="X13" s="849"/>
      <c r="Y13" s="849"/>
      <c r="Z13" s="849"/>
      <c r="AA13" s="849"/>
      <c r="AB13" s="124"/>
      <c r="AC13" s="166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56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6" t="s">
        <v>80</v>
      </c>
      <c r="D17" s="54" t="s">
        <v>81</v>
      </c>
      <c r="E17" s="66"/>
      <c r="F17" s="66"/>
      <c r="G17" s="4"/>
      <c r="H17" s="4"/>
      <c r="I17" s="4"/>
      <c r="J17" s="456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57"/>
      <c r="C18" s="33"/>
      <c r="D18" s="458"/>
      <c r="E18" s="459"/>
      <c r="F18" s="460"/>
      <c r="G18" s="33"/>
      <c r="H18" s="33"/>
      <c r="I18" s="33"/>
      <c r="J18" s="461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62"/>
    </row>
    <row r="19" spans="2:30" s="32" customFormat="1" ht="16.5" customHeight="1">
      <c r="B19" s="457"/>
      <c r="C19" s="33"/>
      <c r="D19" s="850" t="s">
        <v>246</v>
      </c>
      <c r="F19" s="463">
        <v>117.179</v>
      </c>
      <c r="G19" s="850" t="s">
        <v>247</v>
      </c>
      <c r="H19" s="33"/>
      <c r="I19" s="33"/>
      <c r="J19" s="464"/>
      <c r="K19" s="465" t="s">
        <v>38</v>
      </c>
      <c r="L19" s="466">
        <v>0.04</v>
      </c>
      <c r="R19" s="33"/>
      <c r="S19" s="33"/>
      <c r="T19" s="33"/>
      <c r="U19" s="33"/>
      <c r="V19" s="33"/>
      <c r="W19"/>
      <c r="AD19" s="462"/>
    </row>
    <row r="20" spans="2:30" s="32" customFormat="1" ht="16.5" customHeight="1">
      <c r="B20" s="457"/>
      <c r="C20" s="33"/>
      <c r="D20" s="850" t="s">
        <v>248</v>
      </c>
      <c r="F20" s="463">
        <v>0.319</v>
      </c>
      <c r="G20" s="850" t="s">
        <v>91</v>
      </c>
      <c r="H20" s="33"/>
      <c r="I20" s="33"/>
      <c r="J20" s="33"/>
      <c r="K20" s="458" t="s">
        <v>36</v>
      </c>
      <c r="L20" s="33">
        <f>MID(B13,16,2)*24</f>
        <v>744</v>
      </c>
      <c r="M20" s="33" t="s">
        <v>37</v>
      </c>
      <c r="N20" s="33"/>
      <c r="O20" s="33"/>
      <c r="P20" s="579"/>
      <c r="Q20" s="33"/>
      <c r="R20" s="33"/>
      <c r="S20" s="33"/>
      <c r="T20" s="33"/>
      <c r="U20" s="33"/>
      <c r="V20" s="33"/>
      <c r="W20"/>
      <c r="AD20" s="462"/>
    </row>
    <row r="21" spans="2:30" s="32" customFormat="1" ht="16.5" customHeight="1">
      <c r="B21" s="457"/>
      <c r="C21" s="33"/>
      <c r="D21" s="850"/>
      <c r="F21" s="463"/>
      <c r="G21" s="850"/>
      <c r="H21" s="33"/>
      <c r="I21" s="33"/>
      <c r="J21" s="33"/>
      <c r="K21" s="194"/>
      <c r="L21" s="195"/>
      <c r="M21" s="33"/>
      <c r="N21" s="33"/>
      <c r="O21" s="33"/>
      <c r="P21" s="579"/>
      <c r="Q21" s="33"/>
      <c r="R21" s="33"/>
      <c r="S21" s="33"/>
      <c r="T21" s="33"/>
      <c r="U21" s="33"/>
      <c r="V21" s="33"/>
      <c r="W21"/>
      <c r="AD21" s="462"/>
    </row>
    <row r="22" spans="2:30" s="32" customFormat="1" ht="16.5" customHeight="1">
      <c r="B22" s="457"/>
      <c r="C22" s="33"/>
      <c r="D22" s="850"/>
      <c r="F22" s="463"/>
      <c r="G22" s="850"/>
      <c r="H22" s="33"/>
      <c r="I22" s="33"/>
      <c r="J22" s="33"/>
      <c r="K22" s="194"/>
      <c r="L22" s="195"/>
      <c r="M22" s="33"/>
      <c r="N22" s="33"/>
      <c r="O22" s="33"/>
      <c r="P22" s="579"/>
      <c r="Q22" s="33"/>
      <c r="R22" s="33"/>
      <c r="S22" s="33"/>
      <c r="T22" s="33"/>
      <c r="U22" s="33"/>
      <c r="V22" s="33"/>
      <c r="W22"/>
      <c r="AD22" s="462"/>
    </row>
    <row r="23" spans="2:30" s="32" customFormat="1" ht="8.25" customHeight="1">
      <c r="B23" s="457"/>
      <c r="C23" s="33"/>
      <c r="D23" s="33"/>
      <c r="E23" s="46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62"/>
    </row>
    <row r="24" spans="1:30" ht="16.5" customHeight="1">
      <c r="A24" s="5"/>
      <c r="B24" s="50"/>
      <c r="C24" s="156" t="s">
        <v>82</v>
      </c>
      <c r="D24" s="3" t="s">
        <v>113</v>
      </c>
      <c r="E24" s="19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AD24" s="17"/>
    </row>
    <row r="25" spans="1:30" ht="10.5" customHeight="1" thickBot="1">
      <c r="A25" s="5"/>
      <c r="B25" s="50"/>
      <c r="C25" s="4"/>
      <c r="D25" s="4"/>
      <c r="E25" s="19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D25" s="17"/>
    </row>
    <row r="26" spans="2:30" s="32" customFormat="1" ht="33" customHeight="1" thickBot="1" thickTop="1">
      <c r="B26" s="457"/>
      <c r="C26" s="84" t="s">
        <v>12</v>
      </c>
      <c r="D26" s="780" t="s">
        <v>0</v>
      </c>
      <c r="E26" s="171" t="s">
        <v>13</v>
      </c>
      <c r="F26" s="781" t="s">
        <v>14</v>
      </c>
      <c r="G26" s="197" t="s">
        <v>57</v>
      </c>
      <c r="H26" s="782" t="s">
        <v>35</v>
      </c>
      <c r="I26" s="133" t="s">
        <v>15</v>
      </c>
      <c r="J26" s="85" t="s">
        <v>16</v>
      </c>
      <c r="K26" s="172" t="s">
        <v>17</v>
      </c>
      <c r="L26" s="87" t="s">
        <v>34</v>
      </c>
      <c r="M26" s="86" t="s">
        <v>29</v>
      </c>
      <c r="N26" s="87" t="s">
        <v>249</v>
      </c>
      <c r="O26" s="87" t="s">
        <v>44</v>
      </c>
      <c r="P26" s="172" t="s">
        <v>45</v>
      </c>
      <c r="Q26" s="85" t="s">
        <v>30</v>
      </c>
      <c r="R26" s="853" t="s">
        <v>19</v>
      </c>
      <c r="S26" s="854" t="s">
        <v>20</v>
      </c>
      <c r="T26" s="855" t="s">
        <v>240</v>
      </c>
      <c r="U26" s="856"/>
      <c r="V26" s="857"/>
      <c r="W26" s="858" t="s">
        <v>250</v>
      </c>
      <c r="X26" s="859"/>
      <c r="Y26" s="860"/>
      <c r="Z26" s="861" t="s">
        <v>21</v>
      </c>
      <c r="AA26" s="862" t="s">
        <v>231</v>
      </c>
      <c r="AB26" s="863" t="s">
        <v>59</v>
      </c>
      <c r="AC26" s="119" t="s">
        <v>22</v>
      </c>
      <c r="AD26" s="462"/>
    </row>
    <row r="27" spans="2:30" s="32" customFormat="1" ht="16.5" customHeight="1" thickTop="1">
      <c r="B27" s="457"/>
      <c r="C27" s="7"/>
      <c r="D27" s="864"/>
      <c r="E27" s="865"/>
      <c r="F27" s="866"/>
      <c r="G27" s="867"/>
      <c r="H27" s="868"/>
      <c r="I27" s="869"/>
      <c r="J27" s="870"/>
      <c r="K27" s="871"/>
      <c r="L27" s="7"/>
      <c r="M27" s="7"/>
      <c r="N27" s="766"/>
      <c r="O27" s="766"/>
      <c r="P27" s="7"/>
      <c r="Q27" s="765"/>
      <c r="R27" s="872"/>
      <c r="S27" s="873"/>
      <c r="T27" s="874"/>
      <c r="U27" s="875"/>
      <c r="V27" s="876"/>
      <c r="W27" s="877"/>
      <c r="X27" s="878"/>
      <c r="Y27" s="879"/>
      <c r="Z27" s="880"/>
      <c r="AA27" s="881"/>
      <c r="AB27" s="882"/>
      <c r="AC27" s="883"/>
      <c r="AD27" s="462"/>
    </row>
    <row r="28" spans="1:30" ht="16.5" customHeight="1">
      <c r="A28" s="5"/>
      <c r="B28" s="50"/>
      <c r="C28" s="702" t="s">
        <v>119</v>
      </c>
      <c r="D28" s="658" t="s">
        <v>245</v>
      </c>
      <c r="E28" s="659">
        <v>500</v>
      </c>
      <c r="F28" s="700">
        <v>354.2</v>
      </c>
      <c r="G28" s="885" t="s">
        <v>143</v>
      </c>
      <c r="H28" s="886">
        <f>IF(G28="A",200,IF(G28="B",60,20))</f>
        <v>20</v>
      </c>
      <c r="I28" s="887">
        <f>IF(F28&gt;100,F28,100)*$F$19/100</f>
        <v>415.048018</v>
      </c>
      <c r="J28" s="650">
        <v>40027.370833333334</v>
      </c>
      <c r="K28" s="651">
        <v>40027.65833333333</v>
      </c>
      <c r="L28" s="889">
        <f>IF(D28="","",(K28-J28)*24)</f>
        <v>6.899999999965075</v>
      </c>
      <c r="M28" s="370">
        <f>IF(D28="","",ROUND((K28-J28)*24*60,0))</f>
        <v>414</v>
      </c>
      <c r="N28" s="469" t="s">
        <v>144</v>
      </c>
      <c r="O28" s="470" t="str">
        <f>IF(D28="","","--")</f>
        <v>--</v>
      </c>
      <c r="P28" s="211" t="str">
        <f>IF(D28="","","NO")</f>
        <v>NO</v>
      </c>
      <c r="Q28" s="211" t="str">
        <f>IF(D28="","",IF(OR(N28="P",N28="RP"),"--","NO"))</f>
        <v>--</v>
      </c>
      <c r="R28" s="890">
        <f>IF(N28="P",+I28*H28*ROUND(M28/60,2)/100,"--")</f>
        <v>572.7662648400001</v>
      </c>
      <c r="S28" s="891" t="str">
        <f>IF(N28="RP",I28*H28*ROUND(M28/60,2)*0.01*O28/100,"--")</f>
        <v>--</v>
      </c>
      <c r="T28" s="892" t="str">
        <f>IF(AND(N28="F",Q28="NO"),IF(P28="SI",1.2,1)*I28*H28,"--")</f>
        <v>--</v>
      </c>
      <c r="U28" s="893" t="str">
        <f>IF(AND(M28&gt;10,N28="F"),IF(M28&lt;=300,ROUND(M28/60,2),5)*I28*H28*IF(P28="SI",1.2,1),"--")</f>
        <v>--</v>
      </c>
      <c r="V28" s="894" t="str">
        <f>IF(AND(N28="F",M28&gt;300),IF(P28="SI",1.2,1)*(ROUND(M28/60,2)-5)*I28*H28*0.1,"--")</f>
        <v>--</v>
      </c>
      <c r="W28" s="895" t="str">
        <f>IF(AND(N28="R",Q28="NO"),IF(P28="SI",1.2,1)*I28*H28*O28/100,"--")</f>
        <v>--</v>
      </c>
      <c r="X28" s="896" t="str">
        <f>IF(AND(M28&gt;10,N28="R"),IF(M28&lt;=300,ROUND(M28/60,2),5)*I28*H28*O28/100*IF(P28="SI",1.2,1),"--")</f>
        <v>--</v>
      </c>
      <c r="Y28" s="897" t="str">
        <f>IF(AND(N28="R",M28&gt;300),IF(P28="SI",1.2,1)*(ROUND(M28/60,2)-5)*I28*H28*O28/100*0.1,"--")</f>
        <v>--</v>
      </c>
      <c r="Z28" s="898" t="str">
        <f>IF(N28="RF",IF(P28="SI",1.2,1)*ROUND(M28/60,2)*I28*H28*0.1,"--")</f>
        <v>--</v>
      </c>
      <c r="AA28" s="899" t="str">
        <f>IF(N28="RR",IF(P28="SI",1.2,1)*ROUND(M28/60,2)*I28*H28*O28/100*0.1,"--")</f>
        <v>--</v>
      </c>
      <c r="AB28" s="900" t="str">
        <f>IF(D28="","","SI")</f>
        <v>SI</v>
      </c>
      <c r="AC28" s="16">
        <f>IF(D28="","",SUM(R28:AA28)*IF(AB28="SI",1,2))</f>
        <v>572.7662648400001</v>
      </c>
      <c r="AD28" s="17"/>
    </row>
    <row r="29" spans="1:30" ht="16.5" customHeight="1">
      <c r="A29" s="5"/>
      <c r="B29" s="50"/>
      <c r="C29" s="702" t="s">
        <v>120</v>
      </c>
      <c r="D29" s="7" t="s">
        <v>244</v>
      </c>
      <c r="E29" s="450">
        <v>500</v>
      </c>
      <c r="F29" s="700">
        <v>202.17</v>
      </c>
      <c r="G29" s="885" t="s">
        <v>143</v>
      </c>
      <c r="H29" s="886">
        <f>IF(G29="A",200,IF(G29="B",60,20))</f>
        <v>20</v>
      </c>
      <c r="I29" s="887">
        <f>IF(F29&gt;100,F29,100)*$F$19/100</f>
        <v>236.90078429999997</v>
      </c>
      <c r="J29" s="888">
        <v>40052.34305555555</v>
      </c>
      <c r="K29" s="451">
        <v>40052.72083333333</v>
      </c>
      <c r="L29" s="889">
        <f>IF(D29="","",(K29-J29)*24)</f>
        <v>9.066666666709352</v>
      </c>
      <c r="M29" s="370">
        <f>IF(D29="","",ROUND((K29-J29)*24*60,0))</f>
        <v>544</v>
      </c>
      <c r="N29" s="469" t="s">
        <v>144</v>
      </c>
      <c r="O29" s="470" t="str">
        <f>IF(D29="","","--")</f>
        <v>--</v>
      </c>
      <c r="P29" s="211" t="str">
        <f>IF(D29="","","NO")</f>
        <v>NO</v>
      </c>
      <c r="Q29" s="211" t="str">
        <f>IF(D29="","",IF(OR(N29="P",N29="RP"),"--","NO"))</f>
        <v>--</v>
      </c>
      <c r="R29" s="890">
        <f>IF(N29="P",+I29*H29*ROUND(M29/60,2)/100,"--")</f>
        <v>429.73802272020004</v>
      </c>
      <c r="S29" s="891" t="str">
        <f>IF(N29="RP",I29*H29*ROUND(M29/60,2)*0.01*O29/100,"--")</f>
        <v>--</v>
      </c>
      <c r="T29" s="892" t="str">
        <f>IF(AND(N29="F",Q29="NO"),IF(P29="SI",1.2,1)*I29*H29,"--")</f>
        <v>--</v>
      </c>
      <c r="U29" s="893" t="str">
        <f>IF(AND(M29&gt;10,N29="F"),IF(M29&lt;=300,ROUND(M29/60,2),5)*I29*H29*IF(P29="SI",1.2,1),"--")</f>
        <v>--</v>
      </c>
      <c r="V29" s="894" t="str">
        <f>IF(AND(N29="F",M29&gt;300),IF(P29="SI",1.2,1)*(ROUND(M29/60,2)-5)*I29*H29*0.1,"--")</f>
        <v>--</v>
      </c>
      <c r="W29" s="895" t="str">
        <f>IF(AND(N29="R",Q29="NO"),IF(P29="SI",1.2,1)*I29*H29*O29/100,"--")</f>
        <v>--</v>
      </c>
      <c r="X29" s="896" t="str">
        <f>IF(AND(M29&gt;10,N29="R"),IF(M29&lt;=300,ROUND(M29/60,2),5)*I29*H29*O29/100*IF(P29="SI",1.2,1),"--")</f>
        <v>--</v>
      </c>
      <c r="Y29" s="897" t="str">
        <f>IF(AND(N29="R",M29&gt;300),IF(P29="SI",1.2,1)*(ROUND(M29/60,2)-5)*I29*H29*O29/100*0.1,"--")</f>
        <v>--</v>
      </c>
      <c r="Z29" s="898" t="str">
        <f>IF(N29="RF",IF(P29="SI",1.2,1)*ROUND(M29/60,2)*I29*H29*0.1,"--")</f>
        <v>--</v>
      </c>
      <c r="AA29" s="899" t="str">
        <f>IF(N29="RR",IF(P29="SI",1.2,1)*ROUND(M29/60,2)*I29*H29*O29/100*0.1,"--")</f>
        <v>--</v>
      </c>
      <c r="AB29" s="900" t="str">
        <f>IF(D29="","","SI")</f>
        <v>SI</v>
      </c>
      <c r="AC29" s="16">
        <f>IF(D29="","",SUM(R29:AA29)*IF(AB29="SI",1,2))</f>
        <v>429.73802272020004</v>
      </c>
      <c r="AD29" s="17"/>
    </row>
    <row r="30" spans="2:31" s="5" customFormat="1" ht="16.5" customHeight="1" thickBot="1">
      <c r="B30" s="50"/>
      <c r="C30" s="500"/>
      <c r="D30" s="901"/>
      <c r="E30" s="902"/>
      <c r="F30" s="903"/>
      <c r="G30" s="904"/>
      <c r="H30" s="905"/>
      <c r="I30" s="906"/>
      <c r="J30" s="907"/>
      <c r="K30" s="907"/>
      <c r="L30" s="9"/>
      <c r="M30" s="9"/>
      <c r="N30" s="9"/>
      <c r="O30" s="908"/>
      <c r="P30" s="9"/>
      <c r="Q30" s="9"/>
      <c r="R30" s="909"/>
      <c r="S30" s="910"/>
      <c r="T30" s="911"/>
      <c r="U30" s="912"/>
      <c r="V30" s="913"/>
      <c r="W30" s="914"/>
      <c r="X30" s="915"/>
      <c r="Y30" s="916"/>
      <c r="Z30" s="917"/>
      <c r="AA30" s="918"/>
      <c r="AB30" s="919"/>
      <c r="AC30" s="920"/>
      <c r="AD30" s="203"/>
      <c r="AE30"/>
    </row>
    <row r="31" spans="1:30" ht="16.5" customHeight="1" thickBot="1" thickTop="1">
      <c r="A31" s="5"/>
      <c r="B31" s="50"/>
      <c r="C31" s="460"/>
      <c r="D31" s="460"/>
      <c r="E31" s="471"/>
      <c r="F31" s="467"/>
      <c r="G31" s="472"/>
      <c r="H31" s="472"/>
      <c r="I31" s="473"/>
      <c r="J31" s="473"/>
      <c r="K31" s="473"/>
      <c r="L31" s="473"/>
      <c r="M31" s="473"/>
      <c r="N31" s="473"/>
      <c r="O31" s="474"/>
      <c r="P31" s="473"/>
      <c r="Q31" s="473"/>
      <c r="R31" s="921">
        <f aca="true" t="shared" si="0" ref="R31:AA31">SUM(R27:R30)</f>
        <v>1002.5042875602</v>
      </c>
      <c r="S31" s="922">
        <f t="shared" si="0"/>
        <v>0</v>
      </c>
      <c r="T31" s="923">
        <f t="shared" si="0"/>
        <v>0</v>
      </c>
      <c r="U31" s="923">
        <f t="shared" si="0"/>
        <v>0</v>
      </c>
      <c r="V31" s="923">
        <f t="shared" si="0"/>
        <v>0</v>
      </c>
      <c r="W31" s="924">
        <f t="shared" si="0"/>
        <v>0</v>
      </c>
      <c r="X31" s="924">
        <f t="shared" si="0"/>
        <v>0</v>
      </c>
      <c r="Y31" s="924">
        <f t="shared" si="0"/>
        <v>0</v>
      </c>
      <c r="Z31" s="925">
        <f t="shared" si="0"/>
        <v>0</v>
      </c>
      <c r="AA31" s="926">
        <f t="shared" si="0"/>
        <v>0</v>
      </c>
      <c r="AB31" s="927"/>
      <c r="AC31" s="928">
        <f>SUM(AC27:AC30)</f>
        <v>1002.5042875602</v>
      </c>
      <c r="AD31" s="17"/>
    </row>
    <row r="32" spans="1:30" ht="16.5" customHeight="1" thickBot="1" thickTop="1">
      <c r="A32" s="5"/>
      <c r="B32" s="50"/>
      <c r="C32" s="460"/>
      <c r="D32" s="460"/>
      <c r="E32" s="471"/>
      <c r="F32" s="467"/>
      <c r="G32" s="472"/>
      <c r="H32" s="472"/>
      <c r="I32" s="473"/>
      <c r="J32" s="473"/>
      <c r="K32" s="473"/>
      <c r="L32" s="473"/>
      <c r="M32" s="473"/>
      <c r="N32" s="473"/>
      <c r="O32" s="474"/>
      <c r="P32" s="473"/>
      <c r="Q32" s="473"/>
      <c r="R32" s="929"/>
      <c r="S32" s="930"/>
      <c r="T32" s="931"/>
      <c r="U32" s="931"/>
      <c r="V32" s="931"/>
      <c r="W32" s="929"/>
      <c r="X32" s="929"/>
      <c r="Y32" s="929"/>
      <c r="Z32" s="929"/>
      <c r="AA32" s="929"/>
      <c r="AB32" s="475"/>
      <c r="AC32" s="476"/>
      <c r="AD32" s="17"/>
    </row>
    <row r="33" spans="1:30" ht="33" customHeight="1" thickBot="1" thickTop="1">
      <c r="A33" s="5"/>
      <c r="B33" s="50"/>
      <c r="C33" s="121" t="s">
        <v>12</v>
      </c>
      <c r="D33" s="117" t="s">
        <v>25</v>
      </c>
      <c r="E33" s="116" t="s">
        <v>26</v>
      </c>
      <c r="F33" s="118" t="s">
        <v>27</v>
      </c>
      <c r="G33" s="119" t="s">
        <v>13</v>
      </c>
      <c r="H33" s="127" t="s">
        <v>15</v>
      </c>
      <c r="I33" s="932"/>
      <c r="J33" s="116" t="s">
        <v>16</v>
      </c>
      <c r="K33" s="116" t="s">
        <v>17</v>
      </c>
      <c r="L33" s="117" t="s">
        <v>28</v>
      </c>
      <c r="M33" s="117" t="s">
        <v>29</v>
      </c>
      <c r="N33" s="87" t="s">
        <v>84</v>
      </c>
      <c r="O33" s="116" t="s">
        <v>30</v>
      </c>
      <c r="P33" s="477" t="s">
        <v>31</v>
      </c>
      <c r="Q33" s="950"/>
      <c r="R33" s="127" t="s">
        <v>32</v>
      </c>
      <c r="S33" s="478" t="s">
        <v>19</v>
      </c>
      <c r="T33" s="479" t="s">
        <v>85</v>
      </c>
      <c r="U33" s="480"/>
      <c r="V33" s="481" t="s">
        <v>21</v>
      </c>
      <c r="W33" s="951"/>
      <c r="X33" s="933"/>
      <c r="Y33" s="933"/>
      <c r="Z33" s="933"/>
      <c r="AA33" s="934"/>
      <c r="AB33" s="130" t="s">
        <v>59</v>
      </c>
      <c r="AC33" s="119" t="s">
        <v>22</v>
      </c>
      <c r="AD33" s="17"/>
    </row>
    <row r="34" spans="1:30" ht="16.5" customHeight="1" thickTop="1">
      <c r="A34" s="32"/>
      <c r="B34" s="50"/>
      <c r="C34" s="7"/>
      <c r="D34" s="10"/>
      <c r="E34" s="10"/>
      <c r="F34" s="10"/>
      <c r="G34" s="482"/>
      <c r="H34" s="483"/>
      <c r="I34" s="935"/>
      <c r="J34" s="10"/>
      <c r="K34" s="10"/>
      <c r="L34" s="10"/>
      <c r="M34" s="10"/>
      <c r="N34" s="10"/>
      <c r="O34" s="484"/>
      <c r="P34" s="960"/>
      <c r="Q34" s="961"/>
      <c r="R34" s="131"/>
      <c r="S34" s="485"/>
      <c r="T34" s="486"/>
      <c r="U34" s="487"/>
      <c r="V34" s="488"/>
      <c r="W34" s="952"/>
      <c r="X34" s="936"/>
      <c r="Y34" s="936"/>
      <c r="Z34" s="936"/>
      <c r="AA34" s="937"/>
      <c r="AB34" s="484"/>
      <c r="AC34" s="489"/>
      <c r="AD34" s="217"/>
    </row>
    <row r="35" spans="1:30" ht="16.5" customHeight="1">
      <c r="A35" s="32"/>
      <c r="B35" s="50"/>
      <c r="C35" s="702" t="s">
        <v>119</v>
      </c>
      <c r="D35" s="264"/>
      <c r="E35" s="264"/>
      <c r="F35" s="264"/>
      <c r="G35" s="265"/>
      <c r="H35" s="494">
        <f>F35*$F$20</f>
        <v>0</v>
      </c>
      <c r="I35" s="938"/>
      <c r="J35" s="495"/>
      <c r="K35" s="495"/>
      <c r="L35" s="282">
        <f>IF(D35="","",(K35-J35)*24)</f>
      </c>
      <c r="M35" s="14">
        <f>IF(D35="","",(K35-J35)*24*60)</f>
      </c>
      <c r="N35" s="13"/>
      <c r="O35" s="8">
        <f>IF(D35="","",IF(OR(N35="P",N35="RP"),"--","NO"))</f>
      </c>
      <c r="P35" s="962">
        <f>IF(D35="","","NO")</f>
      </c>
      <c r="Q35" s="963"/>
      <c r="R35" s="496">
        <f>200*IF(P35="SI",1,0.1)*IF(N35="P",0.1,1)</f>
        <v>20</v>
      </c>
      <c r="S35" s="497" t="str">
        <f>IF(N35="P",H35*R35*ROUND(M35/60,2),"--")</f>
        <v>--</v>
      </c>
      <c r="T35" s="498" t="str">
        <f>IF(AND(N35="F",O35="NO"),H35*R35,"--")</f>
        <v>--</v>
      </c>
      <c r="U35" s="499" t="str">
        <f>IF(N35="F",H35*R35*ROUND(M35/60,2),"--")</f>
        <v>--</v>
      </c>
      <c r="V35" s="364" t="str">
        <f>IF(N35="RF",H35*R35*ROUND(M35/60,2),"--")</f>
        <v>--</v>
      </c>
      <c r="W35" s="953"/>
      <c r="X35" s="939"/>
      <c r="Y35" s="939"/>
      <c r="Z35" s="939"/>
      <c r="AA35" s="940"/>
      <c r="AB35" s="292">
        <f>IF(D35="","","SI")</f>
      </c>
      <c r="AC35" s="293">
        <f>IF(D35="","",SUM(S35:V35)*IF(AB35="SI",1,2))</f>
      </c>
      <c r="AD35" s="217"/>
    </row>
    <row r="36" spans="1:30" ht="16.5" customHeight="1">
      <c r="A36" s="32"/>
      <c r="B36" s="50"/>
      <c r="C36" s="702" t="s">
        <v>120</v>
      </c>
      <c r="D36" s="490"/>
      <c r="E36" s="491"/>
      <c r="F36" s="492"/>
      <c r="G36" s="493"/>
      <c r="H36" s="494">
        <f>F36*$F$20</f>
        <v>0</v>
      </c>
      <c r="I36" s="938"/>
      <c r="J36" s="495"/>
      <c r="K36" s="495"/>
      <c r="L36" s="282">
        <f>IF(D36="","",(K36-J36)*24)</f>
      </c>
      <c r="M36" s="14">
        <f>IF(D36="","",(K36-J36)*24*60)</f>
      </c>
      <c r="N36" s="13"/>
      <c r="O36" s="8">
        <f>IF(D36="","",IF(OR(N36="P",N36="RP"),"--","NO"))</f>
      </c>
      <c r="P36" s="962">
        <f>IF(D36="","","NO")</f>
      </c>
      <c r="Q36" s="963"/>
      <c r="R36" s="496">
        <f>200*IF(P36="SI",1,0.1)*IF(N36="P",0.1,1)</f>
        <v>20</v>
      </c>
      <c r="S36" s="497" t="str">
        <f>IF(N36="P",H36*R36*ROUND(M36/60,2),"--")</f>
        <v>--</v>
      </c>
      <c r="T36" s="498" t="str">
        <f>IF(AND(N36="F",O36="NO"),H36*R36,"--")</f>
        <v>--</v>
      </c>
      <c r="U36" s="499" t="str">
        <f>IF(N36="F",H36*R36*ROUND(M36/60,2),"--")</f>
        <v>--</v>
      </c>
      <c r="V36" s="364" t="str">
        <f>IF(N36="RF",H36*R36*ROUND(M36/60,2),"--")</f>
        <v>--</v>
      </c>
      <c r="W36" s="953"/>
      <c r="X36" s="939"/>
      <c r="Y36" s="939"/>
      <c r="Z36" s="939"/>
      <c r="AA36" s="940"/>
      <c r="AB36" s="292">
        <f>IF(D36="","","SI")</f>
      </c>
      <c r="AC36" s="293">
        <f>IF(D36="","",SUM(S36:V36)*IF(AB36="SI",1,2))</f>
      </c>
      <c r="AD36" s="217"/>
    </row>
    <row r="37" spans="1:33" s="5" customFormat="1" ht="16.5" customHeight="1" thickBot="1">
      <c r="A37" s="88"/>
      <c r="B37" s="93"/>
      <c r="C37" s="500"/>
      <c r="D37" s="501"/>
      <c r="E37" s="502"/>
      <c r="F37" s="503"/>
      <c r="G37" s="504"/>
      <c r="H37" s="505"/>
      <c r="I37" s="941"/>
      <c r="J37" s="506"/>
      <c r="K37" s="507"/>
      <c r="L37" s="508"/>
      <c r="M37" s="509"/>
      <c r="N37" s="510"/>
      <c r="O37" s="9"/>
      <c r="P37" s="964"/>
      <c r="Q37" s="965"/>
      <c r="R37" s="511"/>
      <c r="S37" s="512"/>
      <c r="T37" s="513"/>
      <c r="U37" s="514"/>
      <c r="V37" s="515"/>
      <c r="W37" s="954"/>
      <c r="X37" s="942"/>
      <c r="Y37" s="942"/>
      <c r="Z37" s="942"/>
      <c r="AA37" s="943"/>
      <c r="AB37" s="516"/>
      <c r="AC37" s="517"/>
      <c r="AD37" s="17"/>
      <c r="AF37"/>
      <c r="AG37"/>
    </row>
    <row r="38" spans="1:30" ht="16.5" customHeight="1" thickBot="1" thickTop="1">
      <c r="A38" s="5"/>
      <c r="B38" s="50"/>
      <c r="C38" s="96"/>
      <c r="D38" s="196"/>
      <c r="E38" s="196"/>
      <c r="F38" s="395"/>
      <c r="G38" s="518"/>
      <c r="H38" s="967"/>
      <c r="I38" s="968"/>
      <c r="J38" s="974"/>
      <c r="K38" s="975"/>
      <c r="L38" s="522"/>
      <c r="M38" s="523"/>
      <c r="N38" s="519"/>
      <c r="O38" s="184"/>
      <c r="P38" s="530"/>
      <c r="Q38" s="530"/>
      <c r="R38" s="969"/>
      <c r="S38" s="970"/>
      <c r="T38" s="971"/>
      <c r="U38" s="971"/>
      <c r="V38" s="972"/>
      <c r="W38" s="973"/>
      <c r="X38" s="973"/>
      <c r="Y38" s="973"/>
      <c r="Z38" s="973"/>
      <c r="AA38" s="973"/>
      <c r="AB38" s="185"/>
      <c r="AC38" s="528">
        <f>SUM(AC35:AC36)</f>
        <v>0</v>
      </c>
      <c r="AD38" s="17"/>
    </row>
    <row r="39" spans="1:30" ht="16.5" customHeight="1" thickBot="1" thickTop="1">
      <c r="A39" s="5"/>
      <c r="B39" s="50"/>
      <c r="C39" s="96"/>
      <c r="D39" s="196"/>
      <c r="E39" s="196"/>
      <c r="F39" s="395"/>
      <c r="G39" s="518"/>
      <c r="H39" s="519"/>
      <c r="I39" s="520"/>
      <c r="J39" s="468" t="s">
        <v>40</v>
      </c>
      <c r="K39" s="852">
        <f>AC31+AC38</f>
        <v>1002.5042875602</v>
      </c>
      <c r="L39" s="523"/>
      <c r="M39" s="519"/>
      <c r="N39" s="529"/>
      <c r="O39" s="530"/>
      <c r="P39" s="525"/>
      <c r="Q39" s="526"/>
      <c r="R39" s="527"/>
      <c r="S39" s="527"/>
      <c r="T39" s="527"/>
      <c r="U39" s="185"/>
      <c r="V39" s="185"/>
      <c r="W39" s="185"/>
      <c r="X39" s="185"/>
      <c r="Y39" s="185"/>
      <c r="Z39" s="185"/>
      <c r="AA39" s="185"/>
      <c r="AB39" s="185"/>
      <c r="AC39" s="946"/>
      <c r="AD39" s="17"/>
    </row>
    <row r="40" spans="1:30" ht="16.5" customHeight="1" thickTop="1">
      <c r="A40" s="5"/>
      <c r="B40" s="50"/>
      <c r="C40" s="460"/>
      <c r="D40" s="531"/>
      <c r="E40" s="532"/>
      <c r="F40" s="533"/>
      <c r="G40" s="534"/>
      <c r="H40" s="534"/>
      <c r="I40" s="532"/>
      <c r="J40" s="445"/>
      <c r="K40" s="445"/>
      <c r="L40" s="532"/>
      <c r="M40" s="532"/>
      <c r="N40" s="532"/>
      <c r="O40" s="535"/>
      <c r="P40" s="532"/>
      <c r="Q40" s="532"/>
      <c r="R40" s="536"/>
      <c r="S40" s="537"/>
      <c r="T40" s="537"/>
      <c r="U40" s="538"/>
      <c r="AC40" s="538"/>
      <c r="AD40" s="17"/>
    </row>
    <row r="41" spans="1:30" ht="16.5" customHeight="1">
      <c r="A41" s="32"/>
      <c r="B41" s="50"/>
      <c r="C41" s="540" t="s">
        <v>83</v>
      </c>
      <c r="D41" s="541" t="s">
        <v>114</v>
      </c>
      <c r="E41" s="532"/>
      <c r="F41" s="533"/>
      <c r="G41" s="534"/>
      <c r="H41" s="534"/>
      <c r="I41" s="532"/>
      <c r="J41" s="445"/>
      <c r="K41" s="445"/>
      <c r="L41" s="532"/>
      <c r="M41" s="532"/>
      <c r="N41" s="532"/>
      <c r="O41" s="535"/>
      <c r="P41" s="532"/>
      <c r="Q41" s="532"/>
      <c r="R41" s="536"/>
      <c r="S41" s="537"/>
      <c r="T41" s="537"/>
      <c r="U41" s="538"/>
      <c r="AC41" s="538"/>
      <c r="AD41" s="217"/>
    </row>
    <row r="42" spans="1:30" ht="16.5" customHeight="1">
      <c r="A42" s="32"/>
      <c r="B42" s="50"/>
      <c r="C42" s="540"/>
      <c r="D42" s="531"/>
      <c r="E42" s="532"/>
      <c r="F42" s="533"/>
      <c r="G42" s="534"/>
      <c r="H42" s="534"/>
      <c r="I42" s="532"/>
      <c r="J42" s="445"/>
      <c r="K42" s="445"/>
      <c r="L42" s="532"/>
      <c r="M42" s="532"/>
      <c r="N42" s="532"/>
      <c r="O42" s="535"/>
      <c r="P42" s="532"/>
      <c r="Q42" s="532"/>
      <c r="R42" s="532"/>
      <c r="S42" s="536"/>
      <c r="T42" s="537"/>
      <c r="AD42" s="217"/>
    </row>
    <row r="43" spans="1:30" ht="16.5" customHeight="1">
      <c r="A43" s="32"/>
      <c r="B43" s="50"/>
      <c r="C43" s="460"/>
      <c r="D43" s="542" t="s">
        <v>0</v>
      </c>
      <c r="E43" s="473" t="s">
        <v>251</v>
      </c>
      <c r="F43" s="473" t="s">
        <v>41</v>
      </c>
      <c r="G43" s="543" t="s">
        <v>273</v>
      </c>
      <c r="H43" s="474"/>
      <c r="I43" s="473"/>
      <c r="L43" s="544" t="s">
        <v>274</v>
      </c>
      <c r="Q43" s="547"/>
      <c r="R43" s="547"/>
      <c r="S43" s="33"/>
      <c r="X43" s="33"/>
      <c r="Y43" s="33"/>
      <c r="Z43" s="33"/>
      <c r="AA43" s="33"/>
      <c r="AB43" s="33"/>
      <c r="AC43" s="947" t="s">
        <v>276</v>
      </c>
      <c r="AD43" s="217"/>
    </row>
    <row r="44" spans="1:30" ht="16.5" customHeight="1">
      <c r="A44" s="32"/>
      <c r="B44" s="457"/>
      <c r="C44" s="460"/>
      <c r="D44" s="473" t="s">
        <v>269</v>
      </c>
      <c r="E44" s="548">
        <v>354</v>
      </c>
      <c r="F44" s="548">
        <v>500</v>
      </c>
      <c r="G44" s="549">
        <f>E44*$F$19*$L$20/100</f>
        <v>308621.36304</v>
      </c>
      <c r="H44" s="549"/>
      <c r="I44" s="549"/>
      <c r="J44" s="166"/>
      <c r="L44" s="550">
        <v>48834</v>
      </c>
      <c r="M44" s="166"/>
      <c r="N44" s="551" t="str">
        <f>"(DTE "&amp;'[1]DATO'!$G$14&amp;'[1]DATO'!$H$14&amp;")"</f>
        <v>(DTE 0709)</v>
      </c>
      <c r="Q44" s="547"/>
      <c r="R44" s="547"/>
      <c r="S44" s="33"/>
      <c r="X44" s="33"/>
      <c r="Y44" s="33"/>
      <c r="Z44" s="33"/>
      <c r="AA44" s="33"/>
      <c r="AB44" s="948"/>
      <c r="AC44" s="851">
        <f>L44+G44</f>
        <v>357455.36304</v>
      </c>
      <c r="AD44" s="539"/>
    </row>
    <row r="45" spans="1:30" ht="16.5" customHeight="1">
      <c r="A45" s="32"/>
      <c r="B45" s="457"/>
      <c r="C45" s="460"/>
      <c r="D45" s="473" t="s">
        <v>291</v>
      </c>
      <c r="E45" s="548">
        <v>202.2</v>
      </c>
      <c r="F45" s="548">
        <v>500</v>
      </c>
      <c r="G45" s="549">
        <f>E45*$F$19*$L$20/100</f>
        <v>176280.337872</v>
      </c>
      <c r="H45" s="549"/>
      <c r="I45" s="549"/>
      <c r="J45" s="166"/>
      <c r="L45" s="550">
        <v>0</v>
      </c>
      <c r="M45" s="166"/>
      <c r="N45" s="551" t="str">
        <f>"(DTE "&amp;'[1]DATO'!$G$14&amp;'[1]DATO'!$H$14&amp;")"</f>
        <v>(DTE 0709)</v>
      </c>
      <c r="Q45" s="547"/>
      <c r="R45" s="547"/>
      <c r="S45" s="33"/>
      <c r="X45" s="33"/>
      <c r="Y45" s="33"/>
      <c r="Z45" s="33"/>
      <c r="AA45" s="33"/>
      <c r="AB45" s="948"/>
      <c r="AC45" s="851">
        <f>L45+G45</f>
        <v>176280.337872</v>
      </c>
      <c r="AD45" s="539"/>
    </row>
    <row r="46" spans="1:30" ht="16.5" customHeight="1">
      <c r="A46" s="32"/>
      <c r="B46" s="457"/>
      <c r="C46" s="460"/>
      <c r="D46" s="552"/>
      <c r="E46" s="548"/>
      <c r="F46" s="548"/>
      <c r="G46" s="549"/>
      <c r="H46" s="552"/>
      <c r="I46" s="553"/>
      <c r="J46" s="166"/>
      <c r="L46" s="549"/>
      <c r="M46" s="166"/>
      <c r="N46" s="551"/>
      <c r="O46" s="949"/>
      <c r="Q46" s="547"/>
      <c r="R46" s="547"/>
      <c r="S46" s="33"/>
      <c r="X46" s="33"/>
      <c r="Y46" s="33"/>
      <c r="Z46" s="33"/>
      <c r="AA46" s="33"/>
      <c r="AB46" s="33"/>
      <c r="AC46" s="851"/>
      <c r="AD46" s="539"/>
    </row>
    <row r="47" spans="2:30" s="32" customFormat="1" ht="16.5" customHeight="1">
      <c r="B47" s="457"/>
      <c r="C47" s="460"/>
      <c r="E47" s="464"/>
      <c r="F47" s="473"/>
      <c r="G47" s="474"/>
      <c r="H47"/>
      <c r="I47" s="473"/>
      <c r="J47" s="473"/>
      <c r="K47"/>
      <c r="L47" s="851"/>
      <c r="M47" s="546"/>
      <c r="N47" s="546"/>
      <c r="O47" s="547"/>
      <c r="P47" s="547"/>
      <c r="Q47" s="547"/>
      <c r="R47" s="547"/>
      <c r="S47" s="33"/>
      <c r="T47"/>
      <c r="U47"/>
      <c r="V47"/>
      <c r="W47"/>
      <c r="X47" s="33"/>
      <c r="Y47" s="33"/>
      <c r="Z47" s="33"/>
      <c r="AA47" s="33"/>
      <c r="AB47" s="33"/>
      <c r="AC47" s="851"/>
      <c r="AD47" s="539"/>
    </row>
    <row r="48" spans="2:30" s="32" customFormat="1" ht="16.5" customHeight="1">
      <c r="B48" s="457"/>
      <c r="C48" s="460"/>
      <c r="D48" s="542" t="s">
        <v>92</v>
      </c>
      <c r="E48" s="473" t="s">
        <v>93</v>
      </c>
      <c r="F48" s="473" t="s">
        <v>41</v>
      </c>
      <c r="G48" s="543" t="s">
        <v>115</v>
      </c>
      <c r="H48"/>
      <c r="I48" s="545"/>
      <c r="J48" s="473"/>
      <c r="K48"/>
      <c r="L48" s="544" t="s">
        <v>275</v>
      </c>
      <c r="M48" s="545"/>
      <c r="N48" s="546"/>
      <c r="O48" s="547"/>
      <c r="P48" s="547"/>
      <c r="Q48" s="547"/>
      <c r="R48" s="547"/>
      <c r="S48" s="547"/>
      <c r="T48"/>
      <c r="U48"/>
      <c r="V48"/>
      <c r="W48"/>
      <c r="X48"/>
      <c r="Y48"/>
      <c r="Z48"/>
      <c r="AA48"/>
      <c r="AB48"/>
      <c r="AC48" s="851"/>
      <c r="AD48" s="539"/>
    </row>
    <row r="49" spans="2:30" s="32" customFormat="1" ht="16.5" customHeight="1">
      <c r="B49" s="457"/>
      <c r="C49" s="460"/>
      <c r="D49" s="473" t="s">
        <v>270</v>
      </c>
      <c r="E49" s="548">
        <v>450</v>
      </c>
      <c r="F49" s="548" t="s">
        <v>271</v>
      </c>
      <c r="G49" s="549">
        <f>E49*F20*L20</f>
        <v>106801.20000000001</v>
      </c>
      <c r="H49" s="778"/>
      <c r="I49" s="778"/>
      <c r="J49" s="550"/>
      <c r="K49" s="1"/>
      <c r="L49" s="549">
        <v>0</v>
      </c>
      <c r="M49" s="778"/>
      <c r="N49" s="551" t="str">
        <f>"(DTE "&amp;'[1]DATO'!$G$14&amp;'[1]DATO'!$H$14&amp;")"</f>
        <v>(DTE 0709)</v>
      </c>
      <c r="O49" s="580"/>
      <c r="P49" s="580"/>
      <c r="Q49" s="982"/>
      <c r="R49" s="982"/>
      <c r="S49" s="982"/>
      <c r="T49" s="981"/>
      <c r="U49" s="981"/>
      <c r="V49" s="981"/>
      <c r="W49" s="981"/>
      <c r="X49" s="981"/>
      <c r="Y49" s="981"/>
      <c r="Z49" s="981"/>
      <c r="AA49" s="981"/>
      <c r="AB49" s="981"/>
      <c r="AC49" s="959">
        <f>G49</f>
        <v>106801.20000000001</v>
      </c>
      <c r="AD49" s="539"/>
    </row>
    <row r="50" spans="2:30" s="32" customFormat="1" ht="16.5" customHeight="1" thickBot="1">
      <c r="B50" s="457"/>
      <c r="C50" s="460"/>
      <c r="D50" s="473"/>
      <c r="E50" s="548"/>
      <c r="F50" s="548"/>
      <c r="G50" s="549"/>
      <c r="H50" s="166"/>
      <c r="I50" s="166"/>
      <c r="J50" s="550"/>
      <c r="K50"/>
      <c r="L50" s="550"/>
      <c r="M50" s="166"/>
      <c r="N50" s="551"/>
      <c r="O50" s="580"/>
      <c r="P50" s="580"/>
      <c r="Q50" s="580"/>
      <c r="R50" s="580"/>
      <c r="S50" s="580"/>
      <c r="T50"/>
      <c r="U50"/>
      <c r="V50"/>
      <c r="W50"/>
      <c r="X50"/>
      <c r="Y50"/>
      <c r="Z50"/>
      <c r="AA50"/>
      <c r="AB50"/>
      <c r="AC50" s="957"/>
      <c r="AD50" s="539"/>
    </row>
    <row r="51" spans="2:30" s="32" customFormat="1" ht="16.5" customHeight="1" thickBot="1" thickTop="1">
      <c r="B51" s="457"/>
      <c r="C51" s="460"/>
      <c r="D51" s="445"/>
      <c r="E51" s="464"/>
      <c r="F51" s="473"/>
      <c r="G51" s="473"/>
      <c r="H51" s="474"/>
      <c r="I51"/>
      <c r="J51" s="473"/>
      <c r="K51"/>
      <c r="L51" s="554"/>
      <c r="M51" s="546"/>
      <c r="N51" s="546"/>
      <c r="O51" s="547"/>
      <c r="P51" s="547"/>
      <c r="Q51" s="547"/>
      <c r="R51" s="547"/>
      <c r="S51" s="547"/>
      <c r="T51"/>
      <c r="U51"/>
      <c r="V51"/>
      <c r="W51"/>
      <c r="X51"/>
      <c r="Y51"/>
      <c r="Z51"/>
      <c r="AA51"/>
      <c r="AB51" s="979" t="s">
        <v>42</v>
      </c>
      <c r="AC51" s="980">
        <f>SUM(AC44:AC50)</f>
        <v>640536.9009120001</v>
      </c>
      <c r="AD51" s="539"/>
    </row>
    <row r="52" spans="2:30" s="32" customFormat="1" ht="16.5" customHeight="1" thickTop="1">
      <c r="B52" s="457"/>
      <c r="C52" s="460"/>
      <c r="D52" s="445"/>
      <c r="E52" s="464"/>
      <c r="F52" s="473"/>
      <c r="G52" s="473"/>
      <c r="H52" s="474"/>
      <c r="I52"/>
      <c r="J52" s="473"/>
      <c r="K52"/>
      <c r="L52" s="554"/>
      <c r="M52" s="546"/>
      <c r="N52" s="546"/>
      <c r="O52" s="547"/>
      <c r="P52" s="547"/>
      <c r="Q52" s="547"/>
      <c r="R52" s="547"/>
      <c r="S52" s="547"/>
      <c r="T52"/>
      <c r="U52"/>
      <c r="V52"/>
      <c r="W52"/>
      <c r="X52"/>
      <c r="Y52"/>
      <c r="Z52"/>
      <c r="AA52"/>
      <c r="AB52" s="984"/>
      <c r="AC52" s="459"/>
      <c r="AD52" s="539"/>
    </row>
    <row r="53" spans="1:30" ht="16.5" customHeight="1">
      <c r="A53" s="32"/>
      <c r="B53" s="457"/>
      <c r="C53" s="156" t="s">
        <v>86</v>
      </c>
      <c r="D53" s="3" t="s">
        <v>112</v>
      </c>
      <c r="I53" s="4"/>
      <c r="J53" s="32"/>
      <c r="O53" s="4"/>
      <c r="P53" s="4"/>
      <c r="Q53" s="4"/>
      <c r="R53" s="4"/>
      <c r="S53" s="4"/>
      <c r="T53" s="4"/>
      <c r="V53" s="4"/>
      <c r="X53" s="4"/>
      <c r="Y53" s="4"/>
      <c r="Z53" s="4"/>
      <c r="AA53" s="4"/>
      <c r="AB53" s="4"/>
      <c r="AC53" s="4"/>
      <c r="AD53" s="539"/>
    </row>
    <row r="54" spans="1:30" ht="16.5" customHeight="1" thickBot="1">
      <c r="A54" s="32"/>
      <c r="B54" s="457"/>
      <c r="C54" s="66"/>
      <c r="D54" s="3"/>
      <c r="I54" s="4"/>
      <c r="J54" s="32"/>
      <c r="O54" s="4"/>
      <c r="P54" s="4"/>
      <c r="Q54" s="4"/>
      <c r="R54" s="4"/>
      <c r="S54" s="4"/>
      <c r="T54" s="4"/>
      <c r="V54" s="4"/>
      <c r="X54" s="4"/>
      <c r="Y54" s="4"/>
      <c r="Z54" s="4"/>
      <c r="AA54" s="4"/>
      <c r="AB54" s="4"/>
      <c r="AC54" s="4"/>
      <c r="AD54" s="539"/>
    </row>
    <row r="55" spans="1:30" ht="16.5" customHeight="1" thickBot="1" thickTop="1">
      <c r="A55" s="32"/>
      <c r="B55" s="457"/>
      <c r="C55" s="460"/>
      <c r="J55" s="468" t="s">
        <v>43</v>
      </c>
      <c r="K55" s="852">
        <f>L19*AC55</f>
        <v>20126.52952128</v>
      </c>
      <c r="M55" s="32"/>
      <c r="N55" s="32"/>
      <c r="O55" s="32"/>
      <c r="P55" s="32"/>
      <c r="Q55" s="32"/>
      <c r="R55" s="32"/>
      <c r="V55" s="32"/>
      <c r="X55" s="32"/>
      <c r="Y55" s="32"/>
      <c r="Z55" s="32"/>
      <c r="AA55" s="32"/>
      <c r="AB55" s="979" t="s">
        <v>296</v>
      </c>
      <c r="AC55" s="980">
        <v>503163.238032</v>
      </c>
      <c r="AD55" s="539"/>
    </row>
    <row r="56" spans="1:30" ht="16.5" customHeight="1" thickTop="1">
      <c r="A56" s="32"/>
      <c r="B56" s="457"/>
      <c r="C56" s="460"/>
      <c r="D56" s="33"/>
      <c r="E56" s="467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V56" s="32"/>
      <c r="X56" s="32"/>
      <c r="Y56" s="32"/>
      <c r="Z56" s="32"/>
      <c r="AA56" s="32"/>
      <c r="AB56" s="32"/>
      <c r="AC56" s="32"/>
      <c r="AD56" s="539"/>
    </row>
    <row r="57" spans="2:30" ht="16.5" customHeight="1">
      <c r="B57" s="457"/>
      <c r="C57" s="540" t="s">
        <v>87</v>
      </c>
      <c r="D57" s="555" t="s">
        <v>88</v>
      </c>
      <c r="E57" s="473"/>
      <c r="F57" s="556"/>
      <c r="G57" s="472"/>
      <c r="H57" s="445"/>
      <c r="I57" s="445"/>
      <c r="J57" s="445"/>
      <c r="K57" s="473"/>
      <c r="L57" s="473"/>
      <c r="M57" s="445"/>
      <c r="N57" s="473"/>
      <c r="O57" s="445"/>
      <c r="P57" s="445"/>
      <c r="Q57" s="445"/>
      <c r="R57" s="445"/>
      <c r="S57" s="445"/>
      <c r="T57" s="445"/>
      <c r="U57" s="445"/>
      <c r="AC57" s="445"/>
      <c r="AD57" s="539"/>
    </row>
    <row r="58" spans="2:30" s="32" customFormat="1" ht="16.5" customHeight="1">
      <c r="B58" s="457"/>
      <c r="C58" s="460"/>
      <c r="D58" s="542" t="s">
        <v>89</v>
      </c>
      <c r="E58" s="557">
        <f>10*K39*K55/AC51</f>
        <v>315.0003084921745</v>
      </c>
      <c r="G58" s="472"/>
      <c r="L58" s="473"/>
      <c r="N58" s="473"/>
      <c r="O58" s="474"/>
      <c r="V58"/>
      <c r="W58"/>
      <c r="AD58" s="539"/>
    </row>
    <row r="59" spans="2:30" s="32" customFormat="1" ht="16.5" customHeight="1">
      <c r="B59" s="457"/>
      <c r="C59" s="460"/>
      <c r="E59" s="558"/>
      <c r="F59" s="467"/>
      <c r="G59" s="472"/>
      <c r="J59" s="472"/>
      <c r="K59" s="476"/>
      <c r="L59" s="473"/>
      <c r="M59" s="473"/>
      <c r="N59" s="473"/>
      <c r="O59" s="474"/>
      <c r="P59" s="473"/>
      <c r="Q59" s="473"/>
      <c r="R59" s="475"/>
      <c r="S59" s="475"/>
      <c r="T59" s="475"/>
      <c r="U59" s="559"/>
      <c r="V59"/>
      <c r="W59"/>
      <c r="AC59" s="559"/>
      <c r="AD59" s="539"/>
    </row>
    <row r="60" spans="2:30" ht="16.5" customHeight="1">
      <c r="B60" s="457"/>
      <c r="C60" s="460"/>
      <c r="D60" s="560" t="s">
        <v>272</v>
      </c>
      <c r="E60" s="561"/>
      <c r="F60" s="467"/>
      <c r="G60" s="472"/>
      <c r="H60" s="445"/>
      <c r="I60" s="445"/>
      <c r="N60" s="473"/>
      <c r="O60" s="474"/>
      <c r="P60" s="473"/>
      <c r="Q60" s="473"/>
      <c r="R60" s="545"/>
      <c r="S60" s="545"/>
      <c r="T60" s="545"/>
      <c r="U60" s="546"/>
      <c r="AC60" s="546"/>
      <c r="AD60" s="539"/>
    </row>
    <row r="61" spans="2:30" ht="16.5" customHeight="1" thickBot="1">
      <c r="B61" s="457"/>
      <c r="C61" s="460"/>
      <c r="D61" s="560"/>
      <c r="E61" s="561"/>
      <c r="F61" s="467"/>
      <c r="G61" s="472"/>
      <c r="H61" s="445"/>
      <c r="I61" s="445"/>
      <c r="N61" s="473"/>
      <c r="O61" s="474"/>
      <c r="P61" s="473"/>
      <c r="Q61" s="473"/>
      <c r="R61" s="545"/>
      <c r="S61" s="545"/>
      <c r="T61" s="545"/>
      <c r="U61" s="546"/>
      <c r="AC61" s="546"/>
      <c r="AD61" s="539"/>
    </row>
    <row r="62" spans="2:30" s="562" customFormat="1" ht="24" thickBot="1" thickTop="1">
      <c r="B62" s="563"/>
      <c r="C62" s="564"/>
      <c r="D62" s="565"/>
      <c r="E62" s="566"/>
      <c r="F62" s="567"/>
      <c r="G62" s="568"/>
      <c r="I62"/>
      <c r="J62" s="569" t="s">
        <v>90</v>
      </c>
      <c r="K62" s="570">
        <f>IF(E58&gt;3*K55,K55*3,E58)</f>
        <v>315.0003084921745</v>
      </c>
      <c r="L62" s="966"/>
      <c r="M62" s="983"/>
      <c r="N62" s="565" t="s">
        <v>297</v>
      </c>
      <c r="P62" s="571"/>
      <c r="Q62" s="571"/>
      <c r="R62" s="573"/>
      <c r="S62" s="573"/>
      <c r="T62" s="573"/>
      <c r="U62" s="574"/>
      <c r="V62"/>
      <c r="W62"/>
      <c r="AC62" s="574"/>
      <c r="AD62" s="575"/>
    </row>
    <row r="63" spans="2:30" ht="16.5" customHeight="1" thickBot="1" thickTop="1"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86"/>
      <c r="W63" s="186"/>
      <c r="X63" s="186"/>
      <c r="Y63" s="186"/>
      <c r="Z63" s="186"/>
      <c r="AA63" s="186"/>
      <c r="AB63" s="186"/>
      <c r="AC63" s="59"/>
      <c r="AD63" s="576"/>
    </row>
    <row r="64" spans="2:23" ht="16.5" customHeight="1" thickTop="1">
      <c r="B64" s="1"/>
      <c r="C64" s="73"/>
      <c r="W64" s="1"/>
    </row>
  </sheetData>
  <sheetProtection password="CC12"/>
  <printOptions horizontalCentered="1"/>
  <pageMargins left="0.3937007874015748" right="0.1968503937007874" top="0.39" bottom="0.3" header="0.3" footer="0.18"/>
  <pageSetup orientation="landscape" paperSize="9" scale="50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1"/>
  <dimension ref="A1:AD63"/>
  <sheetViews>
    <sheetView zoomScale="50" zoomScaleNormal="50" workbookViewId="0" topLeftCell="A19">
      <selection activeCell="F19" sqref="F19"/>
    </sheetView>
  </sheetViews>
  <sheetFormatPr defaultColWidth="11.421875" defaultRowHeight="12.75"/>
  <cols>
    <col min="1" max="1" width="19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8.710937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1"/>
      <c r="AD1" s="582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55" customFormat="1" ht="30.75">
      <c r="A3" s="452"/>
      <c r="B3" s="453" t="str">
        <f>+'TOT-0809'!B2</f>
        <v>ANEXO III al Memorándum D.T.E.E. N°   256 /2011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AB3" s="454"/>
      <c r="AC3" s="454"/>
      <c r="AD3" s="454"/>
    </row>
    <row r="4" spans="1:2" s="25" customFormat="1" ht="11.25">
      <c r="A4" s="577" t="s">
        <v>1</v>
      </c>
      <c r="B4" s="578"/>
    </row>
    <row r="5" spans="1:2" s="25" customFormat="1" ht="12" thickBot="1">
      <c r="A5" s="577" t="s">
        <v>2</v>
      </c>
      <c r="B5" s="577"/>
    </row>
    <row r="6" spans="1:23" ht="16.5" customHeight="1" thickTop="1">
      <c r="A6" s="5"/>
      <c r="B6" s="69"/>
      <c r="C6" s="70"/>
      <c r="D6" s="70"/>
      <c r="E6" s="187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2"/>
    </row>
    <row r="7" spans="1:23" ht="20.25">
      <c r="A7" s="5"/>
      <c r="B7" s="50"/>
      <c r="C7" s="4"/>
      <c r="D7" s="168" t="s">
        <v>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68" t="s">
        <v>79</v>
      </c>
      <c r="E9" s="43"/>
      <c r="F9" s="43"/>
      <c r="G9" s="43"/>
      <c r="H9" s="43"/>
      <c r="N9" s="43"/>
      <c r="O9" s="43"/>
      <c r="P9" s="189"/>
      <c r="Q9" s="189"/>
      <c r="R9" s="43"/>
      <c r="S9" s="43"/>
      <c r="T9" s="43"/>
      <c r="U9" s="43"/>
      <c r="V9" s="43"/>
      <c r="W9" s="190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68" t="s">
        <v>106</v>
      </c>
      <c r="E11" s="43"/>
      <c r="F11" s="43"/>
      <c r="G11" s="43"/>
      <c r="H11" s="43"/>
      <c r="N11" s="43"/>
      <c r="O11" s="43"/>
      <c r="P11" s="189"/>
      <c r="Q11" s="189"/>
      <c r="R11" s="43"/>
      <c r="S11" s="43"/>
      <c r="T11" s="43"/>
      <c r="U11" s="43"/>
      <c r="V11" s="43"/>
      <c r="W11" s="190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'TOT-0809'!B14</f>
        <v>Desde el 01 al 31 de agosto de 2009</v>
      </c>
      <c r="C13" s="38"/>
      <c r="D13" s="40"/>
      <c r="E13" s="40"/>
      <c r="F13" s="40"/>
      <c r="G13" s="40"/>
      <c r="H13" s="40"/>
      <c r="I13" s="41"/>
      <c r="J13" s="16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56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56" t="s">
        <v>80</v>
      </c>
      <c r="D17" s="54" t="s">
        <v>81</v>
      </c>
      <c r="E17" s="66"/>
      <c r="F17" s="66"/>
      <c r="G17" s="4"/>
      <c r="H17" s="4"/>
      <c r="I17" s="4"/>
      <c r="J17" s="456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57"/>
      <c r="C18" s="33"/>
      <c r="D18" s="458"/>
      <c r="E18" s="459"/>
      <c r="F18" s="460"/>
      <c r="G18" s="33"/>
      <c r="H18" s="33"/>
      <c r="I18" s="33"/>
      <c r="J18" s="461"/>
      <c r="K18" s="33"/>
      <c r="L18" s="33"/>
      <c r="M18" s="33"/>
      <c r="N18" s="583" t="s">
        <v>35</v>
      </c>
      <c r="P18" s="33"/>
      <c r="Q18" s="33"/>
      <c r="R18" s="33"/>
      <c r="S18" s="33"/>
      <c r="T18" s="33"/>
      <c r="U18" s="33"/>
      <c r="V18" s="33"/>
      <c r="W18" s="462"/>
    </row>
    <row r="19" spans="2:23" s="32" customFormat="1" ht="16.5" customHeight="1">
      <c r="B19" s="457"/>
      <c r="C19" s="33"/>
      <c r="E19" s="465" t="s">
        <v>38</v>
      </c>
      <c r="F19" s="466">
        <v>0.025</v>
      </c>
      <c r="G19" s="463"/>
      <c r="H19" s="33"/>
      <c r="I19" s="194" t="s">
        <v>107</v>
      </c>
      <c r="J19" s="195"/>
      <c r="K19" s="584" t="s">
        <v>95</v>
      </c>
      <c r="L19" s="585"/>
      <c r="M19" s="586">
        <v>63.904</v>
      </c>
      <c r="N19" s="587">
        <v>200</v>
      </c>
      <c r="R19" s="33"/>
      <c r="S19" s="33"/>
      <c r="T19" s="33"/>
      <c r="U19" s="33"/>
      <c r="V19" s="33"/>
      <c r="W19" s="462"/>
    </row>
    <row r="20" spans="2:23" s="32" customFormat="1" ht="16.5" customHeight="1">
      <c r="B20" s="457"/>
      <c r="C20" s="33"/>
      <c r="E20" s="458" t="s">
        <v>36</v>
      </c>
      <c r="F20" s="33">
        <f>MID(B13,16,2)*24</f>
        <v>744</v>
      </c>
      <c r="G20" s="33" t="s">
        <v>37</v>
      </c>
      <c r="H20" s="33"/>
      <c r="I20" s="33"/>
      <c r="J20" s="33"/>
      <c r="K20" s="588" t="s">
        <v>68</v>
      </c>
      <c r="L20" s="589"/>
      <c r="M20" s="590">
        <v>57.511</v>
      </c>
      <c r="N20" s="591">
        <v>100</v>
      </c>
      <c r="O20" s="33"/>
      <c r="P20" s="579"/>
      <c r="Q20" s="33"/>
      <c r="R20" s="33"/>
      <c r="S20" s="33"/>
      <c r="T20" s="33"/>
      <c r="U20" s="33"/>
      <c r="V20" s="33"/>
      <c r="W20" s="462"/>
    </row>
    <row r="21" spans="2:23" s="32" customFormat="1" ht="16.5" customHeight="1" thickBot="1">
      <c r="B21" s="457"/>
      <c r="C21" s="33"/>
      <c r="E21" s="458" t="s">
        <v>39</v>
      </c>
      <c r="F21" s="33">
        <v>0.319</v>
      </c>
      <c r="G21" s="32" t="s">
        <v>91</v>
      </c>
      <c r="H21" s="33"/>
      <c r="I21" s="33"/>
      <c r="J21" s="33"/>
      <c r="K21" s="592" t="s">
        <v>96</v>
      </c>
      <c r="L21" s="593"/>
      <c r="M21" s="594">
        <v>51.126</v>
      </c>
      <c r="N21" s="595">
        <v>40</v>
      </c>
      <c r="O21" s="33"/>
      <c r="P21" s="579"/>
      <c r="Q21" s="33"/>
      <c r="R21" s="33"/>
      <c r="S21" s="33"/>
      <c r="T21" s="33"/>
      <c r="U21" s="33"/>
      <c r="V21" s="33"/>
      <c r="W21" s="462"/>
    </row>
    <row r="22" spans="2:23" s="32" customFormat="1" ht="16.5" customHeight="1">
      <c r="B22" s="457"/>
      <c r="C22" s="33"/>
      <c r="D22" s="33"/>
      <c r="E22" s="46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62"/>
    </row>
    <row r="23" spans="1:23" ht="16.5" customHeight="1">
      <c r="A23" s="5"/>
      <c r="B23" s="50"/>
      <c r="C23" s="156" t="s">
        <v>83</v>
      </c>
      <c r="D23" s="3" t="s">
        <v>113</v>
      </c>
      <c r="E23" s="19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7"/>
    </row>
    <row r="24" spans="1:23" ht="13.5" customHeight="1" thickBot="1">
      <c r="A24" s="32"/>
      <c r="B24" s="50"/>
      <c r="C24" s="460"/>
      <c r="D24" s="460"/>
      <c r="E24" s="471"/>
      <c r="F24" s="467"/>
      <c r="G24" s="472"/>
      <c r="H24" s="472"/>
      <c r="I24" s="473"/>
      <c r="J24" s="473"/>
      <c r="K24" s="473"/>
      <c r="L24" s="473"/>
      <c r="M24" s="473"/>
      <c r="N24" s="473"/>
      <c r="O24" s="474"/>
      <c r="P24" s="473"/>
      <c r="Q24" s="473"/>
      <c r="R24" s="597"/>
      <c r="S24" s="598"/>
      <c r="T24" s="599"/>
      <c r="U24" s="599"/>
      <c r="V24" s="599"/>
      <c r="W24" s="217"/>
    </row>
    <row r="25" spans="1:26" s="5" customFormat="1" ht="33.75" customHeight="1" thickBot="1" thickTop="1">
      <c r="A25" s="88"/>
      <c r="B25" s="93"/>
      <c r="C25" s="121" t="s">
        <v>12</v>
      </c>
      <c r="D25" s="117" t="s">
        <v>25</v>
      </c>
      <c r="E25" s="116" t="s">
        <v>26</v>
      </c>
      <c r="F25" s="118" t="s">
        <v>27</v>
      </c>
      <c r="G25" s="119" t="s">
        <v>13</v>
      </c>
      <c r="H25" s="127" t="s">
        <v>15</v>
      </c>
      <c r="I25" s="116" t="s">
        <v>16</v>
      </c>
      <c r="J25" s="116" t="s">
        <v>17</v>
      </c>
      <c r="K25" s="117" t="s">
        <v>28</v>
      </c>
      <c r="L25" s="117" t="s">
        <v>29</v>
      </c>
      <c r="M25" s="87" t="s">
        <v>84</v>
      </c>
      <c r="N25" s="116" t="s">
        <v>30</v>
      </c>
      <c r="O25" s="477" t="s">
        <v>31</v>
      </c>
      <c r="P25" s="127" t="s">
        <v>32</v>
      </c>
      <c r="Q25" s="478" t="s">
        <v>19</v>
      </c>
      <c r="R25" s="479" t="s">
        <v>85</v>
      </c>
      <c r="S25" s="480"/>
      <c r="T25" s="481" t="s">
        <v>21</v>
      </c>
      <c r="U25" s="130" t="s">
        <v>59</v>
      </c>
      <c r="V25" s="119" t="s">
        <v>22</v>
      </c>
      <c r="W25" s="17"/>
      <c r="Y25"/>
      <c r="Z25"/>
    </row>
    <row r="26" spans="1:23" ht="16.5" customHeight="1" thickTop="1">
      <c r="A26" s="5"/>
      <c r="B26" s="50"/>
      <c r="C26" s="10"/>
      <c r="D26" s="10"/>
      <c r="E26" s="10"/>
      <c r="F26" s="10"/>
      <c r="G26" s="482"/>
      <c r="H26" s="483"/>
      <c r="I26" s="10"/>
      <c r="J26" s="10"/>
      <c r="K26" s="10"/>
      <c r="L26" s="10"/>
      <c r="M26" s="10"/>
      <c r="N26" s="484"/>
      <c r="O26" s="600"/>
      <c r="P26" s="131"/>
      <c r="Q26" s="485"/>
      <c r="R26" s="486"/>
      <c r="S26" s="487"/>
      <c r="T26" s="488"/>
      <c r="U26" s="484"/>
      <c r="V26" s="489"/>
      <c r="W26" s="17"/>
    </row>
    <row r="27" spans="1:23" ht="16.5" customHeight="1">
      <c r="A27" s="5"/>
      <c r="B27" s="50"/>
      <c r="C27" s="702" t="s">
        <v>119</v>
      </c>
      <c r="D27" s="490" t="s">
        <v>170</v>
      </c>
      <c r="E27" s="491" t="s">
        <v>171</v>
      </c>
      <c r="F27" s="492">
        <v>300</v>
      </c>
      <c r="G27" s="493" t="s">
        <v>109</v>
      </c>
      <c r="H27" s="494">
        <f>F27*$F$21</f>
        <v>95.7</v>
      </c>
      <c r="I27" s="495">
        <v>40042.34861111111</v>
      </c>
      <c r="J27" s="495">
        <v>40042.51527777778</v>
      </c>
      <c r="K27" s="282">
        <f>IF(D27="","",(J27-I27)*24)</f>
        <v>3.9999999999417923</v>
      </c>
      <c r="L27" s="14">
        <f>IF(D27="","",(J27-I27)*24*60)</f>
        <v>239.99999999650754</v>
      </c>
      <c r="M27" s="13" t="s">
        <v>144</v>
      </c>
      <c r="N27" s="8" t="str">
        <f>IF(D27="","",IF(OR(M27="P",M27="RP"),"--","NO"))</f>
        <v>--</v>
      </c>
      <c r="O27" s="601" t="str">
        <f>IF(D27="","","NO")</f>
        <v>NO</v>
      </c>
      <c r="P27" s="496">
        <f>200*IF(O27="SI",1,0.1)*IF(M27="P",0.1,1)</f>
        <v>2</v>
      </c>
      <c r="Q27" s="497">
        <f>IF(M27="P",H27*P27*ROUND(L27/60,2),"--")</f>
        <v>765.6</v>
      </c>
      <c r="R27" s="498" t="str">
        <f>IF(AND(M27="F",N27="NO"),H27*P27,"--")</f>
        <v>--</v>
      </c>
      <c r="S27" s="499" t="str">
        <f>IF(M27="F",H27*P27*ROUND(L27/60,2),"--")</f>
        <v>--</v>
      </c>
      <c r="T27" s="364" t="str">
        <f>IF(M27="RF",H27*P27*ROUND(L27/60,2),"--")</f>
        <v>--</v>
      </c>
      <c r="U27" s="292" t="str">
        <f>IF(D27="","","SI")</f>
        <v>SI</v>
      </c>
      <c r="V27" s="293">
        <f>IF(D27="","",SUM(Q27:T27)*IF(U27="SI",1,2))</f>
        <v>765.6</v>
      </c>
      <c r="W27" s="217"/>
    </row>
    <row r="28" spans="1:23" ht="16.5" customHeight="1">
      <c r="A28" s="5"/>
      <c r="B28" s="50"/>
      <c r="C28" s="702" t="s">
        <v>120</v>
      </c>
      <c r="D28" s="490"/>
      <c r="E28" s="491"/>
      <c r="F28" s="492"/>
      <c r="G28" s="493"/>
      <c r="H28" s="494">
        <f>F28*$F$21</f>
        <v>0</v>
      </c>
      <c r="I28" s="495"/>
      <c r="J28" s="495"/>
      <c r="K28" s="282">
        <f>IF(D28="","",(J28-I28)*24)</f>
      </c>
      <c r="L28" s="14">
        <f>IF(D28="","",(J28-I28)*24*60)</f>
      </c>
      <c r="M28" s="13"/>
      <c r="N28" s="8">
        <f>IF(D28="","",IF(OR(M28="P",M28="RP"),"--","NO"))</f>
      </c>
      <c r="O28" s="601">
        <f>IF(D28="","","NO")</f>
      </c>
      <c r="P28" s="496">
        <f>200*IF(O28="SI",1,0.1)*IF(M28="P",0.1,1)</f>
        <v>20</v>
      </c>
      <c r="Q28" s="497" t="str">
        <f>IF(M28="P",H28*P28*ROUND(L28/60,2),"--")</f>
        <v>--</v>
      </c>
      <c r="R28" s="498" t="str">
        <f>IF(AND(M28="F",N28="NO"),H28*P28,"--")</f>
        <v>--</v>
      </c>
      <c r="S28" s="499" t="str">
        <f>IF(M28="F",H28*P28*ROUND(L28/60,2),"--")</f>
        <v>--</v>
      </c>
      <c r="T28" s="364" t="str">
        <f>IF(M28="RF",H28*P28*ROUND(L28/60,2),"--")</f>
        <v>--</v>
      </c>
      <c r="U28" s="292">
        <f>IF(D28="","","SI")</f>
      </c>
      <c r="V28" s="293">
        <f>IF(D28="","",SUM(Q28:T28)*IF(U28="SI",1,2))</f>
      </c>
      <c r="W28" s="217"/>
    </row>
    <row r="29" spans="1:23" ht="16.5" customHeight="1">
      <c r="A29" s="5"/>
      <c r="B29" s="50"/>
      <c r="C29" s="702" t="s">
        <v>121</v>
      </c>
      <c r="D29" s="490"/>
      <c r="E29" s="491"/>
      <c r="F29" s="492"/>
      <c r="G29" s="493"/>
      <c r="H29" s="494">
        <f>F29*$F$21</f>
        <v>0</v>
      </c>
      <c r="I29" s="495"/>
      <c r="J29" s="495"/>
      <c r="K29" s="282">
        <f>IF(D29="","",(J29-I29)*24)</f>
      </c>
      <c r="L29" s="14">
        <f>IF(D29="","",(J29-I29)*24*60)</f>
      </c>
      <c r="M29" s="13"/>
      <c r="N29" s="8">
        <f>IF(D29="","",IF(OR(M29="P",M29="RP"),"--","NO"))</f>
      </c>
      <c r="O29" s="601">
        <f>IF(D29="","","NO")</f>
      </c>
      <c r="P29" s="496">
        <f>200*IF(O29="SI",1,0.1)*IF(M29="P",0.1,1)</f>
        <v>20</v>
      </c>
      <c r="Q29" s="497" t="str">
        <f>IF(M29="P",H29*P29*ROUND(L29/60,2),"--")</f>
        <v>--</v>
      </c>
      <c r="R29" s="498" t="str">
        <f>IF(AND(M29="F",N29="NO"),H29*P29,"--")</f>
        <v>--</v>
      </c>
      <c r="S29" s="499" t="str">
        <f>IF(M29="F",H29*P29*ROUND(L29/60,2),"--")</f>
        <v>--</v>
      </c>
      <c r="T29" s="364" t="str">
        <f>IF(M29="RF",H29*P29*ROUND(L29/60,2),"--")</f>
        <v>--</v>
      </c>
      <c r="U29" s="292">
        <f>IF(D29="","","SI")</f>
      </c>
      <c r="V29" s="293">
        <f>IF(D29="","",SUM(Q29:T29)*IF(U29="SI",1,2))</f>
      </c>
      <c r="W29" s="217"/>
    </row>
    <row r="30" spans="1:23" ht="16.5" customHeight="1" thickBot="1">
      <c r="A30" s="32"/>
      <c r="B30" s="50"/>
      <c r="C30" s="500"/>
      <c r="D30" s="501"/>
      <c r="E30" s="502"/>
      <c r="F30" s="503"/>
      <c r="G30" s="504"/>
      <c r="H30" s="505"/>
      <c r="I30" s="506"/>
      <c r="J30" s="507"/>
      <c r="K30" s="508"/>
      <c r="L30" s="509"/>
      <c r="M30" s="510"/>
      <c r="N30" s="9"/>
      <c r="O30" s="602"/>
      <c r="P30" s="511"/>
      <c r="Q30" s="512"/>
      <c r="R30" s="513"/>
      <c r="S30" s="514"/>
      <c r="T30" s="515"/>
      <c r="U30" s="516"/>
      <c r="V30" s="517"/>
      <c r="W30" s="217"/>
    </row>
    <row r="31" spans="1:23" ht="16.5" customHeight="1" thickBot="1" thickTop="1">
      <c r="A31" s="32"/>
      <c r="B31" s="50"/>
      <c r="C31" s="96"/>
      <c r="D31" s="196"/>
      <c r="E31" s="196"/>
      <c r="F31" s="395"/>
      <c r="G31" s="518"/>
      <c r="H31" s="519"/>
      <c r="I31" s="520"/>
      <c r="J31" s="521"/>
      <c r="K31" s="522"/>
      <c r="L31" s="523"/>
      <c r="M31" s="519"/>
      <c r="N31" s="524"/>
      <c r="O31" s="184"/>
      <c r="P31" s="525"/>
      <c r="Q31" s="526"/>
      <c r="R31" s="527"/>
      <c r="S31" s="527"/>
      <c r="T31" s="527"/>
      <c r="U31" s="185"/>
      <c r="V31" s="528">
        <f>SUM(V26:V30)</f>
        <v>765.6</v>
      </c>
      <c r="W31" s="217"/>
    </row>
    <row r="32" spans="1:23" ht="16.5" customHeight="1" thickBot="1" thickTop="1">
      <c r="A32" s="32"/>
      <c r="B32" s="50"/>
      <c r="C32" s="96"/>
      <c r="D32" s="196"/>
      <c r="E32" s="196"/>
      <c r="F32" s="395"/>
      <c r="G32" s="518"/>
      <c r="H32" s="519"/>
      <c r="I32" s="520"/>
      <c r="L32" s="523"/>
      <c r="M32" s="519"/>
      <c r="N32" s="529"/>
      <c r="O32" s="530"/>
      <c r="P32" s="525"/>
      <c r="Q32" s="526"/>
      <c r="R32" s="527"/>
      <c r="S32" s="527"/>
      <c r="T32" s="527"/>
      <c r="U32" s="185"/>
      <c r="V32" s="185"/>
      <c r="W32" s="217"/>
    </row>
    <row r="33" spans="2:23" s="5" customFormat="1" ht="33.75" customHeight="1" thickBot="1" thickTop="1">
      <c r="B33" s="50"/>
      <c r="C33" s="84" t="s">
        <v>12</v>
      </c>
      <c r="D33" s="86" t="s">
        <v>25</v>
      </c>
      <c r="E33" s="1095" t="s">
        <v>26</v>
      </c>
      <c r="F33" s="1096"/>
      <c r="G33" s="130" t="s">
        <v>13</v>
      </c>
      <c r="H33" s="127" t="s">
        <v>15</v>
      </c>
      <c r="I33" s="85" t="s">
        <v>16</v>
      </c>
      <c r="J33" s="347" t="s">
        <v>17</v>
      </c>
      <c r="K33" s="349" t="s">
        <v>34</v>
      </c>
      <c r="L33" s="349" t="s">
        <v>29</v>
      </c>
      <c r="M33" s="87" t="s">
        <v>18</v>
      </c>
      <c r="N33" s="1095" t="s">
        <v>30</v>
      </c>
      <c r="O33" s="1101"/>
      <c r="P33" s="133" t="s">
        <v>35</v>
      </c>
      <c r="Q33" s="350" t="s">
        <v>56</v>
      </c>
      <c r="R33" s="173" t="s">
        <v>33</v>
      </c>
      <c r="S33" s="351"/>
      <c r="T33" s="132" t="s">
        <v>21</v>
      </c>
      <c r="U33" s="130" t="s">
        <v>59</v>
      </c>
      <c r="V33" s="119" t="s">
        <v>22</v>
      </c>
      <c r="W33" s="6"/>
    </row>
    <row r="34" spans="2:23" s="5" customFormat="1" ht="16.5" customHeight="1" thickTop="1">
      <c r="B34" s="50"/>
      <c r="C34" s="7"/>
      <c r="D34" s="359"/>
      <c r="E34" s="1097"/>
      <c r="F34" s="1098"/>
      <c r="G34" s="359"/>
      <c r="H34" s="360"/>
      <c r="I34" s="359"/>
      <c r="J34" s="359"/>
      <c r="K34" s="359"/>
      <c r="L34" s="359"/>
      <c r="M34" s="359"/>
      <c r="N34" s="359"/>
      <c r="O34" s="603"/>
      <c r="P34" s="361"/>
      <c r="Q34" s="362"/>
      <c r="R34" s="182"/>
      <c r="S34" s="363"/>
      <c r="T34" s="364"/>
      <c r="U34" s="359"/>
      <c r="V34" s="365"/>
      <c r="W34" s="6"/>
    </row>
    <row r="35" spans="2:23" s="5" customFormat="1" ht="16.5" customHeight="1">
      <c r="B35" s="50"/>
      <c r="C35" s="702" t="s">
        <v>119</v>
      </c>
      <c r="D35" s="359" t="s">
        <v>170</v>
      </c>
      <c r="E35" s="413" t="s">
        <v>223</v>
      </c>
      <c r="F35" s="703"/>
      <c r="G35" s="604">
        <v>132</v>
      </c>
      <c r="H35" s="128">
        <f>IF(G35=500,$M$19,IF(G35=220,$M$20,$M$21))</f>
        <v>51.126</v>
      </c>
      <c r="I35" s="605">
        <v>40042.342361111114</v>
      </c>
      <c r="J35" s="606">
        <v>40042.51527777778</v>
      </c>
      <c r="K35" s="369">
        <f>IF(D35="","",(J35-I35)*24)</f>
        <v>4.149999999906868</v>
      </c>
      <c r="L35" s="370">
        <f>IF(D35="","",ROUND((J35-I35)*24*60,0))</f>
        <v>249</v>
      </c>
      <c r="M35" s="469" t="s">
        <v>144</v>
      </c>
      <c r="N35" s="443" t="str">
        <f>IF(D35="","",IF(OR(M35="P",M35="RP"),"--","NO"))</f>
        <v>--</v>
      </c>
      <c r="O35" s="420"/>
      <c r="P35" s="607">
        <f>IF(G35=500,$N$19,IF(G35=220,$N$20,$N$21))</f>
        <v>40</v>
      </c>
      <c r="Q35" s="608">
        <f>IF(M35="P",H35*P35*ROUND(L35/60,2)*0.1,"--")</f>
        <v>848.6916000000001</v>
      </c>
      <c r="R35" s="182" t="str">
        <f>IF(AND(M35="F",N35="NO"),H35*P35,"--")</f>
        <v>--</v>
      </c>
      <c r="S35" s="363" t="str">
        <f>IF(M35="F",H35*P35*ROUND(L35/60,2),"--")</f>
        <v>--</v>
      </c>
      <c r="T35" s="364" t="str">
        <f>IF(M35="RF",H35*P35*ROUND(L35/60,2),"--")</f>
        <v>--</v>
      </c>
      <c r="U35" s="609" t="str">
        <f>IF(D35="","","SI")</f>
        <v>SI</v>
      </c>
      <c r="V35" s="371">
        <f>IF(D35="","",SUM(Q35:T35)*IF(U35="SI",1,2))</f>
        <v>848.6916000000001</v>
      </c>
      <c r="W35" s="6"/>
    </row>
    <row r="36" spans="2:23" s="5" customFormat="1" ht="16.5" customHeight="1">
      <c r="B36" s="50"/>
      <c r="C36" s="702" t="s">
        <v>120</v>
      </c>
      <c r="D36" s="359" t="s">
        <v>170</v>
      </c>
      <c r="E36" s="413" t="s">
        <v>224</v>
      </c>
      <c r="F36" s="703"/>
      <c r="G36" s="604">
        <v>132</v>
      </c>
      <c r="H36" s="128">
        <f>IF(G36=500,$M$19,IF(G36=220,$M$20,$M$21))</f>
        <v>51.126</v>
      </c>
      <c r="I36" s="605">
        <v>40042.34305555555</v>
      </c>
      <c r="J36" s="606">
        <v>40042.51527777778</v>
      </c>
      <c r="K36" s="369">
        <f>IF(D36="","",(J36-I36)*24)</f>
        <v>4.133333333360497</v>
      </c>
      <c r="L36" s="370">
        <f>IF(D36="","",ROUND((J36-I36)*24*60,0))</f>
        <v>248</v>
      </c>
      <c r="M36" s="469" t="s">
        <v>144</v>
      </c>
      <c r="N36" s="443" t="str">
        <f>IF(D36="","",IF(OR(M36="P",M36="RP"),"--","NO"))</f>
        <v>--</v>
      </c>
      <c r="O36" s="420"/>
      <c r="P36" s="607">
        <f>IF(G36=500,$N$19,IF(G36=220,$N$20,$N$21))</f>
        <v>40</v>
      </c>
      <c r="Q36" s="608">
        <f>IF(M36="P",H36*P36*ROUND(L36/60,2)*0.1,"--")</f>
        <v>844.60152</v>
      </c>
      <c r="R36" s="182" t="str">
        <f>IF(AND(M36="F",N36="NO"),H36*P36,"--")</f>
        <v>--</v>
      </c>
      <c r="S36" s="363" t="str">
        <f>IF(M36="F",H36*P36*ROUND(L36/60,2),"--")</f>
        <v>--</v>
      </c>
      <c r="T36" s="364" t="str">
        <f>IF(M36="RF",H36*P36*ROUND(L36/60,2),"--")</f>
        <v>--</v>
      </c>
      <c r="U36" s="609" t="str">
        <f>IF(D36="","","SI")</f>
        <v>SI</v>
      </c>
      <c r="V36" s="371">
        <f>IF(D36="","",SUM(Q36:T36)*IF(U36="SI",1,2))</f>
        <v>844.60152</v>
      </c>
      <c r="W36" s="6"/>
    </row>
    <row r="37" spans="2:23" s="5" customFormat="1" ht="16.5" customHeight="1">
      <c r="B37" s="50"/>
      <c r="C37" s="702" t="s">
        <v>121</v>
      </c>
      <c r="D37" s="359"/>
      <c r="E37" s="413"/>
      <c r="F37" s="703"/>
      <c r="G37" s="604"/>
      <c r="H37" s="128">
        <f>IF(G37=500,$M$19,IF(G37=220,$M$20,$M$21))</f>
        <v>51.126</v>
      </c>
      <c r="I37" s="605"/>
      <c r="J37" s="606"/>
      <c r="K37" s="369">
        <f>IF(D37="","",(J37-I37)*24)</f>
      </c>
      <c r="L37" s="370">
        <f>IF(D37="","",ROUND((J37-I37)*24*60,0))</f>
      </c>
      <c r="M37" s="469"/>
      <c r="N37" s="443">
        <f>IF(D37="","",IF(OR(M37="P",M37="RP"),"--","NO"))</f>
      </c>
      <c r="O37" s="420"/>
      <c r="P37" s="607">
        <f>IF(G37=500,$N$19,IF(G37=220,$N$20,$N$21))</f>
        <v>40</v>
      </c>
      <c r="Q37" s="608" t="str">
        <f>IF(M37="P",H37*P37*ROUND(L37/60,2)*0.1,"--")</f>
        <v>--</v>
      </c>
      <c r="R37" s="182" t="str">
        <f>IF(AND(M37="F",N37="NO"),H37*P37,"--")</f>
        <v>--</v>
      </c>
      <c r="S37" s="363" t="str">
        <f>IF(M37="F",H37*P37*ROUND(L37/60,2),"--")</f>
        <v>--</v>
      </c>
      <c r="T37" s="364" t="str">
        <f>IF(M37="RF",H37*P37*ROUND(L37/60,2),"--")</f>
        <v>--</v>
      </c>
      <c r="U37" s="609">
        <f>IF(D37="","","SI")</f>
      </c>
      <c r="V37" s="371">
        <f>IF(D37="","",SUM(Q37:T37)*IF(U37="SI",1,2))</f>
      </c>
      <c r="W37" s="6"/>
    </row>
    <row r="38" spans="2:23" s="5" customFormat="1" ht="16.5" customHeight="1">
      <c r="B38" s="50"/>
      <c r="C38" s="702" t="s">
        <v>122</v>
      </c>
      <c r="D38" s="359"/>
      <c r="E38" s="413"/>
      <c r="F38" s="703"/>
      <c r="G38" s="604"/>
      <c r="H38" s="128">
        <f>IF(G38=500,$M$19,IF(G38=220,$M$20,$M$21))</f>
        <v>51.126</v>
      </c>
      <c r="I38" s="605"/>
      <c r="J38" s="606"/>
      <c r="K38" s="369">
        <f>IF(D38="","",(J38-I38)*24)</f>
      </c>
      <c r="L38" s="370">
        <f>IF(D38="","",ROUND((J38-I38)*24*60,0))</f>
      </c>
      <c r="M38" s="469"/>
      <c r="N38" s="443">
        <f>IF(D38="","",IF(OR(M38="P",M38="RP"),"--","NO"))</f>
      </c>
      <c r="O38" s="420"/>
      <c r="P38" s="607">
        <f>IF(G38=500,$N$19,IF(G38=220,$N$20,$N$21))</f>
        <v>40</v>
      </c>
      <c r="Q38" s="608" t="str">
        <f>IF(M38="P",H38*P38*ROUND(L38/60,2)*0.1,"--")</f>
        <v>--</v>
      </c>
      <c r="R38" s="182" t="str">
        <f>IF(AND(M38="F",N38="NO"),H38*P38,"--")</f>
        <v>--</v>
      </c>
      <c r="S38" s="363" t="str">
        <f>IF(M38="F",H38*P38*ROUND(L38/60,2),"--")</f>
        <v>--</v>
      </c>
      <c r="T38" s="364" t="str">
        <f>IF(M38="RF",H38*P38*ROUND(L38/60,2),"--")</f>
        <v>--</v>
      </c>
      <c r="U38" s="609">
        <f>IF(D38="","","SI")</f>
      </c>
      <c r="V38" s="371">
        <f>IF(D38="","",SUM(Q38:T38)*IF(U38="SI",1,2))</f>
      </c>
      <c r="W38" s="6"/>
    </row>
    <row r="39" spans="2:28" s="5" customFormat="1" ht="16.5" customHeight="1" thickBot="1">
      <c r="B39" s="50"/>
      <c r="C39" s="610"/>
      <c r="D39" s="611"/>
      <c r="E39" s="1070"/>
      <c r="F39" s="1071"/>
      <c r="G39" s="612"/>
      <c r="H39" s="613"/>
      <c r="I39" s="614"/>
      <c r="J39" s="615"/>
      <c r="K39" s="616"/>
      <c r="L39" s="617"/>
      <c r="M39" s="618"/>
      <c r="N39" s="619"/>
      <c r="O39" s="618"/>
      <c r="P39" s="620"/>
      <c r="Q39" s="621"/>
      <c r="R39" s="622"/>
      <c r="S39" s="623"/>
      <c r="T39" s="624"/>
      <c r="U39" s="625"/>
      <c r="V39" s="626"/>
      <c r="W39" s="6"/>
      <c r="X39"/>
      <c r="Y39"/>
      <c r="Z39"/>
      <c r="AA39"/>
      <c r="AB39"/>
    </row>
    <row r="40" spans="1:23" ht="17.25" thickBot="1" thickTop="1">
      <c r="A40" s="32"/>
      <c r="B40" s="457"/>
      <c r="C40" s="460"/>
      <c r="D40" s="531"/>
      <c r="E40" s="532"/>
      <c r="F40" s="533"/>
      <c r="G40" s="534"/>
      <c r="H40" s="534"/>
      <c r="I40" s="532"/>
      <c r="J40" s="445"/>
      <c r="K40" s="445"/>
      <c r="L40" s="532"/>
      <c r="M40" s="532"/>
      <c r="N40" s="532"/>
      <c r="O40" s="535"/>
      <c r="P40" s="532"/>
      <c r="Q40" s="532"/>
      <c r="R40" s="536"/>
      <c r="S40" s="537"/>
      <c r="T40" s="537"/>
      <c r="U40" s="538"/>
      <c r="V40" s="528">
        <f>SUM(V35:V39)</f>
        <v>1693.2931200000003</v>
      </c>
      <c r="W40" s="539"/>
    </row>
    <row r="41" spans="1:23" ht="17.25" thickBot="1" thickTop="1">
      <c r="A41" s="32"/>
      <c r="B41" s="457"/>
      <c r="C41" s="460"/>
      <c r="D41" s="531"/>
      <c r="E41" s="532"/>
      <c r="F41" s="533"/>
      <c r="G41" s="534"/>
      <c r="H41" s="534"/>
      <c r="I41" s="468" t="s">
        <v>40</v>
      </c>
      <c r="J41" s="596">
        <f>+V40+V31</f>
        <v>2458.89312</v>
      </c>
      <c r="L41" s="532"/>
      <c r="M41" s="532"/>
      <c r="N41" s="532"/>
      <c r="O41" s="535"/>
      <c r="P41" s="532"/>
      <c r="Q41" s="532"/>
      <c r="R41" s="536"/>
      <c r="S41" s="537"/>
      <c r="T41" s="537"/>
      <c r="U41" s="538"/>
      <c r="W41" s="539"/>
    </row>
    <row r="42" spans="1:23" ht="13.5" customHeight="1" thickTop="1">
      <c r="A42" s="32"/>
      <c r="B42" s="457"/>
      <c r="C42" s="460"/>
      <c r="D42" s="531"/>
      <c r="E42" s="532"/>
      <c r="F42" s="533"/>
      <c r="G42" s="534"/>
      <c r="H42" s="534"/>
      <c r="I42" s="532"/>
      <c r="J42" s="445"/>
      <c r="K42" s="445"/>
      <c r="L42" s="532"/>
      <c r="M42" s="532"/>
      <c r="N42" s="532"/>
      <c r="O42" s="535"/>
      <c r="P42" s="532"/>
      <c r="Q42" s="532"/>
      <c r="R42" s="536"/>
      <c r="S42" s="537"/>
      <c r="T42" s="537"/>
      <c r="U42" s="538"/>
      <c r="W42" s="539"/>
    </row>
    <row r="43" spans="1:23" ht="16.5" customHeight="1">
      <c r="A43" s="32"/>
      <c r="B43" s="457"/>
      <c r="C43" s="540" t="s">
        <v>86</v>
      </c>
      <c r="D43" s="541" t="s">
        <v>114</v>
      </c>
      <c r="E43" s="532"/>
      <c r="F43" s="533"/>
      <c r="G43" s="534"/>
      <c r="H43" s="534"/>
      <c r="I43" s="532"/>
      <c r="J43" s="445"/>
      <c r="K43" s="445"/>
      <c r="L43" s="532"/>
      <c r="M43" s="532"/>
      <c r="N43" s="532"/>
      <c r="O43" s="535"/>
      <c r="P43" s="532"/>
      <c r="Q43" s="532"/>
      <c r="R43" s="536"/>
      <c r="S43" s="537"/>
      <c r="T43" s="537"/>
      <c r="U43" s="538"/>
      <c r="W43" s="539"/>
    </row>
    <row r="44" spans="1:23" ht="16.5" customHeight="1">
      <c r="A44" s="32"/>
      <c r="B44" s="457"/>
      <c r="C44" s="540"/>
      <c r="D44" s="531"/>
      <c r="E44" s="532"/>
      <c r="F44" s="533"/>
      <c r="G44" s="534"/>
      <c r="H44" s="534"/>
      <c r="I44" s="532"/>
      <c r="J44" s="445"/>
      <c r="K44" s="445"/>
      <c r="L44" s="532"/>
      <c r="M44" s="532"/>
      <c r="N44" s="532"/>
      <c r="O44" s="535"/>
      <c r="P44" s="532"/>
      <c r="Q44" s="532"/>
      <c r="R44" s="532"/>
      <c r="S44" s="536"/>
      <c r="T44" s="537"/>
      <c r="W44" s="539"/>
    </row>
    <row r="45" spans="2:23" s="32" customFormat="1" ht="16.5" customHeight="1">
      <c r="B45" s="457"/>
      <c r="C45" s="460"/>
      <c r="D45" s="542" t="s">
        <v>92</v>
      </c>
      <c r="E45" s="473" t="s">
        <v>93</v>
      </c>
      <c r="F45" s="473" t="s">
        <v>41</v>
      </c>
      <c r="G45" s="543" t="s">
        <v>115</v>
      </c>
      <c r="H45"/>
      <c r="I45" s="136"/>
      <c r="J45" s="552" t="s">
        <v>47</v>
      </c>
      <c r="K45" s="552"/>
      <c r="L45" s="473" t="s">
        <v>41</v>
      </c>
      <c r="M45" t="s">
        <v>97</v>
      </c>
      <c r="O45" s="543" t="s">
        <v>116</v>
      </c>
      <c r="P45"/>
      <c r="Q45" s="547"/>
      <c r="R45" s="547"/>
      <c r="S45" s="33"/>
      <c r="T45"/>
      <c r="U45"/>
      <c r="V45"/>
      <c r="W45" s="539"/>
    </row>
    <row r="46" spans="2:23" s="32" customFormat="1" ht="16.5" customHeight="1">
      <c r="B46" s="457"/>
      <c r="C46" s="460"/>
      <c r="D46" s="140" t="s">
        <v>108</v>
      </c>
      <c r="E46" s="140">
        <v>300</v>
      </c>
      <c r="F46" s="629" t="s">
        <v>109</v>
      </c>
      <c r="G46" s="1100">
        <f>+E46*$F$20*$F$21</f>
        <v>71200.8</v>
      </c>
      <c r="H46" s="1100"/>
      <c r="I46" s="1100"/>
      <c r="J46" s="628" t="s">
        <v>110</v>
      </c>
      <c r="K46" s="628"/>
      <c r="L46" s="140">
        <v>132</v>
      </c>
      <c r="M46" s="140">
        <v>2</v>
      </c>
      <c r="O46" s="1100">
        <f>+M46*$F$20*$M$21</f>
        <v>76075.488</v>
      </c>
      <c r="P46" s="1100"/>
      <c r="Q46" s="1100"/>
      <c r="R46" s="1100"/>
      <c r="S46" s="1100"/>
      <c r="T46" s="1100"/>
      <c r="U46" s="1100"/>
      <c r="V46"/>
      <c r="W46" s="539"/>
    </row>
    <row r="47" spans="1:23" ht="16.5" customHeight="1">
      <c r="A47" s="32"/>
      <c r="B47" s="457"/>
      <c r="C47" s="460"/>
      <c r="D47" s="138"/>
      <c r="E47" s="139"/>
      <c r="F47" s="627"/>
      <c r="G47" s="1099">
        <f>+G46</f>
        <v>71200.8</v>
      </c>
      <c r="H47" s="1099"/>
      <c r="I47" s="1099"/>
      <c r="M47" s="140"/>
      <c r="O47" s="1099">
        <f>SUM(O46:P46)</f>
        <v>76075.488</v>
      </c>
      <c r="P47" s="1099"/>
      <c r="Q47" s="1099"/>
      <c r="R47" s="1099"/>
      <c r="S47" s="1099"/>
      <c r="T47" s="1099"/>
      <c r="U47" s="1099"/>
      <c r="W47" s="539"/>
    </row>
    <row r="48" spans="1:23" ht="16.5" customHeight="1">
      <c r="A48" s="32"/>
      <c r="B48" s="457"/>
      <c r="C48" s="460"/>
      <c r="D48" s="138"/>
      <c r="E48" s="139"/>
      <c r="F48" s="627"/>
      <c r="M48" s="140"/>
      <c r="N48" s="136"/>
      <c r="O48" s="136"/>
      <c r="P48" s="580"/>
      <c r="Q48" s="580"/>
      <c r="R48" s="580"/>
      <c r="S48" s="580"/>
      <c r="W48" s="539"/>
    </row>
    <row r="49" spans="1:23" ht="16.5" customHeight="1" thickBot="1">
      <c r="A49" s="32"/>
      <c r="B49" s="457"/>
      <c r="C49" s="460"/>
      <c r="D49" s="542"/>
      <c r="E49" s="553"/>
      <c r="F49" s="553"/>
      <c r="G49" s="473"/>
      <c r="I49" s="545"/>
      <c r="J49" s="543"/>
      <c r="L49" s="544"/>
      <c r="M49" s="545"/>
      <c r="N49" s="546"/>
      <c r="O49" s="547"/>
      <c r="P49" s="547"/>
      <c r="Q49" s="547"/>
      <c r="R49" s="547"/>
      <c r="S49" s="547"/>
      <c r="W49" s="539"/>
    </row>
    <row r="50" spans="1:23" ht="16.5" customHeight="1" thickBot="1" thickTop="1">
      <c r="A50" s="32"/>
      <c r="B50" s="457"/>
      <c r="C50" s="460"/>
      <c r="D50" s="473"/>
      <c r="E50" s="581"/>
      <c r="F50" s="581"/>
      <c r="G50" s="548"/>
      <c r="H50" s="166"/>
      <c r="I50" s="468" t="s">
        <v>42</v>
      </c>
      <c r="J50" s="596">
        <f>+G47+O47</f>
        <v>147276.288</v>
      </c>
      <c r="L50" s="550"/>
      <c r="M50" s="166"/>
      <c r="N50" s="551"/>
      <c r="O50" s="580"/>
      <c r="P50" s="580"/>
      <c r="Q50" s="580"/>
      <c r="R50" s="580"/>
      <c r="S50" s="580"/>
      <c r="W50" s="539"/>
    </row>
    <row r="51" spans="1:23" ht="16.5" customHeight="1" thickTop="1">
      <c r="A51" s="32"/>
      <c r="B51" s="457"/>
      <c r="C51" s="460"/>
      <c r="D51" s="445"/>
      <c r="E51" s="464"/>
      <c r="F51" s="473"/>
      <c r="G51" s="473"/>
      <c r="H51" s="474"/>
      <c r="J51" s="473"/>
      <c r="L51" s="554"/>
      <c r="M51" s="546"/>
      <c r="N51" s="546"/>
      <c r="O51" s="547"/>
      <c r="P51" s="547"/>
      <c r="Q51" s="547"/>
      <c r="R51" s="547"/>
      <c r="S51" s="547"/>
      <c r="W51" s="539"/>
    </row>
    <row r="52" spans="2:23" ht="16.5" customHeight="1">
      <c r="B52" s="457"/>
      <c r="C52" s="156" t="s">
        <v>82</v>
      </c>
      <c r="D52" s="3" t="s">
        <v>112</v>
      </c>
      <c r="I52" s="4"/>
      <c r="J52" s="32"/>
      <c r="O52" s="4"/>
      <c r="P52" s="4"/>
      <c r="Q52" s="4"/>
      <c r="R52" s="4"/>
      <c r="S52" s="4"/>
      <c r="T52" s="4"/>
      <c r="V52" s="4"/>
      <c r="W52" s="539"/>
    </row>
    <row r="53" spans="2:23" s="32" customFormat="1" ht="16.5" customHeight="1" thickBot="1">
      <c r="B53" s="457"/>
      <c r="C53" s="66"/>
      <c r="D53" s="3"/>
      <c r="E53"/>
      <c r="F53"/>
      <c r="G53"/>
      <c r="H53"/>
      <c r="I53" s="4"/>
      <c r="K53"/>
      <c r="L53"/>
      <c r="M53"/>
      <c r="N53"/>
      <c r="O53" s="4"/>
      <c r="P53" s="4"/>
      <c r="Q53" s="4"/>
      <c r="R53" s="4"/>
      <c r="S53" s="4"/>
      <c r="T53" s="4"/>
      <c r="U53"/>
      <c r="V53" s="4"/>
      <c r="W53" s="539"/>
    </row>
    <row r="54" spans="2:23" s="32" customFormat="1" ht="16.5" customHeight="1" thickBot="1" thickTop="1">
      <c r="B54" s="457"/>
      <c r="C54" s="460"/>
      <c r="D54"/>
      <c r="E54"/>
      <c r="F54"/>
      <c r="G54"/>
      <c r="H54"/>
      <c r="I54" s="468" t="s">
        <v>43</v>
      </c>
      <c r="J54" s="596">
        <f>V54*F19</f>
        <v>3681.9072</v>
      </c>
      <c r="L54"/>
      <c r="S54"/>
      <c r="T54"/>
      <c r="U54" s="468" t="s">
        <v>294</v>
      </c>
      <c r="V54" s="596">
        <v>147276.288</v>
      </c>
      <c r="W54" s="539"/>
    </row>
    <row r="55" spans="2:23" ht="16.5" customHeight="1" thickTop="1">
      <c r="B55" s="457"/>
      <c r="C55" s="460"/>
      <c r="D55" s="33"/>
      <c r="E55" s="467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32"/>
      <c r="W55" s="539"/>
    </row>
    <row r="56" spans="2:23" ht="13.5" customHeight="1">
      <c r="B56" s="457"/>
      <c r="C56" s="540" t="s">
        <v>87</v>
      </c>
      <c r="D56" s="555" t="s">
        <v>88</v>
      </c>
      <c r="E56" s="473"/>
      <c r="F56" s="556"/>
      <c r="G56" s="472"/>
      <c r="H56" s="445"/>
      <c r="I56" s="445"/>
      <c r="J56" s="445"/>
      <c r="K56" s="473"/>
      <c r="L56" s="473"/>
      <c r="M56" s="445"/>
      <c r="N56" s="473"/>
      <c r="O56" s="445"/>
      <c r="P56" s="445"/>
      <c r="Q56" s="445"/>
      <c r="R56" s="445"/>
      <c r="S56" s="445"/>
      <c r="T56" s="445"/>
      <c r="U56" s="445"/>
      <c r="W56" s="539"/>
    </row>
    <row r="57" spans="2:23" s="562" customFormat="1" ht="19.5">
      <c r="B57" s="457"/>
      <c r="C57" s="460"/>
      <c r="D57" s="542" t="s">
        <v>89</v>
      </c>
      <c r="E57" s="557">
        <f>10*J41*J54/J50</f>
        <v>614.72328</v>
      </c>
      <c r="F57" s="32"/>
      <c r="G57" s="472"/>
      <c r="H57" s="32"/>
      <c r="I57" s="32"/>
      <c r="J57" s="32"/>
      <c r="K57" s="32"/>
      <c r="L57" s="473"/>
      <c r="M57" s="32"/>
      <c r="N57" s="473"/>
      <c r="O57" s="474"/>
      <c r="P57" s="32"/>
      <c r="Q57" s="32"/>
      <c r="R57" s="32"/>
      <c r="S57" s="32"/>
      <c r="T57" s="32"/>
      <c r="U57" s="32"/>
      <c r="V57"/>
      <c r="W57" s="539"/>
    </row>
    <row r="58" spans="2:23" ht="16.5" customHeight="1">
      <c r="B58" s="457"/>
      <c r="C58" s="460"/>
      <c r="D58" s="32"/>
      <c r="E58" s="558"/>
      <c r="F58" s="467"/>
      <c r="G58" s="472"/>
      <c r="H58" s="32"/>
      <c r="I58" s="32"/>
      <c r="J58" s="472"/>
      <c r="K58" s="476"/>
      <c r="L58" s="473"/>
      <c r="M58" s="473"/>
      <c r="N58" s="473"/>
      <c r="O58" s="474"/>
      <c r="P58" s="473"/>
      <c r="Q58" s="473"/>
      <c r="R58" s="475"/>
      <c r="S58" s="475"/>
      <c r="T58" s="475"/>
      <c r="U58" s="559"/>
      <c r="W58" s="539"/>
    </row>
    <row r="59" spans="2:23" ht="16.5" customHeight="1">
      <c r="B59" s="457"/>
      <c r="C59" s="460"/>
      <c r="D59" s="560" t="s">
        <v>111</v>
      </c>
      <c r="E59" s="561"/>
      <c r="F59" s="467"/>
      <c r="G59" s="472"/>
      <c r="H59" s="445"/>
      <c r="I59" s="445"/>
      <c r="N59" s="473"/>
      <c r="O59" s="474"/>
      <c r="P59" s="473"/>
      <c r="Q59" s="473"/>
      <c r="R59" s="545"/>
      <c r="S59" s="545"/>
      <c r="T59" s="545"/>
      <c r="U59" s="546"/>
      <c r="W59" s="539"/>
    </row>
    <row r="60" spans="2:23" ht="16.5" thickBot="1">
      <c r="B60" s="457"/>
      <c r="C60" s="460"/>
      <c r="D60" s="560"/>
      <c r="E60" s="561"/>
      <c r="F60" s="467"/>
      <c r="G60" s="472"/>
      <c r="H60" s="445"/>
      <c r="I60" s="445"/>
      <c r="N60" s="473"/>
      <c r="O60" s="474"/>
      <c r="P60" s="473"/>
      <c r="Q60" s="473"/>
      <c r="R60" s="545"/>
      <c r="S60" s="545"/>
      <c r="T60" s="545"/>
      <c r="U60" s="546"/>
      <c r="W60" s="539"/>
    </row>
    <row r="61" spans="2:23" ht="21" thickBot="1" thickTop="1">
      <c r="B61" s="563"/>
      <c r="C61" s="564"/>
      <c r="D61" s="565"/>
      <c r="E61" s="566"/>
      <c r="F61" s="567"/>
      <c r="G61" s="568"/>
      <c r="H61" s="562"/>
      <c r="I61" s="569" t="s">
        <v>90</v>
      </c>
      <c r="J61" s="570">
        <f>IF(E57&gt;3*E57,E57*3,E57)</f>
        <v>614.72328</v>
      </c>
      <c r="K61" s="562"/>
      <c r="L61" s="562"/>
      <c r="M61" s="571"/>
      <c r="N61" s="571"/>
      <c r="O61" s="986" t="s">
        <v>295</v>
      </c>
      <c r="P61" s="571"/>
      <c r="Q61" s="571"/>
      <c r="R61" s="573"/>
      <c r="S61" s="573"/>
      <c r="T61" s="573"/>
      <c r="U61" s="574"/>
      <c r="W61" s="575"/>
    </row>
    <row r="62" spans="2:23" ht="17.25" thickBot="1" thickTop="1">
      <c r="B62" s="5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186"/>
      <c r="W62" s="576"/>
    </row>
    <row r="63" spans="2:23" ht="13.5" thickTop="1">
      <c r="B63" s="1"/>
      <c r="C63" s="73"/>
      <c r="W63" s="1"/>
    </row>
  </sheetData>
  <sheetProtection password="CC12"/>
  <mergeCells count="8">
    <mergeCell ref="E33:F33"/>
    <mergeCell ref="E34:F34"/>
    <mergeCell ref="O47:U47"/>
    <mergeCell ref="G47:I47"/>
    <mergeCell ref="G46:I46"/>
    <mergeCell ref="O46:U46"/>
    <mergeCell ref="N33:O33"/>
    <mergeCell ref="E39:F39"/>
  </mergeCells>
  <printOptions horizontalCentered="1"/>
  <pageMargins left="0.3937007874015748" right="0.1968503937007874" top="0.62" bottom="0.43" header="0.44" footer="0.27"/>
  <pageSetup orientation="landscape" paperSize="9" scale="4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"/>
  <dimension ref="A1:AD70"/>
  <sheetViews>
    <sheetView zoomScale="50" zoomScaleNormal="50" workbookViewId="0" topLeftCell="A1">
      <selection activeCell="U14" sqref="U14"/>
    </sheetView>
  </sheetViews>
  <sheetFormatPr defaultColWidth="11.421875" defaultRowHeight="12.75"/>
  <cols>
    <col min="1" max="1" width="22.0039062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8.71093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23" ht="27" customHeight="1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30" s="455" customFormat="1" ht="30.75">
      <c r="A2" s="452"/>
      <c r="B2" s="453" t="str">
        <f>+'TOT-0809'!B2</f>
        <v>ANEXO III al Memorándum D.T.E.E. N°   256 /2011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AB2" s="454"/>
      <c r="AC2" s="454"/>
      <c r="AD2" s="454"/>
    </row>
    <row r="3" spans="1:2" s="25" customFormat="1" ht="11.25">
      <c r="A3" s="577" t="s">
        <v>1</v>
      </c>
      <c r="B3" s="578"/>
    </row>
    <row r="4" spans="1:2" s="25" customFormat="1" ht="12" thickBot="1">
      <c r="A4" s="577" t="s">
        <v>2</v>
      </c>
      <c r="B4" s="577"/>
    </row>
    <row r="5" spans="1:23" ht="16.5" customHeight="1" thickTop="1">
      <c r="A5" s="5"/>
      <c r="B5" s="69"/>
      <c r="C5" s="70"/>
      <c r="D5" s="70"/>
      <c r="E5" s="187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92"/>
    </row>
    <row r="6" spans="1:23" ht="20.25">
      <c r="A6" s="5"/>
      <c r="B6" s="50"/>
      <c r="C6" s="4"/>
      <c r="D6" s="168" t="s">
        <v>78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7"/>
      <c r="Q6" s="77"/>
      <c r="R6" s="4"/>
      <c r="S6" s="4"/>
      <c r="T6" s="4"/>
      <c r="U6" s="4"/>
      <c r="V6" s="4"/>
      <c r="W6" s="17"/>
    </row>
    <row r="7" spans="1:23" ht="16.5" customHeight="1">
      <c r="A7" s="5"/>
      <c r="B7" s="5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7"/>
    </row>
    <row r="8" spans="2:23" s="36" customFormat="1" ht="20.25">
      <c r="B8" s="44"/>
      <c r="C8" s="43"/>
      <c r="D8" s="168" t="s">
        <v>79</v>
      </c>
      <c r="E8" s="43"/>
      <c r="F8" s="43"/>
      <c r="G8" s="43"/>
      <c r="H8" s="43"/>
      <c r="N8" s="43"/>
      <c r="O8" s="43"/>
      <c r="P8" s="189"/>
      <c r="Q8" s="189"/>
      <c r="R8" s="43"/>
      <c r="S8" s="43"/>
      <c r="T8" s="43"/>
      <c r="U8" s="43"/>
      <c r="V8" s="43"/>
      <c r="W8" s="190"/>
    </row>
    <row r="9" spans="1:23" ht="16.5" customHeight="1">
      <c r="A9" s="5"/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7"/>
    </row>
    <row r="10" spans="2:23" s="36" customFormat="1" ht="20.25">
      <c r="B10" s="44"/>
      <c r="C10" s="43"/>
      <c r="D10" s="168" t="s">
        <v>299</v>
      </c>
      <c r="E10" s="43"/>
      <c r="F10" s="43"/>
      <c r="G10" s="43"/>
      <c r="H10" s="43"/>
      <c r="N10" s="43"/>
      <c r="O10" s="43"/>
      <c r="P10" s="189"/>
      <c r="Q10" s="189"/>
      <c r="R10" s="43"/>
      <c r="S10" s="43"/>
      <c r="T10" s="43"/>
      <c r="U10" s="43"/>
      <c r="V10" s="43"/>
      <c r="W10" s="190"/>
    </row>
    <row r="11" spans="1:23" ht="16.5" customHeight="1">
      <c r="A11" s="5"/>
      <c r="B11" s="50"/>
      <c r="C11" s="4"/>
      <c r="D11" s="4"/>
      <c r="E11" s="5"/>
      <c r="F11" s="5"/>
      <c r="G11" s="5"/>
      <c r="H11" s="5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17"/>
    </row>
    <row r="12" spans="2:23" s="36" customFormat="1" ht="19.5">
      <c r="B12" s="37" t="str">
        <f>'TOT-0809'!B14</f>
        <v>Desde el 01 al 31 de agosto de 2009</v>
      </c>
      <c r="C12" s="38"/>
      <c r="D12" s="40"/>
      <c r="E12" s="40"/>
      <c r="F12" s="40"/>
      <c r="G12" s="40"/>
      <c r="H12" s="40"/>
      <c r="I12" s="41"/>
      <c r="J12" s="16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24"/>
      <c r="V12" s="124"/>
      <c r="W12" s="42"/>
    </row>
    <row r="13" spans="1:23" ht="16.5" customHeight="1">
      <c r="A13" s="5"/>
      <c r="B13" s="50"/>
      <c r="C13" s="4"/>
      <c r="D13" s="4"/>
      <c r="E13" s="66"/>
      <c r="F13" s="66"/>
      <c r="G13" s="4"/>
      <c r="H13" s="4"/>
      <c r="I13" s="4"/>
      <c r="J13" s="456"/>
      <c r="K13" s="4"/>
      <c r="L13" s="4"/>
      <c r="M13" s="4"/>
      <c r="N13" s="5"/>
      <c r="O13" s="5"/>
      <c r="P13" s="4"/>
      <c r="Q13" s="4"/>
      <c r="R13" s="4"/>
      <c r="S13" s="4"/>
      <c r="T13" s="4"/>
      <c r="U13" s="4"/>
      <c r="V13" s="4"/>
      <c r="W13" s="17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137"/>
      <c r="J14" s="4"/>
      <c r="K14" s="1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 thickBot="1">
      <c r="A16" s="5"/>
      <c r="B16" s="50"/>
      <c r="C16" s="156" t="s">
        <v>80</v>
      </c>
      <c r="D16" s="54" t="s">
        <v>81</v>
      </c>
      <c r="E16" s="66"/>
      <c r="F16" s="66"/>
      <c r="G16" s="4"/>
      <c r="H16" s="4"/>
      <c r="I16" s="4"/>
      <c r="J16" s="456"/>
      <c r="K16" s="4"/>
      <c r="L16" s="4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2:23" s="32" customFormat="1" ht="16.5" customHeight="1" thickBot="1">
      <c r="B17" s="457"/>
      <c r="C17" s="33"/>
      <c r="D17" s="458"/>
      <c r="E17" s="465" t="s">
        <v>135</v>
      </c>
      <c r="F17" s="549">
        <v>500290</v>
      </c>
      <c r="G17" s="551" t="e">
        <f>"(DTE "&amp;#REF!&amp;#REF!&amp;")"</f>
        <v>#REF!</v>
      </c>
      <c r="H17" s="33"/>
      <c r="I17" s="33"/>
      <c r="J17" s="461"/>
      <c r="K17" s="33"/>
      <c r="L17" s="33"/>
      <c r="M17" s="33"/>
      <c r="N17" s="583" t="s">
        <v>35</v>
      </c>
      <c r="P17" s="33"/>
      <c r="Q17" s="33"/>
      <c r="R17" s="33"/>
      <c r="S17" s="33"/>
      <c r="T17" s="33"/>
      <c r="U17" s="33"/>
      <c r="V17" s="33"/>
      <c r="W17" s="462"/>
    </row>
    <row r="18" spans="2:23" s="32" customFormat="1" ht="16.5" customHeight="1">
      <c r="B18" s="457"/>
      <c r="C18" s="33"/>
      <c r="D18" s="748"/>
      <c r="E18" s="465" t="s">
        <v>38</v>
      </c>
      <c r="F18" s="466">
        <v>0.025</v>
      </c>
      <c r="G18" s="463"/>
      <c r="H18" s="33"/>
      <c r="I18" s="194"/>
      <c r="J18" s="195"/>
      <c r="K18" s="584" t="s">
        <v>95</v>
      </c>
      <c r="L18" s="585"/>
      <c r="M18" s="586">
        <v>63.904</v>
      </c>
      <c r="N18" s="587">
        <v>200</v>
      </c>
      <c r="R18" s="33"/>
      <c r="S18" s="33"/>
      <c r="T18" s="33"/>
      <c r="U18" s="33"/>
      <c r="V18" s="33"/>
      <c r="W18" s="462"/>
    </row>
    <row r="19" spans="2:23" s="32" customFormat="1" ht="16.5" customHeight="1">
      <c r="B19" s="457"/>
      <c r="C19" s="33"/>
      <c r="D19" s="748"/>
      <c r="E19" s="458" t="s">
        <v>36</v>
      </c>
      <c r="F19" s="33">
        <f>MID(B12,16,2)*24</f>
        <v>744</v>
      </c>
      <c r="G19" s="33" t="s">
        <v>37</v>
      </c>
      <c r="H19" s="33"/>
      <c r="I19" s="33"/>
      <c r="J19" s="33"/>
      <c r="K19" s="588" t="s">
        <v>68</v>
      </c>
      <c r="L19" s="589"/>
      <c r="M19" s="590">
        <v>57.511</v>
      </c>
      <c r="N19" s="591">
        <v>100</v>
      </c>
      <c r="O19" s="33"/>
      <c r="P19" s="579"/>
      <c r="Q19" s="33"/>
      <c r="R19" s="33"/>
      <c r="S19" s="33"/>
      <c r="T19" s="33"/>
      <c r="U19" s="33"/>
      <c r="V19" s="33"/>
      <c r="W19" s="462"/>
    </row>
    <row r="20" spans="2:23" s="32" customFormat="1" ht="16.5" customHeight="1" thickBot="1">
      <c r="B20" s="457"/>
      <c r="C20" s="33"/>
      <c r="D20" s="748"/>
      <c r="E20" s="458" t="s">
        <v>39</v>
      </c>
      <c r="F20" s="33">
        <v>0.319</v>
      </c>
      <c r="G20" s="32" t="s">
        <v>91</v>
      </c>
      <c r="H20" s="33"/>
      <c r="I20" s="33"/>
      <c r="J20" s="33"/>
      <c r="K20" s="592" t="s">
        <v>96</v>
      </c>
      <c r="L20" s="593"/>
      <c r="M20" s="594">
        <v>51.126</v>
      </c>
      <c r="N20" s="595">
        <v>40</v>
      </c>
      <c r="O20" s="33"/>
      <c r="P20" s="579"/>
      <c r="Q20" s="33"/>
      <c r="R20" s="33"/>
      <c r="S20" s="33"/>
      <c r="T20" s="33"/>
      <c r="U20" s="33"/>
      <c r="V20" s="33"/>
      <c r="W20" s="462"/>
    </row>
    <row r="21" spans="2:23" s="32" customFormat="1" ht="16.5" customHeight="1">
      <c r="B21" s="457"/>
      <c r="C21" s="33"/>
      <c r="D21" s="33"/>
      <c r="E21" s="467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62"/>
    </row>
    <row r="22" spans="1:23" ht="16.5" customHeight="1">
      <c r="A22" s="5"/>
      <c r="B22" s="50"/>
      <c r="C22" s="156" t="s">
        <v>82</v>
      </c>
      <c r="D22" s="3" t="s">
        <v>112</v>
      </c>
      <c r="I22" s="4"/>
      <c r="J22" s="32"/>
      <c r="O22" s="4"/>
      <c r="P22" s="4"/>
      <c r="Q22" s="4"/>
      <c r="R22" s="4"/>
      <c r="S22" s="4"/>
      <c r="T22" s="4"/>
      <c r="V22" s="4"/>
      <c r="W22" s="17"/>
    </row>
    <row r="23" spans="1:23" ht="10.5" customHeight="1" thickBot="1">
      <c r="A23" s="5"/>
      <c r="B23" s="50"/>
      <c r="C23" s="66"/>
      <c r="D23" s="3"/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2:23" s="32" customFormat="1" ht="16.5" customHeight="1" thickBot="1" thickTop="1">
      <c r="B24" s="457"/>
      <c r="C24" s="460"/>
      <c r="D24"/>
      <c r="E24"/>
      <c r="F24"/>
      <c r="G24"/>
      <c r="H24"/>
      <c r="I24" s="468" t="s">
        <v>43</v>
      </c>
      <c r="J24" s="596">
        <f>+F17*F18</f>
        <v>12507.25</v>
      </c>
      <c r="L24"/>
      <c r="S24"/>
      <c r="T24"/>
      <c r="U24"/>
      <c r="W24" s="462"/>
    </row>
    <row r="25" spans="2:23" s="32" customFormat="1" ht="11.25" customHeight="1" thickTop="1">
      <c r="B25" s="457"/>
      <c r="C25" s="460"/>
      <c r="D25" s="33"/>
      <c r="E25" s="467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/>
      <c r="W25" s="462"/>
    </row>
    <row r="26" spans="1:23" ht="16.5" customHeight="1">
      <c r="A26" s="5"/>
      <c r="B26" s="50"/>
      <c r="C26" s="156" t="s">
        <v>83</v>
      </c>
      <c r="D26" s="3" t="s">
        <v>113</v>
      </c>
      <c r="E26" s="1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7"/>
    </row>
    <row r="27" spans="1:23" ht="13.5" customHeight="1" thickBot="1">
      <c r="A27" s="32"/>
      <c r="B27" s="50"/>
      <c r="C27" s="460"/>
      <c r="D27" s="460"/>
      <c r="E27" s="471"/>
      <c r="F27" s="467"/>
      <c r="G27" s="472"/>
      <c r="H27" s="472"/>
      <c r="I27" s="473"/>
      <c r="J27" s="473"/>
      <c r="K27" s="473"/>
      <c r="L27" s="473"/>
      <c r="M27" s="473"/>
      <c r="N27" s="473"/>
      <c r="O27" s="474"/>
      <c r="P27" s="473"/>
      <c r="Q27" s="473"/>
      <c r="R27" s="597"/>
      <c r="S27" s="598"/>
      <c r="T27" s="599"/>
      <c r="U27" s="599"/>
      <c r="V27" s="599"/>
      <c r="W27" s="217"/>
    </row>
    <row r="28" spans="1:26" s="5" customFormat="1" ht="33.75" customHeight="1" thickBot="1" thickTop="1">
      <c r="A28" s="88"/>
      <c r="B28" s="93"/>
      <c r="C28" s="121" t="s">
        <v>12</v>
      </c>
      <c r="D28" s="117" t="s">
        <v>25</v>
      </c>
      <c r="E28" s="116" t="s">
        <v>26</v>
      </c>
      <c r="F28" s="118" t="s">
        <v>27</v>
      </c>
      <c r="G28" s="119" t="s">
        <v>13</v>
      </c>
      <c r="H28" s="127" t="s">
        <v>15</v>
      </c>
      <c r="I28" s="116" t="s">
        <v>16</v>
      </c>
      <c r="J28" s="116" t="s">
        <v>17</v>
      </c>
      <c r="K28" s="117" t="s">
        <v>28</v>
      </c>
      <c r="L28" s="117" t="s">
        <v>29</v>
      </c>
      <c r="M28" s="87" t="s">
        <v>84</v>
      </c>
      <c r="N28" s="116" t="s">
        <v>30</v>
      </c>
      <c r="O28" s="477" t="s">
        <v>31</v>
      </c>
      <c r="P28" s="127" t="s">
        <v>32</v>
      </c>
      <c r="Q28" s="478" t="s">
        <v>19</v>
      </c>
      <c r="R28" s="479" t="s">
        <v>85</v>
      </c>
      <c r="S28" s="480"/>
      <c r="T28" s="481" t="s">
        <v>21</v>
      </c>
      <c r="U28" s="130" t="s">
        <v>59</v>
      </c>
      <c r="V28" s="119" t="s">
        <v>22</v>
      </c>
      <c r="W28" s="17"/>
      <c r="Y28"/>
      <c r="Z28"/>
    </row>
    <row r="29" spans="1:23" ht="16.5" customHeight="1" thickTop="1">
      <c r="A29" s="5"/>
      <c r="B29" s="50"/>
      <c r="C29" s="10"/>
      <c r="D29" s="10"/>
      <c r="E29" s="10"/>
      <c r="F29" s="10"/>
      <c r="G29" s="482"/>
      <c r="H29" s="483"/>
      <c r="I29" s="10"/>
      <c r="J29" s="10"/>
      <c r="K29" s="10"/>
      <c r="L29" s="10"/>
      <c r="M29" s="10"/>
      <c r="N29" s="484"/>
      <c r="O29" s="600"/>
      <c r="P29" s="131"/>
      <c r="Q29" s="485"/>
      <c r="R29" s="486"/>
      <c r="S29" s="487"/>
      <c r="T29" s="488"/>
      <c r="U29" s="484"/>
      <c r="V29" s="489"/>
      <c r="W29" s="17"/>
    </row>
    <row r="30" spans="1:23" ht="16.5" customHeight="1">
      <c r="A30" s="5"/>
      <c r="B30" s="50"/>
      <c r="C30" s="702" t="s">
        <v>119</v>
      </c>
      <c r="D30" s="490"/>
      <c r="E30" s="491"/>
      <c r="F30" s="492"/>
      <c r="G30" s="493"/>
      <c r="H30" s="494">
        <f>F30*$F$20</f>
        <v>0</v>
      </c>
      <c r="I30" s="495"/>
      <c r="J30" s="495"/>
      <c r="K30" s="282">
        <f>IF(D30="","",(J30-I30)*24)</f>
      </c>
      <c r="L30" s="14">
        <f>IF(D30="","",(J30-I30)*24*60)</f>
      </c>
      <c r="M30" s="13"/>
      <c r="N30" s="8">
        <f>IF(D30="","",IF(OR(M30="P",M30="RP"),"--","NO"))</f>
      </c>
      <c r="O30" s="601">
        <f>IF(D30="","","NO")</f>
      </c>
      <c r="P30" s="496">
        <f>200*IF(O30="SI",1,0.1)*IF(M30="P",0.1,1)</f>
        <v>20</v>
      </c>
      <c r="Q30" s="497" t="str">
        <f>IF(M30="P",H30*P30*ROUND(L30/60,2),"--")</f>
        <v>--</v>
      </c>
      <c r="R30" s="498" t="str">
        <f>IF(AND(M30="F",N30="NO"),H30*P30,"--")</f>
        <v>--</v>
      </c>
      <c r="S30" s="499" t="str">
        <f>IF(M30="F",H30*P30*ROUND(L30/60,2),"--")</f>
        <v>--</v>
      </c>
      <c r="T30" s="364" t="str">
        <f>IF(M30="RF",H30*P30*ROUND(L30/60,2),"--")</f>
        <v>--</v>
      </c>
      <c r="U30" s="292">
        <f>IF(D30="","","SI")</f>
      </c>
      <c r="V30" s="293">
        <f>IF(D30="","",SUM(Q30:T30)*IF(U30="SI",1,2))</f>
      </c>
      <c r="W30" s="217"/>
    </row>
    <row r="31" spans="1:23" ht="16.5" customHeight="1">
      <c r="A31" s="5"/>
      <c r="B31" s="50"/>
      <c r="C31" s="702" t="s">
        <v>120</v>
      </c>
      <c r="D31" s="490"/>
      <c r="E31" s="491"/>
      <c r="F31" s="492"/>
      <c r="G31" s="493"/>
      <c r="H31" s="494">
        <f>F31*$F$20</f>
        <v>0</v>
      </c>
      <c r="I31" s="495"/>
      <c r="J31" s="495"/>
      <c r="K31" s="282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601">
        <f>IF(D31="","","NO")</f>
      </c>
      <c r="P31" s="496">
        <f>200*IF(O31="SI",1,0.1)*IF(M31="P",0.1,1)</f>
        <v>20</v>
      </c>
      <c r="Q31" s="497" t="str">
        <f>IF(M31="P",H31*P31*ROUND(L31/60,2),"--")</f>
        <v>--</v>
      </c>
      <c r="R31" s="498" t="str">
        <f>IF(AND(M31="F",N31="NO"),H31*P31,"--")</f>
        <v>--</v>
      </c>
      <c r="S31" s="499" t="str">
        <f>IF(M31="F",H31*P31*ROUND(L31/60,2),"--")</f>
        <v>--</v>
      </c>
      <c r="T31" s="364" t="str">
        <f>IF(M31="RF",H31*P31*ROUND(L31/60,2),"--")</f>
        <v>--</v>
      </c>
      <c r="U31" s="292">
        <f>IF(D31="","","SI")</f>
      </c>
      <c r="V31" s="293">
        <f>IF(D31="","",SUM(Q31:T31)*IF(U31="SI",1,2))</f>
      </c>
      <c r="W31" s="217"/>
    </row>
    <row r="32" spans="1:23" ht="16.5" customHeight="1" thickBot="1">
      <c r="A32" s="32"/>
      <c r="B32" s="50"/>
      <c r="C32" s="500"/>
      <c r="D32" s="501"/>
      <c r="E32" s="502"/>
      <c r="F32" s="503"/>
      <c r="G32" s="504"/>
      <c r="H32" s="505"/>
      <c r="I32" s="506"/>
      <c r="J32" s="507"/>
      <c r="K32" s="508"/>
      <c r="L32" s="509"/>
      <c r="M32" s="510"/>
      <c r="N32" s="9"/>
      <c r="O32" s="602"/>
      <c r="P32" s="511"/>
      <c r="Q32" s="512"/>
      <c r="R32" s="513"/>
      <c r="S32" s="514"/>
      <c r="T32" s="515"/>
      <c r="U32" s="516"/>
      <c r="V32" s="517"/>
      <c r="W32" s="217"/>
    </row>
    <row r="33" spans="1:23" ht="16.5" customHeight="1" thickBot="1" thickTop="1">
      <c r="A33" s="32"/>
      <c r="B33" s="50"/>
      <c r="C33" s="96"/>
      <c r="D33" s="196"/>
      <c r="E33" s="196"/>
      <c r="F33" s="395"/>
      <c r="G33" s="518"/>
      <c r="H33" s="519"/>
      <c r="I33" s="520"/>
      <c r="J33" s="521"/>
      <c r="K33" s="522"/>
      <c r="L33" s="523"/>
      <c r="M33" s="519"/>
      <c r="N33" s="524"/>
      <c r="O33" s="184"/>
      <c r="P33" s="525"/>
      <c r="Q33" s="526"/>
      <c r="R33" s="527"/>
      <c r="S33" s="527"/>
      <c r="T33" s="527"/>
      <c r="U33" s="185"/>
      <c r="V33" s="528">
        <f>SUM(V29:V32)</f>
        <v>0</v>
      </c>
      <c r="W33" s="217"/>
    </row>
    <row r="34" spans="1:23" ht="16.5" customHeight="1" thickBot="1" thickTop="1">
      <c r="A34" s="32"/>
      <c r="B34" s="50"/>
      <c r="C34" s="96"/>
      <c r="D34" s="196"/>
      <c r="E34" s="196"/>
      <c r="F34" s="395"/>
      <c r="G34" s="518"/>
      <c r="H34" s="519"/>
      <c r="I34" s="520"/>
      <c r="L34" s="523"/>
      <c r="M34" s="519"/>
      <c r="N34" s="529"/>
      <c r="O34" s="530"/>
      <c r="P34" s="525"/>
      <c r="Q34" s="526"/>
      <c r="R34" s="527"/>
      <c r="S34" s="527"/>
      <c r="T34" s="527"/>
      <c r="U34" s="185"/>
      <c r="V34" s="185"/>
      <c r="W34" s="217"/>
    </row>
    <row r="35" spans="2:23" s="5" customFormat="1" ht="33.75" customHeight="1" thickBot="1" thickTop="1">
      <c r="B35" s="50"/>
      <c r="C35" s="84" t="s">
        <v>12</v>
      </c>
      <c r="D35" s="86" t="s">
        <v>25</v>
      </c>
      <c r="E35" s="1095" t="s">
        <v>26</v>
      </c>
      <c r="F35" s="1096"/>
      <c r="G35" s="130" t="s">
        <v>13</v>
      </c>
      <c r="H35" s="127" t="s">
        <v>15</v>
      </c>
      <c r="I35" s="85" t="s">
        <v>16</v>
      </c>
      <c r="J35" s="347" t="s">
        <v>17</v>
      </c>
      <c r="K35" s="349" t="s">
        <v>34</v>
      </c>
      <c r="L35" s="349" t="s">
        <v>29</v>
      </c>
      <c r="M35" s="87" t="s">
        <v>18</v>
      </c>
      <c r="N35" s="1095" t="s">
        <v>30</v>
      </c>
      <c r="O35" s="1101"/>
      <c r="P35" s="133" t="s">
        <v>35</v>
      </c>
      <c r="Q35" s="350" t="s">
        <v>56</v>
      </c>
      <c r="R35" s="173" t="s">
        <v>33</v>
      </c>
      <c r="S35" s="351"/>
      <c r="T35" s="132" t="s">
        <v>21</v>
      </c>
      <c r="U35" s="130" t="s">
        <v>59</v>
      </c>
      <c r="V35" s="119" t="s">
        <v>22</v>
      </c>
      <c r="W35" s="6"/>
    </row>
    <row r="36" spans="2:23" s="5" customFormat="1" ht="16.5" customHeight="1" thickTop="1">
      <c r="B36" s="50"/>
      <c r="C36" s="7"/>
      <c r="D36" s="359"/>
      <c r="E36" s="1097"/>
      <c r="F36" s="1098"/>
      <c r="G36" s="359"/>
      <c r="H36" s="360"/>
      <c r="I36" s="359"/>
      <c r="J36" s="359"/>
      <c r="K36" s="359"/>
      <c r="L36" s="359"/>
      <c r="M36" s="359"/>
      <c r="N36" s="359"/>
      <c r="O36" s="603"/>
      <c r="P36" s="361"/>
      <c r="Q36" s="362"/>
      <c r="R36" s="182"/>
      <c r="S36" s="363"/>
      <c r="T36" s="364"/>
      <c r="U36" s="359"/>
      <c r="V36" s="365"/>
      <c r="W36" s="6"/>
    </row>
    <row r="37" spans="2:23" s="5" customFormat="1" ht="16.5" customHeight="1">
      <c r="B37" s="50"/>
      <c r="C37" s="702" t="s">
        <v>119</v>
      </c>
      <c r="D37" s="359" t="s">
        <v>172</v>
      </c>
      <c r="E37" s="1097" t="s">
        <v>214</v>
      </c>
      <c r="F37" s="1098"/>
      <c r="G37" s="604">
        <v>132</v>
      </c>
      <c r="H37" s="128">
        <f>IF(G37=500,$M$18,IF(G37=220,$M$19,$M$20))</f>
        <v>51.126</v>
      </c>
      <c r="I37" s="605">
        <v>40029.37986111111</v>
      </c>
      <c r="J37" s="606">
        <v>40029.479166666664</v>
      </c>
      <c r="K37" s="369">
        <f>IF(D37="","",(J37-I37)*24)</f>
        <v>2.3833333332440816</v>
      </c>
      <c r="L37" s="370">
        <f>IF(D37="","",ROUND((J37-I37)*24*60,0))</f>
        <v>143</v>
      </c>
      <c r="M37" s="469" t="s">
        <v>144</v>
      </c>
      <c r="N37" s="443" t="str">
        <f>IF(D37="","",IF(OR(M37="P",M37="RP"),"--","NO"))</f>
        <v>--</v>
      </c>
      <c r="O37" s="420"/>
      <c r="P37" s="607">
        <f>IF(G37=500,$N$18,IF(G37=220,$N$19,$N$20))</f>
        <v>40</v>
      </c>
      <c r="Q37" s="608">
        <f>IF(M37="P",H37*P37*ROUND(L37/60,2)*0.1,"--")</f>
        <v>486.71952000000005</v>
      </c>
      <c r="R37" s="182" t="str">
        <f>IF(AND(M37="F",N37="NO"),H37*P37,"--")</f>
        <v>--</v>
      </c>
      <c r="S37" s="363" t="str">
        <f>IF(M37="F",H37*P37*ROUND(L37/60,2),"--")</f>
        <v>--</v>
      </c>
      <c r="T37" s="364" t="str">
        <f>IF(M37="RF",H37*P37*ROUND(L37/60,2),"--")</f>
        <v>--</v>
      </c>
      <c r="U37" s="609" t="str">
        <f>IF(D37="","","SI")</f>
        <v>SI</v>
      </c>
      <c r="V37" s="371">
        <f>IF(D37="","",SUM(Q37:T37)*IF(U37="SI",1,2))</f>
        <v>486.71952000000005</v>
      </c>
      <c r="W37" s="6"/>
    </row>
    <row r="38" spans="2:23" s="5" customFormat="1" ht="16.5" customHeight="1">
      <c r="B38" s="50"/>
      <c r="C38" s="702" t="s">
        <v>120</v>
      </c>
      <c r="D38" s="359" t="s">
        <v>215</v>
      </c>
      <c r="E38" s="1097" t="s">
        <v>216</v>
      </c>
      <c r="F38" s="1098"/>
      <c r="G38" s="604">
        <v>132</v>
      </c>
      <c r="H38" s="128">
        <f aca="true" t="shared" si="0" ref="H38:H45">IF(G38=500,$M$18,IF(G38=220,$M$19,$M$20))</f>
        <v>51.126</v>
      </c>
      <c r="I38" s="605">
        <v>40032.364583333336</v>
      </c>
      <c r="J38" s="606">
        <v>40032.61388888889</v>
      </c>
      <c r="K38" s="369">
        <f aca="true" t="shared" si="1" ref="K38:K45">IF(D38="","",(J38-I38)*24)</f>
        <v>5.983333333279006</v>
      </c>
      <c r="L38" s="370">
        <f aca="true" t="shared" si="2" ref="L38:L45">IF(D38="","",ROUND((J38-I38)*24*60,0))</f>
        <v>359</v>
      </c>
      <c r="M38" s="469" t="s">
        <v>144</v>
      </c>
      <c r="N38" s="443" t="str">
        <f aca="true" t="shared" si="3" ref="N38:N45">IF(D38="","",IF(OR(M38="P",M38="RP"),"--","NO"))</f>
        <v>--</v>
      </c>
      <c r="O38" s="420"/>
      <c r="P38" s="607">
        <f aca="true" t="shared" si="4" ref="P38:P45">IF(G38=500,$N$18,IF(G38=220,$N$19,$N$20))</f>
        <v>40</v>
      </c>
      <c r="Q38" s="608">
        <f aca="true" t="shared" si="5" ref="Q38:Q45">IF(M38="P",H38*P38*ROUND(L38/60,2)*0.1,"--")</f>
        <v>1222.9339200000002</v>
      </c>
      <c r="R38" s="182" t="str">
        <f aca="true" t="shared" si="6" ref="R38:R45">IF(AND(M38="F",N38="NO"),H38*P38,"--")</f>
        <v>--</v>
      </c>
      <c r="S38" s="363" t="str">
        <f aca="true" t="shared" si="7" ref="S38:S45">IF(M38="F",H38*P38*ROUND(L38/60,2),"--")</f>
        <v>--</v>
      </c>
      <c r="T38" s="364" t="str">
        <f aca="true" t="shared" si="8" ref="T38:T45">IF(M38="RF",H38*P38*ROUND(L38/60,2),"--")</f>
        <v>--</v>
      </c>
      <c r="U38" s="609" t="str">
        <f aca="true" t="shared" si="9" ref="U38:U45">IF(D38="","","SI")</f>
        <v>SI</v>
      </c>
      <c r="V38" s="371">
        <f aca="true" t="shared" si="10" ref="V38:V45">IF(D38="","",SUM(Q38:T38)*IF(U38="SI",1,2))</f>
        <v>1222.9339200000002</v>
      </c>
      <c r="W38" s="6"/>
    </row>
    <row r="39" spans="2:23" s="5" customFormat="1" ht="16.5" customHeight="1">
      <c r="B39" s="50"/>
      <c r="C39" s="702" t="s">
        <v>121</v>
      </c>
      <c r="D39" s="359" t="s">
        <v>172</v>
      </c>
      <c r="E39" s="1097" t="s">
        <v>217</v>
      </c>
      <c r="F39" s="1098"/>
      <c r="G39" s="604">
        <v>132</v>
      </c>
      <c r="H39" s="128">
        <f t="shared" si="0"/>
        <v>51.126</v>
      </c>
      <c r="I39" s="605">
        <v>40035.388194444444</v>
      </c>
      <c r="J39" s="606">
        <v>40035.66180555556</v>
      </c>
      <c r="K39" s="369">
        <f t="shared" si="1"/>
        <v>6.56666666676756</v>
      </c>
      <c r="L39" s="370">
        <f t="shared" si="2"/>
        <v>394</v>
      </c>
      <c r="M39" s="469" t="s">
        <v>144</v>
      </c>
      <c r="N39" s="443" t="str">
        <f t="shared" si="3"/>
        <v>--</v>
      </c>
      <c r="O39" s="420"/>
      <c r="P39" s="607">
        <f t="shared" si="4"/>
        <v>40</v>
      </c>
      <c r="Q39" s="608">
        <f t="shared" si="5"/>
        <v>1343.59128</v>
      </c>
      <c r="R39" s="182" t="str">
        <f t="shared" si="6"/>
        <v>--</v>
      </c>
      <c r="S39" s="363" t="str">
        <f t="shared" si="7"/>
        <v>--</v>
      </c>
      <c r="T39" s="364" t="str">
        <f t="shared" si="8"/>
        <v>--</v>
      </c>
      <c r="U39" s="609" t="str">
        <f t="shared" si="9"/>
        <v>SI</v>
      </c>
      <c r="V39" s="371">
        <f t="shared" si="10"/>
        <v>1343.59128</v>
      </c>
      <c r="W39" s="6"/>
    </row>
    <row r="40" spans="2:23" s="5" customFormat="1" ht="16.5" customHeight="1">
      <c r="B40" s="50"/>
      <c r="C40" s="702" t="s">
        <v>122</v>
      </c>
      <c r="D40" s="359" t="s">
        <v>172</v>
      </c>
      <c r="E40" s="1097" t="s">
        <v>218</v>
      </c>
      <c r="F40" s="1098"/>
      <c r="G40" s="604">
        <v>132</v>
      </c>
      <c r="H40" s="128">
        <f t="shared" si="0"/>
        <v>51.126</v>
      </c>
      <c r="I40" s="605">
        <v>40038.356944444444</v>
      </c>
      <c r="J40" s="606">
        <v>40038.69375</v>
      </c>
      <c r="K40" s="369">
        <f t="shared" si="1"/>
        <v>8.08333333331393</v>
      </c>
      <c r="L40" s="370">
        <f t="shared" si="2"/>
        <v>485</v>
      </c>
      <c r="M40" s="469" t="s">
        <v>144</v>
      </c>
      <c r="N40" s="443" t="str">
        <f t="shared" si="3"/>
        <v>--</v>
      </c>
      <c r="O40" s="420"/>
      <c r="P40" s="607">
        <f t="shared" si="4"/>
        <v>40</v>
      </c>
      <c r="Q40" s="608">
        <f t="shared" si="5"/>
        <v>1652.3923200000002</v>
      </c>
      <c r="R40" s="182" t="str">
        <f t="shared" si="6"/>
        <v>--</v>
      </c>
      <c r="S40" s="363" t="str">
        <f t="shared" si="7"/>
        <v>--</v>
      </c>
      <c r="T40" s="364" t="str">
        <f t="shared" si="8"/>
        <v>--</v>
      </c>
      <c r="U40" s="609" t="str">
        <f t="shared" si="9"/>
        <v>SI</v>
      </c>
      <c r="V40" s="371">
        <f t="shared" si="10"/>
        <v>1652.3923200000002</v>
      </c>
      <c r="W40" s="6"/>
    </row>
    <row r="41" spans="2:23" s="5" customFormat="1" ht="16.5" customHeight="1">
      <c r="B41" s="50"/>
      <c r="C41" s="702" t="s">
        <v>123</v>
      </c>
      <c r="D41" s="359" t="s">
        <v>219</v>
      </c>
      <c r="E41" s="1097" t="s">
        <v>220</v>
      </c>
      <c r="F41" s="1098"/>
      <c r="G41" s="604">
        <v>132</v>
      </c>
      <c r="H41" s="128">
        <f t="shared" si="0"/>
        <v>51.126</v>
      </c>
      <c r="I41" s="605">
        <v>40050.45347222222</v>
      </c>
      <c r="J41" s="606">
        <v>40050.728472222225</v>
      </c>
      <c r="K41" s="369">
        <f t="shared" si="1"/>
        <v>6.600000000034925</v>
      </c>
      <c r="L41" s="370">
        <f t="shared" si="2"/>
        <v>396</v>
      </c>
      <c r="M41" s="469" t="s">
        <v>144</v>
      </c>
      <c r="N41" s="443" t="str">
        <f t="shared" si="3"/>
        <v>--</v>
      </c>
      <c r="O41" s="420"/>
      <c r="P41" s="607">
        <f t="shared" si="4"/>
        <v>40</v>
      </c>
      <c r="Q41" s="608">
        <f t="shared" si="5"/>
        <v>1349.7264</v>
      </c>
      <c r="R41" s="182" t="str">
        <f t="shared" si="6"/>
        <v>--</v>
      </c>
      <c r="S41" s="363" t="str">
        <f t="shared" si="7"/>
        <v>--</v>
      </c>
      <c r="T41" s="364" t="str">
        <f t="shared" si="8"/>
        <v>--</v>
      </c>
      <c r="U41" s="609" t="str">
        <f t="shared" si="9"/>
        <v>SI</v>
      </c>
      <c r="V41" s="371">
        <f t="shared" si="10"/>
        <v>1349.7264</v>
      </c>
      <c r="W41" s="6"/>
    </row>
    <row r="42" spans="2:23" s="5" customFormat="1" ht="16.5" customHeight="1">
      <c r="B42" s="50"/>
      <c r="C42" s="702" t="s">
        <v>124</v>
      </c>
      <c r="D42" s="359" t="s">
        <v>219</v>
      </c>
      <c r="E42" s="1097" t="s">
        <v>221</v>
      </c>
      <c r="F42" s="1098"/>
      <c r="G42" s="604">
        <v>132</v>
      </c>
      <c r="H42" s="128">
        <f t="shared" si="0"/>
        <v>51.126</v>
      </c>
      <c r="I42" s="605">
        <v>40051.45277777778</v>
      </c>
      <c r="J42" s="606">
        <v>40051.72083333333</v>
      </c>
      <c r="K42" s="369">
        <f t="shared" si="1"/>
        <v>6.433333333348855</v>
      </c>
      <c r="L42" s="370">
        <f t="shared" si="2"/>
        <v>386</v>
      </c>
      <c r="M42" s="469" t="s">
        <v>144</v>
      </c>
      <c r="N42" s="443" t="str">
        <f t="shared" si="3"/>
        <v>--</v>
      </c>
      <c r="O42" s="420"/>
      <c r="P42" s="607">
        <f t="shared" si="4"/>
        <v>40</v>
      </c>
      <c r="Q42" s="608">
        <f t="shared" si="5"/>
        <v>1314.96072</v>
      </c>
      <c r="R42" s="182" t="str">
        <f t="shared" si="6"/>
        <v>--</v>
      </c>
      <c r="S42" s="363" t="str">
        <f t="shared" si="7"/>
        <v>--</v>
      </c>
      <c r="T42" s="364" t="str">
        <f t="shared" si="8"/>
        <v>--</v>
      </c>
      <c r="U42" s="609" t="str">
        <f t="shared" si="9"/>
        <v>SI</v>
      </c>
      <c r="V42" s="371">
        <f t="shared" si="10"/>
        <v>1314.96072</v>
      </c>
      <c r="W42" s="6"/>
    </row>
    <row r="43" spans="2:23" s="5" customFormat="1" ht="16.5" customHeight="1">
      <c r="B43" s="50"/>
      <c r="C43" s="702" t="s">
        <v>125</v>
      </c>
      <c r="D43" s="359" t="s">
        <v>219</v>
      </c>
      <c r="E43" s="1097" t="s">
        <v>222</v>
      </c>
      <c r="F43" s="1098"/>
      <c r="G43" s="604">
        <v>132</v>
      </c>
      <c r="H43" s="128">
        <f t="shared" si="0"/>
        <v>51.126</v>
      </c>
      <c r="I43" s="605">
        <v>40052.43194444444</v>
      </c>
      <c r="J43" s="606">
        <v>40052.70694444444</v>
      </c>
      <c r="K43" s="369">
        <f t="shared" si="1"/>
        <v>6.600000000034925</v>
      </c>
      <c r="L43" s="370">
        <f t="shared" si="2"/>
        <v>396</v>
      </c>
      <c r="M43" s="469" t="s">
        <v>144</v>
      </c>
      <c r="N43" s="443" t="str">
        <f t="shared" si="3"/>
        <v>--</v>
      </c>
      <c r="O43" s="420"/>
      <c r="P43" s="607">
        <f t="shared" si="4"/>
        <v>40</v>
      </c>
      <c r="Q43" s="608">
        <f t="shared" si="5"/>
        <v>1349.7264</v>
      </c>
      <c r="R43" s="182" t="str">
        <f t="shared" si="6"/>
        <v>--</v>
      </c>
      <c r="S43" s="363" t="str">
        <f t="shared" si="7"/>
        <v>--</v>
      </c>
      <c r="T43" s="364" t="str">
        <f t="shared" si="8"/>
        <v>--</v>
      </c>
      <c r="U43" s="609" t="str">
        <f t="shared" si="9"/>
        <v>SI</v>
      </c>
      <c r="V43" s="371">
        <f t="shared" si="10"/>
        <v>1349.7264</v>
      </c>
      <c r="W43" s="6"/>
    </row>
    <row r="44" spans="2:23" s="5" customFormat="1" ht="16.5" customHeight="1">
      <c r="B44" s="50"/>
      <c r="C44" s="702" t="s">
        <v>126</v>
      </c>
      <c r="D44" s="359"/>
      <c r="E44" s="1097"/>
      <c r="F44" s="1098"/>
      <c r="G44" s="604"/>
      <c r="H44" s="128">
        <f t="shared" si="0"/>
        <v>51.126</v>
      </c>
      <c r="I44" s="605"/>
      <c r="J44" s="606"/>
      <c r="K44" s="369">
        <f t="shared" si="1"/>
      </c>
      <c r="L44" s="370">
        <f t="shared" si="2"/>
      </c>
      <c r="M44" s="469"/>
      <c r="N44" s="443">
        <f t="shared" si="3"/>
      </c>
      <c r="O44" s="420"/>
      <c r="P44" s="607">
        <f t="shared" si="4"/>
        <v>40</v>
      </c>
      <c r="Q44" s="608" t="str">
        <f t="shared" si="5"/>
        <v>--</v>
      </c>
      <c r="R44" s="182" t="str">
        <f t="shared" si="6"/>
        <v>--</v>
      </c>
      <c r="S44" s="363" t="str">
        <f t="shared" si="7"/>
        <v>--</v>
      </c>
      <c r="T44" s="364" t="str">
        <f t="shared" si="8"/>
        <v>--</v>
      </c>
      <c r="U44" s="609">
        <f t="shared" si="9"/>
      </c>
      <c r="V44" s="371">
        <f t="shared" si="10"/>
      </c>
      <c r="W44" s="6"/>
    </row>
    <row r="45" spans="2:23" s="5" customFormat="1" ht="16.5" customHeight="1">
      <c r="B45" s="50"/>
      <c r="C45" s="702" t="s">
        <v>127</v>
      </c>
      <c r="D45" s="359"/>
      <c r="E45" s="1097"/>
      <c r="F45" s="1098"/>
      <c r="G45" s="604"/>
      <c r="H45" s="128">
        <f t="shared" si="0"/>
        <v>51.126</v>
      </c>
      <c r="I45" s="605"/>
      <c r="J45" s="606"/>
      <c r="K45" s="369">
        <f t="shared" si="1"/>
      </c>
      <c r="L45" s="370">
        <f t="shared" si="2"/>
      </c>
      <c r="M45" s="469"/>
      <c r="N45" s="443">
        <f t="shared" si="3"/>
      </c>
      <c r="O45" s="420"/>
      <c r="P45" s="607">
        <f t="shared" si="4"/>
        <v>40</v>
      </c>
      <c r="Q45" s="608" t="str">
        <f t="shared" si="5"/>
        <v>--</v>
      </c>
      <c r="R45" s="182" t="str">
        <f t="shared" si="6"/>
        <v>--</v>
      </c>
      <c r="S45" s="363" t="str">
        <f t="shared" si="7"/>
        <v>--</v>
      </c>
      <c r="T45" s="364" t="str">
        <f t="shared" si="8"/>
        <v>--</v>
      </c>
      <c r="U45" s="609">
        <f t="shared" si="9"/>
      </c>
      <c r="V45" s="371">
        <f t="shared" si="10"/>
      </c>
      <c r="W45" s="6"/>
    </row>
    <row r="46" spans="2:28" s="5" customFormat="1" ht="16.5" customHeight="1" thickBot="1">
      <c r="B46" s="50"/>
      <c r="C46" s="500"/>
      <c r="D46" s="611"/>
      <c r="E46" s="1070"/>
      <c r="F46" s="1071"/>
      <c r="G46" s="612"/>
      <c r="H46" s="613"/>
      <c r="I46" s="614"/>
      <c r="J46" s="615"/>
      <c r="K46" s="616"/>
      <c r="L46" s="617"/>
      <c r="M46" s="618"/>
      <c r="N46" s="619"/>
      <c r="O46" s="618"/>
      <c r="P46" s="620"/>
      <c r="Q46" s="621"/>
      <c r="R46" s="622"/>
      <c r="S46" s="623"/>
      <c r="T46" s="624"/>
      <c r="U46" s="625"/>
      <c r="V46" s="626"/>
      <c r="W46" s="6"/>
      <c r="X46"/>
      <c r="Y46"/>
      <c r="Z46"/>
      <c r="AA46"/>
      <c r="AB46"/>
    </row>
    <row r="47" spans="1:23" ht="17.25" thickBot="1" thickTop="1">
      <c r="A47" s="32"/>
      <c r="B47" s="457"/>
      <c r="C47" s="460"/>
      <c r="D47" s="531"/>
      <c r="E47" s="532"/>
      <c r="F47" s="533"/>
      <c r="G47" s="534"/>
      <c r="H47" s="534"/>
      <c r="I47" s="532"/>
      <c r="J47" s="445"/>
      <c r="K47" s="445"/>
      <c r="L47" s="532"/>
      <c r="M47" s="532"/>
      <c r="N47" s="532"/>
      <c r="O47" s="535"/>
      <c r="P47" s="532"/>
      <c r="Q47" s="532"/>
      <c r="R47" s="536"/>
      <c r="S47" s="537"/>
      <c r="T47" s="537"/>
      <c r="U47" s="538"/>
      <c r="V47" s="528">
        <f>SUM(V37:V46)</f>
        <v>8720.050560000001</v>
      </c>
      <c r="W47" s="539"/>
    </row>
    <row r="48" spans="1:23" ht="17.25" thickBot="1" thickTop="1">
      <c r="A48" s="32"/>
      <c r="B48" s="457"/>
      <c r="C48" s="460"/>
      <c r="D48" s="531"/>
      <c r="E48" s="532"/>
      <c r="F48" s="533"/>
      <c r="G48" s="534"/>
      <c r="H48" s="534"/>
      <c r="I48" s="468" t="s">
        <v>40</v>
      </c>
      <c r="J48" s="596">
        <f>+V47+V33</f>
        <v>8720.050560000001</v>
      </c>
      <c r="L48" s="532"/>
      <c r="M48" s="532"/>
      <c r="N48" s="532"/>
      <c r="O48" s="535"/>
      <c r="P48" s="532"/>
      <c r="Q48" s="532"/>
      <c r="R48" s="536"/>
      <c r="S48" s="537"/>
      <c r="T48" s="537"/>
      <c r="U48" s="538"/>
      <c r="W48" s="539"/>
    </row>
    <row r="49" spans="1:23" ht="13.5" customHeight="1" thickTop="1">
      <c r="A49" s="32"/>
      <c r="B49" s="457"/>
      <c r="C49" s="460"/>
      <c r="D49" s="531"/>
      <c r="E49" s="532"/>
      <c r="F49" s="533"/>
      <c r="G49" s="534"/>
      <c r="H49" s="534"/>
      <c r="I49" s="532"/>
      <c r="J49" s="445"/>
      <c r="K49" s="445"/>
      <c r="L49" s="532"/>
      <c r="M49" s="532"/>
      <c r="N49" s="532"/>
      <c r="O49" s="535"/>
      <c r="P49" s="532"/>
      <c r="Q49" s="532"/>
      <c r="R49" s="536"/>
      <c r="S49" s="537"/>
      <c r="T49" s="537"/>
      <c r="U49" s="538"/>
      <c r="W49" s="539"/>
    </row>
    <row r="50" spans="1:23" ht="16.5" customHeight="1">
      <c r="A50" s="32"/>
      <c r="B50" s="457"/>
      <c r="C50" s="540" t="s">
        <v>86</v>
      </c>
      <c r="D50" s="541" t="s">
        <v>114</v>
      </c>
      <c r="E50" s="532"/>
      <c r="F50" s="533"/>
      <c r="G50" s="534"/>
      <c r="H50" s="534"/>
      <c r="I50" s="532"/>
      <c r="J50" s="445"/>
      <c r="K50" s="445"/>
      <c r="L50" s="532"/>
      <c r="M50" s="532"/>
      <c r="N50" s="532"/>
      <c r="O50" s="535"/>
      <c r="P50" s="532"/>
      <c r="Q50" s="532"/>
      <c r="R50" s="536"/>
      <c r="S50" s="537"/>
      <c r="T50" s="537"/>
      <c r="U50" s="538"/>
      <c r="W50" s="539"/>
    </row>
    <row r="51" spans="1:23" ht="16.5" customHeight="1">
      <c r="A51" s="32"/>
      <c r="B51" s="457"/>
      <c r="C51" s="540"/>
      <c r="D51" s="531"/>
      <c r="E51" s="532"/>
      <c r="F51" s="533"/>
      <c r="G51" s="534"/>
      <c r="H51" s="534"/>
      <c r="I51" s="532"/>
      <c r="J51" s="445"/>
      <c r="K51" s="445"/>
      <c r="L51" s="532"/>
      <c r="M51" s="532"/>
      <c r="N51" s="532"/>
      <c r="O51" s="535"/>
      <c r="P51" s="532"/>
      <c r="Q51" s="532"/>
      <c r="R51" s="532"/>
      <c r="S51" s="536"/>
      <c r="T51" s="537"/>
      <c r="W51" s="539"/>
    </row>
    <row r="52" spans="2:23" s="32" customFormat="1" ht="16.5" customHeight="1">
      <c r="B52" s="457"/>
      <c r="C52" s="460"/>
      <c r="D52" s="542" t="s">
        <v>92</v>
      </c>
      <c r="E52" s="473" t="s">
        <v>93</v>
      </c>
      <c r="F52" s="473" t="s">
        <v>41</v>
      </c>
      <c r="G52" s="543" t="s">
        <v>115</v>
      </c>
      <c r="H52"/>
      <c r="I52" s="136"/>
      <c r="J52" s="552" t="s">
        <v>47</v>
      </c>
      <c r="K52" s="552"/>
      <c r="L52" s="473" t="s">
        <v>41</v>
      </c>
      <c r="M52" t="s">
        <v>97</v>
      </c>
      <c r="O52" s="543" t="s">
        <v>116</v>
      </c>
      <c r="P52"/>
      <c r="Q52" s="547"/>
      <c r="R52" s="547"/>
      <c r="S52" s="33"/>
      <c r="T52"/>
      <c r="U52"/>
      <c r="V52"/>
      <c r="W52" s="539"/>
    </row>
    <row r="53" spans="2:23" s="32" customFormat="1" ht="16.5" customHeight="1">
      <c r="B53" s="457"/>
      <c r="C53" s="460"/>
      <c r="D53" s="140" t="s">
        <v>98</v>
      </c>
      <c r="E53" s="140">
        <v>300</v>
      </c>
      <c r="F53" s="627">
        <v>500</v>
      </c>
      <c r="G53" s="1099">
        <f>+E53*$F$19*$F$20</f>
        <v>71200.8</v>
      </c>
      <c r="H53" s="1099"/>
      <c r="I53" s="1099"/>
      <c r="J53" s="628" t="s">
        <v>99</v>
      </c>
      <c r="K53" s="628"/>
      <c r="L53" s="140">
        <v>500</v>
      </c>
      <c r="M53" s="140">
        <v>2</v>
      </c>
      <c r="O53" s="1099">
        <f>+M53*$F$19*$M$18</f>
        <v>95089.152</v>
      </c>
      <c r="P53" s="1099"/>
      <c r="Q53" s="1099"/>
      <c r="R53" s="1099"/>
      <c r="S53" s="1099"/>
      <c r="T53" s="1099"/>
      <c r="U53" s="1099"/>
      <c r="V53"/>
      <c r="W53" s="539"/>
    </row>
    <row r="54" spans="2:23" s="32" customFormat="1" ht="16.5" customHeight="1">
      <c r="B54" s="457"/>
      <c r="C54" s="460"/>
      <c r="D54" s="140" t="s">
        <v>100</v>
      </c>
      <c r="E54" s="139">
        <v>300</v>
      </c>
      <c r="F54" s="627">
        <v>500</v>
      </c>
      <c r="G54" s="1099">
        <f>+E54*$F$19*$F$20</f>
        <v>71200.8</v>
      </c>
      <c r="H54" s="1099"/>
      <c r="I54" s="1099"/>
      <c r="J54" s="628" t="s">
        <v>99</v>
      </c>
      <c r="K54" s="628"/>
      <c r="L54" s="140">
        <v>132</v>
      </c>
      <c r="M54" s="140">
        <v>9</v>
      </c>
      <c r="O54" s="1099">
        <f>+M54*$F$19*$M$20</f>
        <v>342339.696</v>
      </c>
      <c r="P54" s="1099"/>
      <c r="Q54" s="1099"/>
      <c r="R54" s="1099"/>
      <c r="S54" s="1099"/>
      <c r="T54" s="1099"/>
      <c r="U54" s="1099"/>
      <c r="V54"/>
      <c r="W54" s="539"/>
    </row>
    <row r="55" spans="2:23" s="32" customFormat="1" ht="16.5" customHeight="1">
      <c r="B55" s="457"/>
      <c r="C55" s="460"/>
      <c r="D55" s="138" t="s">
        <v>101</v>
      </c>
      <c r="E55" s="139">
        <v>300</v>
      </c>
      <c r="F55" s="627">
        <v>500</v>
      </c>
      <c r="G55" s="1099">
        <f>+E55*$F$19*$F$20</f>
        <v>71200.8</v>
      </c>
      <c r="H55" s="1099"/>
      <c r="I55" s="1099"/>
      <c r="J55" s="628" t="s">
        <v>102</v>
      </c>
      <c r="K55" s="628"/>
      <c r="L55" s="140">
        <v>132</v>
      </c>
      <c r="M55" s="140">
        <v>8</v>
      </c>
      <c r="O55" s="1099">
        <f>+M55*$F$19*$M$20</f>
        <v>304301.952</v>
      </c>
      <c r="P55" s="1099"/>
      <c r="Q55" s="1099"/>
      <c r="R55" s="1099"/>
      <c r="S55" s="1099"/>
      <c r="T55" s="1099"/>
      <c r="U55" s="1099"/>
      <c r="V55"/>
      <c r="W55" s="539"/>
    </row>
    <row r="56" spans="1:23" ht="16.5" customHeight="1">
      <c r="A56" s="32"/>
      <c r="B56" s="457"/>
      <c r="C56" s="460"/>
      <c r="D56" s="138" t="s">
        <v>103</v>
      </c>
      <c r="E56" s="139">
        <v>300</v>
      </c>
      <c r="F56" s="627">
        <v>500</v>
      </c>
      <c r="G56" s="1099">
        <f>+E56*$F$19*$F$20</f>
        <v>71200.8</v>
      </c>
      <c r="H56" s="1099"/>
      <c r="I56" s="1099"/>
      <c r="J56" s="628" t="s">
        <v>104</v>
      </c>
      <c r="K56" s="628"/>
      <c r="L56" s="140">
        <v>132</v>
      </c>
      <c r="M56" s="140">
        <v>5</v>
      </c>
      <c r="O56" s="1100">
        <f>+M56*$F$19*$M$20</f>
        <v>190188.72</v>
      </c>
      <c r="P56" s="1100"/>
      <c r="Q56" s="1100"/>
      <c r="R56" s="1100"/>
      <c r="S56" s="1100"/>
      <c r="T56" s="1100"/>
      <c r="U56" s="1100"/>
      <c r="W56" s="539"/>
    </row>
    <row r="57" spans="1:23" ht="16.5" customHeight="1">
      <c r="A57" s="32"/>
      <c r="B57" s="457"/>
      <c r="C57" s="460"/>
      <c r="D57" s="138" t="s">
        <v>136</v>
      </c>
      <c r="E57" s="139">
        <v>600</v>
      </c>
      <c r="F57" s="627">
        <v>500</v>
      </c>
      <c r="G57" s="1100">
        <f>+E57*$F$19*$F$20</f>
        <v>142401.6</v>
      </c>
      <c r="H57" s="1100"/>
      <c r="I57" s="1100"/>
      <c r="M57" s="140"/>
      <c r="O57" s="1099">
        <f>SUM(O53:P56)</f>
        <v>931919.52</v>
      </c>
      <c r="P57" s="1099"/>
      <c r="Q57" s="1099"/>
      <c r="R57" s="1099"/>
      <c r="S57" s="1099"/>
      <c r="T57" s="1099"/>
      <c r="U57" s="1099"/>
      <c r="W57" s="539"/>
    </row>
    <row r="58" spans="1:23" ht="16.5" customHeight="1">
      <c r="A58" s="32"/>
      <c r="B58" s="457"/>
      <c r="C58" s="460"/>
      <c r="D58" s="138"/>
      <c r="E58" s="139"/>
      <c r="F58" s="627"/>
      <c r="G58" s="1099">
        <f>SUM(G53:G57)</f>
        <v>427204.80000000005</v>
      </c>
      <c r="H58" s="1099"/>
      <c r="I58" s="1099"/>
      <c r="M58" s="140"/>
      <c r="N58" s="136"/>
      <c r="O58" s="136"/>
      <c r="P58" s="580"/>
      <c r="Q58" s="580"/>
      <c r="R58" s="580"/>
      <c r="S58" s="580"/>
      <c r="W58" s="539"/>
    </row>
    <row r="59" spans="1:23" ht="16.5" customHeight="1">
      <c r="A59" s="32"/>
      <c r="B59" s="457"/>
      <c r="C59" s="460"/>
      <c r="D59" s="542"/>
      <c r="E59" s="553"/>
      <c r="F59" s="553"/>
      <c r="G59" s="473"/>
      <c r="I59" s="545"/>
      <c r="J59" s="543"/>
      <c r="L59" s="544"/>
      <c r="M59" s="545"/>
      <c r="N59" s="546"/>
      <c r="O59" s="547"/>
      <c r="P59" s="547"/>
      <c r="Q59" s="547"/>
      <c r="R59" s="547"/>
      <c r="S59" s="547"/>
      <c r="W59" s="539"/>
    </row>
    <row r="60" spans="1:23" ht="16.5" customHeight="1">
      <c r="A60" s="32"/>
      <c r="B60" s="457"/>
      <c r="C60" s="460"/>
      <c r="D60" s="1064" t="s">
        <v>323</v>
      </c>
      <c r="E60" s="139" t="s">
        <v>324</v>
      </c>
      <c r="F60" s="1065">
        <v>5176</v>
      </c>
      <c r="G60" s="1047" t="s">
        <v>77</v>
      </c>
      <c r="I60" s="545"/>
      <c r="J60" s="543"/>
      <c r="L60" s="544"/>
      <c r="M60" s="545"/>
      <c r="N60" s="546"/>
      <c r="O60" s="547"/>
      <c r="P60" s="547"/>
      <c r="Q60" s="547"/>
      <c r="R60" s="547"/>
      <c r="S60" s="547"/>
      <c r="W60" s="539"/>
    </row>
    <row r="61" spans="1:23" ht="16.5" customHeight="1" thickBot="1">
      <c r="A61" s="32"/>
      <c r="B61" s="457"/>
      <c r="C61" s="460"/>
      <c r="D61" s="542"/>
      <c r="E61" s="553"/>
      <c r="F61" s="553"/>
      <c r="G61" s="473"/>
      <c r="I61" s="545"/>
      <c r="J61" s="543"/>
      <c r="L61" s="544"/>
      <c r="M61" s="545"/>
      <c r="N61" s="546"/>
      <c r="O61" s="547"/>
      <c r="P61" s="547"/>
      <c r="Q61" s="547"/>
      <c r="R61" s="547"/>
      <c r="S61" s="547"/>
      <c r="W61" s="539"/>
    </row>
    <row r="62" spans="1:23" ht="16.5" customHeight="1" thickBot="1" thickTop="1">
      <c r="A62" s="32"/>
      <c r="B62" s="457"/>
      <c r="C62" s="458" t="s">
        <v>325</v>
      </c>
      <c r="D62" s="1066" t="s">
        <v>326</v>
      </c>
      <c r="E62" s="553"/>
      <c r="F62" s="553"/>
      <c r="G62" s="473"/>
      <c r="I62" s="468" t="s">
        <v>42</v>
      </c>
      <c r="J62" s="596">
        <f>+G58+O57+F60</f>
        <v>1364300.32</v>
      </c>
      <c r="L62" s="544"/>
      <c r="M62" s="545"/>
      <c r="N62" s="546"/>
      <c r="O62" s="547"/>
      <c r="P62" s="547"/>
      <c r="Q62" s="547"/>
      <c r="R62" s="547"/>
      <c r="S62" s="547"/>
      <c r="W62" s="539"/>
    </row>
    <row r="63" spans="1:23" ht="16.5" customHeight="1" thickTop="1">
      <c r="A63" s="32"/>
      <c r="B63" s="457"/>
      <c r="C63" s="460"/>
      <c r="D63" s="473"/>
      <c r="E63" s="581"/>
      <c r="F63" s="581"/>
      <c r="G63" s="548"/>
      <c r="H63" s="166"/>
      <c r="L63" s="550"/>
      <c r="M63" s="166"/>
      <c r="N63" s="551"/>
      <c r="O63" s="580"/>
      <c r="P63" s="580"/>
      <c r="Q63" s="580"/>
      <c r="R63" s="580"/>
      <c r="S63" s="580"/>
      <c r="W63" s="539"/>
    </row>
    <row r="64" spans="2:23" ht="16.5" customHeight="1">
      <c r="B64" s="457"/>
      <c r="C64" s="540" t="s">
        <v>87</v>
      </c>
      <c r="D64" s="555" t="s">
        <v>88</v>
      </c>
      <c r="E64" s="473"/>
      <c r="F64" s="556"/>
      <c r="G64" s="472"/>
      <c r="H64" s="445"/>
      <c r="I64" s="445"/>
      <c r="J64" s="445"/>
      <c r="K64" s="473"/>
      <c r="L64" s="473"/>
      <c r="M64" s="445"/>
      <c r="N64" s="473"/>
      <c r="O64" s="445"/>
      <c r="P64" s="445"/>
      <c r="Q64" s="445"/>
      <c r="R64" s="445"/>
      <c r="S64" s="445"/>
      <c r="T64" s="445"/>
      <c r="U64" s="445"/>
      <c r="W64" s="539"/>
    </row>
    <row r="65" spans="2:23" s="32" customFormat="1" ht="16.5" customHeight="1">
      <c r="B65" s="457"/>
      <c r="C65" s="460"/>
      <c r="D65" s="542" t="s">
        <v>89</v>
      </c>
      <c r="E65" s="557">
        <f>10*J48*J24/J62</f>
        <v>799.4123490827886</v>
      </c>
      <c r="G65" s="472"/>
      <c r="L65" s="473"/>
      <c r="N65" s="473"/>
      <c r="O65" s="474"/>
      <c r="V65"/>
      <c r="W65" s="539"/>
    </row>
    <row r="66" spans="2:23" s="32" customFormat="1" ht="12.75" customHeight="1">
      <c r="B66" s="457"/>
      <c r="C66" s="460"/>
      <c r="E66" s="558"/>
      <c r="F66" s="467"/>
      <c r="G66" s="472"/>
      <c r="J66" s="472"/>
      <c r="K66" s="476"/>
      <c r="L66" s="473"/>
      <c r="M66" s="473"/>
      <c r="N66" s="473"/>
      <c r="O66" s="474"/>
      <c r="P66" s="473"/>
      <c r="Q66" s="473"/>
      <c r="R66" s="475"/>
      <c r="S66" s="475"/>
      <c r="T66" s="475"/>
      <c r="U66" s="559"/>
      <c r="V66"/>
      <c r="W66" s="539"/>
    </row>
    <row r="67" spans="2:23" ht="16.5" customHeight="1" thickBot="1">
      <c r="B67" s="457"/>
      <c r="C67" s="460"/>
      <c r="D67" s="560" t="s">
        <v>105</v>
      </c>
      <c r="E67" s="561"/>
      <c r="F67" s="467"/>
      <c r="G67" s="472"/>
      <c r="H67" s="445"/>
      <c r="I67" s="445"/>
      <c r="N67" s="473"/>
      <c r="O67" s="474"/>
      <c r="P67" s="473"/>
      <c r="Q67" s="473"/>
      <c r="R67" s="545"/>
      <c r="S67" s="545"/>
      <c r="T67" s="545"/>
      <c r="U67" s="546"/>
      <c r="W67" s="539"/>
    </row>
    <row r="68" spans="2:23" s="562" customFormat="1" ht="21" thickBot="1" thickTop="1">
      <c r="B68" s="563"/>
      <c r="C68" s="564"/>
      <c r="D68" s="565"/>
      <c r="E68" s="566"/>
      <c r="F68" s="567"/>
      <c r="G68" s="568"/>
      <c r="I68" s="569" t="s">
        <v>90</v>
      </c>
      <c r="J68" s="570">
        <f>IF(E65&gt;3*J24,J24*3,E65)</f>
        <v>799.4123490827886</v>
      </c>
      <c r="M68" s="571"/>
      <c r="N68" s="571"/>
      <c r="O68" s="572"/>
      <c r="P68" s="571"/>
      <c r="Q68" s="571"/>
      <c r="R68" s="573"/>
      <c r="S68" s="573"/>
      <c r="T68" s="573"/>
      <c r="U68" s="574"/>
      <c r="V68"/>
      <c r="W68" s="575"/>
    </row>
    <row r="69" spans="2:23" ht="16.5" customHeight="1" thickBot="1" thickTop="1">
      <c r="B69" s="5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86"/>
      <c r="W69" s="576"/>
    </row>
    <row r="70" spans="2:23" ht="16.5" customHeight="1" thickTop="1">
      <c r="B70" s="1"/>
      <c r="C70" s="73"/>
      <c r="W70" s="1"/>
    </row>
  </sheetData>
  <sheetProtection password="CC12"/>
  <mergeCells count="24">
    <mergeCell ref="E42:F42"/>
    <mergeCell ref="E43:F43"/>
    <mergeCell ref="E44:F44"/>
    <mergeCell ref="E45:F45"/>
    <mergeCell ref="G57:I57"/>
    <mergeCell ref="G58:I58"/>
    <mergeCell ref="G53:I53"/>
    <mergeCell ref="G54:I54"/>
    <mergeCell ref="G55:I55"/>
    <mergeCell ref="G56:I56"/>
    <mergeCell ref="O56:U56"/>
    <mergeCell ref="O57:U57"/>
    <mergeCell ref="O54:U54"/>
    <mergeCell ref="O55:U55"/>
    <mergeCell ref="O53:U53"/>
    <mergeCell ref="E46:F46"/>
    <mergeCell ref="N35:O35"/>
    <mergeCell ref="E35:F35"/>
    <mergeCell ref="E36:F36"/>
    <mergeCell ref="E37:F37"/>
    <mergeCell ref="E38:F38"/>
    <mergeCell ref="E39:F39"/>
    <mergeCell ref="E40:F40"/>
    <mergeCell ref="E41:F41"/>
  </mergeCells>
  <printOptions horizontalCentered="1"/>
  <pageMargins left="0.3937007874015748" right="0.1968503937007874" top="0.56" bottom="0.4" header="0.3" footer="0.23"/>
  <pageSetup orientation="landscape" paperSize="9" scale="4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2"/>
  <sheetViews>
    <sheetView zoomScale="70" zoomScaleNormal="70" workbookViewId="0" topLeftCell="A1">
      <selection activeCell="H22" sqref="H22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8" t="s">
        <v>55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5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117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5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'TOT-0809'!B14</f>
        <v>Desde el 01 al 31 de agosto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1"/>
      <c r="Q14" s="19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5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2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75</v>
      </c>
      <c r="G16" s="696">
        <v>117.179</v>
      </c>
      <c r="H16" s="19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76</v>
      </c>
      <c r="G17" s="696">
        <v>97.649</v>
      </c>
      <c r="H17" s="193"/>
      <c r="I17" s="4"/>
      <c r="J17" s="4"/>
      <c r="K17" s="4"/>
      <c r="L17" s="194"/>
      <c r="M17" s="195"/>
      <c r="N17" s="4"/>
      <c r="O17" s="4"/>
      <c r="P17" s="4"/>
      <c r="Q17" s="4"/>
      <c r="R17" s="4"/>
      <c r="S17" s="4"/>
      <c r="T17" s="4"/>
      <c r="U17" s="4"/>
      <c r="V17" s="4"/>
      <c r="W17" s="4"/>
      <c r="X17" s="113"/>
      <c r="Y17" s="113"/>
      <c r="Z17" s="113"/>
      <c r="AA17" s="113"/>
      <c r="AB17" s="113"/>
      <c r="AC17" s="113"/>
      <c r="AD17" s="113"/>
      <c r="AF17" s="17"/>
    </row>
    <row r="18" spans="2:32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760">
        <v>23</v>
      </c>
      <c r="X18" s="760">
        <v>24</v>
      </c>
      <c r="Y18" s="760">
        <v>25</v>
      </c>
      <c r="Z18" s="760">
        <v>26</v>
      </c>
      <c r="AA18" s="760">
        <v>27</v>
      </c>
      <c r="AB18" s="760">
        <v>28</v>
      </c>
      <c r="AC18" s="760">
        <v>29</v>
      </c>
      <c r="AD18" s="760">
        <v>30</v>
      </c>
      <c r="AE18" s="760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138</v>
      </c>
      <c r="E19" s="84" t="s">
        <v>139</v>
      </c>
      <c r="F19" s="85" t="s">
        <v>0</v>
      </c>
      <c r="G19" s="630" t="s">
        <v>13</v>
      </c>
      <c r="H19" s="86" t="s">
        <v>14</v>
      </c>
      <c r="I19" s="197" t="s">
        <v>57</v>
      </c>
      <c r="J19" s="631" t="s">
        <v>35</v>
      </c>
      <c r="K19" s="632" t="s">
        <v>15</v>
      </c>
      <c r="L19" s="85" t="s">
        <v>16</v>
      </c>
      <c r="M19" s="172" t="s">
        <v>17</v>
      </c>
      <c r="N19" s="87" t="s">
        <v>34</v>
      </c>
      <c r="O19" s="86" t="s">
        <v>29</v>
      </c>
      <c r="P19" s="87" t="s">
        <v>18</v>
      </c>
      <c r="Q19" s="86" t="s">
        <v>44</v>
      </c>
      <c r="R19" s="172" t="s">
        <v>45</v>
      </c>
      <c r="S19" s="85" t="s">
        <v>30</v>
      </c>
      <c r="T19" s="134" t="s">
        <v>19</v>
      </c>
      <c r="U19" s="633" t="s">
        <v>20</v>
      </c>
      <c r="V19" s="198" t="s">
        <v>46</v>
      </c>
      <c r="W19" s="199"/>
      <c r="X19" s="200"/>
      <c r="Y19" s="634" t="s">
        <v>118</v>
      </c>
      <c r="Z19" s="635"/>
      <c r="AA19" s="636"/>
      <c r="AB19" s="201" t="s">
        <v>21</v>
      </c>
      <c r="AC19" s="202" t="s">
        <v>58</v>
      </c>
      <c r="AD19" s="130" t="s">
        <v>59</v>
      </c>
      <c r="AE19" s="130" t="s">
        <v>22</v>
      </c>
      <c r="AF19" s="203"/>
    </row>
    <row r="20" spans="2:32" s="5" customFormat="1" ht="16.5" customHeight="1" thickTop="1">
      <c r="B20" s="50"/>
      <c r="C20" s="174"/>
      <c r="D20" s="174"/>
      <c r="E20" s="174"/>
      <c r="F20" s="679"/>
      <c r="G20" s="679"/>
      <c r="H20" s="697"/>
      <c r="I20" s="678"/>
      <c r="J20" s="680"/>
      <c r="K20" s="681"/>
      <c r="L20" s="692"/>
      <c r="M20" s="692"/>
      <c r="N20" s="678"/>
      <c r="O20" s="678"/>
      <c r="P20" s="678"/>
      <c r="Q20" s="678"/>
      <c r="R20" s="678"/>
      <c r="S20" s="678"/>
      <c r="T20" s="682"/>
      <c r="U20" s="683"/>
      <c r="V20" s="684"/>
      <c r="W20" s="685"/>
      <c r="X20" s="686"/>
      <c r="Y20" s="687"/>
      <c r="Z20" s="688"/>
      <c r="AA20" s="689"/>
      <c r="AB20" s="690"/>
      <c r="AC20" s="691"/>
      <c r="AD20" s="678"/>
      <c r="AE20" s="637"/>
      <c r="AF20" s="17"/>
    </row>
    <row r="21" spans="2:32" s="5" customFormat="1" ht="16.5" customHeight="1">
      <c r="B21" s="50"/>
      <c r="C21" s="264"/>
      <c r="D21" s="264"/>
      <c r="E21" s="264"/>
      <c r="F21" s="175"/>
      <c r="G21" s="7"/>
      <c r="H21" s="698"/>
      <c r="I21" s="175"/>
      <c r="J21" s="638"/>
      <c r="K21" s="639"/>
      <c r="L21" s="204"/>
      <c r="M21" s="113"/>
      <c r="N21" s="175"/>
      <c r="O21" s="175"/>
      <c r="P21" s="176"/>
      <c r="Q21" s="175"/>
      <c r="R21" s="175"/>
      <c r="S21" s="175"/>
      <c r="T21" s="640"/>
      <c r="U21" s="641"/>
      <c r="V21" s="642"/>
      <c r="W21" s="643"/>
      <c r="X21" s="644"/>
      <c r="Y21" s="645"/>
      <c r="Z21" s="646"/>
      <c r="AA21" s="647"/>
      <c r="AB21" s="205"/>
      <c r="AC21" s="206"/>
      <c r="AD21" s="175"/>
      <c r="AE21" s="207"/>
      <c r="AF21" s="17"/>
    </row>
    <row r="22" spans="2:32" s="5" customFormat="1" ht="16.5" customHeight="1">
      <c r="B22" s="50"/>
      <c r="C22" s="149">
        <v>1</v>
      </c>
      <c r="D22" s="149">
        <v>209392</v>
      </c>
      <c r="E22" s="149">
        <v>4734</v>
      </c>
      <c r="F22" s="149" t="s">
        <v>142</v>
      </c>
      <c r="G22" s="177">
        <v>220</v>
      </c>
      <c r="H22" s="699">
        <v>77</v>
      </c>
      <c r="I22" s="177" t="s">
        <v>143</v>
      </c>
      <c r="J22" s="648">
        <f aca="true" t="shared" si="0" ref="J22:J38">IF(I22="A",200,IF(I22="B",60,20))</f>
        <v>20</v>
      </c>
      <c r="K22" s="649">
        <f aca="true" t="shared" si="1" ref="K22:K38">IF(G22=500,IF(H22&lt;100,100*$G$16/100,H22*$G$16/100),IF(H22&lt;100,100*$G$17/100,H22*$G$17/100))</f>
        <v>97.649</v>
      </c>
      <c r="L22" s="650">
        <v>40026.334027777775</v>
      </c>
      <c r="M22" s="651">
        <v>40026.717361111114</v>
      </c>
      <c r="N22" s="180">
        <f aca="true" t="shared" si="2" ref="N22:N38">IF(F22="","",(M22-L22)*24)</f>
        <v>9.200000000128057</v>
      </c>
      <c r="O22" s="181">
        <f aca="true" t="shared" si="3" ref="O22:O38">IF(F22="","",ROUND((M22-L22)*24*60,0))</f>
        <v>552</v>
      </c>
      <c r="P22" s="210" t="s">
        <v>144</v>
      </c>
      <c r="Q22" s="751" t="str">
        <f aca="true" t="shared" si="4" ref="Q22:Q38">IF(F22="","","--")</f>
        <v>--</v>
      </c>
      <c r="R22" s="211" t="str">
        <f aca="true" t="shared" si="5" ref="R22:R38">IF(F22="","","NO")</f>
        <v>NO</v>
      </c>
      <c r="S22" s="211" t="str">
        <f aca="true" t="shared" si="6" ref="S22:S38">IF(F22="","",IF(OR(P22="P",P22="RP"),"--","NO"))</f>
        <v>--</v>
      </c>
      <c r="T22" s="652">
        <f aca="true" t="shared" si="7" ref="T22:T38">IF(P22="P",K22*J22*ROUND(O22/60,2)*0.01,"--")</f>
        <v>179.67415999999997</v>
      </c>
      <c r="U22" s="653" t="str">
        <f aca="true" t="shared" si="8" ref="U22:U38">IF(P22="RP",K22*J22*ROUND(O22/60,2)*0.01*Q22/100,"--")</f>
        <v>--</v>
      </c>
      <c r="V22" s="212" t="str">
        <f aca="true" t="shared" si="9" ref="V22:V38">IF(AND(P22="F",S22="NO"),K22*J22*IF(R22="SI",1.2,1),"--")</f>
        <v>--</v>
      </c>
      <c r="W22" s="213" t="str">
        <f aca="true" t="shared" si="10" ref="W22:W38">IF(AND(P22="F",O22&gt;=10),K22*J22*IF(R22="SI",1.2,1)*IF(O22&lt;=300,ROUND(O22/60,2),5),"--")</f>
        <v>--</v>
      </c>
      <c r="X22" s="214" t="str">
        <f aca="true" t="shared" si="11" ref="X22:X38">IF(AND(P22="F",O22&gt;300),(ROUND(O22/60,2)-5)*K22*J22*0.1*IF(R22="SI",1.2,1),"--")</f>
        <v>--</v>
      </c>
      <c r="Y22" s="654" t="str">
        <f aca="true" t="shared" si="12" ref="Y22:Y38">IF(AND(P22="R",S22="NO"),K22*J22*Q22/100*IF(R22="SI",1.2,1),"--")</f>
        <v>--</v>
      </c>
      <c r="Z22" s="655" t="str">
        <f aca="true" t="shared" si="13" ref="Z22:Z38">IF(AND(P22="R",O22&gt;=10),K22*J22*Q22/100*IF(R22="SI",1.2,1)*IF(O22&lt;=300,ROUND(O22/60,2),5),"--")</f>
        <v>--</v>
      </c>
      <c r="AA22" s="656" t="str">
        <f aca="true" t="shared" si="14" ref="AA22:AA38">IF(AND(P22="R",O22&gt;300),(ROUND(O22/60,2)-5)*K22*J22*0.1*Q22/100*IF(R22="SI",1.2,1),"--")</f>
        <v>--</v>
      </c>
      <c r="AB22" s="215" t="str">
        <f aca="true" t="shared" si="15" ref="AB22:AB38">IF(P22="RF",ROUND(O22/60,2)*K22*J22*0.1*IF(R22="SI",1.2,1),"--")</f>
        <v>--</v>
      </c>
      <c r="AC22" s="216" t="str">
        <f aca="true" t="shared" si="16" ref="AC22:AC38">IF(P22="RR",ROUND(O22/60,2)*K22*J22*0.1*Q22/100*IF(R22="SI",1.2,1),"--")</f>
        <v>--</v>
      </c>
      <c r="AD22" s="752" t="s">
        <v>128</v>
      </c>
      <c r="AE22" s="16">
        <v>0</v>
      </c>
      <c r="AF22" s="657"/>
    </row>
    <row r="23" spans="2:32" s="5" customFormat="1" ht="16.5" customHeight="1">
      <c r="B23" s="50"/>
      <c r="C23" s="264">
        <v>2</v>
      </c>
      <c r="D23" s="264">
        <v>209393</v>
      </c>
      <c r="E23" s="264">
        <v>35</v>
      </c>
      <c r="F23" s="149" t="s">
        <v>145</v>
      </c>
      <c r="G23" s="177">
        <v>500</v>
      </c>
      <c r="H23" s="699">
        <v>313</v>
      </c>
      <c r="I23" s="177" t="s">
        <v>146</v>
      </c>
      <c r="J23" s="648">
        <f t="shared" si="0"/>
        <v>200</v>
      </c>
      <c r="K23" s="649">
        <f t="shared" si="1"/>
        <v>366.77027000000004</v>
      </c>
      <c r="L23" s="650">
        <v>40027.10972222222</v>
      </c>
      <c r="M23" s="651">
        <v>40027.12569444445</v>
      </c>
      <c r="N23" s="180">
        <f t="shared" si="2"/>
        <v>0.3833333333604969</v>
      </c>
      <c r="O23" s="181">
        <f t="shared" si="3"/>
        <v>23</v>
      </c>
      <c r="P23" s="210" t="s">
        <v>147</v>
      </c>
      <c r="Q23" s="751" t="str">
        <f t="shared" si="4"/>
        <v>--</v>
      </c>
      <c r="R23" s="211" t="str">
        <f t="shared" si="5"/>
        <v>NO</v>
      </c>
      <c r="S23" s="211" t="str">
        <f t="shared" si="6"/>
        <v>NO</v>
      </c>
      <c r="T23" s="652" t="str">
        <f t="shared" si="7"/>
        <v>--</v>
      </c>
      <c r="U23" s="653" t="str">
        <f t="shared" si="8"/>
        <v>--</v>
      </c>
      <c r="V23" s="212">
        <f t="shared" si="9"/>
        <v>73354.054</v>
      </c>
      <c r="W23" s="213">
        <f t="shared" si="10"/>
        <v>27874.540520000002</v>
      </c>
      <c r="X23" s="214" t="str">
        <f t="shared" si="11"/>
        <v>--</v>
      </c>
      <c r="Y23" s="654" t="str">
        <f t="shared" si="12"/>
        <v>--</v>
      </c>
      <c r="Z23" s="655" t="str">
        <f t="shared" si="13"/>
        <v>--</v>
      </c>
      <c r="AA23" s="656" t="str">
        <f t="shared" si="14"/>
        <v>--</v>
      </c>
      <c r="AB23" s="215" t="str">
        <f t="shared" si="15"/>
        <v>--</v>
      </c>
      <c r="AC23" s="216" t="str">
        <f t="shared" si="16"/>
        <v>--</v>
      </c>
      <c r="AD23" s="752" t="s">
        <v>128</v>
      </c>
      <c r="AE23" s="16">
        <f aca="true" t="shared" si="17" ref="AE23:AE38">IF(F23="","",SUM(T23:AC23)*IF(AD23="SI",1,2))</f>
        <v>101228.59452000001</v>
      </c>
      <c r="AF23" s="657"/>
    </row>
    <row r="24" spans="2:32" s="5" customFormat="1" ht="16.5" customHeight="1">
      <c r="B24" s="50"/>
      <c r="C24" s="149">
        <v>3</v>
      </c>
      <c r="D24" s="149">
        <v>209394</v>
      </c>
      <c r="E24" s="149">
        <v>24</v>
      </c>
      <c r="F24" s="658" t="s">
        <v>148</v>
      </c>
      <c r="G24" s="659">
        <v>500</v>
      </c>
      <c r="H24" s="700">
        <v>255</v>
      </c>
      <c r="I24" s="659" t="s">
        <v>149</v>
      </c>
      <c r="J24" s="648">
        <f t="shared" si="0"/>
        <v>60</v>
      </c>
      <c r="K24" s="649">
        <f t="shared" si="1"/>
        <v>298.80645</v>
      </c>
      <c r="L24" s="660">
        <v>40027.34930555556</v>
      </c>
      <c r="M24" s="661">
        <v>40027.731944444444</v>
      </c>
      <c r="N24" s="180">
        <f t="shared" si="2"/>
        <v>9.18333333323244</v>
      </c>
      <c r="O24" s="181">
        <f t="shared" si="3"/>
        <v>551</v>
      </c>
      <c r="P24" s="210" t="s">
        <v>144</v>
      </c>
      <c r="Q24" s="751" t="str">
        <f t="shared" si="4"/>
        <v>--</v>
      </c>
      <c r="R24" s="211" t="str">
        <f t="shared" si="5"/>
        <v>NO</v>
      </c>
      <c r="S24" s="211" t="str">
        <f t="shared" si="6"/>
        <v>--</v>
      </c>
      <c r="T24" s="652">
        <f t="shared" si="7"/>
        <v>1645.8259266</v>
      </c>
      <c r="U24" s="653" t="str">
        <f t="shared" si="8"/>
        <v>--</v>
      </c>
      <c r="V24" s="212" t="str">
        <f t="shared" si="9"/>
        <v>--</v>
      </c>
      <c r="W24" s="213" t="str">
        <f t="shared" si="10"/>
        <v>--</v>
      </c>
      <c r="X24" s="214" t="str">
        <f t="shared" si="11"/>
        <v>--</v>
      </c>
      <c r="Y24" s="654" t="str">
        <f t="shared" si="12"/>
        <v>--</v>
      </c>
      <c r="Z24" s="655" t="str">
        <f t="shared" si="13"/>
        <v>--</v>
      </c>
      <c r="AA24" s="656" t="str">
        <f t="shared" si="14"/>
        <v>--</v>
      </c>
      <c r="AB24" s="215" t="str">
        <f t="shared" si="15"/>
        <v>--</v>
      </c>
      <c r="AC24" s="216" t="str">
        <f t="shared" si="16"/>
        <v>--</v>
      </c>
      <c r="AD24" s="752" t="s">
        <v>128</v>
      </c>
      <c r="AE24" s="16">
        <v>0</v>
      </c>
      <c r="AF24" s="657"/>
    </row>
    <row r="25" spans="2:32" s="5" customFormat="1" ht="16.5" customHeight="1">
      <c r="B25" s="50"/>
      <c r="C25" s="264">
        <v>4</v>
      </c>
      <c r="D25" s="264">
        <v>209671</v>
      </c>
      <c r="E25" s="264">
        <v>27</v>
      </c>
      <c r="F25" s="658" t="s">
        <v>150</v>
      </c>
      <c r="G25" s="659">
        <v>500</v>
      </c>
      <c r="H25" s="700">
        <v>3</v>
      </c>
      <c r="I25" s="659" t="s">
        <v>143</v>
      </c>
      <c r="J25" s="648">
        <f t="shared" si="0"/>
        <v>20</v>
      </c>
      <c r="K25" s="649">
        <f t="shared" si="1"/>
        <v>117.179</v>
      </c>
      <c r="L25" s="660">
        <v>40033.385416666664</v>
      </c>
      <c r="M25" s="661">
        <v>40033.49097222222</v>
      </c>
      <c r="N25" s="180">
        <f t="shared" si="2"/>
        <v>2.53333333338378</v>
      </c>
      <c r="O25" s="181">
        <f t="shared" si="3"/>
        <v>152</v>
      </c>
      <c r="P25" s="210" t="s">
        <v>144</v>
      </c>
      <c r="Q25" s="751" t="str">
        <f t="shared" si="4"/>
        <v>--</v>
      </c>
      <c r="R25" s="211" t="str">
        <f t="shared" si="5"/>
        <v>NO</v>
      </c>
      <c r="S25" s="211" t="str">
        <f t="shared" si="6"/>
        <v>--</v>
      </c>
      <c r="T25" s="652">
        <f t="shared" si="7"/>
        <v>59.292573999999995</v>
      </c>
      <c r="U25" s="653" t="str">
        <f t="shared" si="8"/>
        <v>--</v>
      </c>
      <c r="V25" s="212" t="str">
        <f t="shared" si="9"/>
        <v>--</v>
      </c>
      <c r="W25" s="213" t="str">
        <f t="shared" si="10"/>
        <v>--</v>
      </c>
      <c r="X25" s="214" t="str">
        <f t="shared" si="11"/>
        <v>--</v>
      </c>
      <c r="Y25" s="654" t="str">
        <f t="shared" si="12"/>
        <v>--</v>
      </c>
      <c r="Z25" s="655" t="str">
        <f t="shared" si="13"/>
        <v>--</v>
      </c>
      <c r="AA25" s="656" t="str">
        <f t="shared" si="14"/>
        <v>--</v>
      </c>
      <c r="AB25" s="215" t="str">
        <f t="shared" si="15"/>
        <v>--</v>
      </c>
      <c r="AC25" s="216" t="str">
        <f t="shared" si="16"/>
        <v>--</v>
      </c>
      <c r="AD25" s="752" t="s">
        <v>128</v>
      </c>
      <c r="AE25" s="16">
        <f t="shared" si="17"/>
        <v>59.292573999999995</v>
      </c>
      <c r="AF25" s="657"/>
    </row>
    <row r="26" spans="2:32" s="5" customFormat="1" ht="16.5" customHeight="1">
      <c r="B26" s="50"/>
      <c r="C26" s="264">
        <v>6</v>
      </c>
      <c r="D26" s="264">
        <v>209903</v>
      </c>
      <c r="E26" s="264">
        <v>47</v>
      </c>
      <c r="F26" s="149" t="s">
        <v>151</v>
      </c>
      <c r="G26" s="177">
        <v>500</v>
      </c>
      <c r="H26" s="699">
        <v>289</v>
      </c>
      <c r="I26" s="177" t="s">
        <v>143</v>
      </c>
      <c r="J26" s="648">
        <f t="shared" si="0"/>
        <v>20</v>
      </c>
      <c r="K26" s="649">
        <f t="shared" si="1"/>
        <v>338.64731</v>
      </c>
      <c r="L26" s="650">
        <v>40038.478472222225</v>
      </c>
      <c r="M26" s="651">
        <v>40038.549305555556</v>
      </c>
      <c r="N26" s="180">
        <f t="shared" si="2"/>
        <v>1.6999999999534339</v>
      </c>
      <c r="O26" s="181">
        <f t="shared" si="3"/>
        <v>102</v>
      </c>
      <c r="P26" s="210" t="s">
        <v>147</v>
      </c>
      <c r="Q26" s="751" t="str">
        <f t="shared" si="4"/>
        <v>--</v>
      </c>
      <c r="R26" s="211" t="str">
        <f t="shared" si="5"/>
        <v>NO</v>
      </c>
      <c r="S26" s="211" t="s">
        <v>128</v>
      </c>
      <c r="T26" s="652" t="str">
        <f t="shared" si="7"/>
        <v>--</v>
      </c>
      <c r="U26" s="653" t="str">
        <f t="shared" si="8"/>
        <v>--</v>
      </c>
      <c r="V26" s="212" t="str">
        <f t="shared" si="9"/>
        <v>--</v>
      </c>
      <c r="W26" s="213">
        <f t="shared" si="10"/>
        <v>11514.00854</v>
      </c>
      <c r="X26" s="214" t="str">
        <f t="shared" si="11"/>
        <v>--</v>
      </c>
      <c r="Y26" s="654" t="str">
        <f t="shared" si="12"/>
        <v>--</v>
      </c>
      <c r="Z26" s="655" t="str">
        <f t="shared" si="13"/>
        <v>--</v>
      </c>
      <c r="AA26" s="656" t="str">
        <f t="shared" si="14"/>
        <v>--</v>
      </c>
      <c r="AB26" s="215" t="str">
        <f t="shared" si="15"/>
        <v>--</v>
      </c>
      <c r="AC26" s="216" t="str">
        <f t="shared" si="16"/>
        <v>--</v>
      </c>
      <c r="AD26" s="752" t="s">
        <v>128</v>
      </c>
      <c r="AE26" s="16">
        <f t="shared" si="17"/>
        <v>11514.00854</v>
      </c>
      <c r="AF26" s="657"/>
    </row>
    <row r="27" spans="2:32" s="5" customFormat="1" ht="16.5" customHeight="1">
      <c r="B27" s="50"/>
      <c r="C27" s="149">
        <v>7</v>
      </c>
      <c r="D27" s="149">
        <v>209911</v>
      </c>
      <c r="E27" s="149">
        <v>9</v>
      </c>
      <c r="F27" s="143" t="s">
        <v>152</v>
      </c>
      <c r="G27" s="144">
        <v>500</v>
      </c>
      <c r="H27" s="701">
        <v>165</v>
      </c>
      <c r="I27" s="144" t="s">
        <v>143</v>
      </c>
      <c r="J27" s="648">
        <f t="shared" si="0"/>
        <v>20</v>
      </c>
      <c r="K27" s="649">
        <f t="shared" si="1"/>
        <v>193.34535</v>
      </c>
      <c r="L27" s="178">
        <v>40040.63680555556</v>
      </c>
      <c r="M27" s="209">
        <v>40041.59166666667</v>
      </c>
      <c r="N27" s="180">
        <f t="shared" si="2"/>
        <v>22.91666666662786</v>
      </c>
      <c r="O27" s="181">
        <f t="shared" si="3"/>
        <v>1375</v>
      </c>
      <c r="P27" s="210" t="s">
        <v>147</v>
      </c>
      <c r="Q27" s="751" t="str">
        <f t="shared" si="4"/>
        <v>--</v>
      </c>
      <c r="R27" s="211" t="str">
        <f t="shared" si="5"/>
        <v>NO</v>
      </c>
      <c r="S27" s="211" t="str">
        <f t="shared" si="6"/>
        <v>NO</v>
      </c>
      <c r="T27" s="652" t="str">
        <f t="shared" si="7"/>
        <v>--</v>
      </c>
      <c r="U27" s="653" t="str">
        <f t="shared" si="8"/>
        <v>--</v>
      </c>
      <c r="V27" s="212">
        <f t="shared" si="9"/>
        <v>3866.907</v>
      </c>
      <c r="W27" s="213">
        <f t="shared" si="10"/>
        <v>19334.535</v>
      </c>
      <c r="X27" s="214">
        <f t="shared" si="11"/>
        <v>6929.497344</v>
      </c>
      <c r="Y27" s="654" t="str">
        <f t="shared" si="12"/>
        <v>--</v>
      </c>
      <c r="Z27" s="655" t="str">
        <f t="shared" si="13"/>
        <v>--</v>
      </c>
      <c r="AA27" s="656" t="str">
        <f t="shared" si="14"/>
        <v>--</v>
      </c>
      <c r="AB27" s="215" t="str">
        <f t="shared" si="15"/>
        <v>--</v>
      </c>
      <c r="AC27" s="216" t="str">
        <f t="shared" si="16"/>
        <v>--</v>
      </c>
      <c r="AD27" s="752" t="s">
        <v>128</v>
      </c>
      <c r="AE27" s="16">
        <f t="shared" si="17"/>
        <v>30130.939344</v>
      </c>
      <c r="AF27" s="657"/>
    </row>
    <row r="28" spans="2:32" s="5" customFormat="1" ht="16.5" customHeight="1">
      <c r="B28" s="50"/>
      <c r="C28" s="264">
        <v>8</v>
      </c>
      <c r="D28" s="264">
        <v>209913</v>
      </c>
      <c r="E28" s="264">
        <v>47</v>
      </c>
      <c r="F28" s="143" t="s">
        <v>151</v>
      </c>
      <c r="G28" s="144">
        <v>500</v>
      </c>
      <c r="H28" s="701">
        <v>289</v>
      </c>
      <c r="I28" s="144" t="s">
        <v>143</v>
      </c>
      <c r="J28" s="648">
        <f t="shared" si="0"/>
        <v>20</v>
      </c>
      <c r="K28" s="649">
        <f t="shared" si="1"/>
        <v>338.64731</v>
      </c>
      <c r="L28" s="178">
        <v>40041.3875</v>
      </c>
      <c r="M28" s="209">
        <v>40041.770833333336</v>
      </c>
      <c r="N28" s="180">
        <f t="shared" si="2"/>
        <v>9.200000000128057</v>
      </c>
      <c r="O28" s="181">
        <f t="shared" si="3"/>
        <v>552</v>
      </c>
      <c r="P28" s="210" t="s">
        <v>147</v>
      </c>
      <c r="Q28" s="751" t="str">
        <f t="shared" si="4"/>
        <v>--</v>
      </c>
      <c r="R28" s="211" t="str">
        <f t="shared" si="5"/>
        <v>NO</v>
      </c>
      <c r="S28" s="211" t="str">
        <f t="shared" si="6"/>
        <v>NO</v>
      </c>
      <c r="T28" s="652" t="str">
        <f t="shared" si="7"/>
        <v>--</v>
      </c>
      <c r="U28" s="653" t="str">
        <f t="shared" si="8"/>
        <v>--</v>
      </c>
      <c r="V28" s="212">
        <f t="shared" si="9"/>
        <v>6772.9462</v>
      </c>
      <c r="W28" s="213">
        <f t="shared" si="10"/>
        <v>33864.731</v>
      </c>
      <c r="X28" s="214">
        <f t="shared" si="11"/>
        <v>2844.6374039999996</v>
      </c>
      <c r="Y28" s="654" t="str">
        <f t="shared" si="12"/>
        <v>--</v>
      </c>
      <c r="Z28" s="655" t="str">
        <f t="shared" si="13"/>
        <v>--</v>
      </c>
      <c r="AA28" s="656" t="str">
        <f t="shared" si="14"/>
        <v>--</v>
      </c>
      <c r="AB28" s="215" t="str">
        <f t="shared" si="15"/>
        <v>--</v>
      </c>
      <c r="AC28" s="216" t="str">
        <f t="shared" si="16"/>
        <v>--</v>
      </c>
      <c r="AD28" s="752" t="s">
        <v>128</v>
      </c>
      <c r="AE28" s="16">
        <f t="shared" si="17"/>
        <v>43482.314604</v>
      </c>
      <c r="AF28" s="657"/>
    </row>
    <row r="29" spans="2:32" s="5" customFormat="1" ht="16.5" customHeight="1">
      <c r="B29" s="50"/>
      <c r="C29" s="149">
        <v>9</v>
      </c>
      <c r="D29" s="149">
        <v>210116</v>
      </c>
      <c r="E29" s="149">
        <v>45</v>
      </c>
      <c r="F29" s="143" t="s">
        <v>153</v>
      </c>
      <c r="G29" s="144">
        <v>500</v>
      </c>
      <c r="H29" s="701">
        <v>345</v>
      </c>
      <c r="I29" s="144" t="s">
        <v>149</v>
      </c>
      <c r="J29" s="648">
        <f t="shared" si="0"/>
        <v>60</v>
      </c>
      <c r="K29" s="649">
        <f t="shared" si="1"/>
        <v>404.26754999999997</v>
      </c>
      <c r="L29" s="178">
        <v>40042.967361111114</v>
      </c>
      <c r="M29" s="209">
        <v>40042.975</v>
      </c>
      <c r="N29" s="180">
        <f t="shared" si="2"/>
        <v>0.18333333323244005</v>
      </c>
      <c r="O29" s="181">
        <f t="shared" si="3"/>
        <v>11</v>
      </c>
      <c r="P29" s="210" t="s">
        <v>144</v>
      </c>
      <c r="Q29" s="751" t="str">
        <f t="shared" si="4"/>
        <v>--</v>
      </c>
      <c r="R29" s="211" t="str">
        <f t="shared" si="5"/>
        <v>NO</v>
      </c>
      <c r="S29" s="211" t="str">
        <f t="shared" si="6"/>
        <v>--</v>
      </c>
      <c r="T29" s="652">
        <f t="shared" si="7"/>
        <v>43.6608954</v>
      </c>
      <c r="U29" s="653" t="str">
        <f t="shared" si="8"/>
        <v>--</v>
      </c>
      <c r="V29" s="212" t="str">
        <f t="shared" si="9"/>
        <v>--</v>
      </c>
      <c r="W29" s="213" t="str">
        <f t="shared" si="10"/>
        <v>--</v>
      </c>
      <c r="X29" s="214" t="str">
        <f t="shared" si="11"/>
        <v>--</v>
      </c>
      <c r="Y29" s="654" t="str">
        <f t="shared" si="12"/>
        <v>--</v>
      </c>
      <c r="Z29" s="655" t="str">
        <f t="shared" si="13"/>
        <v>--</v>
      </c>
      <c r="AA29" s="656" t="str">
        <f t="shared" si="14"/>
        <v>--</v>
      </c>
      <c r="AB29" s="215" t="str">
        <f t="shared" si="15"/>
        <v>--</v>
      </c>
      <c r="AC29" s="216" t="str">
        <f t="shared" si="16"/>
        <v>--</v>
      </c>
      <c r="AD29" s="752" t="s">
        <v>128</v>
      </c>
      <c r="AE29" s="16">
        <f t="shared" si="17"/>
        <v>43.6608954</v>
      </c>
      <c r="AF29" s="657"/>
    </row>
    <row r="30" spans="2:32" s="5" customFormat="1" ht="16.5" customHeight="1">
      <c r="B30" s="50"/>
      <c r="C30" s="149">
        <v>11</v>
      </c>
      <c r="D30" s="149">
        <v>210125</v>
      </c>
      <c r="E30" s="149">
        <v>4734</v>
      </c>
      <c r="F30" s="143" t="s">
        <v>142</v>
      </c>
      <c r="G30" s="144">
        <v>220</v>
      </c>
      <c r="H30" s="701">
        <v>77</v>
      </c>
      <c r="I30" s="144" t="s">
        <v>143</v>
      </c>
      <c r="J30" s="648">
        <f t="shared" si="0"/>
        <v>20</v>
      </c>
      <c r="K30" s="649">
        <f t="shared" si="1"/>
        <v>97.649</v>
      </c>
      <c r="L30" s="178">
        <v>40045.336805555555</v>
      </c>
      <c r="M30" s="209">
        <v>40045.35972222222</v>
      </c>
      <c r="N30" s="180">
        <f t="shared" si="2"/>
        <v>0.5500000000465661</v>
      </c>
      <c r="O30" s="181">
        <f t="shared" si="3"/>
        <v>33</v>
      </c>
      <c r="P30" s="210" t="s">
        <v>144</v>
      </c>
      <c r="Q30" s="751" t="str">
        <f t="shared" si="4"/>
        <v>--</v>
      </c>
      <c r="R30" s="211" t="str">
        <f t="shared" si="5"/>
        <v>NO</v>
      </c>
      <c r="S30" s="211" t="str">
        <f t="shared" si="6"/>
        <v>--</v>
      </c>
      <c r="T30" s="652">
        <f t="shared" si="7"/>
        <v>10.74139</v>
      </c>
      <c r="U30" s="653" t="str">
        <f t="shared" si="8"/>
        <v>--</v>
      </c>
      <c r="V30" s="212" t="str">
        <f t="shared" si="9"/>
        <v>--</v>
      </c>
      <c r="W30" s="213" t="str">
        <f t="shared" si="10"/>
        <v>--</v>
      </c>
      <c r="X30" s="214" t="str">
        <f t="shared" si="11"/>
        <v>--</v>
      </c>
      <c r="Y30" s="654" t="str">
        <f t="shared" si="12"/>
        <v>--</v>
      </c>
      <c r="Z30" s="655" t="str">
        <f t="shared" si="13"/>
        <v>--</v>
      </c>
      <c r="AA30" s="656" t="str">
        <f t="shared" si="14"/>
        <v>--</v>
      </c>
      <c r="AB30" s="215" t="str">
        <f t="shared" si="15"/>
        <v>--</v>
      </c>
      <c r="AC30" s="216" t="str">
        <f t="shared" si="16"/>
        <v>--</v>
      </c>
      <c r="AD30" s="752" t="s">
        <v>128</v>
      </c>
      <c r="AE30" s="16">
        <f t="shared" si="17"/>
        <v>10.74139</v>
      </c>
      <c r="AF30" s="657"/>
    </row>
    <row r="31" spans="2:32" s="5" customFormat="1" ht="16.5" customHeight="1">
      <c r="B31" s="50"/>
      <c r="C31" s="264">
        <v>12</v>
      </c>
      <c r="D31" s="264">
        <v>210126</v>
      </c>
      <c r="E31" s="264">
        <v>47</v>
      </c>
      <c r="F31" s="143" t="s">
        <v>151</v>
      </c>
      <c r="G31" s="144">
        <v>500</v>
      </c>
      <c r="H31" s="701">
        <v>289</v>
      </c>
      <c r="I31" s="144" t="s">
        <v>143</v>
      </c>
      <c r="J31" s="648">
        <f t="shared" si="0"/>
        <v>20</v>
      </c>
      <c r="K31" s="649">
        <f t="shared" si="1"/>
        <v>338.64731</v>
      </c>
      <c r="L31" s="178">
        <v>40045.39236111111</v>
      </c>
      <c r="M31" s="179">
        <v>40045.60972222222</v>
      </c>
      <c r="N31" s="180">
        <f t="shared" si="2"/>
        <v>5.216666666732635</v>
      </c>
      <c r="O31" s="181">
        <f t="shared" si="3"/>
        <v>313</v>
      </c>
      <c r="P31" s="210" t="s">
        <v>147</v>
      </c>
      <c r="Q31" s="751" t="str">
        <f t="shared" si="4"/>
        <v>--</v>
      </c>
      <c r="R31" s="211" t="str">
        <f t="shared" si="5"/>
        <v>NO</v>
      </c>
      <c r="S31" s="211" t="s">
        <v>128</v>
      </c>
      <c r="T31" s="652" t="str">
        <f t="shared" si="7"/>
        <v>--</v>
      </c>
      <c r="U31" s="653" t="str">
        <f t="shared" si="8"/>
        <v>--</v>
      </c>
      <c r="V31" s="212" t="str">
        <f t="shared" si="9"/>
        <v>--</v>
      </c>
      <c r="W31" s="213">
        <f t="shared" si="10"/>
        <v>33864.731</v>
      </c>
      <c r="X31" s="214">
        <f t="shared" si="11"/>
        <v>149.00481639999984</v>
      </c>
      <c r="Y31" s="654" t="str">
        <f t="shared" si="12"/>
        <v>--</v>
      </c>
      <c r="Z31" s="655" t="str">
        <f t="shared" si="13"/>
        <v>--</v>
      </c>
      <c r="AA31" s="656" t="str">
        <f t="shared" si="14"/>
        <v>--</v>
      </c>
      <c r="AB31" s="215" t="str">
        <f t="shared" si="15"/>
        <v>--</v>
      </c>
      <c r="AC31" s="216" t="str">
        <f t="shared" si="16"/>
        <v>--</v>
      </c>
      <c r="AD31" s="752" t="s">
        <v>128</v>
      </c>
      <c r="AE31" s="16">
        <f t="shared" si="17"/>
        <v>34013.735816399996</v>
      </c>
      <c r="AF31" s="657"/>
    </row>
    <row r="32" spans="2:32" s="5" customFormat="1" ht="16.5" customHeight="1">
      <c r="B32" s="50"/>
      <c r="C32" s="149">
        <v>13</v>
      </c>
      <c r="D32" s="149">
        <v>210135</v>
      </c>
      <c r="E32" s="149">
        <v>47</v>
      </c>
      <c r="F32" s="143" t="s">
        <v>151</v>
      </c>
      <c r="G32" s="144">
        <v>500</v>
      </c>
      <c r="H32" s="701">
        <v>289</v>
      </c>
      <c r="I32" s="144" t="s">
        <v>143</v>
      </c>
      <c r="J32" s="648">
        <f t="shared" si="0"/>
        <v>20</v>
      </c>
      <c r="K32" s="649">
        <f t="shared" si="1"/>
        <v>338.64731</v>
      </c>
      <c r="L32" s="178">
        <v>40047.37847222222</v>
      </c>
      <c r="M32" s="179">
        <v>40047.52013888889</v>
      </c>
      <c r="N32" s="180">
        <f t="shared" si="2"/>
        <v>3.4000000000814907</v>
      </c>
      <c r="O32" s="181">
        <f t="shared" si="3"/>
        <v>204</v>
      </c>
      <c r="P32" s="210" t="s">
        <v>144</v>
      </c>
      <c r="Q32" s="751" t="str">
        <f t="shared" si="4"/>
        <v>--</v>
      </c>
      <c r="R32" s="211" t="str">
        <f t="shared" si="5"/>
        <v>NO</v>
      </c>
      <c r="S32" s="211" t="str">
        <f t="shared" si="6"/>
        <v>--</v>
      </c>
      <c r="T32" s="652">
        <f t="shared" si="7"/>
        <v>230.2801708</v>
      </c>
      <c r="U32" s="653" t="str">
        <f t="shared" si="8"/>
        <v>--</v>
      </c>
      <c r="V32" s="212" t="str">
        <f t="shared" si="9"/>
        <v>--</v>
      </c>
      <c r="W32" s="213" t="str">
        <f t="shared" si="10"/>
        <v>--</v>
      </c>
      <c r="X32" s="214" t="str">
        <f t="shared" si="11"/>
        <v>--</v>
      </c>
      <c r="Y32" s="654" t="str">
        <f t="shared" si="12"/>
        <v>--</v>
      </c>
      <c r="Z32" s="655" t="str">
        <f t="shared" si="13"/>
        <v>--</v>
      </c>
      <c r="AA32" s="656" t="str">
        <f t="shared" si="14"/>
        <v>--</v>
      </c>
      <c r="AB32" s="215" t="str">
        <f t="shared" si="15"/>
        <v>--</v>
      </c>
      <c r="AC32" s="216" t="str">
        <f t="shared" si="16"/>
        <v>--</v>
      </c>
      <c r="AD32" s="752" t="s">
        <v>128</v>
      </c>
      <c r="AE32" s="16">
        <f t="shared" si="17"/>
        <v>230.2801708</v>
      </c>
      <c r="AF32" s="657"/>
    </row>
    <row r="33" spans="2:32" s="5" customFormat="1" ht="16.5" customHeight="1">
      <c r="B33" s="50"/>
      <c r="C33" s="264">
        <v>14</v>
      </c>
      <c r="D33" s="264">
        <v>210145</v>
      </c>
      <c r="E33" s="264">
        <v>9</v>
      </c>
      <c r="F33" s="143" t="s">
        <v>152</v>
      </c>
      <c r="G33" s="144">
        <v>500</v>
      </c>
      <c r="H33" s="701">
        <v>165</v>
      </c>
      <c r="I33" s="144" t="s">
        <v>143</v>
      </c>
      <c r="J33" s="648">
        <f t="shared" si="0"/>
        <v>20</v>
      </c>
      <c r="K33" s="649">
        <f t="shared" si="1"/>
        <v>193.34535</v>
      </c>
      <c r="L33" s="178">
        <v>40047.38263888889</v>
      </c>
      <c r="M33" s="179">
        <v>40047.38333333333</v>
      </c>
      <c r="N33" s="180">
        <f t="shared" si="2"/>
        <v>0.016666666546370834</v>
      </c>
      <c r="O33" s="181">
        <f t="shared" si="3"/>
        <v>1</v>
      </c>
      <c r="P33" s="210" t="s">
        <v>147</v>
      </c>
      <c r="Q33" s="751" t="str">
        <f t="shared" si="4"/>
        <v>--</v>
      </c>
      <c r="R33" s="211" t="str">
        <f t="shared" si="5"/>
        <v>NO</v>
      </c>
      <c r="S33" s="211" t="str">
        <f t="shared" si="6"/>
        <v>NO</v>
      </c>
      <c r="T33" s="652" t="str">
        <f t="shared" si="7"/>
        <v>--</v>
      </c>
      <c r="U33" s="653" t="str">
        <f t="shared" si="8"/>
        <v>--</v>
      </c>
      <c r="V33" s="212">
        <f t="shared" si="9"/>
        <v>3866.907</v>
      </c>
      <c r="W33" s="213" t="str">
        <f t="shared" si="10"/>
        <v>--</v>
      </c>
      <c r="X33" s="214" t="str">
        <f t="shared" si="11"/>
        <v>--</v>
      </c>
      <c r="Y33" s="654" t="str">
        <f t="shared" si="12"/>
        <v>--</v>
      </c>
      <c r="Z33" s="655" t="str">
        <f t="shared" si="13"/>
        <v>--</v>
      </c>
      <c r="AA33" s="656" t="str">
        <f t="shared" si="14"/>
        <v>--</v>
      </c>
      <c r="AB33" s="215" t="str">
        <f t="shared" si="15"/>
        <v>--</v>
      </c>
      <c r="AC33" s="216" t="str">
        <f t="shared" si="16"/>
        <v>--</v>
      </c>
      <c r="AD33" s="752" t="s">
        <v>128</v>
      </c>
      <c r="AE33" s="16">
        <f t="shared" si="17"/>
        <v>3866.907</v>
      </c>
      <c r="AF33" s="657"/>
    </row>
    <row r="34" spans="2:32" s="5" customFormat="1" ht="16.5" customHeight="1">
      <c r="B34" s="50"/>
      <c r="C34" s="149">
        <v>15</v>
      </c>
      <c r="D34" s="149">
        <v>210475</v>
      </c>
      <c r="E34" s="149">
        <v>1344</v>
      </c>
      <c r="F34" s="143" t="s">
        <v>154</v>
      </c>
      <c r="G34" s="144">
        <v>500</v>
      </c>
      <c r="H34" s="701">
        <v>194</v>
      </c>
      <c r="I34" s="144" t="s">
        <v>143</v>
      </c>
      <c r="J34" s="648">
        <f t="shared" si="0"/>
        <v>20</v>
      </c>
      <c r="K34" s="649">
        <f t="shared" si="1"/>
        <v>227.32726</v>
      </c>
      <c r="L34" s="178">
        <v>40053.322916666664</v>
      </c>
      <c r="M34" s="179">
        <v>40053.74652777778</v>
      </c>
      <c r="N34" s="180">
        <f t="shared" si="2"/>
        <v>10.166666666802485</v>
      </c>
      <c r="O34" s="181">
        <f t="shared" si="3"/>
        <v>610</v>
      </c>
      <c r="P34" s="210" t="s">
        <v>144</v>
      </c>
      <c r="Q34" s="751" t="str">
        <f t="shared" si="4"/>
        <v>--</v>
      </c>
      <c r="R34" s="211" t="str">
        <f t="shared" si="5"/>
        <v>NO</v>
      </c>
      <c r="S34" s="211" t="str">
        <f t="shared" si="6"/>
        <v>--</v>
      </c>
      <c r="T34" s="652">
        <f t="shared" si="7"/>
        <v>462.3836468399999</v>
      </c>
      <c r="U34" s="653" t="str">
        <f t="shared" si="8"/>
        <v>--</v>
      </c>
      <c r="V34" s="212" t="str">
        <f t="shared" si="9"/>
        <v>--</v>
      </c>
      <c r="W34" s="213" t="str">
        <f t="shared" si="10"/>
        <v>--</v>
      </c>
      <c r="X34" s="214" t="str">
        <f t="shared" si="11"/>
        <v>--</v>
      </c>
      <c r="Y34" s="654" t="str">
        <f t="shared" si="12"/>
        <v>--</v>
      </c>
      <c r="Z34" s="655" t="str">
        <f t="shared" si="13"/>
        <v>--</v>
      </c>
      <c r="AA34" s="656" t="str">
        <f t="shared" si="14"/>
        <v>--</v>
      </c>
      <c r="AB34" s="215" t="str">
        <f t="shared" si="15"/>
        <v>--</v>
      </c>
      <c r="AC34" s="216" t="str">
        <f t="shared" si="16"/>
        <v>--</v>
      </c>
      <c r="AD34" s="752" t="s">
        <v>128</v>
      </c>
      <c r="AE34" s="16">
        <f t="shared" si="17"/>
        <v>462.3836468399999</v>
      </c>
      <c r="AF34" s="657"/>
    </row>
    <row r="35" spans="2:32" s="5" customFormat="1" ht="16.5" customHeight="1">
      <c r="B35" s="50"/>
      <c r="C35" s="264"/>
      <c r="D35" s="264"/>
      <c r="E35" s="264"/>
      <c r="F35" s="143"/>
      <c r="G35" s="144"/>
      <c r="H35" s="701"/>
      <c r="I35" s="144"/>
      <c r="J35" s="648"/>
      <c r="K35" s="649"/>
      <c r="L35" s="178"/>
      <c r="M35" s="179"/>
      <c r="N35" s="180"/>
      <c r="O35" s="181"/>
      <c r="P35" s="210"/>
      <c r="Q35" s="751"/>
      <c r="R35" s="211"/>
      <c r="S35" s="211"/>
      <c r="T35" s="652"/>
      <c r="U35" s="653"/>
      <c r="V35" s="212"/>
      <c r="W35" s="213"/>
      <c r="X35" s="214"/>
      <c r="Y35" s="654"/>
      <c r="Z35" s="655"/>
      <c r="AA35" s="656"/>
      <c r="AB35" s="215"/>
      <c r="AC35" s="216"/>
      <c r="AD35" s="752"/>
      <c r="AE35" s="16"/>
      <c r="AF35" s="657"/>
    </row>
    <row r="36" spans="2:32" s="5" customFormat="1" ht="16.5" customHeight="1">
      <c r="B36" s="50"/>
      <c r="C36" s="264"/>
      <c r="D36" s="264"/>
      <c r="E36" s="264"/>
      <c r="F36" s="143"/>
      <c r="G36" s="144"/>
      <c r="H36" s="701"/>
      <c r="I36" s="144"/>
      <c r="J36" s="648"/>
      <c r="K36" s="649"/>
      <c r="L36" s="178"/>
      <c r="M36" s="179"/>
      <c r="N36" s="180"/>
      <c r="O36" s="181"/>
      <c r="P36" s="210"/>
      <c r="Q36" s="751"/>
      <c r="R36" s="211"/>
      <c r="S36" s="211"/>
      <c r="T36" s="652"/>
      <c r="U36" s="653"/>
      <c r="V36" s="212"/>
      <c r="W36" s="213"/>
      <c r="X36" s="214"/>
      <c r="Y36" s="654"/>
      <c r="Z36" s="655"/>
      <c r="AA36" s="656"/>
      <c r="AB36" s="215"/>
      <c r="AC36" s="216"/>
      <c r="AD36" s="752"/>
      <c r="AE36" s="16"/>
      <c r="AF36" s="657"/>
    </row>
    <row r="37" spans="2:32" s="5" customFormat="1" ht="16.5" customHeight="1">
      <c r="B37" s="50"/>
      <c r="C37" s="264"/>
      <c r="D37" s="264"/>
      <c r="E37" s="264"/>
      <c r="F37" s="143"/>
      <c r="G37" s="144"/>
      <c r="H37" s="701"/>
      <c r="I37" s="144"/>
      <c r="J37" s="648"/>
      <c r="K37" s="649"/>
      <c r="L37" s="178"/>
      <c r="M37" s="179"/>
      <c r="N37" s="180"/>
      <c r="O37" s="181"/>
      <c r="P37" s="210"/>
      <c r="Q37" s="751"/>
      <c r="R37" s="211"/>
      <c r="S37" s="211"/>
      <c r="T37" s="652"/>
      <c r="U37" s="653"/>
      <c r="V37" s="212"/>
      <c r="W37" s="213"/>
      <c r="X37" s="214"/>
      <c r="Y37" s="654"/>
      <c r="Z37" s="655"/>
      <c r="AA37" s="656"/>
      <c r="AB37" s="215"/>
      <c r="AC37" s="216"/>
      <c r="AD37" s="752"/>
      <c r="AE37" s="16"/>
      <c r="AF37" s="657"/>
    </row>
    <row r="38" spans="2:32" s="5" customFormat="1" ht="16.5" customHeight="1">
      <c r="B38" s="50"/>
      <c r="C38" s="264"/>
      <c r="D38" s="264"/>
      <c r="E38" s="264"/>
      <c r="F38" s="143"/>
      <c r="G38" s="144"/>
      <c r="H38" s="701"/>
      <c r="I38" s="144"/>
      <c r="J38" s="648">
        <f t="shared" si="0"/>
        <v>20</v>
      </c>
      <c r="K38" s="649">
        <f t="shared" si="1"/>
        <v>97.649</v>
      </c>
      <c r="L38" s="178"/>
      <c r="M38" s="179"/>
      <c r="N38" s="180">
        <f t="shared" si="2"/>
      </c>
      <c r="O38" s="181">
        <f t="shared" si="3"/>
      </c>
      <c r="P38" s="210"/>
      <c r="Q38" s="751">
        <f t="shared" si="4"/>
      </c>
      <c r="R38" s="211">
        <f t="shared" si="5"/>
      </c>
      <c r="S38" s="211">
        <f t="shared" si="6"/>
      </c>
      <c r="T38" s="652" t="str">
        <f t="shared" si="7"/>
        <v>--</v>
      </c>
      <c r="U38" s="653" t="str">
        <f t="shared" si="8"/>
        <v>--</v>
      </c>
      <c r="V38" s="212" t="str">
        <f t="shared" si="9"/>
        <v>--</v>
      </c>
      <c r="W38" s="213" t="str">
        <f t="shared" si="10"/>
        <v>--</v>
      </c>
      <c r="X38" s="214" t="str">
        <f t="shared" si="11"/>
        <v>--</v>
      </c>
      <c r="Y38" s="654" t="str">
        <f t="shared" si="12"/>
        <v>--</v>
      </c>
      <c r="Z38" s="655" t="str">
        <f t="shared" si="13"/>
        <v>--</v>
      </c>
      <c r="AA38" s="656" t="str">
        <f t="shared" si="14"/>
        <v>--</v>
      </c>
      <c r="AB38" s="215" t="str">
        <f t="shared" si="15"/>
        <v>--</v>
      </c>
      <c r="AC38" s="216" t="str">
        <f t="shared" si="16"/>
        <v>--</v>
      </c>
      <c r="AD38" s="752">
        <f>IF(F38="","","SI")</f>
      </c>
      <c r="AE38" s="16">
        <f t="shared" si="17"/>
      </c>
      <c r="AF38" s="657"/>
    </row>
    <row r="39" spans="2:32" s="5" customFormat="1" ht="16.5" customHeight="1" thickBot="1">
      <c r="B39" s="50"/>
      <c r="C39" s="750"/>
      <c r="D39" s="753"/>
      <c r="E39" s="149"/>
      <c r="F39" s="146"/>
      <c r="G39" s="218"/>
      <c r="H39" s="695"/>
      <c r="I39" s="219"/>
      <c r="J39" s="662"/>
      <c r="K39" s="663"/>
      <c r="L39" s="693"/>
      <c r="M39" s="693"/>
      <c r="N39" s="9"/>
      <c r="O39" s="9"/>
      <c r="P39" s="148"/>
      <c r="Q39" s="183"/>
      <c r="R39" s="148"/>
      <c r="S39" s="148"/>
      <c r="T39" s="664"/>
      <c r="U39" s="665"/>
      <c r="V39" s="220"/>
      <c r="W39" s="221"/>
      <c r="X39" s="222"/>
      <c r="Y39" s="666"/>
      <c r="Z39" s="667"/>
      <c r="AA39" s="668"/>
      <c r="AB39" s="223"/>
      <c r="AC39" s="224"/>
      <c r="AD39" s="669"/>
      <c r="AE39" s="225"/>
      <c r="AF39" s="657"/>
    </row>
    <row r="40" spans="2:32" s="5" customFormat="1" ht="16.5" customHeight="1" thickBot="1" thickTop="1">
      <c r="B40" s="50"/>
      <c r="C40" s="125" t="s">
        <v>23</v>
      </c>
      <c r="D40" s="976" t="s">
        <v>229</v>
      </c>
      <c r="E40" s="125"/>
      <c r="F40" s="126"/>
      <c r="G40" s="226"/>
      <c r="H40" s="196"/>
      <c r="I40" s="227"/>
      <c r="J40" s="196"/>
      <c r="K40" s="184"/>
      <c r="L40" s="184"/>
      <c r="M40" s="184"/>
      <c r="N40" s="184"/>
      <c r="O40" s="184"/>
      <c r="P40" s="184"/>
      <c r="Q40" s="228"/>
      <c r="R40" s="184"/>
      <c r="S40" s="184"/>
      <c r="T40" s="670">
        <f aca="true" t="shared" si="18" ref="T40:AC40">SUM(T20:T39)</f>
        <v>2631.8587636400002</v>
      </c>
      <c r="U40" s="671">
        <f t="shared" si="18"/>
        <v>0</v>
      </c>
      <c r="V40" s="672">
        <f t="shared" si="18"/>
        <v>87860.81420000002</v>
      </c>
      <c r="W40" s="672">
        <f t="shared" si="18"/>
        <v>126452.54606000001</v>
      </c>
      <c r="X40" s="672">
        <f t="shared" si="18"/>
        <v>9923.1395644</v>
      </c>
      <c r="Y40" s="673">
        <f t="shared" si="18"/>
        <v>0</v>
      </c>
      <c r="Z40" s="673">
        <f t="shared" si="18"/>
        <v>0</v>
      </c>
      <c r="AA40" s="673">
        <f t="shared" si="18"/>
        <v>0</v>
      </c>
      <c r="AB40" s="229">
        <f t="shared" si="18"/>
        <v>0</v>
      </c>
      <c r="AC40" s="230">
        <f t="shared" si="18"/>
        <v>0</v>
      </c>
      <c r="AD40" s="231"/>
      <c r="AE40" s="232">
        <f>ROUND(SUM(AE20:AE39),2)</f>
        <v>225042.86</v>
      </c>
      <c r="AF40" s="657"/>
    </row>
    <row r="41" spans="2:32" s="5" customFormat="1" ht="16.5" customHeight="1" thickBot="1" thickTop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6"/>
    </row>
    <row r="42" spans="2:32" ht="16.5" customHeight="1" thickTop="1">
      <c r="B42" s="1"/>
      <c r="C42" s="1"/>
      <c r="D42" s="1"/>
      <c r="AF42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Y94" sqref="Y94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87"/>
      <c r="V1" s="988"/>
    </row>
    <row r="2" spans="2:22" s="18" customFormat="1" ht="26.25">
      <c r="B2" s="385" t="str">
        <f>'TOT-0809'!B2</f>
        <v>ANEXO III al Memorándum D.T.E.E. N°   256 /2011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989"/>
    </row>
    <row r="3" spans="1:22" s="25" customFormat="1" ht="11.25">
      <c r="A3" s="23" t="s">
        <v>1</v>
      </c>
      <c r="B3" s="122"/>
      <c r="U3" s="990"/>
      <c r="V3" s="990"/>
    </row>
    <row r="4" spans="1:22" s="25" customFormat="1" ht="11.25">
      <c r="A4" s="23" t="s">
        <v>2</v>
      </c>
      <c r="B4" s="122"/>
      <c r="U4" s="122"/>
      <c r="V4" s="990"/>
    </row>
    <row r="5" spans="21:22" ht="9.75" customHeight="1">
      <c r="U5" s="22"/>
      <c r="V5" s="988"/>
    </row>
    <row r="6" spans="2:178" s="991" customFormat="1" ht="23.25">
      <c r="B6" s="444" t="s">
        <v>302</v>
      </c>
      <c r="C6" s="444"/>
      <c r="D6" s="992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993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4"/>
      <c r="BX6" s="444"/>
      <c r="BY6" s="444"/>
      <c r="BZ6" s="444"/>
      <c r="CA6" s="444"/>
      <c r="CB6" s="444"/>
      <c r="CC6" s="444"/>
      <c r="CD6" s="444"/>
      <c r="CE6" s="444"/>
      <c r="CF6" s="444"/>
      <c r="CG6" s="444"/>
      <c r="CH6" s="444"/>
      <c r="CI6" s="444"/>
      <c r="CJ6" s="444"/>
      <c r="CK6" s="444"/>
      <c r="CL6" s="444"/>
      <c r="CM6" s="444"/>
      <c r="CN6" s="444"/>
      <c r="CO6" s="444"/>
      <c r="CP6" s="444"/>
      <c r="CQ6" s="444"/>
      <c r="CR6" s="444"/>
      <c r="CS6" s="444"/>
      <c r="CT6" s="444"/>
      <c r="CU6" s="444"/>
      <c r="CV6" s="444"/>
      <c r="CW6" s="444"/>
      <c r="CX6" s="444"/>
      <c r="CY6" s="444"/>
      <c r="CZ6" s="444"/>
      <c r="DA6" s="444"/>
      <c r="DB6" s="444"/>
      <c r="DC6" s="444"/>
      <c r="DD6" s="444"/>
      <c r="DE6" s="444"/>
      <c r="DF6" s="444"/>
      <c r="DG6" s="444"/>
      <c r="DH6" s="444"/>
      <c r="DI6" s="444"/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4"/>
      <c r="DZ6" s="444"/>
      <c r="EA6" s="444"/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4"/>
      <c r="ER6" s="444"/>
      <c r="ES6" s="444"/>
      <c r="ET6" s="444"/>
      <c r="EU6" s="444"/>
      <c r="EV6" s="444"/>
      <c r="EW6" s="444"/>
      <c r="EX6" s="444"/>
      <c r="EY6" s="444"/>
      <c r="EZ6" s="444"/>
      <c r="FA6" s="444"/>
      <c r="FB6" s="444"/>
      <c r="FC6" s="444"/>
      <c r="FD6" s="444"/>
      <c r="FE6" s="444"/>
      <c r="FF6" s="444"/>
      <c r="FG6" s="444"/>
      <c r="FH6" s="444"/>
      <c r="FI6" s="444"/>
      <c r="FJ6" s="444"/>
      <c r="FK6" s="444"/>
      <c r="FL6" s="444"/>
      <c r="FM6" s="444"/>
      <c r="FN6" s="444"/>
      <c r="FO6" s="444"/>
      <c r="FP6" s="444"/>
      <c r="FQ6" s="444"/>
      <c r="FR6" s="444"/>
      <c r="FS6" s="444"/>
      <c r="FT6" s="444"/>
      <c r="FU6" s="444"/>
      <c r="FV6" s="444"/>
    </row>
    <row r="7" spans="2:178" s="32" customFormat="1" ht="9.75" customHeigh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748"/>
      <c r="V7" s="748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  <c r="BT7" s="552"/>
      <c r="BU7" s="552"/>
      <c r="BV7" s="552"/>
      <c r="BW7" s="552"/>
      <c r="BX7" s="552"/>
      <c r="BY7" s="552"/>
      <c r="BZ7" s="552"/>
      <c r="CA7" s="552"/>
      <c r="CB7" s="552"/>
      <c r="CC7" s="552"/>
      <c r="CD7" s="552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F7" s="552"/>
      <c r="DG7" s="552"/>
      <c r="DH7" s="552"/>
      <c r="DI7" s="552"/>
      <c r="DJ7" s="552"/>
      <c r="DK7" s="552"/>
      <c r="DL7" s="552"/>
      <c r="DM7" s="552"/>
      <c r="DN7" s="552"/>
      <c r="DO7" s="552"/>
      <c r="DP7" s="552"/>
      <c r="DQ7" s="552"/>
      <c r="DR7" s="552"/>
      <c r="DS7" s="552"/>
      <c r="DT7" s="552"/>
      <c r="DU7" s="552"/>
      <c r="DV7" s="552"/>
      <c r="DW7" s="552"/>
      <c r="DX7" s="552"/>
      <c r="DY7" s="552"/>
      <c r="DZ7" s="552"/>
      <c r="EA7" s="552"/>
      <c r="EB7" s="552"/>
      <c r="EC7" s="552"/>
      <c r="ED7" s="552"/>
      <c r="EE7" s="552"/>
      <c r="EF7" s="552"/>
      <c r="EG7" s="552"/>
      <c r="EH7" s="552"/>
      <c r="EI7" s="552"/>
      <c r="EJ7" s="552"/>
      <c r="EK7" s="552"/>
      <c r="EL7" s="552"/>
      <c r="EM7" s="552"/>
      <c r="EN7" s="552"/>
      <c r="EO7" s="552"/>
      <c r="EP7" s="552"/>
      <c r="EQ7" s="552"/>
      <c r="ER7" s="552"/>
      <c r="ES7" s="552"/>
      <c r="ET7" s="552"/>
      <c r="EU7" s="552"/>
      <c r="EV7" s="552"/>
      <c r="EW7" s="552"/>
      <c r="EX7" s="552"/>
      <c r="EY7" s="552"/>
      <c r="EZ7" s="552"/>
      <c r="FA7" s="552"/>
      <c r="FB7" s="552"/>
      <c r="FC7" s="552"/>
      <c r="FD7" s="552"/>
      <c r="FE7" s="552"/>
      <c r="FF7" s="552"/>
      <c r="FG7" s="552"/>
      <c r="FH7" s="552"/>
      <c r="FI7" s="552"/>
      <c r="FJ7" s="552"/>
      <c r="FK7" s="552"/>
      <c r="FL7" s="552"/>
      <c r="FM7" s="552"/>
      <c r="FN7" s="552"/>
      <c r="FO7" s="552"/>
      <c r="FP7" s="552"/>
      <c r="FQ7" s="552"/>
      <c r="FR7" s="552"/>
      <c r="FS7" s="552"/>
      <c r="FT7" s="552"/>
      <c r="FU7" s="552"/>
      <c r="FV7" s="552"/>
    </row>
    <row r="8" spans="2:178" s="994" customFormat="1" ht="23.25">
      <c r="B8" s="444" t="s">
        <v>48</v>
      </c>
      <c r="C8" s="992"/>
      <c r="D8" s="992"/>
      <c r="E8" s="992"/>
      <c r="F8" s="992"/>
      <c r="G8" s="992"/>
      <c r="H8" s="992"/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2"/>
      <c r="U8" s="992"/>
      <c r="V8" s="995"/>
      <c r="W8" s="992"/>
      <c r="X8" s="992"/>
      <c r="Y8" s="992"/>
      <c r="Z8" s="992"/>
      <c r="AA8" s="992"/>
      <c r="AB8" s="992"/>
      <c r="AC8" s="992"/>
      <c r="AD8" s="992"/>
      <c r="AE8" s="992"/>
      <c r="AF8" s="992"/>
      <c r="AG8" s="992"/>
      <c r="AH8" s="992"/>
      <c r="AI8" s="992"/>
      <c r="AJ8" s="992"/>
      <c r="AK8" s="992"/>
      <c r="AL8" s="992"/>
      <c r="AM8" s="992"/>
      <c r="AN8" s="992"/>
      <c r="AO8" s="992"/>
      <c r="AP8" s="992"/>
      <c r="AQ8" s="992"/>
      <c r="AR8" s="992"/>
      <c r="AS8" s="992"/>
      <c r="AT8" s="992"/>
      <c r="AU8" s="992"/>
      <c r="AV8" s="992"/>
      <c r="AW8" s="992"/>
      <c r="AX8" s="992"/>
      <c r="AY8" s="992"/>
      <c r="AZ8" s="992"/>
      <c r="BA8" s="992"/>
      <c r="BB8" s="992"/>
      <c r="BC8" s="992"/>
      <c r="BD8" s="992"/>
      <c r="BE8" s="992"/>
      <c r="BF8" s="992"/>
      <c r="BG8" s="992"/>
      <c r="BH8" s="992"/>
      <c r="BI8" s="992"/>
      <c r="BJ8" s="992"/>
      <c r="BK8" s="992"/>
      <c r="BL8" s="992"/>
      <c r="BM8" s="992"/>
      <c r="BN8" s="992"/>
      <c r="BO8" s="992"/>
      <c r="BP8" s="992"/>
      <c r="BQ8" s="992"/>
      <c r="BR8" s="992"/>
      <c r="BS8" s="992"/>
      <c r="BT8" s="992"/>
      <c r="BU8" s="992"/>
      <c r="BV8" s="992"/>
      <c r="BW8" s="992"/>
      <c r="BX8" s="992"/>
      <c r="BY8" s="992"/>
      <c r="BZ8" s="992"/>
      <c r="CA8" s="992"/>
      <c r="CB8" s="992"/>
      <c r="CC8" s="992"/>
      <c r="CD8" s="992"/>
      <c r="CE8" s="992"/>
      <c r="CF8" s="992"/>
      <c r="CG8" s="992"/>
      <c r="CH8" s="992"/>
      <c r="CI8" s="992"/>
      <c r="CJ8" s="992"/>
      <c r="CK8" s="992"/>
      <c r="CL8" s="992"/>
      <c r="CM8" s="992"/>
      <c r="CN8" s="992"/>
      <c r="CO8" s="992"/>
      <c r="CP8" s="992"/>
      <c r="CQ8" s="992"/>
      <c r="CR8" s="992"/>
      <c r="CS8" s="992"/>
      <c r="CT8" s="992"/>
      <c r="CU8" s="992"/>
      <c r="CV8" s="992"/>
      <c r="CW8" s="992"/>
      <c r="CX8" s="992"/>
      <c r="CY8" s="992"/>
      <c r="CZ8" s="992"/>
      <c r="DA8" s="992"/>
      <c r="DB8" s="992"/>
      <c r="DC8" s="992"/>
      <c r="DD8" s="992"/>
      <c r="DE8" s="992"/>
      <c r="DF8" s="992"/>
      <c r="DG8" s="992"/>
      <c r="DH8" s="992"/>
      <c r="DI8" s="992"/>
      <c r="DJ8" s="992"/>
      <c r="DK8" s="992"/>
      <c r="DL8" s="992"/>
      <c r="DM8" s="992"/>
      <c r="DN8" s="992"/>
      <c r="DO8" s="992"/>
      <c r="DP8" s="992"/>
      <c r="DQ8" s="992"/>
      <c r="DR8" s="992"/>
      <c r="DS8" s="992"/>
      <c r="DT8" s="992"/>
      <c r="DU8" s="992"/>
      <c r="DV8" s="992"/>
      <c r="DW8" s="992"/>
      <c r="DX8" s="992"/>
      <c r="DY8" s="992"/>
      <c r="DZ8" s="992"/>
      <c r="EA8" s="992"/>
      <c r="EB8" s="992"/>
      <c r="EC8" s="992"/>
      <c r="ED8" s="992"/>
      <c r="EE8" s="992"/>
      <c r="EF8" s="992"/>
      <c r="EG8" s="992"/>
      <c r="EH8" s="992"/>
      <c r="EI8" s="992"/>
      <c r="EJ8" s="992"/>
      <c r="EK8" s="992"/>
      <c r="EL8" s="992"/>
      <c r="EM8" s="992"/>
      <c r="EN8" s="992"/>
      <c r="EO8" s="992"/>
      <c r="EP8" s="992"/>
      <c r="EQ8" s="992"/>
      <c r="ER8" s="992"/>
      <c r="ES8" s="992"/>
      <c r="ET8" s="992"/>
      <c r="EU8" s="992"/>
      <c r="EV8" s="992"/>
      <c r="EW8" s="992"/>
      <c r="EX8" s="992"/>
      <c r="EY8" s="992"/>
      <c r="EZ8" s="992"/>
      <c r="FA8" s="992"/>
      <c r="FB8" s="992"/>
      <c r="FC8" s="992"/>
      <c r="FD8" s="992"/>
      <c r="FE8" s="992"/>
      <c r="FF8" s="992"/>
      <c r="FG8" s="992"/>
      <c r="FH8" s="992"/>
      <c r="FI8" s="992"/>
      <c r="FJ8" s="992"/>
      <c r="FK8" s="992"/>
      <c r="FL8" s="992"/>
      <c r="FM8" s="992"/>
      <c r="FN8" s="992"/>
      <c r="FO8" s="992"/>
      <c r="FP8" s="992"/>
      <c r="FQ8" s="992"/>
      <c r="FR8" s="992"/>
      <c r="FS8" s="992"/>
      <c r="FT8" s="992"/>
      <c r="FU8" s="992"/>
      <c r="FV8" s="992"/>
    </row>
    <row r="9" spans="2:178" s="32" customFormat="1" ht="9.75" customHeight="1"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748"/>
      <c r="V9" s="748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2"/>
      <c r="DN9" s="552"/>
      <c r="DO9" s="552"/>
      <c r="DP9" s="552"/>
      <c r="DQ9" s="552"/>
      <c r="DR9" s="552"/>
      <c r="DS9" s="552"/>
      <c r="DT9" s="552"/>
      <c r="DU9" s="552"/>
      <c r="DV9" s="552"/>
      <c r="DW9" s="552"/>
      <c r="DX9" s="552"/>
      <c r="DY9" s="552"/>
      <c r="DZ9" s="552"/>
      <c r="EA9" s="552"/>
      <c r="EB9" s="552"/>
      <c r="EC9" s="552"/>
      <c r="ED9" s="552"/>
      <c r="EE9" s="552"/>
      <c r="EF9" s="552"/>
      <c r="EG9" s="552"/>
      <c r="EH9" s="552"/>
      <c r="EI9" s="552"/>
      <c r="EJ9" s="552"/>
      <c r="EK9" s="552"/>
      <c r="EL9" s="552"/>
      <c r="EM9" s="552"/>
      <c r="EN9" s="552"/>
      <c r="EO9" s="552"/>
      <c r="EP9" s="552"/>
      <c r="EQ9" s="552"/>
      <c r="ER9" s="552"/>
      <c r="ES9" s="552"/>
      <c r="ET9" s="552"/>
      <c r="EU9" s="552"/>
      <c r="EV9" s="552"/>
      <c r="EW9" s="552"/>
      <c r="EX9" s="552"/>
      <c r="EY9" s="552"/>
      <c r="EZ9" s="552"/>
      <c r="FA9" s="552"/>
      <c r="FB9" s="552"/>
      <c r="FC9" s="552"/>
      <c r="FD9" s="552"/>
      <c r="FE9" s="552"/>
      <c r="FF9" s="552"/>
      <c r="FG9" s="552"/>
      <c r="FH9" s="552"/>
      <c r="FI9" s="552"/>
      <c r="FJ9" s="552"/>
      <c r="FK9" s="552"/>
      <c r="FL9" s="552"/>
      <c r="FM9" s="552"/>
      <c r="FN9" s="552"/>
      <c r="FO9" s="552"/>
      <c r="FP9" s="552"/>
      <c r="FQ9" s="552"/>
      <c r="FR9" s="552"/>
      <c r="FS9" s="552"/>
      <c r="FT9" s="552"/>
      <c r="FU9" s="552"/>
      <c r="FV9" s="552"/>
    </row>
    <row r="10" spans="2:178" s="994" customFormat="1" ht="23.25">
      <c r="B10" s="444" t="s">
        <v>303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5"/>
      <c r="W10" s="992"/>
      <c r="X10" s="992"/>
      <c r="Y10" s="992"/>
      <c r="Z10" s="992"/>
      <c r="AA10" s="992"/>
      <c r="AB10" s="992"/>
      <c r="AC10" s="992"/>
      <c r="AD10" s="992"/>
      <c r="AE10" s="992"/>
      <c r="AF10" s="992"/>
      <c r="AG10" s="992"/>
      <c r="AH10" s="992"/>
      <c r="AI10" s="992"/>
      <c r="AJ10" s="992"/>
      <c r="AK10" s="992"/>
      <c r="AL10" s="992"/>
      <c r="AM10" s="992"/>
      <c r="AN10" s="992"/>
      <c r="AO10" s="992"/>
      <c r="AP10" s="992"/>
      <c r="AQ10" s="992"/>
      <c r="AR10" s="992"/>
      <c r="AS10" s="992"/>
      <c r="AT10" s="992"/>
      <c r="AU10" s="992"/>
      <c r="AV10" s="992"/>
      <c r="AW10" s="992"/>
      <c r="AX10" s="992"/>
      <c r="AY10" s="992"/>
      <c r="AZ10" s="992"/>
      <c r="BA10" s="992"/>
      <c r="BB10" s="992"/>
      <c r="BC10" s="992"/>
      <c r="BD10" s="992"/>
      <c r="BE10" s="992"/>
      <c r="BF10" s="992"/>
      <c r="BG10" s="992"/>
      <c r="BH10" s="992"/>
      <c r="BI10" s="992"/>
      <c r="BJ10" s="992"/>
      <c r="BK10" s="992"/>
      <c r="BL10" s="992"/>
      <c r="BM10" s="992"/>
      <c r="BN10" s="992"/>
      <c r="BO10" s="992"/>
      <c r="BP10" s="992"/>
      <c r="BQ10" s="992"/>
      <c r="BR10" s="992"/>
      <c r="BS10" s="992"/>
      <c r="BT10" s="992"/>
      <c r="BU10" s="992"/>
      <c r="BV10" s="992"/>
      <c r="BW10" s="992"/>
      <c r="BX10" s="992"/>
      <c r="BY10" s="992"/>
      <c r="BZ10" s="992"/>
      <c r="CA10" s="992"/>
      <c r="CB10" s="992"/>
      <c r="CC10" s="992"/>
      <c r="CD10" s="992"/>
      <c r="CE10" s="992"/>
      <c r="CF10" s="992"/>
      <c r="CG10" s="992"/>
      <c r="CH10" s="992"/>
      <c r="CI10" s="992"/>
      <c r="CJ10" s="992"/>
      <c r="CK10" s="992"/>
      <c r="CL10" s="992"/>
      <c r="CM10" s="992"/>
      <c r="CN10" s="992"/>
      <c r="CO10" s="992"/>
      <c r="CP10" s="992"/>
      <c r="CQ10" s="992"/>
      <c r="CR10" s="992"/>
      <c r="CS10" s="992"/>
      <c r="CT10" s="992"/>
      <c r="CU10" s="992"/>
      <c r="CV10" s="992"/>
      <c r="CW10" s="992"/>
      <c r="CX10" s="992"/>
      <c r="CY10" s="992"/>
      <c r="CZ10" s="992"/>
      <c r="DA10" s="992"/>
      <c r="DB10" s="992"/>
      <c r="DC10" s="992"/>
      <c r="DD10" s="992"/>
      <c r="DE10" s="992"/>
      <c r="DF10" s="992"/>
      <c r="DG10" s="992"/>
      <c r="DH10" s="992"/>
      <c r="DI10" s="992"/>
      <c r="DJ10" s="992"/>
      <c r="DK10" s="992"/>
      <c r="DL10" s="992"/>
      <c r="DM10" s="992"/>
      <c r="DN10" s="992"/>
      <c r="DO10" s="992"/>
      <c r="DP10" s="992"/>
      <c r="DQ10" s="992"/>
      <c r="DR10" s="992"/>
      <c r="DS10" s="992"/>
      <c r="DT10" s="992"/>
      <c r="DU10" s="992"/>
      <c r="DV10" s="992"/>
      <c r="DW10" s="992"/>
      <c r="DX10" s="992"/>
      <c r="DY10" s="992"/>
      <c r="DZ10" s="992"/>
      <c r="EA10" s="992"/>
      <c r="EB10" s="992"/>
      <c r="EC10" s="992"/>
      <c r="ED10" s="992"/>
      <c r="EE10" s="992"/>
      <c r="EF10" s="992"/>
      <c r="EG10" s="992"/>
      <c r="EH10" s="992"/>
      <c r="EI10" s="992"/>
      <c r="EJ10" s="992"/>
      <c r="EK10" s="992"/>
      <c r="EL10" s="992"/>
      <c r="EM10" s="992"/>
      <c r="EN10" s="992"/>
      <c r="EO10" s="992"/>
      <c r="EP10" s="992"/>
      <c r="EQ10" s="992"/>
      <c r="ER10" s="992"/>
      <c r="ES10" s="992"/>
      <c r="ET10" s="992"/>
      <c r="EU10" s="992"/>
      <c r="EV10" s="992"/>
      <c r="EW10" s="992"/>
      <c r="EX10" s="992"/>
      <c r="EY10" s="992"/>
      <c r="EZ10" s="992"/>
      <c r="FA10" s="992"/>
      <c r="FB10" s="992"/>
      <c r="FC10" s="992"/>
      <c r="FD10" s="992"/>
      <c r="FE10" s="992"/>
      <c r="FF10" s="992"/>
      <c r="FG10" s="992"/>
      <c r="FH10" s="992"/>
      <c r="FI10" s="992"/>
      <c r="FJ10" s="992"/>
      <c r="FK10" s="992"/>
      <c r="FL10" s="992"/>
      <c r="FM10" s="992"/>
      <c r="FN10" s="992"/>
      <c r="FO10" s="992"/>
      <c r="FP10" s="992"/>
      <c r="FQ10" s="992"/>
      <c r="FR10" s="992"/>
      <c r="FS10" s="992"/>
      <c r="FT10" s="992"/>
      <c r="FU10" s="992"/>
      <c r="FV10" s="992"/>
    </row>
    <row r="11" spans="2:178" s="32" customFormat="1" ht="9.75" customHeight="1" thickBot="1"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748"/>
      <c r="V11" s="748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2"/>
      <c r="CO11" s="552"/>
      <c r="CP11" s="552"/>
      <c r="CQ11" s="552"/>
      <c r="CR11" s="552"/>
      <c r="CS11" s="552"/>
      <c r="CT11" s="552"/>
      <c r="CU11" s="552"/>
      <c r="CV11" s="552"/>
      <c r="CW11" s="552"/>
      <c r="CX11" s="552"/>
      <c r="CY11" s="552"/>
      <c r="CZ11" s="552"/>
      <c r="DA11" s="552"/>
      <c r="DB11" s="552"/>
      <c r="DC11" s="552"/>
      <c r="DD11" s="552"/>
      <c r="DE11" s="552"/>
      <c r="DF11" s="552"/>
      <c r="DG11" s="552"/>
      <c r="DH11" s="552"/>
      <c r="DI11" s="552"/>
      <c r="DJ11" s="552"/>
      <c r="DK11" s="552"/>
      <c r="DL11" s="552"/>
      <c r="DM11" s="552"/>
      <c r="DN11" s="552"/>
      <c r="DO11" s="552"/>
      <c r="DP11" s="552"/>
      <c r="DQ11" s="552"/>
      <c r="DR11" s="552"/>
      <c r="DS11" s="552"/>
      <c r="DT11" s="552"/>
      <c r="DU11" s="552"/>
      <c r="DV11" s="552"/>
      <c r="DW11" s="552"/>
      <c r="DX11" s="552"/>
      <c r="DY11" s="552"/>
      <c r="DZ11" s="552"/>
      <c r="EA11" s="552"/>
      <c r="EB11" s="552"/>
      <c r="EC11" s="552"/>
      <c r="ED11" s="552"/>
      <c r="EE11" s="552"/>
      <c r="EF11" s="552"/>
      <c r="EG11" s="552"/>
      <c r="EH11" s="552"/>
      <c r="EI11" s="552"/>
      <c r="EJ11" s="552"/>
      <c r="EK11" s="552"/>
      <c r="EL11" s="552"/>
      <c r="EM11" s="552"/>
      <c r="EN11" s="552"/>
      <c r="EO11" s="552"/>
      <c r="EP11" s="552"/>
      <c r="EQ11" s="552"/>
      <c r="ER11" s="552"/>
      <c r="ES11" s="552"/>
      <c r="ET11" s="552"/>
      <c r="EU11" s="552"/>
      <c r="EV11" s="552"/>
      <c r="EW11" s="552"/>
      <c r="EX11" s="552"/>
      <c r="EY11" s="552"/>
      <c r="EZ11" s="552"/>
      <c r="FA11" s="552"/>
      <c r="FB11" s="552"/>
      <c r="FC11" s="552"/>
      <c r="FD11" s="552"/>
      <c r="FE11" s="552"/>
      <c r="FF11" s="552"/>
      <c r="FG11" s="552"/>
      <c r="FH11" s="552"/>
      <c r="FI11" s="552"/>
      <c r="FJ11" s="552"/>
      <c r="FK11" s="552"/>
      <c r="FL11" s="552"/>
      <c r="FM11" s="552"/>
      <c r="FN11" s="552"/>
      <c r="FO11" s="552"/>
      <c r="FP11" s="552"/>
      <c r="FQ11" s="552"/>
      <c r="FR11" s="552"/>
      <c r="FS11" s="552"/>
      <c r="FT11" s="552"/>
      <c r="FU11" s="552"/>
      <c r="FV11" s="552"/>
    </row>
    <row r="12" spans="2:177" s="32" customFormat="1" ht="9.75" customHeight="1" thickTop="1">
      <c r="B12" s="996"/>
      <c r="C12" s="997"/>
      <c r="D12" s="997"/>
      <c r="E12" s="997"/>
      <c r="F12" s="997"/>
      <c r="G12" s="997"/>
      <c r="H12" s="997"/>
      <c r="I12" s="997"/>
      <c r="J12" s="997"/>
      <c r="K12" s="997"/>
      <c r="L12" s="997"/>
      <c r="M12" s="997"/>
      <c r="N12" s="997"/>
      <c r="O12" s="997"/>
      <c r="P12" s="997"/>
      <c r="Q12" s="997"/>
      <c r="R12" s="997"/>
      <c r="S12" s="997"/>
      <c r="T12" s="997"/>
      <c r="U12" s="998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  <c r="BT12" s="552"/>
      <c r="BU12" s="552"/>
      <c r="BV12" s="552"/>
      <c r="BW12" s="552"/>
      <c r="BX12" s="552"/>
      <c r="BY12" s="552"/>
      <c r="BZ12" s="552"/>
      <c r="CA12" s="552"/>
      <c r="CB12" s="552"/>
      <c r="CC12" s="552"/>
      <c r="CD12" s="552"/>
      <c r="CE12" s="552"/>
      <c r="CF12" s="552"/>
      <c r="CG12" s="552"/>
      <c r="CH12" s="552"/>
      <c r="CI12" s="552"/>
      <c r="CJ12" s="552"/>
      <c r="CK12" s="552"/>
      <c r="CL12" s="552"/>
      <c r="CM12" s="552"/>
      <c r="CN12" s="552"/>
      <c r="CO12" s="552"/>
      <c r="CP12" s="552"/>
      <c r="CQ12" s="552"/>
      <c r="CR12" s="552"/>
      <c r="CS12" s="552"/>
      <c r="CT12" s="552"/>
      <c r="CU12" s="552"/>
      <c r="CV12" s="552"/>
      <c r="CW12" s="552"/>
      <c r="CX12" s="552"/>
      <c r="CY12" s="552"/>
      <c r="CZ12" s="552"/>
      <c r="DA12" s="552"/>
      <c r="DB12" s="552"/>
      <c r="DC12" s="552"/>
      <c r="DD12" s="552"/>
      <c r="DE12" s="552"/>
      <c r="DF12" s="552"/>
      <c r="DG12" s="552"/>
      <c r="DH12" s="552"/>
      <c r="DI12" s="552"/>
      <c r="DJ12" s="552"/>
      <c r="DK12" s="552"/>
      <c r="DL12" s="552"/>
      <c r="DM12" s="552"/>
      <c r="DN12" s="552"/>
      <c r="DO12" s="552"/>
      <c r="DP12" s="552"/>
      <c r="DQ12" s="552"/>
      <c r="DR12" s="552"/>
      <c r="DS12" s="552"/>
      <c r="DT12" s="552"/>
      <c r="DU12" s="552"/>
      <c r="DV12" s="552"/>
      <c r="DW12" s="552"/>
      <c r="DX12" s="552"/>
      <c r="DY12" s="552"/>
      <c r="DZ12" s="552"/>
      <c r="EA12" s="552"/>
      <c r="EB12" s="552"/>
      <c r="EC12" s="552"/>
      <c r="ED12" s="552"/>
      <c r="EE12" s="552"/>
      <c r="EF12" s="552"/>
      <c r="EG12" s="552"/>
      <c r="EH12" s="552"/>
      <c r="EI12" s="552"/>
      <c r="EJ12" s="552"/>
      <c r="EK12" s="552"/>
      <c r="EL12" s="552"/>
      <c r="EM12" s="552"/>
      <c r="EN12" s="552"/>
      <c r="EO12" s="552"/>
      <c r="EP12" s="552"/>
      <c r="EQ12" s="552"/>
      <c r="ER12" s="552"/>
      <c r="ES12" s="552"/>
      <c r="ET12" s="552"/>
      <c r="EU12" s="552"/>
      <c r="EV12" s="552"/>
      <c r="EW12" s="552"/>
      <c r="EX12" s="552"/>
      <c r="EY12" s="552"/>
      <c r="EZ12" s="552"/>
      <c r="FA12" s="552"/>
      <c r="FB12" s="552"/>
      <c r="FC12" s="552"/>
      <c r="FD12" s="552"/>
      <c r="FE12" s="552"/>
      <c r="FF12" s="552"/>
      <c r="FG12" s="552"/>
      <c r="FH12" s="552"/>
      <c r="FI12" s="552"/>
      <c r="FJ12" s="552"/>
      <c r="FK12" s="552"/>
      <c r="FL12" s="552"/>
      <c r="FM12" s="552"/>
      <c r="FN12" s="552"/>
      <c r="FO12" s="552"/>
      <c r="FP12" s="552"/>
      <c r="FQ12" s="552"/>
      <c r="FR12" s="552"/>
      <c r="FS12" s="552"/>
      <c r="FT12" s="552"/>
      <c r="FU12" s="552"/>
    </row>
    <row r="13" spans="2:177" s="32" customFormat="1" ht="19.5">
      <c r="B13" s="37" t="s">
        <v>304</v>
      </c>
      <c r="C13" s="999"/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999"/>
      <c r="U13" s="1000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2"/>
      <c r="CL13" s="552"/>
      <c r="CM13" s="552"/>
      <c r="CN13" s="552"/>
      <c r="CO13" s="552"/>
      <c r="CP13" s="552"/>
      <c r="CQ13" s="552"/>
      <c r="CR13" s="552"/>
      <c r="CS13" s="552"/>
      <c r="CT13" s="552"/>
      <c r="CU13" s="552"/>
      <c r="CV13" s="552"/>
      <c r="CW13" s="552"/>
      <c r="CX13" s="552"/>
      <c r="CY13" s="552"/>
      <c r="CZ13" s="552"/>
      <c r="DA13" s="552"/>
      <c r="DB13" s="552"/>
      <c r="DC13" s="552"/>
      <c r="DD13" s="552"/>
      <c r="DE13" s="552"/>
      <c r="DF13" s="552"/>
      <c r="DG13" s="552"/>
      <c r="DH13" s="552"/>
      <c r="DI13" s="552"/>
      <c r="DJ13" s="552"/>
      <c r="DK13" s="552"/>
      <c r="DL13" s="552"/>
      <c r="DM13" s="552"/>
      <c r="DN13" s="552"/>
      <c r="DO13" s="552"/>
      <c r="DP13" s="552"/>
      <c r="DQ13" s="552"/>
      <c r="DR13" s="552"/>
      <c r="DS13" s="552"/>
      <c r="DT13" s="552"/>
      <c r="DU13" s="552"/>
      <c r="DV13" s="552"/>
      <c r="DW13" s="552"/>
      <c r="DX13" s="552"/>
      <c r="DY13" s="552"/>
      <c r="DZ13" s="552"/>
      <c r="EA13" s="552"/>
      <c r="EB13" s="552"/>
      <c r="EC13" s="552"/>
      <c r="ED13" s="552"/>
      <c r="EE13" s="552"/>
      <c r="EF13" s="552"/>
      <c r="EG13" s="552"/>
      <c r="EH13" s="552"/>
      <c r="EI13" s="552"/>
      <c r="EJ13" s="552"/>
      <c r="EK13" s="552"/>
      <c r="EL13" s="552"/>
      <c r="EM13" s="552"/>
      <c r="EN13" s="552"/>
      <c r="EO13" s="552"/>
      <c r="EP13" s="552"/>
      <c r="EQ13" s="552"/>
      <c r="ER13" s="552"/>
      <c r="ES13" s="552"/>
      <c r="ET13" s="552"/>
      <c r="EU13" s="552"/>
      <c r="EV13" s="552"/>
      <c r="EW13" s="552"/>
      <c r="EX13" s="552"/>
      <c r="EY13" s="552"/>
      <c r="EZ13" s="552"/>
      <c r="FA13" s="552"/>
      <c r="FB13" s="552"/>
      <c r="FC13" s="552"/>
      <c r="FD13" s="552"/>
      <c r="FE13" s="552"/>
      <c r="FF13" s="552"/>
      <c r="FG13" s="552"/>
      <c r="FH13" s="552"/>
      <c r="FI13" s="552"/>
      <c r="FJ13" s="552"/>
      <c r="FK13" s="552"/>
      <c r="FL13" s="552"/>
      <c r="FM13" s="552"/>
      <c r="FN13" s="552"/>
      <c r="FO13" s="552"/>
      <c r="FP13" s="552"/>
      <c r="FQ13" s="552"/>
      <c r="FR13" s="552"/>
      <c r="FS13" s="552"/>
      <c r="FT13" s="552"/>
      <c r="FU13" s="552"/>
    </row>
    <row r="14" spans="2:21" s="32" customFormat="1" ht="9.75" customHeight="1" thickBot="1">
      <c r="B14" s="45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85"/>
    </row>
    <row r="15" spans="2:21" s="446" customFormat="1" ht="33.75" customHeight="1" thickBot="1" thickTop="1">
      <c r="B15" s="447"/>
      <c r="C15" s="84"/>
      <c r="D15" s="84" t="s">
        <v>0</v>
      </c>
      <c r="E15" s="130" t="s">
        <v>13</v>
      </c>
      <c r="F15" s="130" t="s">
        <v>14</v>
      </c>
      <c r="G15" s="1001" t="s">
        <v>305</v>
      </c>
      <c r="H15" s="1001">
        <v>39661</v>
      </c>
      <c r="I15" s="1001">
        <v>39692</v>
      </c>
      <c r="J15" s="1001">
        <v>39722</v>
      </c>
      <c r="K15" s="1001">
        <v>39753</v>
      </c>
      <c r="L15" s="1001">
        <v>39783</v>
      </c>
      <c r="M15" s="1001">
        <v>39814</v>
      </c>
      <c r="N15" s="1001">
        <v>39845</v>
      </c>
      <c r="O15" s="1001">
        <v>39873</v>
      </c>
      <c r="P15" s="1001">
        <v>39904</v>
      </c>
      <c r="Q15" s="1001">
        <v>39934</v>
      </c>
      <c r="R15" s="1001">
        <v>39965</v>
      </c>
      <c r="S15" s="1001">
        <v>39995</v>
      </c>
      <c r="T15" s="1001">
        <v>40026</v>
      </c>
      <c r="U15" s="448"/>
    </row>
    <row r="16" spans="2:21" s="1002" customFormat="1" ht="9.75" customHeight="1" thickTop="1">
      <c r="B16" s="1003"/>
      <c r="C16" s="1004"/>
      <c r="D16" s="1005"/>
      <c r="E16" s="1005"/>
      <c r="F16" s="1005"/>
      <c r="G16" s="1005"/>
      <c r="H16" s="1006"/>
      <c r="I16" s="1006"/>
      <c r="J16" s="1006"/>
      <c r="K16" s="1006"/>
      <c r="L16" s="1006"/>
      <c r="M16" s="1006"/>
      <c r="N16" s="1006"/>
      <c r="O16" s="1006"/>
      <c r="P16" s="1006"/>
      <c r="Q16" s="1006"/>
      <c r="R16" s="1006"/>
      <c r="S16" s="1006"/>
      <c r="T16" s="1007"/>
      <c r="U16" s="1008"/>
    </row>
    <row r="17" spans="2:21" s="1002" customFormat="1" ht="19.5" customHeight="1">
      <c r="B17" s="1003"/>
      <c r="C17" s="1009">
        <f>IF('[2]BASE'!C17=0,"",'[2]BASE'!C17)</f>
        <v>1</v>
      </c>
      <c r="D17" s="1009" t="str">
        <f>IF('[2]BASE'!D17=0,"",'[2]BASE'!D17)</f>
        <v>ABASTO - OLAVARRIA 1</v>
      </c>
      <c r="E17" s="1009">
        <f>IF('[2]BASE'!E17=0,"",'[2]BASE'!E17)</f>
        <v>500</v>
      </c>
      <c r="F17" s="1009">
        <f>IF('[2]BASE'!F17=0,"",'[2]BASE'!F17)</f>
        <v>291</v>
      </c>
      <c r="G17" s="1010" t="str">
        <f>IF('[2]BASE'!G17=0,"",'[2]BASE'!G17)</f>
        <v>B</v>
      </c>
      <c r="H17" s="1011">
        <f>IF('[2]BASE'!GB17=0,"",'[2]BASE'!GB17)</f>
      </c>
      <c r="I17" s="1011">
        <f>IF('[2]BASE'!GC17=0,"",'[2]BASE'!GC17)</f>
      </c>
      <c r="J17" s="1011">
        <f>IF('[2]BASE'!GD17=0,"",'[2]BASE'!GD17)</f>
      </c>
      <c r="K17" s="1011">
        <f>IF('[2]BASE'!GE17=0,"",'[2]BASE'!GE17)</f>
      </c>
      <c r="L17" s="1011">
        <f>IF('[2]BASE'!GF17=0,"",'[2]BASE'!GF17)</f>
      </c>
      <c r="M17" s="1011">
        <f>IF('[2]BASE'!GG17=0,"",'[2]BASE'!GG17)</f>
      </c>
      <c r="N17" s="1011">
        <f>IF('[2]BASE'!GH17=0,"",'[2]BASE'!GH17)</f>
      </c>
      <c r="O17" s="1011">
        <f>IF('[2]BASE'!GI17=0,"",'[2]BASE'!GI17)</f>
      </c>
      <c r="P17" s="1011">
        <f>IF('[2]BASE'!GJ17=0,"",'[2]BASE'!GJ17)</f>
      </c>
      <c r="Q17" s="1011">
        <f>IF('[2]BASE'!GK17=0,"",'[2]BASE'!GK17)</f>
      </c>
      <c r="R17" s="1011">
        <f>IF('[2]BASE'!GL17=0,"",'[2]BASE'!GL17)</f>
      </c>
      <c r="S17" s="1011">
        <f>IF('[2]BASE'!GM17=0,"",'[2]BASE'!GM17)</f>
      </c>
      <c r="T17" s="1012"/>
      <c r="U17" s="1008"/>
    </row>
    <row r="18" spans="2:21" s="1002" customFormat="1" ht="19.5" customHeight="1">
      <c r="B18" s="1003"/>
      <c r="C18" s="1013">
        <f>IF('[2]BASE'!C18=0,"",'[2]BASE'!C18)</f>
        <v>2</v>
      </c>
      <c r="D18" s="1013" t="str">
        <f>IF('[2]BASE'!D18=0,"",'[2]BASE'!D18)</f>
        <v>ABASTO - OLAVARRIA 2</v>
      </c>
      <c r="E18" s="1013">
        <f>IF('[2]BASE'!E18=0,"",'[2]BASE'!E18)</f>
        <v>500</v>
      </c>
      <c r="F18" s="1013">
        <f>IF('[2]BASE'!F18=0,"",'[2]BASE'!F18)</f>
        <v>301.9</v>
      </c>
      <c r="G18" s="1014">
        <f>IF('[2]BASE'!G18=0,"",'[2]BASE'!G18)</f>
      </c>
      <c r="H18" s="1011">
        <f>IF('[2]BASE'!GB18=0,"",'[2]BASE'!GB18)</f>
      </c>
      <c r="I18" s="1011">
        <f>IF('[2]BASE'!GC18=0,"",'[2]BASE'!GC18)</f>
      </c>
      <c r="J18" s="1011">
        <f>IF('[2]BASE'!GD18=0,"",'[2]BASE'!GD18)</f>
      </c>
      <c r="K18" s="1011">
        <f>IF('[2]BASE'!GE18=0,"",'[2]BASE'!GE18)</f>
      </c>
      <c r="L18" s="1011">
        <f>IF('[2]BASE'!GF18=0,"",'[2]BASE'!GF18)</f>
      </c>
      <c r="M18" s="1011">
        <f>IF('[2]BASE'!GG18=0,"",'[2]BASE'!GG18)</f>
      </c>
      <c r="N18" s="1011">
        <f>IF('[2]BASE'!GH18=0,"",'[2]BASE'!GH18)</f>
      </c>
      <c r="O18" s="1011">
        <f>IF('[2]BASE'!GI18=0,"",'[2]BASE'!GI18)</f>
      </c>
      <c r="P18" s="1011">
        <f>IF('[2]BASE'!GJ18=0,"",'[2]BASE'!GJ18)</f>
      </c>
      <c r="Q18" s="1011">
        <f>IF('[2]BASE'!GK18=0,"",'[2]BASE'!GK18)</f>
      </c>
      <c r="R18" s="1011">
        <f>IF('[2]BASE'!GL18=0,"",'[2]BASE'!GL18)</f>
      </c>
      <c r="S18" s="1011">
        <f>IF('[2]BASE'!GM18=0,"",'[2]BASE'!GM18)</f>
      </c>
      <c r="T18" s="1012"/>
      <c r="U18" s="1008"/>
    </row>
    <row r="19" spans="2:21" s="1002" customFormat="1" ht="19.5" customHeight="1">
      <c r="B19" s="1003"/>
      <c r="C19" s="1015">
        <f>IF('[2]BASE'!C19=0,"",'[2]BASE'!C19)</f>
        <v>3</v>
      </c>
      <c r="D19" s="1015" t="str">
        <f>IF('[2]BASE'!D19=0,"",'[2]BASE'!D19)</f>
        <v>AGUA DEL CAJON - CHOCON OESTE</v>
      </c>
      <c r="E19" s="1015">
        <f>IF('[2]BASE'!E19=0,"",'[2]BASE'!E19)</f>
        <v>500</v>
      </c>
      <c r="F19" s="1015">
        <f>IF('[2]BASE'!F19=0,"",'[2]BASE'!F19)</f>
        <v>52</v>
      </c>
      <c r="G19" s="1016">
        <f>IF('[2]BASE'!G19=0,"",'[2]BASE'!G19)</f>
      </c>
      <c r="H19" s="1011">
        <f>IF('[2]BASE'!GB19=0,"",'[2]BASE'!GB19)</f>
      </c>
      <c r="I19" s="1011">
        <f>IF('[2]BASE'!GC19=0,"",'[2]BASE'!GC19)</f>
      </c>
      <c r="J19" s="1011">
        <f>IF('[2]BASE'!GD19=0,"",'[2]BASE'!GD19)</f>
      </c>
      <c r="K19" s="1011">
        <f>IF('[2]BASE'!GE19=0,"",'[2]BASE'!GE19)</f>
      </c>
      <c r="L19" s="1011">
        <f>IF('[2]BASE'!GF19=0,"",'[2]BASE'!GF19)</f>
      </c>
      <c r="M19" s="1011">
        <f>IF('[2]BASE'!GG19=0,"",'[2]BASE'!GG19)</f>
      </c>
      <c r="N19" s="1011">
        <f>IF('[2]BASE'!GH19=0,"",'[2]BASE'!GH19)</f>
      </c>
      <c r="O19" s="1011">
        <f>IF('[2]BASE'!GI19=0,"",'[2]BASE'!GI19)</f>
      </c>
      <c r="P19" s="1011">
        <f>IF('[2]BASE'!GJ19=0,"",'[2]BASE'!GJ19)</f>
      </c>
      <c r="Q19" s="1011">
        <f>IF('[2]BASE'!GK19=0,"",'[2]BASE'!GK19)</f>
      </c>
      <c r="R19" s="1011">
        <f>IF('[2]BASE'!GL19=0,"",'[2]BASE'!GL19)</f>
      </c>
      <c r="S19" s="1011">
        <f>IF('[2]BASE'!GM19=0,"",'[2]BASE'!GM19)</f>
      </c>
      <c r="T19" s="1012"/>
      <c r="U19" s="1008"/>
    </row>
    <row r="20" spans="2:21" s="1002" customFormat="1" ht="19.5" customHeight="1">
      <c r="B20" s="1003"/>
      <c r="C20" s="1013">
        <f>IF('[2]BASE'!C20=0,"",'[2]BASE'!C20)</f>
        <v>4</v>
      </c>
      <c r="D20" s="1013" t="str">
        <f>IF('[2]BASE'!D20=0,"",'[2]BASE'!D20)</f>
        <v>ALICURA - E.T. P.del A. 1 (5LG1)</v>
      </c>
      <c r="E20" s="1013">
        <f>IF('[2]BASE'!E20=0,"",'[2]BASE'!E20)</f>
        <v>500</v>
      </c>
      <c r="F20" s="1013">
        <f>IF('[2]BASE'!F20=0,"",'[2]BASE'!F20)</f>
        <v>76</v>
      </c>
      <c r="G20" s="1014" t="str">
        <f>IF('[2]BASE'!G20=0,"",'[2]BASE'!G20)</f>
        <v>C</v>
      </c>
      <c r="H20" s="1011">
        <f>IF('[2]BASE'!GB20=0,"",'[2]BASE'!GB20)</f>
      </c>
      <c r="I20" s="1011">
        <f>IF('[2]BASE'!GC20=0,"",'[2]BASE'!GC20)</f>
      </c>
      <c r="J20" s="1011">
        <f>IF('[2]BASE'!GD20=0,"",'[2]BASE'!GD20)</f>
      </c>
      <c r="K20" s="1011">
        <f>IF('[2]BASE'!GE20=0,"",'[2]BASE'!GE20)</f>
      </c>
      <c r="L20" s="1011">
        <f>IF('[2]BASE'!GF20=0,"",'[2]BASE'!GF20)</f>
      </c>
      <c r="M20" s="1011">
        <f>IF('[2]BASE'!GG20=0,"",'[2]BASE'!GG20)</f>
      </c>
      <c r="N20" s="1011">
        <f>IF('[2]BASE'!GH20=0,"",'[2]BASE'!GH20)</f>
      </c>
      <c r="O20" s="1011">
        <f>IF('[2]BASE'!GI20=0,"",'[2]BASE'!GI20)</f>
      </c>
      <c r="P20" s="1011">
        <f>IF('[2]BASE'!GJ20=0,"",'[2]BASE'!GJ20)</f>
      </c>
      <c r="Q20" s="1011">
        <f>IF('[2]BASE'!GK20=0,"",'[2]BASE'!GK20)</f>
      </c>
      <c r="R20" s="1011">
        <f>IF('[2]BASE'!GL20=0,"",'[2]BASE'!GL20)</f>
      </c>
      <c r="S20" s="1011">
        <f>IF('[2]BASE'!GM20=0,"",'[2]BASE'!GM20)</f>
      </c>
      <c r="T20" s="1012"/>
      <c r="U20" s="1008"/>
    </row>
    <row r="21" spans="2:21" s="1002" customFormat="1" ht="19.5" customHeight="1">
      <c r="B21" s="1003"/>
      <c r="C21" s="1015">
        <f>IF('[2]BASE'!C21=0,"",'[2]BASE'!C21)</f>
        <v>5</v>
      </c>
      <c r="D21" s="1015" t="str">
        <f>IF('[2]BASE'!D21=0,"",'[2]BASE'!D21)</f>
        <v>ALICURA - E.T. P.del A. 2 (5LG2)</v>
      </c>
      <c r="E21" s="1015">
        <f>IF('[2]BASE'!E21=0,"",'[2]BASE'!E21)</f>
        <v>500</v>
      </c>
      <c r="F21" s="1015">
        <f>IF('[2]BASE'!F21=0,"",'[2]BASE'!F21)</f>
        <v>76</v>
      </c>
      <c r="G21" s="1016" t="str">
        <f>IF('[2]BASE'!G21=0,"",'[2]BASE'!G21)</f>
        <v>C</v>
      </c>
      <c r="H21" s="1011">
        <f>IF('[2]BASE'!GB21=0,"",'[2]BASE'!GB21)</f>
      </c>
      <c r="I21" s="1011">
        <f>IF('[2]BASE'!GC21=0,"",'[2]BASE'!GC21)</f>
      </c>
      <c r="J21" s="1011">
        <f>IF('[2]BASE'!GD21=0,"",'[2]BASE'!GD21)</f>
      </c>
      <c r="K21" s="1011">
        <f>IF('[2]BASE'!GE21=0,"",'[2]BASE'!GE21)</f>
      </c>
      <c r="L21" s="1011">
        <f>IF('[2]BASE'!GF21=0,"",'[2]BASE'!GF21)</f>
        <v>1</v>
      </c>
      <c r="M21" s="1011">
        <f>IF('[2]BASE'!GG21=0,"",'[2]BASE'!GG21)</f>
      </c>
      <c r="N21" s="1011">
        <f>IF('[2]BASE'!GH21=0,"",'[2]BASE'!GH21)</f>
      </c>
      <c r="O21" s="1011">
        <f>IF('[2]BASE'!GI21=0,"",'[2]BASE'!GI21)</f>
      </c>
      <c r="P21" s="1011">
        <f>IF('[2]BASE'!GJ21=0,"",'[2]BASE'!GJ21)</f>
      </c>
      <c r="Q21" s="1011">
        <f>IF('[2]BASE'!GK21=0,"",'[2]BASE'!GK21)</f>
      </c>
      <c r="R21" s="1011">
        <f>IF('[2]BASE'!GL21=0,"",'[2]BASE'!GL21)</f>
      </c>
      <c r="S21" s="1011">
        <f>IF('[2]BASE'!GM21=0,"",'[2]BASE'!GM21)</f>
      </c>
      <c r="T21" s="1012"/>
      <c r="U21" s="1008"/>
    </row>
    <row r="22" spans="2:21" s="1002" customFormat="1" ht="19.5" customHeight="1">
      <c r="B22" s="1003"/>
      <c r="C22" s="1013">
        <f>IF('[2]BASE'!C22=0,"",'[2]BASE'!C22)</f>
        <v>6</v>
      </c>
      <c r="D22" s="1013" t="str">
        <f>IF('[2]BASE'!D22=0,"",'[2]BASE'!D22)</f>
        <v>ALMAFUERTE - EMBALSE </v>
      </c>
      <c r="E22" s="1013">
        <f>IF('[2]BASE'!E22=0,"",'[2]BASE'!E22)</f>
        <v>500</v>
      </c>
      <c r="F22" s="1013">
        <f>IF('[2]BASE'!F22=0,"",'[2]BASE'!F22)</f>
        <v>12</v>
      </c>
      <c r="G22" s="1014" t="str">
        <f>IF('[2]BASE'!G22=0,"",'[2]BASE'!G22)</f>
        <v>A</v>
      </c>
      <c r="H22" s="1011">
        <f>IF('[2]BASE'!GB22=0,"",'[2]BASE'!GB22)</f>
      </c>
      <c r="I22" s="1011">
        <f>IF('[2]BASE'!GC22=0,"",'[2]BASE'!GC22)</f>
      </c>
      <c r="J22" s="1011">
        <f>IF('[2]BASE'!GD22=0,"",'[2]BASE'!GD22)</f>
      </c>
      <c r="K22" s="1011">
        <f>IF('[2]BASE'!GE22=0,"",'[2]BASE'!GE22)</f>
      </c>
      <c r="L22" s="1011">
        <f>IF('[2]BASE'!GF22=0,"",'[2]BASE'!GF22)</f>
      </c>
      <c r="M22" s="1011">
        <f>IF('[2]BASE'!GG22=0,"",'[2]BASE'!GG22)</f>
      </c>
      <c r="N22" s="1011">
        <f>IF('[2]BASE'!GH22=0,"",'[2]BASE'!GH22)</f>
      </c>
      <c r="O22" s="1011">
        <f>IF('[2]BASE'!GI22=0,"",'[2]BASE'!GI22)</f>
      </c>
      <c r="P22" s="1011">
        <f>IF('[2]BASE'!GJ22=0,"",'[2]BASE'!GJ22)</f>
      </c>
      <c r="Q22" s="1011">
        <f>IF('[2]BASE'!GK22=0,"",'[2]BASE'!GK22)</f>
      </c>
      <c r="R22" s="1011">
        <f>IF('[2]BASE'!GL22=0,"",'[2]BASE'!GL22)</f>
      </c>
      <c r="S22" s="1011">
        <f>IF('[2]BASE'!GM22=0,"",'[2]BASE'!GM22)</f>
      </c>
      <c r="T22" s="1012"/>
      <c r="U22" s="1008"/>
    </row>
    <row r="23" spans="2:21" s="1002" customFormat="1" ht="19.5" customHeight="1">
      <c r="B23" s="1003"/>
      <c r="C23" s="1015">
        <f>IF('[2]BASE'!C23=0,"",'[2]BASE'!C23)</f>
        <v>7</v>
      </c>
      <c r="D23" s="1015" t="str">
        <f>IF('[2]BASE'!D23=0,"",'[2]BASE'!D23)</f>
        <v> ALMAFUERTE - ROSARIO OESTE</v>
      </c>
      <c r="E23" s="1015">
        <f>IF('[2]BASE'!E23=0,"",'[2]BASE'!E23)</f>
        <v>500</v>
      </c>
      <c r="F23" s="1015">
        <f>IF('[2]BASE'!F23=0,"",'[2]BASE'!F23)</f>
        <v>345</v>
      </c>
      <c r="G23" s="1016" t="str">
        <f>IF('[2]BASE'!G23=0,"",'[2]BASE'!G23)</f>
        <v>B</v>
      </c>
      <c r="H23" s="1011">
        <f>IF('[2]BASE'!GB23=0,"",'[2]BASE'!GB23)</f>
      </c>
      <c r="I23" s="1011">
        <f>IF('[2]BASE'!GC23=0,"",'[2]BASE'!GC23)</f>
      </c>
      <c r="J23" s="1011">
        <f>IF('[2]BASE'!GD23=0,"",'[2]BASE'!GD23)</f>
      </c>
      <c r="K23" s="1011">
        <f>IF('[2]BASE'!GE23=0,"",'[2]BASE'!GE23)</f>
      </c>
      <c r="L23" s="1011">
        <f>IF('[2]BASE'!GF23=0,"",'[2]BASE'!GF23)</f>
      </c>
      <c r="M23" s="1011">
        <f>IF('[2]BASE'!GG23=0,"",'[2]BASE'!GG23)</f>
      </c>
      <c r="N23" s="1011">
        <f>IF('[2]BASE'!GH23=0,"",'[2]BASE'!GH23)</f>
      </c>
      <c r="O23" s="1011">
        <f>IF('[2]BASE'!GI23=0,"",'[2]BASE'!GI23)</f>
      </c>
      <c r="P23" s="1011">
        <f>IF('[2]BASE'!GJ23=0,"",'[2]BASE'!GJ23)</f>
      </c>
      <c r="Q23" s="1011">
        <f>IF('[2]BASE'!GK23=0,"",'[2]BASE'!GK23)</f>
      </c>
      <c r="R23" s="1011">
        <f>IF('[2]BASE'!GL23=0,"",'[2]BASE'!GL23)</f>
      </c>
      <c r="S23" s="1011">
        <f>IF('[2]BASE'!GM23=0,"",'[2]BASE'!GM23)</f>
      </c>
      <c r="T23" s="1012"/>
      <c r="U23" s="1008"/>
    </row>
    <row r="24" spans="2:21" s="1002" customFormat="1" ht="19.5" customHeight="1">
      <c r="B24" s="1003"/>
      <c r="C24" s="1013">
        <f>IF('[2]BASE'!C24=0,"",'[2]BASE'!C24)</f>
        <v>8</v>
      </c>
      <c r="D24" s="1013" t="str">
        <f>IF('[2]BASE'!D24=0,"",'[2]BASE'!D24)</f>
        <v>BAHIA BLANCA - CHOELE CHOEL 1</v>
      </c>
      <c r="E24" s="1013">
        <f>IF('[2]BASE'!E24=0,"",'[2]BASE'!E24)</f>
        <v>500</v>
      </c>
      <c r="F24" s="1013">
        <f>IF('[2]BASE'!F24=0,"",'[2]BASE'!F24)</f>
        <v>346</v>
      </c>
      <c r="G24" s="1014" t="str">
        <f>IF('[2]BASE'!G24=0,"",'[2]BASE'!G24)</f>
        <v>B</v>
      </c>
      <c r="H24" s="1011">
        <f>IF('[2]BASE'!GB24=0,"",'[2]BASE'!GB24)</f>
      </c>
      <c r="I24" s="1011">
        <f>IF('[2]BASE'!GC24=0,"",'[2]BASE'!GC24)</f>
        <v>1</v>
      </c>
      <c r="J24" s="1011">
        <f>IF('[2]BASE'!GD24=0,"",'[2]BASE'!GD24)</f>
      </c>
      <c r="K24" s="1011">
        <f>IF('[2]BASE'!GE24=0,"",'[2]BASE'!GE24)</f>
      </c>
      <c r="L24" s="1011">
        <f>IF('[2]BASE'!GF24=0,"",'[2]BASE'!GF24)</f>
      </c>
      <c r="M24" s="1011">
        <f>IF('[2]BASE'!GG24=0,"",'[2]BASE'!GG24)</f>
      </c>
      <c r="N24" s="1011">
        <f>IF('[2]BASE'!GH24=0,"",'[2]BASE'!GH24)</f>
      </c>
      <c r="O24" s="1011">
        <f>IF('[2]BASE'!GI24=0,"",'[2]BASE'!GI24)</f>
      </c>
      <c r="P24" s="1011">
        <f>IF('[2]BASE'!GJ24=0,"",'[2]BASE'!GJ24)</f>
      </c>
      <c r="Q24" s="1011">
        <f>IF('[2]BASE'!GK24=0,"",'[2]BASE'!GK24)</f>
      </c>
      <c r="R24" s="1011">
        <f>IF('[2]BASE'!GL24=0,"",'[2]BASE'!GL24)</f>
      </c>
      <c r="S24" s="1011">
        <f>IF('[2]BASE'!GM24=0,"",'[2]BASE'!GM24)</f>
      </c>
      <c r="T24" s="1012"/>
      <c r="U24" s="1008"/>
    </row>
    <row r="25" spans="2:21" s="1002" customFormat="1" ht="19.5" customHeight="1">
      <c r="B25" s="1003"/>
      <c r="C25" s="1015">
        <f>IF('[2]BASE'!C25=0,"",'[2]BASE'!C25)</f>
        <v>9</v>
      </c>
      <c r="D25" s="1015" t="str">
        <f>IF('[2]BASE'!D25=0,"",'[2]BASE'!D25)</f>
        <v>BAHIA BLANCA - CHOELE CHOEL 2</v>
      </c>
      <c r="E25" s="1015">
        <f>IF('[2]BASE'!E25=0,"",'[2]BASE'!E25)</f>
        <v>500</v>
      </c>
      <c r="F25" s="1015">
        <f>IF('[2]BASE'!F25=0,"",'[2]BASE'!F25)</f>
        <v>348.4</v>
      </c>
      <c r="G25" s="1016">
        <f>IF('[2]BASE'!G25=0,"",'[2]BASE'!G25)</f>
      </c>
      <c r="H25" s="1011">
        <f>IF('[2]BASE'!GB25=0,"",'[2]BASE'!GB25)</f>
      </c>
      <c r="I25" s="1011">
        <f>IF('[2]BASE'!GC25=0,"",'[2]BASE'!GC25)</f>
      </c>
      <c r="J25" s="1011">
        <f>IF('[2]BASE'!GD25=0,"",'[2]BASE'!GD25)</f>
      </c>
      <c r="K25" s="1011">
        <f>IF('[2]BASE'!GE25=0,"",'[2]BASE'!GE25)</f>
      </c>
      <c r="L25" s="1011">
        <f>IF('[2]BASE'!GF25=0,"",'[2]BASE'!GF25)</f>
      </c>
      <c r="M25" s="1011">
        <f>IF('[2]BASE'!GG25=0,"",'[2]BASE'!GG25)</f>
      </c>
      <c r="N25" s="1011">
        <f>IF('[2]BASE'!GH25=0,"",'[2]BASE'!GH25)</f>
      </c>
      <c r="O25" s="1011">
        <f>IF('[2]BASE'!GI25=0,"",'[2]BASE'!GI25)</f>
      </c>
      <c r="P25" s="1011">
        <f>IF('[2]BASE'!GJ25=0,"",'[2]BASE'!GJ25)</f>
      </c>
      <c r="Q25" s="1011">
        <f>IF('[2]BASE'!GK25=0,"",'[2]BASE'!GK25)</f>
      </c>
      <c r="R25" s="1011">
        <f>IF('[2]BASE'!GL25=0,"",'[2]BASE'!GL25)</f>
      </c>
      <c r="S25" s="1011">
        <f>IF('[2]BASE'!GM25=0,"",'[2]BASE'!GM25)</f>
      </c>
      <c r="T25" s="1012"/>
      <c r="U25" s="1008"/>
    </row>
    <row r="26" spans="2:21" s="1002" customFormat="1" ht="19.5" customHeight="1">
      <c r="B26" s="1003"/>
      <c r="C26" s="1013">
        <f>IF('[2]BASE'!C26=0,"",'[2]BASE'!C26)</f>
        <v>10</v>
      </c>
      <c r="D26" s="1013" t="str">
        <f>IF('[2]BASE'!D26=0,"",'[2]BASE'!D26)</f>
        <v>CERR. de la CTA - P.BAND. (A3)</v>
      </c>
      <c r="E26" s="1013">
        <f>IF('[2]BASE'!E26=0,"",'[2]BASE'!E26)</f>
        <v>500</v>
      </c>
      <c r="F26" s="1013">
        <f>IF('[2]BASE'!F26=0,"",'[2]BASE'!F26)</f>
        <v>27</v>
      </c>
      <c r="G26" s="1014" t="str">
        <f>IF('[2]BASE'!G26=0,"",'[2]BASE'!G26)</f>
        <v>C</v>
      </c>
      <c r="H26" s="1011">
        <f>IF('[2]BASE'!GB26=0,"",'[2]BASE'!GB26)</f>
      </c>
      <c r="I26" s="1011">
        <f>IF('[2]BASE'!GC26=0,"",'[2]BASE'!GC26)</f>
      </c>
      <c r="J26" s="1011">
        <f>IF('[2]BASE'!GD26=0,"",'[2]BASE'!GD26)</f>
      </c>
      <c r="K26" s="1011">
        <f>IF('[2]BASE'!GE26=0,"",'[2]BASE'!GE26)</f>
      </c>
      <c r="L26" s="1011">
        <f>IF('[2]BASE'!GF26=0,"",'[2]BASE'!GF26)</f>
      </c>
      <c r="M26" s="1011">
        <f>IF('[2]BASE'!GG26=0,"",'[2]BASE'!GG26)</f>
      </c>
      <c r="N26" s="1011">
        <f>IF('[2]BASE'!GH26=0,"",'[2]BASE'!GH26)</f>
      </c>
      <c r="O26" s="1011">
        <f>IF('[2]BASE'!GI26=0,"",'[2]BASE'!GI26)</f>
        <v>1</v>
      </c>
      <c r="P26" s="1011">
        <f>IF('[2]BASE'!GJ26=0,"",'[2]BASE'!GJ26)</f>
      </c>
      <c r="Q26" s="1011">
        <f>IF('[2]BASE'!GK26=0,"",'[2]BASE'!GK26)</f>
      </c>
      <c r="R26" s="1011">
        <f>IF('[2]BASE'!GL26=0,"",'[2]BASE'!GL26)</f>
      </c>
      <c r="S26" s="1011">
        <f>IF('[2]BASE'!GM26=0,"",'[2]BASE'!GM26)</f>
      </c>
      <c r="T26" s="1012"/>
      <c r="U26" s="1008"/>
    </row>
    <row r="27" spans="2:21" s="1002" customFormat="1" ht="19.5" customHeight="1">
      <c r="B27" s="1003"/>
      <c r="C27" s="1015">
        <f>IF('[2]BASE'!C27=0,"",'[2]BASE'!C27)</f>
        <v>11</v>
      </c>
      <c r="D27" s="1015" t="str">
        <f>IF('[2]BASE'!D27=0,"",'[2]BASE'!D27)</f>
        <v>COLONIA ELIA - CAMPANA</v>
      </c>
      <c r="E27" s="1015">
        <f>IF('[2]BASE'!E27=0,"",'[2]BASE'!E27)</f>
        <v>500</v>
      </c>
      <c r="F27" s="1015">
        <f>IF('[2]BASE'!F27=0,"",'[2]BASE'!F27)</f>
        <v>194</v>
      </c>
      <c r="G27" s="1016" t="str">
        <f>IF('[2]BASE'!G27=0,"",'[2]BASE'!G27)</f>
        <v>C</v>
      </c>
      <c r="H27" s="1011">
        <f>IF('[2]BASE'!GB27=0,"",'[2]BASE'!GB27)</f>
      </c>
      <c r="I27" s="1011">
        <f>IF('[2]BASE'!GC27=0,"",'[2]BASE'!GC27)</f>
      </c>
      <c r="J27" s="1011">
        <f>IF('[2]BASE'!GD27=0,"",'[2]BASE'!GD27)</f>
      </c>
      <c r="K27" s="1011">
        <f>IF('[2]BASE'!GE27=0,"",'[2]BASE'!GE27)</f>
        <v>1</v>
      </c>
      <c r="L27" s="1011">
        <f>IF('[2]BASE'!GF27=0,"",'[2]BASE'!GF27)</f>
      </c>
      <c r="M27" s="1011">
        <f>IF('[2]BASE'!GG27=0,"",'[2]BASE'!GG27)</f>
      </c>
      <c r="N27" s="1011">
        <f>IF('[2]BASE'!GH27=0,"",'[2]BASE'!GH27)</f>
      </c>
      <c r="O27" s="1011">
        <f>IF('[2]BASE'!GI27=0,"",'[2]BASE'!GI27)</f>
      </c>
      <c r="P27" s="1011">
        <f>IF('[2]BASE'!GJ27=0,"",'[2]BASE'!GJ27)</f>
      </c>
      <c r="Q27" s="1011">
        <f>IF('[2]BASE'!GK27=0,"",'[2]BASE'!GK27)</f>
      </c>
      <c r="R27" s="1011">
        <f>IF('[2]BASE'!GL27=0,"",'[2]BASE'!GL27)</f>
      </c>
      <c r="S27" s="1011">
        <f>IF('[2]BASE'!GM27=0,"",'[2]BASE'!GM27)</f>
      </c>
      <c r="T27" s="1012"/>
      <c r="U27" s="1008"/>
    </row>
    <row r="28" spans="2:21" s="1002" customFormat="1" ht="19.5" customHeight="1">
      <c r="B28" s="1003"/>
      <c r="C28" s="1013">
        <f>IF('[2]BASE'!C28=0,"",'[2]BASE'!C28)</f>
        <v>12</v>
      </c>
      <c r="D28" s="1013" t="str">
        <f>IF('[2]BASE'!D28=0,"",'[2]BASE'!D28)</f>
        <v>CHO. W. - CHOELE CHOEL (5WH1)</v>
      </c>
      <c r="E28" s="1013">
        <f>IF('[2]BASE'!E28=0,"",'[2]BASE'!E28)</f>
        <v>500</v>
      </c>
      <c r="F28" s="1013">
        <f>IF('[2]BASE'!F28=0,"",'[2]BASE'!F28)</f>
        <v>269</v>
      </c>
      <c r="G28" s="1014" t="str">
        <f>IF('[2]BASE'!G28=0,"",'[2]BASE'!G28)</f>
        <v>B</v>
      </c>
      <c r="H28" s="1011">
        <f>IF('[2]BASE'!GB28=0,"",'[2]BASE'!GB28)</f>
      </c>
      <c r="I28" s="1011">
        <f>IF('[2]BASE'!GC28=0,"",'[2]BASE'!GC28)</f>
      </c>
      <c r="J28" s="1011">
        <f>IF('[2]BASE'!GD28=0,"",'[2]BASE'!GD28)</f>
      </c>
      <c r="K28" s="1011">
        <f>IF('[2]BASE'!GE28=0,"",'[2]BASE'!GE28)</f>
      </c>
      <c r="L28" s="1011">
        <f>IF('[2]BASE'!GF28=0,"",'[2]BASE'!GF28)</f>
      </c>
      <c r="M28" s="1011">
        <f>IF('[2]BASE'!GG28=0,"",'[2]BASE'!GG28)</f>
      </c>
      <c r="N28" s="1011">
        <f>IF('[2]BASE'!GH28=0,"",'[2]BASE'!GH28)</f>
      </c>
      <c r="O28" s="1011">
        <f>IF('[2]BASE'!GI28=0,"",'[2]BASE'!GI28)</f>
      </c>
      <c r="P28" s="1011">
        <f>IF('[2]BASE'!GJ28=0,"",'[2]BASE'!GJ28)</f>
      </c>
      <c r="Q28" s="1011">
        <f>IF('[2]BASE'!GK28=0,"",'[2]BASE'!GK28)</f>
      </c>
      <c r="R28" s="1011">
        <f>IF('[2]BASE'!GL28=0,"",'[2]BASE'!GL28)</f>
      </c>
      <c r="S28" s="1011">
        <f>IF('[2]BASE'!GM28=0,"",'[2]BASE'!GM28)</f>
      </c>
      <c r="T28" s="1012"/>
      <c r="U28" s="1008"/>
    </row>
    <row r="29" spans="2:21" s="1002" customFormat="1" ht="19.5" customHeight="1">
      <c r="B29" s="1003"/>
      <c r="C29" s="1015">
        <f>IF('[2]BASE'!C29=0,"",'[2]BASE'!C29)</f>
        <v>13</v>
      </c>
      <c r="D29" s="1015" t="str">
        <f>IF('[2]BASE'!D29=0,"",'[2]BASE'!D29)</f>
        <v>CHO.W. - CHO. 1 (5WC1)</v>
      </c>
      <c r="E29" s="1015">
        <f>IF('[2]BASE'!E29=0,"",'[2]BASE'!E29)</f>
        <v>500</v>
      </c>
      <c r="F29" s="1015">
        <f>IF('[2]BASE'!F29=0,"",'[2]BASE'!F29)</f>
        <v>4.5</v>
      </c>
      <c r="G29" s="1016" t="str">
        <f>IF('[2]BASE'!G29=0,"",'[2]BASE'!G29)</f>
        <v>C</v>
      </c>
      <c r="H29" s="1011">
        <f>IF('[2]BASE'!GB29=0,"",'[2]BASE'!GB29)</f>
      </c>
      <c r="I29" s="1011">
        <f>IF('[2]BASE'!GC29=0,"",'[2]BASE'!GC29)</f>
      </c>
      <c r="J29" s="1011">
        <f>IF('[2]BASE'!GD29=0,"",'[2]BASE'!GD29)</f>
      </c>
      <c r="K29" s="1011">
        <f>IF('[2]BASE'!GE29=0,"",'[2]BASE'!GE29)</f>
      </c>
      <c r="L29" s="1011">
        <f>IF('[2]BASE'!GF29=0,"",'[2]BASE'!GF29)</f>
      </c>
      <c r="M29" s="1011">
        <f>IF('[2]BASE'!GG29=0,"",'[2]BASE'!GG29)</f>
      </c>
      <c r="N29" s="1011">
        <f>IF('[2]BASE'!GH29=0,"",'[2]BASE'!GH29)</f>
      </c>
      <c r="O29" s="1011">
        <f>IF('[2]BASE'!GI29=0,"",'[2]BASE'!GI29)</f>
      </c>
      <c r="P29" s="1011">
        <f>IF('[2]BASE'!GJ29=0,"",'[2]BASE'!GJ29)</f>
      </c>
      <c r="Q29" s="1011">
        <f>IF('[2]BASE'!GK29=0,"",'[2]BASE'!GK29)</f>
      </c>
      <c r="R29" s="1011">
        <f>IF('[2]BASE'!GL29=0,"",'[2]BASE'!GL29)</f>
      </c>
      <c r="S29" s="1011">
        <f>IF('[2]BASE'!GM29=0,"",'[2]BASE'!GM29)</f>
      </c>
      <c r="T29" s="1012"/>
      <c r="U29" s="1008"/>
    </row>
    <row r="30" spans="2:21" s="1002" customFormat="1" ht="19.5" customHeight="1">
      <c r="B30" s="1003"/>
      <c r="C30" s="1013">
        <f>IF('[2]BASE'!C30=0,"",'[2]BASE'!C30)</f>
        <v>14</v>
      </c>
      <c r="D30" s="1013" t="str">
        <f>IF('[2]BASE'!D30=0,"",'[2]BASE'!D30)</f>
        <v>CHO.W. - CHO. 2 (5WC2)</v>
      </c>
      <c r="E30" s="1013">
        <f>IF('[2]BASE'!E30=0,"",'[2]BASE'!E30)</f>
        <v>500</v>
      </c>
      <c r="F30" s="1013">
        <f>IF('[2]BASE'!F30=0,"",'[2]BASE'!F30)</f>
        <v>4.5</v>
      </c>
      <c r="G30" s="1014" t="str">
        <f>IF('[2]BASE'!G30=0,"",'[2]BASE'!G30)</f>
        <v>C</v>
      </c>
      <c r="H30" s="1011">
        <f>IF('[2]BASE'!GB30=0,"",'[2]BASE'!GB30)</f>
      </c>
      <c r="I30" s="1011">
        <f>IF('[2]BASE'!GC30=0,"",'[2]BASE'!GC30)</f>
      </c>
      <c r="J30" s="1011">
        <f>IF('[2]BASE'!GD30=0,"",'[2]BASE'!GD30)</f>
      </c>
      <c r="K30" s="1011">
        <f>IF('[2]BASE'!GE30=0,"",'[2]BASE'!GE30)</f>
      </c>
      <c r="L30" s="1011">
        <f>IF('[2]BASE'!GF30=0,"",'[2]BASE'!GF30)</f>
      </c>
      <c r="M30" s="1011">
        <f>IF('[2]BASE'!GG30=0,"",'[2]BASE'!GG30)</f>
      </c>
      <c r="N30" s="1011">
        <f>IF('[2]BASE'!GH30=0,"",'[2]BASE'!GH30)</f>
      </c>
      <c r="O30" s="1011">
        <f>IF('[2]BASE'!GI30=0,"",'[2]BASE'!GI30)</f>
      </c>
      <c r="P30" s="1011">
        <f>IF('[2]BASE'!GJ30=0,"",'[2]BASE'!GJ30)</f>
      </c>
      <c r="Q30" s="1011">
        <f>IF('[2]BASE'!GK30=0,"",'[2]BASE'!GK30)</f>
      </c>
      <c r="R30" s="1011">
        <f>IF('[2]BASE'!GL30=0,"",'[2]BASE'!GL30)</f>
        <v>1</v>
      </c>
      <c r="S30" s="1011">
        <f>IF('[2]BASE'!GM30=0,"",'[2]BASE'!GM30)</f>
      </c>
      <c r="T30" s="1012"/>
      <c r="U30" s="1008"/>
    </row>
    <row r="31" spans="2:21" s="1002" customFormat="1" ht="19.5" customHeight="1">
      <c r="B31" s="1003"/>
      <c r="C31" s="1015">
        <f>IF('[2]BASE'!C31=0,"",'[2]BASE'!C31)</f>
        <v>15</v>
      </c>
      <c r="D31" s="1015" t="str">
        <f>IF('[2]BASE'!D31=0,"",'[2]BASE'!D31)</f>
        <v>CHOCON - C.H. CHOCON 1</v>
      </c>
      <c r="E31" s="1015">
        <f>IF('[2]BASE'!E31=0,"",'[2]BASE'!E31)</f>
        <v>500</v>
      </c>
      <c r="F31" s="1015">
        <f>IF('[2]BASE'!F31=0,"",'[2]BASE'!F31)</f>
        <v>3</v>
      </c>
      <c r="G31" s="1016" t="str">
        <f>IF('[2]BASE'!G31=0,"",'[2]BASE'!G31)</f>
        <v>C</v>
      </c>
      <c r="H31" s="1011">
        <f>IF('[2]BASE'!GB31=0,"",'[2]BASE'!GB31)</f>
      </c>
      <c r="I31" s="1011">
        <f>IF('[2]BASE'!GC31=0,"",'[2]BASE'!GC31)</f>
      </c>
      <c r="J31" s="1011">
        <f>IF('[2]BASE'!GD31=0,"",'[2]BASE'!GD31)</f>
      </c>
      <c r="K31" s="1011">
        <f>IF('[2]BASE'!GE31=0,"",'[2]BASE'!GE31)</f>
      </c>
      <c r="L31" s="1011">
        <f>IF('[2]BASE'!GF31=0,"",'[2]BASE'!GF31)</f>
      </c>
      <c r="M31" s="1011">
        <f>IF('[2]BASE'!GG31=0,"",'[2]BASE'!GG31)</f>
      </c>
      <c r="N31" s="1011">
        <f>IF('[2]BASE'!GH31=0,"",'[2]BASE'!GH31)</f>
      </c>
      <c r="O31" s="1011">
        <f>IF('[2]BASE'!GI31=0,"",'[2]BASE'!GI31)</f>
      </c>
      <c r="P31" s="1011">
        <f>IF('[2]BASE'!GJ31=0,"",'[2]BASE'!GJ31)</f>
      </c>
      <c r="Q31" s="1011">
        <f>IF('[2]BASE'!GK31=0,"",'[2]BASE'!GK31)</f>
      </c>
      <c r="R31" s="1011">
        <f>IF('[2]BASE'!GL31=0,"",'[2]BASE'!GL31)</f>
      </c>
      <c r="S31" s="1011">
        <f>IF('[2]BASE'!GM31=0,"",'[2]BASE'!GM31)</f>
      </c>
      <c r="T31" s="1012"/>
      <c r="U31" s="1008"/>
    </row>
    <row r="32" spans="2:21" s="1002" customFormat="1" ht="19.5" customHeight="1">
      <c r="B32" s="1003"/>
      <c r="C32" s="1013">
        <f>IF('[2]BASE'!C32=0,"",'[2]BASE'!C32)</f>
        <v>16</v>
      </c>
      <c r="D32" s="1013" t="str">
        <f>IF('[2]BASE'!D32=0,"",'[2]BASE'!D32)</f>
        <v>CHOCON - C.H. CHOCON 2</v>
      </c>
      <c r="E32" s="1013">
        <f>IF('[2]BASE'!E32=0,"",'[2]BASE'!E32)</f>
        <v>500</v>
      </c>
      <c r="F32" s="1013">
        <f>IF('[2]BASE'!F32=0,"",'[2]BASE'!F32)</f>
        <v>3</v>
      </c>
      <c r="G32" s="1014" t="str">
        <f>IF('[2]BASE'!G32=0,"",'[2]BASE'!G32)</f>
        <v>C</v>
      </c>
      <c r="H32" s="1011">
        <f>IF('[2]BASE'!GB32=0,"",'[2]BASE'!GB32)</f>
      </c>
      <c r="I32" s="1011">
        <f>IF('[2]BASE'!GC32=0,"",'[2]BASE'!GC32)</f>
      </c>
      <c r="J32" s="1011">
        <f>IF('[2]BASE'!GD32=0,"",'[2]BASE'!GD32)</f>
      </c>
      <c r="K32" s="1011">
        <f>IF('[2]BASE'!GE32=0,"",'[2]BASE'!GE32)</f>
      </c>
      <c r="L32" s="1011">
        <f>IF('[2]BASE'!GF32=0,"",'[2]BASE'!GF32)</f>
      </c>
      <c r="M32" s="1011">
        <f>IF('[2]BASE'!GG32=0,"",'[2]BASE'!GG32)</f>
      </c>
      <c r="N32" s="1011">
        <f>IF('[2]BASE'!GH32=0,"",'[2]BASE'!GH32)</f>
      </c>
      <c r="O32" s="1011">
        <f>IF('[2]BASE'!GI32=0,"",'[2]BASE'!GI32)</f>
      </c>
      <c r="P32" s="1011">
        <f>IF('[2]BASE'!GJ32=0,"",'[2]BASE'!GJ32)</f>
      </c>
      <c r="Q32" s="1011">
        <f>IF('[2]BASE'!GK32=0,"",'[2]BASE'!GK32)</f>
      </c>
      <c r="R32" s="1011">
        <f>IF('[2]BASE'!GL32=0,"",'[2]BASE'!GL32)</f>
      </c>
      <c r="S32" s="1011">
        <f>IF('[2]BASE'!GM32=0,"",'[2]BASE'!GM32)</f>
      </c>
      <c r="T32" s="1012"/>
      <c r="U32" s="1008"/>
    </row>
    <row r="33" spans="2:21" s="1002" customFormat="1" ht="19.5" customHeight="1">
      <c r="B33" s="1003"/>
      <c r="C33" s="1015">
        <f>IF('[2]BASE'!C33=0,"",'[2]BASE'!C33)</f>
        <v>17</v>
      </c>
      <c r="D33" s="1015" t="str">
        <f>IF('[2]BASE'!D33=0,"",'[2]BASE'!D33)</f>
        <v>CHOCON - C.H. CHOCON 3</v>
      </c>
      <c r="E33" s="1015">
        <f>IF('[2]BASE'!E33=0,"",'[2]BASE'!E33)</f>
        <v>500</v>
      </c>
      <c r="F33" s="1015">
        <f>IF('[2]BASE'!F33=0,"",'[2]BASE'!F33)</f>
        <v>3</v>
      </c>
      <c r="G33" s="1016" t="str">
        <f>IF('[2]BASE'!G33=0,"",'[2]BASE'!G33)</f>
        <v>C</v>
      </c>
      <c r="H33" s="1011">
        <f>IF('[2]BASE'!GB33=0,"",'[2]BASE'!GB33)</f>
      </c>
      <c r="I33" s="1011">
        <f>IF('[2]BASE'!GC33=0,"",'[2]BASE'!GC33)</f>
      </c>
      <c r="J33" s="1011">
        <f>IF('[2]BASE'!GD33=0,"",'[2]BASE'!GD33)</f>
      </c>
      <c r="K33" s="1011">
        <f>IF('[2]BASE'!GE33=0,"",'[2]BASE'!GE33)</f>
      </c>
      <c r="L33" s="1011">
        <f>IF('[2]BASE'!GF33=0,"",'[2]BASE'!GF33)</f>
      </c>
      <c r="M33" s="1011">
        <f>IF('[2]BASE'!GG33=0,"",'[2]BASE'!GG33)</f>
      </c>
      <c r="N33" s="1011">
        <f>IF('[2]BASE'!GH33=0,"",'[2]BASE'!GH33)</f>
      </c>
      <c r="O33" s="1011">
        <f>IF('[2]BASE'!GI33=0,"",'[2]BASE'!GI33)</f>
      </c>
      <c r="P33" s="1011">
        <f>IF('[2]BASE'!GJ33=0,"",'[2]BASE'!GJ33)</f>
      </c>
      <c r="Q33" s="1011">
        <f>IF('[2]BASE'!GK33=0,"",'[2]BASE'!GK33)</f>
      </c>
      <c r="R33" s="1011">
        <f>IF('[2]BASE'!GL33=0,"",'[2]BASE'!GL33)</f>
      </c>
      <c r="S33" s="1011">
        <f>IF('[2]BASE'!GM33=0,"",'[2]BASE'!GM33)</f>
      </c>
      <c r="T33" s="1012"/>
      <c r="U33" s="1008"/>
    </row>
    <row r="34" spans="2:21" s="1002" customFormat="1" ht="19.5" customHeight="1">
      <c r="B34" s="1003"/>
      <c r="C34" s="1013">
        <f>IF('[2]BASE'!C34=0,"",'[2]BASE'!C34)</f>
        <v>18</v>
      </c>
      <c r="D34" s="1013" t="str">
        <f>IF('[2]BASE'!D34=0,"",'[2]BASE'!D34)</f>
        <v>CHOCON - PUELCHES 1</v>
      </c>
      <c r="E34" s="1013">
        <f>IF('[2]BASE'!E34=0,"",'[2]BASE'!E34)</f>
        <v>500</v>
      </c>
      <c r="F34" s="1013">
        <f>IF('[2]BASE'!F34=0,"",'[2]BASE'!F34)</f>
        <v>304</v>
      </c>
      <c r="G34" s="1014" t="str">
        <f>IF('[2]BASE'!G34=0,"",'[2]BASE'!G34)</f>
        <v>A</v>
      </c>
      <c r="H34" s="1011">
        <f>IF('[2]BASE'!GB34=0,"",'[2]BASE'!GB34)</f>
      </c>
      <c r="I34" s="1011">
        <f>IF('[2]BASE'!GC34=0,"",'[2]BASE'!GC34)</f>
        <v>2</v>
      </c>
      <c r="J34" s="1011">
        <f>IF('[2]BASE'!GD34=0,"",'[2]BASE'!GD34)</f>
      </c>
      <c r="K34" s="1011">
        <f>IF('[2]BASE'!GE34=0,"",'[2]BASE'!GE34)</f>
      </c>
      <c r="L34" s="1011">
        <f>IF('[2]BASE'!GF34=0,"",'[2]BASE'!GF34)</f>
      </c>
      <c r="M34" s="1011">
        <f>IF('[2]BASE'!GG34=0,"",'[2]BASE'!GG34)</f>
      </c>
      <c r="N34" s="1011">
        <f>IF('[2]BASE'!GH34=0,"",'[2]BASE'!GH34)</f>
      </c>
      <c r="O34" s="1011">
        <f>IF('[2]BASE'!GI34=0,"",'[2]BASE'!GI34)</f>
      </c>
      <c r="P34" s="1011">
        <f>IF('[2]BASE'!GJ34=0,"",'[2]BASE'!GJ34)</f>
      </c>
      <c r="Q34" s="1011">
        <f>IF('[2]BASE'!GK34=0,"",'[2]BASE'!GK34)</f>
      </c>
      <c r="R34" s="1011">
        <f>IF('[2]BASE'!GL34=0,"",'[2]BASE'!GL34)</f>
      </c>
      <c r="S34" s="1011">
        <f>IF('[2]BASE'!GM34=0,"",'[2]BASE'!GM34)</f>
      </c>
      <c r="T34" s="1012"/>
      <c r="U34" s="1008"/>
    </row>
    <row r="35" spans="2:21" s="1002" customFormat="1" ht="19.5" customHeight="1">
      <c r="B35" s="1003"/>
      <c r="C35" s="1015">
        <f>IF('[2]BASE'!C35=0,"",'[2]BASE'!C35)</f>
        <v>19</v>
      </c>
      <c r="D35" s="1015" t="str">
        <f>IF('[2]BASE'!D35=0,"",'[2]BASE'!D35)</f>
        <v>CHOCON - PUELCHES 2</v>
      </c>
      <c r="E35" s="1015">
        <f>IF('[2]BASE'!E35=0,"",'[2]BASE'!E35)</f>
        <v>500</v>
      </c>
      <c r="F35" s="1015">
        <f>IF('[2]BASE'!F35=0,"",'[2]BASE'!F35)</f>
        <v>304</v>
      </c>
      <c r="G35" s="1016" t="str">
        <f>IF('[2]BASE'!G35=0,"",'[2]BASE'!G35)</f>
        <v>A</v>
      </c>
      <c r="H35" s="1011">
        <f>IF('[2]BASE'!GB35=0,"",'[2]BASE'!GB35)</f>
      </c>
      <c r="I35" s="1011">
        <f>IF('[2]BASE'!GC35=0,"",'[2]BASE'!GC35)</f>
      </c>
      <c r="J35" s="1011">
        <f>IF('[2]BASE'!GD35=0,"",'[2]BASE'!GD35)</f>
      </c>
      <c r="K35" s="1011">
        <f>IF('[2]BASE'!GE35=0,"",'[2]BASE'!GE35)</f>
      </c>
      <c r="L35" s="1011">
        <f>IF('[2]BASE'!GF35=0,"",'[2]BASE'!GF35)</f>
      </c>
      <c r="M35" s="1011">
        <f>IF('[2]BASE'!GG35=0,"",'[2]BASE'!GG35)</f>
      </c>
      <c r="N35" s="1011">
        <f>IF('[2]BASE'!GH35=0,"",'[2]BASE'!GH35)</f>
      </c>
      <c r="O35" s="1011">
        <f>IF('[2]BASE'!GI35=0,"",'[2]BASE'!GI35)</f>
      </c>
      <c r="P35" s="1011">
        <f>IF('[2]BASE'!GJ35=0,"",'[2]BASE'!GJ35)</f>
      </c>
      <c r="Q35" s="1011">
        <f>IF('[2]BASE'!GK35=0,"",'[2]BASE'!GK35)</f>
      </c>
      <c r="R35" s="1011">
        <f>IF('[2]BASE'!GL35=0,"",'[2]BASE'!GL35)</f>
      </c>
      <c r="S35" s="1011">
        <f>IF('[2]BASE'!GM35=0,"",'[2]BASE'!GM35)</f>
      </c>
      <c r="T35" s="1012"/>
      <c r="U35" s="1008"/>
    </row>
    <row r="36" spans="2:21" s="1002" customFormat="1" ht="19.5" customHeight="1">
      <c r="B36" s="1003"/>
      <c r="C36" s="1013">
        <f>IF('[2]BASE'!C36=0,"",'[2]BASE'!C36)</f>
        <v>20</v>
      </c>
      <c r="D36" s="1013" t="str">
        <f>IF('[2]BASE'!D36=0,"",'[2]BASE'!D36)</f>
        <v>E.T.P.del AGUILA - CENTRAL P.del A. 1</v>
      </c>
      <c r="E36" s="1013">
        <f>IF('[2]BASE'!E36=0,"",'[2]BASE'!E36)</f>
        <v>500</v>
      </c>
      <c r="F36" s="1013">
        <f>IF('[2]BASE'!F36=0,"",'[2]BASE'!F36)</f>
        <v>5.6</v>
      </c>
      <c r="G36" s="1014" t="str">
        <f>IF('[2]BASE'!G36=0,"",'[2]BASE'!G36)</f>
        <v>C</v>
      </c>
      <c r="H36" s="1011">
        <f>IF('[2]BASE'!GB36=0,"",'[2]BASE'!GB36)</f>
      </c>
      <c r="I36" s="1011">
        <f>IF('[2]BASE'!GC36=0,"",'[2]BASE'!GC36)</f>
      </c>
      <c r="J36" s="1011">
        <f>IF('[2]BASE'!GD36=0,"",'[2]BASE'!GD36)</f>
      </c>
      <c r="K36" s="1011">
        <f>IF('[2]BASE'!GE36=0,"",'[2]BASE'!GE36)</f>
      </c>
      <c r="L36" s="1011">
        <f>IF('[2]BASE'!GF36=0,"",'[2]BASE'!GF36)</f>
      </c>
      <c r="M36" s="1011">
        <f>IF('[2]BASE'!GG36=0,"",'[2]BASE'!GG36)</f>
      </c>
      <c r="N36" s="1011">
        <f>IF('[2]BASE'!GH36=0,"",'[2]BASE'!GH36)</f>
      </c>
      <c r="O36" s="1011">
        <f>IF('[2]BASE'!GI36=0,"",'[2]BASE'!GI36)</f>
      </c>
      <c r="P36" s="1011">
        <f>IF('[2]BASE'!GJ36=0,"",'[2]BASE'!GJ36)</f>
      </c>
      <c r="Q36" s="1011">
        <f>IF('[2]BASE'!GK36=0,"",'[2]BASE'!GK36)</f>
      </c>
      <c r="R36" s="1011">
        <f>IF('[2]BASE'!GL36=0,"",'[2]BASE'!GL36)</f>
      </c>
      <c r="S36" s="1011">
        <f>IF('[2]BASE'!GM36=0,"",'[2]BASE'!GM36)</f>
      </c>
      <c r="T36" s="1012"/>
      <c r="U36" s="1008"/>
    </row>
    <row r="37" spans="2:21" s="1002" customFormat="1" ht="19.5" customHeight="1">
      <c r="B37" s="1003"/>
      <c r="C37" s="1015">
        <f>IF('[2]BASE'!C37=0,"",'[2]BASE'!C37)</f>
        <v>21</v>
      </c>
      <c r="D37" s="1015" t="str">
        <f>IF('[2]BASE'!D37=0,"",'[2]BASE'!D37)</f>
        <v>E.T.P.del AGUILA - CENTRAL P.del A. 2</v>
      </c>
      <c r="E37" s="1015">
        <f>IF('[2]BASE'!E37=0,"",'[2]BASE'!E37)</f>
        <v>500</v>
      </c>
      <c r="F37" s="1015">
        <f>IF('[2]BASE'!F37=0,"",'[2]BASE'!F37)</f>
        <v>5.6</v>
      </c>
      <c r="G37" s="1016" t="str">
        <f>IF('[2]BASE'!G37=0,"",'[2]BASE'!G37)</f>
        <v>C</v>
      </c>
      <c r="H37" s="1011">
        <f>IF('[2]BASE'!GB37=0,"",'[2]BASE'!GB37)</f>
      </c>
      <c r="I37" s="1011">
        <f>IF('[2]BASE'!GC37=0,"",'[2]BASE'!GC37)</f>
      </c>
      <c r="J37" s="1011">
        <f>IF('[2]BASE'!GD37=0,"",'[2]BASE'!GD37)</f>
      </c>
      <c r="K37" s="1011">
        <f>IF('[2]BASE'!GE37=0,"",'[2]BASE'!GE37)</f>
      </c>
      <c r="L37" s="1011">
        <f>IF('[2]BASE'!GF37=0,"",'[2]BASE'!GF37)</f>
      </c>
      <c r="M37" s="1011">
        <f>IF('[2]BASE'!GG37=0,"",'[2]BASE'!GG37)</f>
      </c>
      <c r="N37" s="1011">
        <f>IF('[2]BASE'!GH37=0,"",'[2]BASE'!GH37)</f>
      </c>
      <c r="O37" s="1011">
        <f>IF('[2]BASE'!GI37=0,"",'[2]BASE'!GI37)</f>
      </c>
      <c r="P37" s="1011">
        <f>IF('[2]BASE'!GJ37=0,"",'[2]BASE'!GJ37)</f>
      </c>
      <c r="Q37" s="1011">
        <f>IF('[2]BASE'!GK37=0,"",'[2]BASE'!GK37)</f>
      </c>
      <c r="R37" s="1011">
        <f>IF('[2]BASE'!GL37=0,"",'[2]BASE'!GL37)</f>
      </c>
      <c r="S37" s="1011">
        <f>IF('[2]BASE'!GM37=0,"",'[2]BASE'!GM37)</f>
      </c>
      <c r="T37" s="1012"/>
      <c r="U37" s="1008"/>
    </row>
    <row r="38" spans="2:21" s="1002" customFormat="1" ht="19.5" customHeight="1">
      <c r="B38" s="1003"/>
      <c r="C38" s="1013">
        <f>IF('[2]BASE'!C38=0,"",'[2]BASE'!C38)</f>
        <v>22</v>
      </c>
      <c r="D38" s="1013" t="str">
        <f>IF('[2]BASE'!D38=0,"",'[2]BASE'!D38)</f>
        <v>EL BRACHO - RECREO(5)</v>
      </c>
      <c r="E38" s="1013">
        <f>IF('[2]BASE'!E38=0,"",'[2]BASE'!E38)</f>
        <v>500</v>
      </c>
      <c r="F38" s="1013">
        <f>IF('[2]BASE'!F38=0,"",'[2]BASE'!F38)</f>
        <v>255</v>
      </c>
      <c r="G38" s="1014" t="str">
        <f>IF('[2]BASE'!G38=0,"",'[2]BASE'!G38)</f>
        <v>C</v>
      </c>
      <c r="H38" s="1011">
        <f>IF('[2]BASE'!GB38=0,"",'[2]BASE'!GB38)</f>
      </c>
      <c r="I38" s="1011">
        <f>IF('[2]BASE'!GC38=0,"",'[2]BASE'!GC38)</f>
      </c>
      <c r="J38" s="1011">
        <f>IF('[2]BASE'!GD38=0,"",'[2]BASE'!GD38)</f>
      </c>
      <c r="K38" s="1011">
        <f>IF('[2]BASE'!GE38=0,"",'[2]BASE'!GE38)</f>
      </c>
      <c r="L38" s="1011">
        <f>IF('[2]BASE'!GF38=0,"",'[2]BASE'!GF38)</f>
        <v>1</v>
      </c>
      <c r="M38" s="1011">
        <f>IF('[2]BASE'!GG38=0,"",'[2]BASE'!GG38)</f>
      </c>
      <c r="N38" s="1011">
        <f>IF('[2]BASE'!GH38=0,"",'[2]BASE'!GH38)</f>
      </c>
      <c r="O38" s="1011">
        <f>IF('[2]BASE'!GI38=0,"",'[2]BASE'!GI38)</f>
      </c>
      <c r="P38" s="1011">
        <f>IF('[2]BASE'!GJ38=0,"",'[2]BASE'!GJ38)</f>
      </c>
      <c r="Q38" s="1011">
        <f>IF('[2]BASE'!GK38=0,"",'[2]BASE'!GK38)</f>
      </c>
      <c r="R38" s="1011">
        <f>IF('[2]BASE'!GL38=0,"",'[2]BASE'!GL38)</f>
      </c>
      <c r="S38" s="1011">
        <f>IF('[2]BASE'!GM38=0,"",'[2]BASE'!GM38)</f>
      </c>
      <c r="T38" s="1012"/>
      <c r="U38" s="1008"/>
    </row>
    <row r="39" spans="2:21" s="1002" customFormat="1" ht="19.5" customHeight="1">
      <c r="B39" s="1003"/>
      <c r="C39" s="1015">
        <f>IF('[2]BASE'!C39=0,"",'[2]BASE'!C39)</f>
        <v>23</v>
      </c>
      <c r="D39" s="1015" t="str">
        <f>IF('[2]BASE'!D39=0,"",'[2]BASE'!D39)</f>
        <v>EZEIZA - ABASTO 1</v>
      </c>
      <c r="E39" s="1015">
        <f>IF('[2]BASE'!E39=0,"",'[2]BASE'!E39)</f>
        <v>500</v>
      </c>
      <c r="F39" s="1015">
        <f>IF('[2]BASE'!F39=0,"",'[2]BASE'!F39)</f>
        <v>58</v>
      </c>
      <c r="G39" s="1016" t="str">
        <f>IF('[2]BASE'!G39=0,"",'[2]BASE'!G39)</f>
        <v>C</v>
      </c>
      <c r="H39" s="1011">
        <f>IF('[2]BASE'!GB39=0,"",'[2]BASE'!GB39)</f>
      </c>
      <c r="I39" s="1011">
        <f>IF('[2]BASE'!GC39=0,"",'[2]BASE'!GC39)</f>
      </c>
      <c r="J39" s="1011">
        <f>IF('[2]BASE'!GD39=0,"",'[2]BASE'!GD39)</f>
      </c>
      <c r="K39" s="1011">
        <f>IF('[2]BASE'!GE39=0,"",'[2]BASE'!GE39)</f>
      </c>
      <c r="L39" s="1011">
        <f>IF('[2]BASE'!GF39=0,"",'[2]BASE'!GF39)</f>
      </c>
      <c r="M39" s="1011">
        <f>IF('[2]BASE'!GG39=0,"",'[2]BASE'!GG39)</f>
      </c>
      <c r="N39" s="1011">
        <f>IF('[2]BASE'!GH39=0,"",'[2]BASE'!GH39)</f>
      </c>
      <c r="O39" s="1011">
        <f>IF('[2]BASE'!GI39=0,"",'[2]BASE'!GI39)</f>
      </c>
      <c r="P39" s="1011">
        <f>IF('[2]BASE'!GJ39=0,"",'[2]BASE'!GJ39)</f>
      </c>
      <c r="Q39" s="1011">
        <f>IF('[2]BASE'!GK39=0,"",'[2]BASE'!GK39)</f>
      </c>
      <c r="R39" s="1011">
        <f>IF('[2]BASE'!GL39=0,"",'[2]BASE'!GL39)</f>
      </c>
      <c r="S39" s="1011">
        <f>IF('[2]BASE'!GM39=0,"",'[2]BASE'!GM39)</f>
      </c>
      <c r="T39" s="1012"/>
      <c r="U39" s="1008"/>
    </row>
    <row r="40" spans="2:21" s="1002" customFormat="1" ht="19.5" customHeight="1">
      <c r="B40" s="1003"/>
      <c r="C40" s="1013">
        <f>IF('[2]BASE'!C40=0,"",'[2]BASE'!C40)</f>
        <v>24</v>
      </c>
      <c r="D40" s="1013" t="str">
        <f>IF('[2]BASE'!D40=0,"",'[2]BASE'!D40)</f>
        <v>EZEIZA - ABASTO 2</v>
      </c>
      <c r="E40" s="1013">
        <f>IF('[2]BASE'!E40=0,"",'[2]BASE'!E40)</f>
        <v>500</v>
      </c>
      <c r="F40" s="1013">
        <f>IF('[2]BASE'!F40=0,"",'[2]BASE'!F40)</f>
        <v>58</v>
      </c>
      <c r="G40" s="1014" t="str">
        <f>IF('[2]BASE'!G40=0,"",'[2]BASE'!G40)</f>
        <v>C</v>
      </c>
      <c r="H40" s="1011">
        <f>IF('[2]BASE'!GB40=0,"",'[2]BASE'!GB40)</f>
      </c>
      <c r="I40" s="1011">
        <f>IF('[2]BASE'!GC40=0,"",'[2]BASE'!GC40)</f>
      </c>
      <c r="J40" s="1011">
        <f>IF('[2]BASE'!GD40=0,"",'[2]BASE'!GD40)</f>
      </c>
      <c r="K40" s="1011">
        <f>IF('[2]BASE'!GE40=0,"",'[2]BASE'!GE40)</f>
      </c>
      <c r="L40" s="1011">
        <f>IF('[2]BASE'!GF40=0,"",'[2]BASE'!GF40)</f>
      </c>
      <c r="M40" s="1011">
        <f>IF('[2]BASE'!GG40=0,"",'[2]BASE'!GG40)</f>
      </c>
      <c r="N40" s="1011">
        <f>IF('[2]BASE'!GH40=0,"",'[2]BASE'!GH40)</f>
      </c>
      <c r="O40" s="1011">
        <f>IF('[2]BASE'!GI40=0,"",'[2]BASE'!GI40)</f>
      </c>
      <c r="P40" s="1011">
        <f>IF('[2]BASE'!GJ40=0,"",'[2]BASE'!GJ40)</f>
      </c>
      <c r="Q40" s="1011">
        <f>IF('[2]BASE'!GK40=0,"",'[2]BASE'!GK40)</f>
      </c>
      <c r="R40" s="1011">
        <f>IF('[2]BASE'!GL40=0,"",'[2]BASE'!GL40)</f>
      </c>
      <c r="S40" s="1011">
        <f>IF('[2]BASE'!GM40=0,"",'[2]BASE'!GM40)</f>
      </c>
      <c r="T40" s="1012"/>
      <c r="U40" s="1008"/>
    </row>
    <row r="41" spans="2:21" s="1002" customFormat="1" ht="19.5" customHeight="1">
      <c r="B41" s="1003"/>
      <c r="C41" s="1015">
        <f>IF('[2]BASE'!C41=0,"",'[2]BASE'!C41)</f>
        <v>25</v>
      </c>
      <c r="D41" s="1015" t="str">
        <f>IF('[2]BASE'!D41=0,"",'[2]BASE'!D41)</f>
        <v>EZEIZA - RODRIGUEZ 1</v>
      </c>
      <c r="E41" s="1015">
        <f>IF('[2]BASE'!E41=0,"",'[2]BASE'!E41)</f>
        <v>500</v>
      </c>
      <c r="F41" s="1015">
        <f>IF('[2]BASE'!F41=0,"",'[2]BASE'!F41)</f>
        <v>53</v>
      </c>
      <c r="G41" s="1016" t="str">
        <f>IF('[2]BASE'!G41=0,"",'[2]BASE'!G41)</f>
        <v>C</v>
      </c>
      <c r="H41" s="1011">
        <f>IF('[2]BASE'!GB41=0,"",'[2]BASE'!GB41)</f>
      </c>
      <c r="I41" s="1011">
        <f>IF('[2]BASE'!GC41=0,"",'[2]BASE'!GC41)</f>
      </c>
      <c r="J41" s="1011">
        <f>IF('[2]BASE'!GD41=0,"",'[2]BASE'!GD41)</f>
      </c>
      <c r="K41" s="1011">
        <f>IF('[2]BASE'!GE41=0,"",'[2]BASE'!GE41)</f>
      </c>
      <c r="L41" s="1011">
        <f>IF('[2]BASE'!GF41=0,"",'[2]BASE'!GF41)</f>
      </c>
      <c r="M41" s="1011">
        <f>IF('[2]BASE'!GG41=0,"",'[2]BASE'!GG41)</f>
      </c>
      <c r="N41" s="1011">
        <f>IF('[2]BASE'!GH41=0,"",'[2]BASE'!GH41)</f>
      </c>
      <c r="O41" s="1011">
        <f>IF('[2]BASE'!GI41=0,"",'[2]BASE'!GI41)</f>
      </c>
      <c r="P41" s="1011">
        <f>IF('[2]BASE'!GJ41=0,"",'[2]BASE'!GJ41)</f>
      </c>
      <c r="Q41" s="1011">
        <f>IF('[2]BASE'!GK41=0,"",'[2]BASE'!GK41)</f>
      </c>
      <c r="R41" s="1011">
        <f>IF('[2]BASE'!GL41=0,"",'[2]BASE'!GL41)</f>
      </c>
      <c r="S41" s="1011">
        <f>IF('[2]BASE'!GM41=0,"",'[2]BASE'!GM41)</f>
      </c>
      <c r="T41" s="1012"/>
      <c r="U41" s="1008"/>
    </row>
    <row r="42" spans="2:21" s="1002" customFormat="1" ht="19.5" customHeight="1">
      <c r="B42" s="1003"/>
      <c r="C42" s="1013">
        <f>IF('[2]BASE'!C42=0,"",'[2]BASE'!C42)</f>
        <v>26</v>
      </c>
      <c r="D42" s="1013" t="str">
        <f>IF('[2]BASE'!D42=0,"",'[2]BASE'!D42)</f>
        <v>EZEIZA - RODRIGUEZ 2</v>
      </c>
      <c r="E42" s="1013">
        <f>IF('[2]BASE'!E42=0,"",'[2]BASE'!E42)</f>
        <v>500</v>
      </c>
      <c r="F42" s="1013">
        <f>IF('[2]BASE'!F42=0,"",'[2]BASE'!F42)</f>
        <v>53</v>
      </c>
      <c r="G42" s="1014" t="str">
        <f>IF('[2]BASE'!G42=0,"",'[2]BASE'!G42)</f>
        <v>C</v>
      </c>
      <c r="H42" s="1011">
        <f>IF('[2]BASE'!GB42=0,"",'[2]BASE'!GB42)</f>
      </c>
      <c r="I42" s="1011">
        <f>IF('[2]BASE'!GC42=0,"",'[2]BASE'!GC42)</f>
      </c>
      <c r="J42" s="1011">
        <f>IF('[2]BASE'!GD42=0,"",'[2]BASE'!GD42)</f>
      </c>
      <c r="K42" s="1011">
        <f>IF('[2]BASE'!GE42=0,"",'[2]BASE'!GE42)</f>
      </c>
      <c r="L42" s="1011">
        <f>IF('[2]BASE'!GF42=0,"",'[2]BASE'!GF42)</f>
      </c>
      <c r="M42" s="1011">
        <f>IF('[2]BASE'!GG42=0,"",'[2]BASE'!GG42)</f>
      </c>
      <c r="N42" s="1011">
        <f>IF('[2]BASE'!GH42=0,"",'[2]BASE'!GH42)</f>
      </c>
      <c r="O42" s="1011">
        <f>IF('[2]BASE'!GI42=0,"",'[2]BASE'!GI42)</f>
      </c>
      <c r="P42" s="1011">
        <f>IF('[2]BASE'!GJ42=0,"",'[2]BASE'!GJ42)</f>
      </c>
      <c r="Q42" s="1011">
        <f>IF('[2]BASE'!GK42=0,"",'[2]BASE'!GK42)</f>
      </c>
      <c r="R42" s="1011">
        <f>IF('[2]BASE'!GL42=0,"",'[2]BASE'!GL42)</f>
      </c>
      <c r="S42" s="1011">
        <f>IF('[2]BASE'!GM42=0,"",'[2]BASE'!GM42)</f>
      </c>
      <c r="T42" s="1012"/>
      <c r="U42" s="1008"/>
    </row>
    <row r="43" spans="2:21" s="1002" customFormat="1" ht="19.5" customHeight="1">
      <c r="B43" s="1003"/>
      <c r="C43" s="1015">
        <f>IF('[2]BASE'!C43=0,"",'[2]BASE'!C43)</f>
        <v>27</v>
      </c>
      <c r="D43" s="1015" t="str">
        <f>IF('[2]BASE'!D43=0,"",'[2]BASE'!D43)</f>
        <v>EZEIZA- HENDERSON 1</v>
      </c>
      <c r="E43" s="1015">
        <f>IF('[2]BASE'!E43=0,"",'[2]BASE'!E43)</f>
        <v>500</v>
      </c>
      <c r="F43" s="1015">
        <f>IF('[2]BASE'!F43=0,"",'[2]BASE'!F43)</f>
        <v>313</v>
      </c>
      <c r="G43" s="1016" t="str">
        <f>IF('[2]BASE'!G43=0,"",'[2]BASE'!G43)</f>
        <v>A</v>
      </c>
      <c r="H43" s="1011">
        <f>IF('[2]BASE'!GB43=0,"",'[2]BASE'!GB43)</f>
        <v>1</v>
      </c>
      <c r="I43" s="1011">
        <f>IF('[2]BASE'!GC43=0,"",'[2]BASE'!GC43)</f>
        <v>1</v>
      </c>
      <c r="J43" s="1011">
        <f>IF('[2]BASE'!GD43=0,"",'[2]BASE'!GD43)</f>
      </c>
      <c r="K43" s="1011">
        <f>IF('[2]BASE'!GE43=0,"",'[2]BASE'!GE43)</f>
      </c>
      <c r="L43" s="1011">
        <f>IF('[2]BASE'!GF43=0,"",'[2]BASE'!GF43)</f>
      </c>
      <c r="M43" s="1011">
        <f>IF('[2]BASE'!GG43=0,"",'[2]BASE'!GG43)</f>
      </c>
      <c r="N43" s="1011">
        <f>IF('[2]BASE'!GH43=0,"",'[2]BASE'!GH43)</f>
      </c>
      <c r="O43" s="1011">
        <f>IF('[2]BASE'!GI43=0,"",'[2]BASE'!GI43)</f>
      </c>
      <c r="P43" s="1011">
        <f>IF('[2]BASE'!GJ43=0,"",'[2]BASE'!GJ43)</f>
      </c>
      <c r="Q43" s="1011">
        <f>IF('[2]BASE'!GK43=0,"",'[2]BASE'!GK43)</f>
      </c>
      <c r="R43" s="1011">
        <f>IF('[2]BASE'!GL43=0,"",'[2]BASE'!GL43)</f>
      </c>
      <c r="S43" s="1011">
        <f>IF('[2]BASE'!GM43=0,"",'[2]BASE'!GM43)</f>
      </c>
      <c r="T43" s="1012"/>
      <c r="U43" s="1008"/>
    </row>
    <row r="44" spans="2:21" s="1002" customFormat="1" ht="19.5" customHeight="1">
      <c r="B44" s="1003"/>
      <c r="C44" s="1013">
        <f>IF('[2]BASE'!C44=0,"",'[2]BASE'!C44)</f>
        <v>28</v>
      </c>
      <c r="D44" s="1013" t="str">
        <f>IF('[2]BASE'!D44=0,"",'[2]BASE'!D44)</f>
        <v>EZEIZA - HENDERSON 2</v>
      </c>
      <c r="E44" s="1013">
        <f>IF('[2]BASE'!E44=0,"",'[2]BASE'!E44)</f>
        <v>500</v>
      </c>
      <c r="F44" s="1013">
        <f>IF('[2]BASE'!F44=0,"",'[2]BASE'!F44)</f>
        <v>313</v>
      </c>
      <c r="G44" s="1014" t="str">
        <f>IF('[2]BASE'!G44=0,"",'[2]BASE'!G44)</f>
        <v>A</v>
      </c>
      <c r="H44" s="1011">
        <f>IF('[2]BASE'!GB44=0,"",'[2]BASE'!GB44)</f>
        <v>2</v>
      </c>
      <c r="I44" s="1011">
        <f>IF('[2]BASE'!GC44=0,"",'[2]BASE'!GC44)</f>
      </c>
      <c r="J44" s="1011">
        <f>IF('[2]BASE'!GD44=0,"",'[2]BASE'!GD44)</f>
      </c>
      <c r="K44" s="1011">
        <f>IF('[2]BASE'!GE44=0,"",'[2]BASE'!GE44)</f>
      </c>
      <c r="L44" s="1011">
        <f>IF('[2]BASE'!GF44=0,"",'[2]BASE'!GF44)</f>
      </c>
      <c r="M44" s="1011">
        <f>IF('[2]BASE'!GG44=0,"",'[2]BASE'!GG44)</f>
      </c>
      <c r="N44" s="1011">
        <f>IF('[2]BASE'!GH44=0,"",'[2]BASE'!GH44)</f>
      </c>
      <c r="O44" s="1011">
        <f>IF('[2]BASE'!GI44=0,"",'[2]BASE'!GI44)</f>
      </c>
      <c r="P44" s="1011">
        <f>IF('[2]BASE'!GJ44=0,"",'[2]BASE'!GJ44)</f>
      </c>
      <c r="Q44" s="1011">
        <f>IF('[2]BASE'!GK44=0,"",'[2]BASE'!GK44)</f>
      </c>
      <c r="R44" s="1011">
        <f>IF('[2]BASE'!GL44=0,"",'[2]BASE'!GL44)</f>
      </c>
      <c r="S44" s="1011">
        <f>IF('[2]BASE'!GM44=0,"",'[2]BASE'!GM44)</f>
      </c>
      <c r="T44" s="1012"/>
      <c r="U44" s="1008"/>
    </row>
    <row r="45" spans="2:21" s="1002" customFormat="1" ht="19.5" customHeight="1">
      <c r="B45" s="1003"/>
      <c r="C45" s="1015">
        <f>IF('[2]BASE'!C45=0,"",'[2]BASE'!C45)</f>
        <v>29</v>
      </c>
      <c r="D45" s="1015" t="str">
        <f>IF('[2]BASE'!D45=0,"",'[2]BASE'!D45)</f>
        <v>GRAL. RODRIGUEZ - CAMPANA </v>
      </c>
      <c r="E45" s="1015">
        <f>IF('[2]BASE'!E45=0,"",'[2]BASE'!E45)</f>
        <v>500</v>
      </c>
      <c r="F45" s="1015">
        <f>IF('[2]BASE'!F45=0,"",'[2]BASE'!F45)</f>
        <v>42</v>
      </c>
      <c r="G45" s="1016" t="str">
        <f>IF('[2]BASE'!G45=0,"",'[2]BASE'!G45)</f>
        <v>B</v>
      </c>
      <c r="H45" s="1011">
        <f>IF('[2]BASE'!GB45=0,"",'[2]BASE'!GB45)</f>
        <v>1</v>
      </c>
      <c r="I45" s="1011">
        <f>IF('[2]BASE'!GC45=0,"",'[2]BASE'!GC45)</f>
      </c>
      <c r="J45" s="1011">
        <f>IF('[2]BASE'!GD45=0,"",'[2]BASE'!GD45)</f>
      </c>
      <c r="K45" s="1011">
        <f>IF('[2]BASE'!GE45=0,"",'[2]BASE'!GE45)</f>
      </c>
      <c r="L45" s="1011">
        <f>IF('[2]BASE'!GF45=0,"",'[2]BASE'!GF45)</f>
      </c>
      <c r="M45" s="1011">
        <f>IF('[2]BASE'!GG45=0,"",'[2]BASE'!GG45)</f>
      </c>
      <c r="N45" s="1011">
        <f>IF('[2]BASE'!GH45=0,"",'[2]BASE'!GH45)</f>
      </c>
      <c r="O45" s="1011">
        <f>IF('[2]BASE'!GI45=0,"",'[2]BASE'!GI45)</f>
      </c>
      <c r="P45" s="1011">
        <f>IF('[2]BASE'!GJ45=0,"",'[2]BASE'!GJ45)</f>
      </c>
      <c r="Q45" s="1011">
        <f>IF('[2]BASE'!GK45=0,"",'[2]BASE'!GK45)</f>
      </c>
      <c r="R45" s="1011">
        <f>IF('[2]BASE'!GL45=0,"",'[2]BASE'!GL45)</f>
      </c>
      <c r="S45" s="1011">
        <f>IF('[2]BASE'!GM45=0,"",'[2]BASE'!GM45)</f>
      </c>
      <c r="T45" s="1012"/>
      <c r="U45" s="1008"/>
    </row>
    <row r="46" spans="2:21" s="1002" customFormat="1" ht="19.5" customHeight="1">
      <c r="B46" s="1003"/>
      <c r="C46" s="1013">
        <f>IF('[2]BASE'!C46=0,"",'[2]BASE'!C46)</f>
        <v>30</v>
      </c>
      <c r="D46" s="1013" t="str">
        <f>IF('[2]BASE'!D46=0,"",'[2]BASE'!D46)</f>
        <v>GRAL. RODRIGUEZ- ROSARIO OESTE </v>
      </c>
      <c r="E46" s="1013">
        <f>IF('[2]BASE'!E46=0,"",'[2]BASE'!E46)</f>
        <v>500</v>
      </c>
      <c r="F46" s="1013">
        <f>IF('[2]BASE'!F46=0,"",'[2]BASE'!F46)</f>
        <v>258</v>
      </c>
      <c r="G46" s="1014" t="str">
        <f>IF('[2]BASE'!G46=0,"",'[2]BASE'!G46)</f>
        <v>C</v>
      </c>
      <c r="H46" s="1011" t="str">
        <f>IF('[2]BASE'!GB46=0,"",'[2]BASE'!GB46)</f>
        <v>XXXX</v>
      </c>
      <c r="I46" s="1011" t="str">
        <f>IF('[2]BASE'!GC46=0,"",'[2]BASE'!GC46)</f>
        <v>XXXX</v>
      </c>
      <c r="J46" s="1011" t="str">
        <f>IF('[2]BASE'!GD46=0,"",'[2]BASE'!GD46)</f>
        <v>XXXX</v>
      </c>
      <c r="K46" s="1011" t="str">
        <f>IF('[2]BASE'!GE46=0,"",'[2]BASE'!GE46)</f>
        <v>XXXX</v>
      </c>
      <c r="L46" s="1011" t="str">
        <f>IF('[2]BASE'!GF46=0,"",'[2]BASE'!GF46)</f>
        <v>XXXX</v>
      </c>
      <c r="M46" s="1011" t="str">
        <f>IF('[2]BASE'!GG46=0,"",'[2]BASE'!GG46)</f>
        <v>XXXX</v>
      </c>
      <c r="N46" s="1011" t="str">
        <f>IF('[2]BASE'!GH46=0,"",'[2]BASE'!GH46)</f>
        <v>XXXX</v>
      </c>
      <c r="O46" s="1011" t="str">
        <f>IF('[2]BASE'!GI46=0,"",'[2]BASE'!GI46)</f>
        <v>XXXX</v>
      </c>
      <c r="P46" s="1011" t="str">
        <f>IF('[2]BASE'!GJ46=0,"",'[2]BASE'!GJ46)</f>
        <v>XXXX</v>
      </c>
      <c r="Q46" s="1011" t="str">
        <f>IF('[2]BASE'!GK46=0,"",'[2]BASE'!GK46)</f>
        <v>XXXX</v>
      </c>
      <c r="R46" s="1011" t="str">
        <f>IF('[2]BASE'!GL46=0,"",'[2]BASE'!GL46)</f>
        <v>XXXX</v>
      </c>
      <c r="S46" s="1011" t="str">
        <f>IF('[2]BASE'!GM46=0,"",'[2]BASE'!GM46)</f>
        <v>XXXX</v>
      </c>
      <c r="T46" s="1012"/>
      <c r="U46" s="1008"/>
    </row>
    <row r="47" spans="2:21" s="1002" customFormat="1" ht="19.5" customHeight="1">
      <c r="B47" s="1003"/>
      <c r="C47" s="1015">
        <f>IF('[2]BASE'!C47=0,"",'[2]BASE'!C47)</f>
        <v>31</v>
      </c>
      <c r="D47" s="1015" t="str">
        <f>IF('[2]BASE'!D47=0,"",'[2]BASE'!D47)</f>
        <v>MALVINAS ARG. - ALMAFUERTE </v>
      </c>
      <c r="E47" s="1015">
        <f>IF('[2]BASE'!E47=0,"",'[2]BASE'!E47)</f>
        <v>500</v>
      </c>
      <c r="F47" s="1015">
        <f>IF('[2]BASE'!F47=0,"",'[2]BASE'!F47)</f>
        <v>105</v>
      </c>
      <c r="G47" s="1016" t="str">
        <f>IF('[2]BASE'!G47=0,"",'[2]BASE'!G47)</f>
        <v>B</v>
      </c>
      <c r="H47" s="1011">
        <f>IF('[2]BASE'!GB47=0,"",'[2]BASE'!GB47)</f>
      </c>
      <c r="I47" s="1011">
        <f>IF('[2]BASE'!GC47=0,"",'[2]BASE'!GC47)</f>
      </c>
      <c r="J47" s="1011">
        <f>IF('[2]BASE'!GD47=0,"",'[2]BASE'!GD47)</f>
      </c>
      <c r="K47" s="1011">
        <f>IF('[2]BASE'!GE47=0,"",'[2]BASE'!GE47)</f>
      </c>
      <c r="L47" s="1011">
        <f>IF('[2]BASE'!GF47=0,"",'[2]BASE'!GF47)</f>
      </c>
      <c r="M47" s="1011">
        <f>IF('[2]BASE'!GG47=0,"",'[2]BASE'!GG47)</f>
      </c>
      <c r="N47" s="1011">
        <f>IF('[2]BASE'!GH47=0,"",'[2]BASE'!GH47)</f>
      </c>
      <c r="O47" s="1011">
        <f>IF('[2]BASE'!GI47=0,"",'[2]BASE'!GI47)</f>
      </c>
      <c r="P47" s="1011">
        <f>IF('[2]BASE'!GJ47=0,"",'[2]BASE'!GJ47)</f>
      </c>
      <c r="Q47" s="1011">
        <f>IF('[2]BASE'!GK47=0,"",'[2]BASE'!GK47)</f>
      </c>
      <c r="R47" s="1011">
        <f>IF('[2]BASE'!GL47=0,"",'[2]BASE'!GL47)</f>
      </c>
      <c r="S47" s="1011">
        <f>IF('[2]BASE'!GM47=0,"",'[2]BASE'!GM47)</f>
      </c>
      <c r="T47" s="1012"/>
      <c r="U47" s="1008"/>
    </row>
    <row r="48" spans="2:21" s="1002" customFormat="1" ht="19.5" customHeight="1">
      <c r="B48" s="1003"/>
      <c r="C48" s="1013">
        <f>IF('[2]BASE'!C48=0,"",'[2]BASE'!C48)</f>
        <v>32</v>
      </c>
      <c r="D48" s="1013" t="str">
        <f>IF('[2]BASE'!D48=0,"",'[2]BASE'!D48)</f>
        <v>OLAVARRIA - BAHIA BLANCA 1</v>
      </c>
      <c r="E48" s="1013">
        <f>IF('[2]BASE'!E48=0,"",'[2]BASE'!E48)</f>
        <v>500</v>
      </c>
      <c r="F48" s="1013">
        <f>IF('[2]BASE'!F48=0,"",'[2]BASE'!F48)</f>
        <v>255</v>
      </c>
      <c r="G48" s="1014" t="str">
        <f>IF('[2]BASE'!G48=0,"",'[2]BASE'!G48)</f>
        <v>B</v>
      </c>
      <c r="H48" s="1011">
        <f>IF('[2]BASE'!GB48=0,"",'[2]BASE'!GB48)</f>
      </c>
      <c r="I48" s="1011">
        <f>IF('[2]BASE'!GC48=0,"",'[2]BASE'!GC48)</f>
      </c>
      <c r="J48" s="1011">
        <f>IF('[2]BASE'!GD48=0,"",'[2]BASE'!GD48)</f>
      </c>
      <c r="K48" s="1011">
        <f>IF('[2]BASE'!GE48=0,"",'[2]BASE'!GE48)</f>
      </c>
      <c r="L48" s="1011">
        <f>IF('[2]BASE'!GF48=0,"",'[2]BASE'!GF48)</f>
      </c>
      <c r="M48" s="1011">
        <f>IF('[2]BASE'!GG48=0,"",'[2]BASE'!GG48)</f>
      </c>
      <c r="N48" s="1011">
        <f>IF('[2]BASE'!GH48=0,"",'[2]BASE'!GH48)</f>
        <v>2</v>
      </c>
      <c r="O48" s="1011">
        <f>IF('[2]BASE'!GI48=0,"",'[2]BASE'!GI48)</f>
      </c>
      <c r="P48" s="1011">
        <f>IF('[2]BASE'!GJ48=0,"",'[2]BASE'!GJ48)</f>
      </c>
      <c r="Q48" s="1011">
        <f>IF('[2]BASE'!GK48=0,"",'[2]BASE'!GK48)</f>
      </c>
      <c r="R48" s="1011">
        <f>IF('[2]BASE'!GL48=0,"",'[2]BASE'!GL48)</f>
      </c>
      <c r="S48" s="1011">
        <f>IF('[2]BASE'!GM48=0,"",'[2]BASE'!GM48)</f>
        <v>1</v>
      </c>
      <c r="T48" s="1012"/>
      <c r="U48" s="1008"/>
    </row>
    <row r="49" spans="2:21" s="1002" customFormat="1" ht="19.5" customHeight="1">
      <c r="B49" s="1003"/>
      <c r="C49" s="1015">
        <f>IF('[2]BASE'!C49=0,"",'[2]BASE'!C49)</f>
        <v>33</v>
      </c>
      <c r="D49" s="1015" t="str">
        <f>IF('[2]BASE'!D49=0,"",'[2]BASE'!D49)</f>
        <v>OLAVARRIA - BAHIA BLANCA 2</v>
      </c>
      <c r="E49" s="1015">
        <f>IF('[2]BASE'!E49=0,"",'[2]BASE'!E49)</f>
        <v>500</v>
      </c>
      <c r="F49" s="1015">
        <f>IF('[2]BASE'!F49=0,"",'[2]BASE'!F49)</f>
        <v>254.8</v>
      </c>
      <c r="G49" s="1016">
        <f>IF('[2]BASE'!G49=0,"",'[2]BASE'!G49)</f>
      </c>
      <c r="H49" s="1011">
        <f>IF('[2]BASE'!GB49=0,"",'[2]BASE'!GB49)</f>
      </c>
      <c r="I49" s="1011">
        <f>IF('[2]BASE'!GC49=0,"",'[2]BASE'!GC49)</f>
      </c>
      <c r="J49" s="1011">
        <f>IF('[2]BASE'!GD49=0,"",'[2]BASE'!GD49)</f>
      </c>
      <c r="K49" s="1011">
        <f>IF('[2]BASE'!GE49=0,"",'[2]BASE'!GE49)</f>
      </c>
      <c r="L49" s="1011">
        <f>IF('[2]BASE'!GF49=0,"",'[2]BASE'!GF49)</f>
      </c>
      <c r="M49" s="1011">
        <f>IF('[2]BASE'!GG49=0,"",'[2]BASE'!GG49)</f>
      </c>
      <c r="N49" s="1011">
        <f>IF('[2]BASE'!GH49=0,"",'[2]BASE'!GH49)</f>
      </c>
      <c r="O49" s="1011">
        <f>IF('[2]BASE'!GI49=0,"",'[2]BASE'!GI49)</f>
      </c>
      <c r="P49" s="1011">
        <f>IF('[2]BASE'!GJ49=0,"",'[2]BASE'!GJ49)</f>
      </c>
      <c r="Q49" s="1011">
        <f>IF('[2]BASE'!GK49=0,"",'[2]BASE'!GK49)</f>
      </c>
      <c r="R49" s="1011">
        <f>IF('[2]BASE'!GL49=0,"",'[2]BASE'!GL49)</f>
      </c>
      <c r="S49" s="1011">
        <f>IF('[2]BASE'!GM49=0,"",'[2]BASE'!GM49)</f>
      </c>
      <c r="T49" s="1012"/>
      <c r="U49" s="1008"/>
    </row>
    <row r="50" spans="2:21" s="1002" customFormat="1" ht="19.5" customHeight="1">
      <c r="B50" s="1003"/>
      <c r="C50" s="1013">
        <f>IF('[2]BASE'!C50=0,"",'[2]BASE'!C50)</f>
        <v>34</v>
      </c>
      <c r="D50" s="1013" t="str">
        <f>IF('[2]BASE'!D50=0,"",'[2]BASE'!D50)</f>
        <v>P.del AGUILA  - CHOELE CHOEL</v>
      </c>
      <c r="E50" s="1013">
        <f>IF('[2]BASE'!E50=0,"",'[2]BASE'!E50)</f>
        <v>500</v>
      </c>
      <c r="F50" s="1013">
        <f>IF('[2]BASE'!F50=0,"",'[2]BASE'!F50)</f>
        <v>386.7</v>
      </c>
      <c r="G50" s="1014">
        <f>IF('[2]BASE'!G50=0,"",'[2]BASE'!G50)</f>
      </c>
      <c r="H50" s="1011">
        <f>IF('[2]BASE'!GB50=0,"",'[2]BASE'!GB50)</f>
      </c>
      <c r="I50" s="1011">
        <f>IF('[2]BASE'!GC50=0,"",'[2]BASE'!GC50)</f>
      </c>
      <c r="J50" s="1011">
        <f>IF('[2]BASE'!GD50=0,"",'[2]BASE'!GD50)</f>
      </c>
      <c r="K50" s="1011">
        <f>IF('[2]BASE'!GE50=0,"",'[2]BASE'!GE50)</f>
      </c>
      <c r="L50" s="1011">
        <f>IF('[2]BASE'!GF50=0,"",'[2]BASE'!GF50)</f>
      </c>
      <c r="M50" s="1011">
        <f>IF('[2]BASE'!GG50=0,"",'[2]BASE'!GG50)</f>
      </c>
      <c r="N50" s="1011">
        <f>IF('[2]BASE'!GH50=0,"",'[2]BASE'!GH50)</f>
      </c>
      <c r="O50" s="1011">
        <f>IF('[2]BASE'!GI50=0,"",'[2]BASE'!GI50)</f>
      </c>
      <c r="P50" s="1011">
        <f>IF('[2]BASE'!GJ50=0,"",'[2]BASE'!GJ50)</f>
      </c>
      <c r="Q50" s="1011">
        <f>IF('[2]BASE'!GK50=0,"",'[2]BASE'!GK50)</f>
      </c>
      <c r="R50" s="1011">
        <f>IF('[2]BASE'!GL50=0,"",'[2]BASE'!GL50)</f>
      </c>
      <c r="S50" s="1011">
        <f>IF('[2]BASE'!GM50=0,"",'[2]BASE'!GM50)</f>
      </c>
      <c r="T50" s="1012"/>
      <c r="U50" s="1008"/>
    </row>
    <row r="51" spans="2:21" s="1002" customFormat="1" ht="19.5" customHeight="1">
      <c r="B51" s="1003"/>
      <c r="C51" s="1015">
        <f>IF('[2]BASE'!C51=0,"",'[2]BASE'!C51)</f>
        <v>35</v>
      </c>
      <c r="D51" s="1015" t="str">
        <f>IF('[2]BASE'!D51=0,"",'[2]BASE'!D51)</f>
        <v>P.del AGUILA  - CHO. W. 1 (5GW1)</v>
      </c>
      <c r="E51" s="1015">
        <f>IF('[2]BASE'!E51=0,"",'[2]BASE'!E51)</f>
        <v>500</v>
      </c>
      <c r="F51" s="1015">
        <f>IF('[2]BASE'!F51=0,"",'[2]BASE'!F51)</f>
        <v>165</v>
      </c>
      <c r="G51" s="1016" t="str">
        <f>IF('[2]BASE'!G51=0,"",'[2]BASE'!G51)</f>
        <v>A</v>
      </c>
      <c r="H51" s="1011">
        <f>IF('[2]BASE'!GB51=0,"",'[2]BASE'!GB51)</f>
      </c>
      <c r="I51" s="1011">
        <f>IF('[2]BASE'!GC51=0,"",'[2]BASE'!GC51)</f>
      </c>
      <c r="J51" s="1011">
        <f>IF('[2]BASE'!GD51=0,"",'[2]BASE'!GD51)</f>
      </c>
      <c r="K51" s="1011">
        <f>IF('[2]BASE'!GE51=0,"",'[2]BASE'!GE51)</f>
        <v>2</v>
      </c>
      <c r="L51" s="1011">
        <f>IF('[2]BASE'!GF51=0,"",'[2]BASE'!GF51)</f>
      </c>
      <c r="M51" s="1011">
        <f>IF('[2]BASE'!GG51=0,"",'[2]BASE'!GG51)</f>
      </c>
      <c r="N51" s="1011">
        <f>IF('[2]BASE'!GH51=0,"",'[2]BASE'!GH51)</f>
      </c>
      <c r="O51" s="1011">
        <f>IF('[2]BASE'!GI51=0,"",'[2]BASE'!GI51)</f>
      </c>
      <c r="P51" s="1011">
        <f>IF('[2]BASE'!GJ51=0,"",'[2]BASE'!GJ51)</f>
      </c>
      <c r="Q51" s="1011">
        <f>IF('[2]BASE'!GK51=0,"",'[2]BASE'!GK51)</f>
      </c>
      <c r="R51" s="1011">
        <f>IF('[2]BASE'!GL51=0,"",'[2]BASE'!GL51)</f>
      </c>
      <c r="S51" s="1011">
        <f>IF('[2]BASE'!GM51=0,"",'[2]BASE'!GM51)</f>
      </c>
      <c r="T51" s="1012"/>
      <c r="U51" s="1008"/>
    </row>
    <row r="52" spans="2:21" s="1002" customFormat="1" ht="19.5" customHeight="1">
      <c r="B52" s="1003"/>
      <c r="C52" s="1013">
        <f>IF('[2]BASE'!C52=0,"",'[2]BASE'!C52)</f>
        <v>36</v>
      </c>
      <c r="D52" s="1013" t="str">
        <f>IF('[2]BASE'!D52=0,"",'[2]BASE'!D52)</f>
        <v>P.del AGUILA  - CHO. W. 2 (5GW2)</v>
      </c>
      <c r="E52" s="1013">
        <f>IF('[2]BASE'!E52=0,"",'[2]BASE'!E52)</f>
        <v>500</v>
      </c>
      <c r="F52" s="1013">
        <f>IF('[2]BASE'!F52=0,"",'[2]BASE'!F52)</f>
        <v>170</v>
      </c>
      <c r="G52" s="1014" t="str">
        <f>IF('[2]BASE'!G52=0,"",'[2]BASE'!G52)</f>
        <v>A</v>
      </c>
      <c r="H52" s="1011">
        <f>IF('[2]BASE'!GB52=0,"",'[2]BASE'!GB52)</f>
      </c>
      <c r="I52" s="1011">
        <f>IF('[2]BASE'!GC52=0,"",'[2]BASE'!GC52)</f>
      </c>
      <c r="J52" s="1011">
        <f>IF('[2]BASE'!GD52=0,"",'[2]BASE'!GD52)</f>
      </c>
      <c r="K52" s="1011">
        <f>IF('[2]BASE'!GE52=0,"",'[2]BASE'!GE52)</f>
      </c>
      <c r="L52" s="1011">
        <f>IF('[2]BASE'!GF52=0,"",'[2]BASE'!GF52)</f>
      </c>
      <c r="M52" s="1011">
        <f>IF('[2]BASE'!GG52=0,"",'[2]BASE'!GG52)</f>
      </c>
      <c r="N52" s="1011">
        <f>IF('[2]BASE'!GH52=0,"",'[2]BASE'!GH52)</f>
      </c>
      <c r="O52" s="1011">
        <f>IF('[2]BASE'!GI52=0,"",'[2]BASE'!GI52)</f>
      </c>
      <c r="P52" s="1011">
        <f>IF('[2]BASE'!GJ52=0,"",'[2]BASE'!GJ52)</f>
      </c>
      <c r="Q52" s="1011">
        <f>IF('[2]BASE'!GK52=0,"",'[2]BASE'!GK52)</f>
      </c>
      <c r="R52" s="1011">
        <f>IF('[2]BASE'!GL52=0,"",'[2]BASE'!GL52)</f>
      </c>
      <c r="S52" s="1011">
        <f>IF('[2]BASE'!GM52=0,"",'[2]BASE'!GM52)</f>
      </c>
      <c r="T52" s="1012"/>
      <c r="U52" s="1008"/>
    </row>
    <row r="53" spans="2:21" s="1002" customFormat="1" ht="19.5" customHeight="1">
      <c r="B53" s="1003"/>
      <c r="C53" s="1015">
        <f>IF('[2]BASE'!C53=0,"",'[2]BASE'!C53)</f>
        <v>37</v>
      </c>
      <c r="D53" s="1015" t="str">
        <f>IF('[2]BASE'!D53=0,"",'[2]BASE'!D53)</f>
        <v>PUELCHES - HENDERSON 1 (B1)</v>
      </c>
      <c r="E53" s="1015">
        <f>IF('[2]BASE'!E53=0,"",'[2]BASE'!E53)</f>
        <v>500</v>
      </c>
      <c r="F53" s="1015">
        <f>IF('[2]BASE'!F53=0,"",'[2]BASE'!F53)</f>
        <v>421</v>
      </c>
      <c r="G53" s="1016" t="str">
        <f>IF('[2]BASE'!G53=0,"",'[2]BASE'!G53)</f>
        <v>A</v>
      </c>
      <c r="H53" s="1011">
        <f>IF('[2]BASE'!GB53=0,"",'[2]BASE'!GB53)</f>
      </c>
      <c r="I53" s="1011">
        <f>IF('[2]BASE'!GC53=0,"",'[2]BASE'!GC53)</f>
      </c>
      <c r="J53" s="1011">
        <f>IF('[2]BASE'!GD53=0,"",'[2]BASE'!GD53)</f>
      </c>
      <c r="K53" s="1011">
        <f>IF('[2]BASE'!GE53=0,"",'[2]BASE'!GE53)</f>
      </c>
      <c r="L53" s="1011">
        <f>IF('[2]BASE'!GF53=0,"",'[2]BASE'!GF53)</f>
      </c>
      <c r="M53" s="1011">
        <f>IF('[2]BASE'!GG53=0,"",'[2]BASE'!GG53)</f>
      </c>
      <c r="N53" s="1011">
        <f>IF('[2]BASE'!GH53=0,"",'[2]BASE'!GH53)</f>
      </c>
      <c r="O53" s="1011">
        <f>IF('[2]BASE'!GI53=0,"",'[2]BASE'!GI53)</f>
      </c>
      <c r="P53" s="1011">
        <f>IF('[2]BASE'!GJ53=0,"",'[2]BASE'!GJ53)</f>
      </c>
      <c r="Q53" s="1011">
        <f>IF('[2]BASE'!GK53=0,"",'[2]BASE'!GK53)</f>
      </c>
      <c r="R53" s="1011">
        <f>IF('[2]BASE'!GL53=0,"",'[2]BASE'!GL53)</f>
      </c>
      <c r="S53" s="1011">
        <f>IF('[2]BASE'!GM53=0,"",'[2]BASE'!GM53)</f>
      </c>
      <c r="T53" s="1012"/>
      <c r="U53" s="1008"/>
    </row>
    <row r="54" spans="2:21" s="1002" customFormat="1" ht="19.5" customHeight="1">
      <c r="B54" s="1003"/>
      <c r="C54" s="1013">
        <f>IF('[2]BASE'!C54=0,"",'[2]BASE'!C54)</f>
        <v>38</v>
      </c>
      <c r="D54" s="1013" t="str">
        <f>IF('[2]BASE'!D54=0,"",'[2]BASE'!D54)</f>
        <v>PUELCHES - HENDERSON 2 (B2)</v>
      </c>
      <c r="E54" s="1013">
        <f>IF('[2]BASE'!E54=0,"",'[2]BASE'!E54)</f>
        <v>500</v>
      </c>
      <c r="F54" s="1013">
        <f>IF('[2]BASE'!F54=0,"",'[2]BASE'!F54)</f>
        <v>421</v>
      </c>
      <c r="G54" s="1014" t="str">
        <f>IF('[2]BASE'!G54=0,"",'[2]BASE'!G54)</f>
        <v>A</v>
      </c>
      <c r="H54" s="1011" t="str">
        <f>IF('[2]BASE'!GB54=0,"",'[2]BASE'!GB54)</f>
        <v>XXXX</v>
      </c>
      <c r="I54" s="1011" t="str">
        <f>IF('[2]BASE'!GC54=0,"",'[2]BASE'!GC54)</f>
        <v>XXXX</v>
      </c>
      <c r="J54" s="1011" t="str">
        <f>IF('[2]BASE'!GD54=0,"",'[2]BASE'!GD54)</f>
        <v>XXXX</v>
      </c>
      <c r="K54" s="1011" t="str">
        <f>IF('[2]BASE'!GE54=0,"",'[2]BASE'!GE54)</f>
        <v>XXXX</v>
      </c>
      <c r="L54" s="1011" t="str">
        <f>IF('[2]BASE'!GF54=0,"",'[2]BASE'!GF54)</f>
        <v>XXXX</v>
      </c>
      <c r="M54" s="1011" t="str">
        <f>IF('[2]BASE'!GG54=0,"",'[2]BASE'!GG54)</f>
        <v>XXXX</v>
      </c>
      <c r="N54" s="1011" t="str">
        <f>IF('[2]BASE'!GH54=0,"",'[2]BASE'!GH54)</f>
        <v>XXXX</v>
      </c>
      <c r="O54" s="1011" t="str">
        <f>IF('[2]BASE'!GI54=0,"",'[2]BASE'!GI54)</f>
        <v>XXXX</v>
      </c>
      <c r="P54" s="1011" t="str">
        <f>IF('[2]BASE'!GJ54=0,"",'[2]BASE'!GJ54)</f>
        <v>XXXX</v>
      </c>
      <c r="Q54" s="1011" t="str">
        <f>IF('[2]BASE'!GK54=0,"",'[2]BASE'!GK54)</f>
        <v>XXXX</v>
      </c>
      <c r="R54" s="1011" t="str">
        <f>IF('[2]BASE'!GL54=0,"",'[2]BASE'!GL54)</f>
        <v>XXXX</v>
      </c>
      <c r="S54" s="1011" t="str">
        <f>IF('[2]BASE'!GM54=0,"",'[2]BASE'!GM54)</f>
        <v>XXXX</v>
      </c>
      <c r="T54" s="1012"/>
      <c r="U54" s="1008"/>
    </row>
    <row r="55" spans="2:21" s="1002" customFormat="1" ht="19.5" customHeight="1">
      <c r="B55" s="1003"/>
      <c r="C55" s="1015">
        <f>IF('[2]BASE'!C55=0,"",'[2]BASE'!C55)</f>
        <v>39</v>
      </c>
      <c r="D55" s="1015" t="str">
        <f>IF('[2]BASE'!D55=0,"",'[2]BASE'!D55)</f>
        <v>RECREO - MALVINAS ARG. </v>
      </c>
      <c r="E55" s="1015">
        <f>IF('[2]BASE'!E55=0,"",'[2]BASE'!E55)</f>
        <v>500</v>
      </c>
      <c r="F55" s="1015">
        <f>IF('[2]BASE'!F55=0,"",'[2]BASE'!F55)</f>
        <v>259</v>
      </c>
      <c r="G55" s="1016" t="str">
        <f>IF('[2]BASE'!G55=0,"",'[2]BASE'!G55)</f>
        <v>C</v>
      </c>
      <c r="H55" s="1011">
        <f>IF('[2]BASE'!GB55=0,"",'[2]BASE'!GB55)</f>
      </c>
      <c r="I55" s="1011">
        <f>IF('[2]BASE'!GC55=0,"",'[2]BASE'!GC55)</f>
      </c>
      <c r="J55" s="1011">
        <f>IF('[2]BASE'!GD55=0,"",'[2]BASE'!GD55)</f>
      </c>
      <c r="K55" s="1011">
        <f>IF('[2]BASE'!GE55=0,"",'[2]BASE'!GE55)</f>
      </c>
      <c r="L55" s="1011">
        <f>IF('[2]BASE'!GF55=0,"",'[2]BASE'!GF55)</f>
      </c>
      <c r="M55" s="1011">
        <f>IF('[2]BASE'!GG55=0,"",'[2]BASE'!GG55)</f>
      </c>
      <c r="N55" s="1011">
        <f>IF('[2]BASE'!GH55=0,"",'[2]BASE'!GH55)</f>
      </c>
      <c r="O55" s="1011">
        <f>IF('[2]BASE'!GI55=0,"",'[2]BASE'!GI55)</f>
      </c>
      <c r="P55" s="1011">
        <f>IF('[2]BASE'!GJ55=0,"",'[2]BASE'!GJ55)</f>
      </c>
      <c r="Q55" s="1011">
        <f>IF('[2]BASE'!GK55=0,"",'[2]BASE'!GK55)</f>
      </c>
      <c r="R55" s="1011">
        <f>IF('[2]BASE'!GL55=0,"",'[2]BASE'!GL55)</f>
      </c>
      <c r="S55" s="1011">
        <f>IF('[2]BASE'!GM55=0,"",'[2]BASE'!GM55)</f>
      </c>
      <c r="T55" s="1012"/>
      <c r="U55" s="1008"/>
    </row>
    <row r="56" spans="2:21" s="1002" customFormat="1" ht="19.5" customHeight="1">
      <c r="B56" s="1003"/>
      <c r="C56" s="1013">
        <f>IF('[2]BASE'!C56=0,"",'[2]BASE'!C56)</f>
        <v>40</v>
      </c>
      <c r="D56" s="1013" t="str">
        <f>IF('[2]BASE'!D56=0,"",'[2]BASE'!D56)</f>
        <v>RIO GRANDE - EMBALSE</v>
      </c>
      <c r="E56" s="1013">
        <f>IF('[2]BASE'!E56=0,"",'[2]BASE'!E56)</f>
        <v>500</v>
      </c>
      <c r="F56" s="1013">
        <f>IF('[2]BASE'!F56=0,"",'[2]BASE'!F56)</f>
        <v>30</v>
      </c>
      <c r="G56" s="1014" t="str">
        <f>IF('[2]BASE'!G56=0,"",'[2]BASE'!G56)</f>
        <v>B</v>
      </c>
      <c r="H56" s="1011">
        <f>IF('[2]BASE'!GB56=0,"",'[2]BASE'!GB56)</f>
      </c>
      <c r="I56" s="1011">
        <f>IF('[2]BASE'!GC56=0,"",'[2]BASE'!GC56)</f>
      </c>
      <c r="J56" s="1011">
        <f>IF('[2]BASE'!GD56=0,"",'[2]BASE'!GD56)</f>
        <v>1</v>
      </c>
      <c r="K56" s="1011">
        <f>IF('[2]BASE'!GE56=0,"",'[2]BASE'!GE56)</f>
      </c>
      <c r="L56" s="1011">
        <f>IF('[2]BASE'!GF56=0,"",'[2]BASE'!GF56)</f>
      </c>
      <c r="M56" s="1011">
        <f>IF('[2]BASE'!GG56=0,"",'[2]BASE'!GG56)</f>
      </c>
      <c r="N56" s="1011">
        <f>IF('[2]BASE'!GH56=0,"",'[2]BASE'!GH56)</f>
      </c>
      <c r="O56" s="1011">
        <f>IF('[2]BASE'!GI56=0,"",'[2]BASE'!GI56)</f>
      </c>
      <c r="P56" s="1011">
        <f>IF('[2]BASE'!GJ56=0,"",'[2]BASE'!GJ56)</f>
      </c>
      <c r="Q56" s="1011">
        <f>IF('[2]BASE'!GK56=0,"",'[2]BASE'!GK56)</f>
      </c>
      <c r="R56" s="1011">
        <f>IF('[2]BASE'!GL56=0,"",'[2]BASE'!GL56)</f>
      </c>
      <c r="S56" s="1011">
        <f>IF('[2]BASE'!GM56=0,"",'[2]BASE'!GM56)</f>
      </c>
      <c r="T56" s="1012"/>
      <c r="U56" s="1008"/>
    </row>
    <row r="57" spans="2:21" s="1002" customFormat="1" ht="19.5" customHeight="1">
      <c r="B57" s="1003"/>
      <c r="C57" s="1015">
        <f>IF('[2]BASE'!C57=0,"",'[2]BASE'!C57)</f>
        <v>41</v>
      </c>
      <c r="D57" s="1015" t="str">
        <f>IF('[2]BASE'!D57=0,"",'[2]BASE'!D57)</f>
        <v>RIO GRANDE - GRAN MENDOZA</v>
      </c>
      <c r="E57" s="1015">
        <f>IF('[2]BASE'!E57=0,"",'[2]BASE'!E57)</f>
        <v>500</v>
      </c>
      <c r="F57" s="1015">
        <f>IF('[2]BASE'!F57=0,"",'[2]BASE'!F57)</f>
        <v>407</v>
      </c>
      <c r="G57" s="1016" t="str">
        <f>IF('[2]BASE'!G57=0,"",'[2]BASE'!G57)</f>
        <v>B</v>
      </c>
      <c r="H57" s="1011" t="str">
        <f>IF('[2]BASE'!GB57=0,"",'[2]BASE'!GB57)</f>
        <v>XXXX</v>
      </c>
      <c r="I57" s="1011" t="str">
        <f>IF('[2]BASE'!GC57=0,"",'[2]BASE'!GC57)</f>
        <v>XXXX</v>
      </c>
      <c r="J57" s="1011" t="str">
        <f>IF('[2]BASE'!GD57=0,"",'[2]BASE'!GD57)</f>
        <v>XXXX</v>
      </c>
      <c r="K57" s="1011" t="str">
        <f>IF('[2]BASE'!GE57=0,"",'[2]BASE'!GE57)</f>
        <v>XXXX</v>
      </c>
      <c r="L57" s="1011" t="str">
        <f>IF('[2]BASE'!GF57=0,"",'[2]BASE'!GF57)</f>
        <v>XXXX</v>
      </c>
      <c r="M57" s="1011" t="str">
        <f>IF('[2]BASE'!GG57=0,"",'[2]BASE'!GG57)</f>
        <v>XXXX</v>
      </c>
      <c r="N57" s="1011" t="str">
        <f>IF('[2]BASE'!GH57=0,"",'[2]BASE'!GH57)</f>
        <v>XXXX</v>
      </c>
      <c r="O57" s="1011" t="str">
        <f>IF('[2]BASE'!GI57=0,"",'[2]BASE'!GI57)</f>
        <v>XXXX</v>
      </c>
      <c r="P57" s="1011" t="str">
        <f>IF('[2]BASE'!GJ57=0,"",'[2]BASE'!GJ57)</f>
        <v>XXXX</v>
      </c>
      <c r="Q57" s="1011" t="str">
        <f>IF('[2]BASE'!GK57=0,"",'[2]BASE'!GK57)</f>
        <v>XXXX</v>
      </c>
      <c r="R57" s="1011" t="str">
        <f>IF('[2]BASE'!GL57=0,"",'[2]BASE'!GL57)</f>
        <v>XXXX</v>
      </c>
      <c r="S57" s="1011" t="str">
        <f>IF('[2]BASE'!GM57=0,"",'[2]BASE'!GM57)</f>
        <v>XXXX</v>
      </c>
      <c r="T57" s="1012"/>
      <c r="U57" s="1008"/>
    </row>
    <row r="58" spans="2:21" s="1002" customFormat="1" ht="19.5" customHeight="1">
      <c r="B58" s="1003"/>
      <c r="C58" s="1013">
        <f>IF('[2]BASE'!C58=0,"",'[2]BASE'!C58)</f>
        <v>42</v>
      </c>
      <c r="D58" s="1013" t="str">
        <f>IF('[2]BASE'!D58=0,"",'[2]BASE'!D58)</f>
        <v>RIO GRANDE - LUJAN</v>
      </c>
      <c r="E58" s="1013">
        <f>IF('[2]BASE'!E58=0,"",'[2]BASE'!E58)</f>
        <v>500</v>
      </c>
      <c r="F58" s="1013">
        <f>IF('[2]BASE'!F58=0,"",'[2]BASE'!F58)</f>
        <v>150</v>
      </c>
      <c r="G58" s="1014" t="str">
        <f>IF('[2]BASE'!G58=0,"",'[2]BASE'!G58)</f>
        <v>A</v>
      </c>
      <c r="H58" s="1011">
        <f>IF('[2]BASE'!GB58=0,"",'[2]BASE'!GB58)</f>
      </c>
      <c r="I58" s="1011">
        <f>IF('[2]BASE'!GC58=0,"",'[2]BASE'!GC58)</f>
      </c>
      <c r="J58" s="1011">
        <f>IF('[2]BASE'!GD58=0,"",'[2]BASE'!GD58)</f>
      </c>
      <c r="K58" s="1011">
        <f>IF('[2]BASE'!GE58=0,"",'[2]BASE'!GE58)</f>
        <v>3</v>
      </c>
      <c r="L58" s="1011">
        <f>IF('[2]BASE'!GF58=0,"",'[2]BASE'!GF58)</f>
      </c>
      <c r="M58" s="1011">
        <f>IF('[2]BASE'!GG58=0,"",'[2]BASE'!GG58)</f>
      </c>
      <c r="N58" s="1011">
        <f>IF('[2]BASE'!GH58=0,"",'[2]BASE'!GH58)</f>
      </c>
      <c r="O58" s="1011">
        <f>IF('[2]BASE'!GI58=0,"",'[2]BASE'!GI58)</f>
      </c>
      <c r="P58" s="1011">
        <f>IF('[2]BASE'!GJ58=0,"",'[2]BASE'!GJ58)</f>
      </c>
      <c r="Q58" s="1011">
        <f>IF('[2]BASE'!GK58=0,"",'[2]BASE'!GK58)</f>
      </c>
      <c r="R58" s="1011">
        <f>IF('[2]BASE'!GL58=0,"",'[2]BASE'!GL58)</f>
      </c>
      <c r="S58" s="1011">
        <f>IF('[2]BASE'!GM58=0,"",'[2]BASE'!GM58)</f>
      </c>
      <c r="T58" s="1012"/>
      <c r="U58" s="1008"/>
    </row>
    <row r="59" spans="2:21" s="1002" customFormat="1" ht="19.5" customHeight="1">
      <c r="B59" s="1003"/>
      <c r="C59" s="1015">
        <f>IF('[2]BASE'!C59=0,"",'[2]BASE'!C59)</f>
        <v>43</v>
      </c>
      <c r="D59" s="1015" t="str">
        <f>IF('[2]BASE'!D59=0,"",'[2]BASE'!D59)</f>
        <v>LUJAN - GRAN MENDOZA</v>
      </c>
      <c r="E59" s="1015">
        <f>IF('[2]BASE'!E59=0,"",'[2]BASE'!E59)</f>
        <v>500</v>
      </c>
      <c r="F59" s="1015">
        <f>IF('[2]BASE'!F59=0,"",'[2]BASE'!F59)</f>
        <v>257</v>
      </c>
      <c r="G59" s="1016" t="str">
        <f>IF('[2]BASE'!G59=0,"",'[2]BASE'!G59)</f>
        <v>B</v>
      </c>
      <c r="H59" s="1011">
        <f>IF('[2]BASE'!GB59=0,"",'[2]BASE'!GB59)</f>
      </c>
      <c r="I59" s="1011">
        <f>IF('[2]BASE'!GC59=0,"",'[2]BASE'!GC59)</f>
      </c>
      <c r="J59" s="1011">
        <f>IF('[2]BASE'!GD59=0,"",'[2]BASE'!GD59)</f>
      </c>
      <c r="K59" s="1011">
        <f>IF('[2]BASE'!GE59=0,"",'[2]BASE'!GE59)</f>
        <v>1</v>
      </c>
      <c r="L59" s="1011">
        <f>IF('[2]BASE'!GF59=0,"",'[2]BASE'!GF59)</f>
      </c>
      <c r="M59" s="1011">
        <f>IF('[2]BASE'!GG59=0,"",'[2]BASE'!GG59)</f>
      </c>
      <c r="N59" s="1011">
        <f>IF('[2]BASE'!GH59=0,"",'[2]BASE'!GH59)</f>
      </c>
      <c r="O59" s="1011">
        <f>IF('[2]BASE'!GI59=0,"",'[2]BASE'!GI59)</f>
      </c>
      <c r="P59" s="1011">
        <f>IF('[2]BASE'!GJ59=0,"",'[2]BASE'!GJ59)</f>
      </c>
      <c r="Q59" s="1011">
        <f>IF('[2]BASE'!GK59=0,"",'[2]BASE'!GK59)</f>
      </c>
      <c r="R59" s="1011">
        <f>IF('[2]BASE'!GL59=0,"",'[2]BASE'!GL59)</f>
      </c>
      <c r="S59" s="1011">
        <f>IF('[2]BASE'!GM59=0,"",'[2]BASE'!GM59)</f>
      </c>
      <c r="T59" s="1012"/>
      <c r="U59" s="1008"/>
    </row>
    <row r="60" spans="2:21" s="1002" customFormat="1" ht="19.5" customHeight="1">
      <c r="B60" s="1003"/>
      <c r="C60" s="1013">
        <f>IF('[2]BASE'!C60=0,"",'[2]BASE'!C60)</f>
        <v>44</v>
      </c>
      <c r="D60" s="1013" t="str">
        <f>IF('[2]BASE'!D60=0,"",'[2]BASE'!D60)</f>
        <v>ROMANG - RESISTENCIA</v>
      </c>
      <c r="E60" s="1013">
        <f>IF('[2]BASE'!E60=0,"",'[2]BASE'!E60)</f>
        <v>500</v>
      </c>
      <c r="F60" s="1013">
        <f>IF('[2]BASE'!F60=0,"",'[2]BASE'!F60)</f>
        <v>256</v>
      </c>
      <c r="G60" s="1014" t="str">
        <f>IF('[2]BASE'!G60=0,"",'[2]BASE'!G60)</f>
        <v>A</v>
      </c>
      <c r="H60" s="1011">
        <f>IF('[2]BASE'!GB60=0,"",'[2]BASE'!GB60)</f>
        <v>1</v>
      </c>
      <c r="I60" s="1011">
        <f>IF('[2]BASE'!GC60=0,"",'[2]BASE'!GC60)</f>
      </c>
      <c r="J60" s="1011">
        <f>IF('[2]BASE'!GD60=0,"",'[2]BASE'!GD60)</f>
        <v>1</v>
      </c>
      <c r="K60" s="1011">
        <f>IF('[2]BASE'!GE60=0,"",'[2]BASE'!GE60)</f>
      </c>
      <c r="L60" s="1011">
        <f>IF('[2]BASE'!GF60=0,"",'[2]BASE'!GF60)</f>
      </c>
      <c r="M60" s="1011">
        <f>IF('[2]BASE'!GG60=0,"",'[2]BASE'!GG60)</f>
      </c>
      <c r="N60" s="1011">
        <f>IF('[2]BASE'!GH60=0,"",'[2]BASE'!GH60)</f>
      </c>
      <c r="O60" s="1011">
        <f>IF('[2]BASE'!GI60=0,"",'[2]BASE'!GI60)</f>
      </c>
      <c r="P60" s="1011">
        <f>IF('[2]BASE'!GJ60=0,"",'[2]BASE'!GJ60)</f>
      </c>
      <c r="Q60" s="1011">
        <f>IF('[2]BASE'!GK60=0,"",'[2]BASE'!GK60)</f>
      </c>
      <c r="R60" s="1011">
        <f>IF('[2]BASE'!GL60=0,"",'[2]BASE'!GL60)</f>
      </c>
      <c r="S60" s="1011">
        <f>IF('[2]BASE'!GM60=0,"",'[2]BASE'!GM60)</f>
      </c>
      <c r="T60" s="1012"/>
      <c r="U60" s="1008"/>
    </row>
    <row r="61" spans="2:21" s="1002" customFormat="1" ht="19.5" customHeight="1">
      <c r="B61" s="1003"/>
      <c r="C61" s="1015">
        <f>IF('[2]BASE'!C61=0,"",'[2]BASE'!C61)</f>
        <v>45</v>
      </c>
      <c r="D61" s="1015" t="str">
        <f>IF('[2]BASE'!D61=0,"",'[2]BASE'!D61)</f>
        <v>ROSARIO OESTE -SANTO TOME</v>
      </c>
      <c r="E61" s="1015">
        <f>IF('[2]BASE'!E61=0,"",'[2]BASE'!E61)</f>
        <v>500</v>
      </c>
      <c r="F61" s="1015">
        <f>IF('[2]BASE'!F61=0,"",'[2]BASE'!F61)</f>
        <v>159</v>
      </c>
      <c r="G61" s="1016" t="str">
        <f>IF('[2]BASE'!G61=0,"",'[2]BASE'!G61)</f>
        <v>C</v>
      </c>
      <c r="H61" s="1011">
        <f>IF('[2]BASE'!GB61=0,"",'[2]BASE'!GB61)</f>
        <v>1</v>
      </c>
      <c r="I61" s="1011">
        <f>IF('[2]BASE'!GC61=0,"",'[2]BASE'!GC61)</f>
      </c>
      <c r="J61" s="1011">
        <f>IF('[2]BASE'!GD61=0,"",'[2]BASE'!GD61)</f>
      </c>
      <c r="K61" s="1011">
        <f>IF('[2]BASE'!GE61=0,"",'[2]BASE'!GE61)</f>
      </c>
      <c r="L61" s="1011">
        <f>IF('[2]BASE'!GF61=0,"",'[2]BASE'!GF61)</f>
      </c>
      <c r="M61" s="1011">
        <f>IF('[2]BASE'!GG61=0,"",'[2]BASE'!GG61)</f>
      </c>
      <c r="N61" s="1011">
        <f>IF('[2]BASE'!GH61=0,"",'[2]BASE'!GH61)</f>
      </c>
      <c r="O61" s="1011">
        <f>IF('[2]BASE'!GI61=0,"",'[2]BASE'!GI61)</f>
      </c>
      <c r="P61" s="1011">
        <f>IF('[2]BASE'!GJ61=0,"",'[2]BASE'!GJ61)</f>
      </c>
      <c r="Q61" s="1011">
        <f>IF('[2]BASE'!GK61=0,"",'[2]BASE'!GK61)</f>
      </c>
      <c r="R61" s="1011">
        <f>IF('[2]BASE'!GL61=0,"",'[2]BASE'!GL61)</f>
      </c>
      <c r="S61" s="1011">
        <f>IF('[2]BASE'!GM61=0,"",'[2]BASE'!GM61)</f>
        <v>1</v>
      </c>
      <c r="T61" s="1012"/>
      <c r="U61" s="1008"/>
    </row>
    <row r="62" spans="2:21" s="1002" customFormat="1" ht="19.5" customHeight="1">
      <c r="B62" s="1003"/>
      <c r="C62" s="1013">
        <f>IF('[2]BASE'!C62=0,"",'[2]BASE'!C62)</f>
        <v>46</v>
      </c>
      <c r="D62" s="1013" t="str">
        <f>IF('[2]BASE'!D62=0,"",'[2]BASE'!D62)</f>
        <v>SALTO GRANDE - SANTO TOME </v>
      </c>
      <c r="E62" s="1013">
        <f>IF('[2]BASE'!E62=0,"",'[2]BASE'!E62)</f>
        <v>500</v>
      </c>
      <c r="F62" s="1013">
        <f>IF('[2]BASE'!F62=0,"",'[2]BASE'!F62)</f>
        <v>289</v>
      </c>
      <c r="G62" s="1014" t="str">
        <f>IF('[2]BASE'!G62=0,"",'[2]BASE'!G62)</f>
        <v>C</v>
      </c>
      <c r="H62" s="1011">
        <f>IF('[2]BASE'!GB62=0,"",'[2]BASE'!GB62)</f>
      </c>
      <c r="I62" s="1011">
        <f>IF('[2]BASE'!GC62=0,"",'[2]BASE'!GC62)</f>
      </c>
      <c r="J62" s="1011">
        <f>IF('[2]BASE'!GD62=0,"",'[2]BASE'!GD62)</f>
      </c>
      <c r="K62" s="1011">
        <f>IF('[2]BASE'!GE62=0,"",'[2]BASE'!GE62)</f>
      </c>
      <c r="L62" s="1011">
        <f>IF('[2]BASE'!GF62=0,"",'[2]BASE'!GF62)</f>
      </c>
      <c r="M62" s="1011">
        <f>IF('[2]BASE'!GG62=0,"",'[2]BASE'!GG62)</f>
      </c>
      <c r="N62" s="1011">
        <f>IF('[2]BASE'!GH62=0,"",'[2]BASE'!GH62)</f>
      </c>
      <c r="O62" s="1011">
        <f>IF('[2]BASE'!GI62=0,"",'[2]BASE'!GI62)</f>
      </c>
      <c r="P62" s="1011">
        <f>IF('[2]BASE'!GJ62=0,"",'[2]BASE'!GJ62)</f>
      </c>
      <c r="Q62" s="1011">
        <f>IF('[2]BASE'!GK62=0,"",'[2]BASE'!GK62)</f>
      </c>
      <c r="R62" s="1011">
        <f>IF('[2]BASE'!GL62=0,"",'[2]BASE'!GL62)</f>
        <v>1</v>
      </c>
      <c r="S62" s="1011">
        <f>IF('[2]BASE'!GM62=0,"",'[2]BASE'!GM62)</f>
        <v>1</v>
      </c>
      <c r="T62" s="1012"/>
      <c r="U62" s="1008"/>
    </row>
    <row r="63" spans="2:21" s="1002" customFormat="1" ht="19.5" customHeight="1">
      <c r="B63" s="1003"/>
      <c r="C63" s="1015">
        <f>IF('[2]BASE'!C63=0,"",'[2]BASE'!C63)</f>
        <v>47</v>
      </c>
      <c r="D63" s="1015" t="str">
        <f>IF('[2]BASE'!D63=0,"",'[2]BASE'!D63)</f>
        <v>SANTO TOME - ROMANG </v>
      </c>
      <c r="E63" s="1015">
        <f>IF('[2]BASE'!E63=0,"",'[2]BASE'!E63)</f>
        <v>500</v>
      </c>
      <c r="F63" s="1015">
        <f>IF('[2]BASE'!F63=0,"",'[2]BASE'!F63)</f>
        <v>270</v>
      </c>
      <c r="G63" s="1016" t="str">
        <f>IF('[2]BASE'!G63=0,"",'[2]BASE'!G63)</f>
        <v>A</v>
      </c>
      <c r="H63" s="1011">
        <f>IF('[2]BASE'!GB63=0,"",'[2]BASE'!GB63)</f>
      </c>
      <c r="I63" s="1011">
        <f>IF('[2]BASE'!GC63=0,"",'[2]BASE'!GC63)</f>
      </c>
      <c r="J63" s="1011">
        <f>IF('[2]BASE'!GD63=0,"",'[2]BASE'!GD63)</f>
      </c>
      <c r="K63" s="1011">
        <f>IF('[2]BASE'!GE63=0,"",'[2]BASE'!GE63)</f>
      </c>
      <c r="L63" s="1011">
        <f>IF('[2]BASE'!GF63=0,"",'[2]BASE'!GF63)</f>
      </c>
      <c r="M63" s="1011">
        <f>IF('[2]BASE'!GG63=0,"",'[2]BASE'!GG63)</f>
      </c>
      <c r="N63" s="1011">
        <f>IF('[2]BASE'!GH63=0,"",'[2]BASE'!GH63)</f>
      </c>
      <c r="O63" s="1011">
        <f>IF('[2]BASE'!GI63=0,"",'[2]BASE'!GI63)</f>
      </c>
      <c r="P63" s="1011">
        <f>IF('[2]BASE'!GJ63=0,"",'[2]BASE'!GJ63)</f>
      </c>
      <c r="Q63" s="1011">
        <f>IF('[2]BASE'!GK63=0,"",'[2]BASE'!GK63)</f>
      </c>
      <c r="R63" s="1011">
        <f>IF('[2]BASE'!GL63=0,"",'[2]BASE'!GL63)</f>
      </c>
      <c r="S63" s="1011">
        <f>IF('[2]BASE'!GM63=0,"",'[2]BASE'!GM63)</f>
      </c>
      <c r="T63" s="1012"/>
      <c r="U63" s="1008"/>
    </row>
    <row r="64" spans="2:21" s="1002" customFormat="1" ht="9.75" customHeight="1">
      <c r="B64" s="1003"/>
      <c r="C64" s="1013">
        <f>IF('[2]BASE'!C64=0,"",'[2]BASE'!C64)</f>
      </c>
      <c r="D64" s="1013">
        <f>IF('[2]BASE'!D64=0,"",'[2]BASE'!D64)</f>
      </c>
      <c r="E64" s="1013">
        <f>IF('[2]BASE'!E64=0,"",'[2]BASE'!E64)</f>
      </c>
      <c r="F64" s="1013">
        <f>IF('[2]BASE'!F64=0,"",'[2]BASE'!F64)</f>
      </c>
      <c r="G64" s="1014">
        <f>IF('[2]BASE'!G64=0,"",'[2]BASE'!G64)</f>
      </c>
      <c r="H64" s="1011">
        <f>IF('[2]BASE'!GB64=0,"",'[2]BASE'!GB64)</f>
      </c>
      <c r="I64" s="1011">
        <f>IF('[2]BASE'!GC64=0,"",'[2]BASE'!GC64)</f>
      </c>
      <c r="J64" s="1011">
        <f>IF('[2]BASE'!GD64=0,"",'[2]BASE'!GD64)</f>
      </c>
      <c r="K64" s="1011">
        <f>IF('[2]BASE'!GE64=0,"",'[2]BASE'!GE64)</f>
      </c>
      <c r="L64" s="1011">
        <f>IF('[2]BASE'!GF64=0,"",'[2]BASE'!GF64)</f>
      </c>
      <c r="M64" s="1011">
        <f>IF('[2]BASE'!GG64=0,"",'[2]BASE'!GG64)</f>
      </c>
      <c r="N64" s="1011">
        <f>IF('[2]BASE'!GH64=0,"",'[2]BASE'!GH64)</f>
      </c>
      <c r="O64" s="1011">
        <f>IF('[2]BASE'!GI64=0,"",'[2]BASE'!GI64)</f>
      </c>
      <c r="P64" s="1011">
        <f>IF('[2]BASE'!GJ64=0,"",'[2]BASE'!GJ64)</f>
      </c>
      <c r="Q64" s="1011">
        <f>IF('[2]BASE'!GK64=0,"",'[2]BASE'!GK64)</f>
      </c>
      <c r="R64" s="1011">
        <f>IF('[2]BASE'!GL64=0,"",'[2]BASE'!GL64)</f>
      </c>
      <c r="S64" s="1011">
        <f>IF('[2]BASE'!GM64=0,"",'[2]BASE'!GM64)</f>
      </c>
      <c r="T64" s="1012"/>
      <c r="U64" s="1008"/>
    </row>
    <row r="65" spans="2:21" s="1002" customFormat="1" ht="19.5" customHeight="1">
      <c r="B65" s="1003"/>
      <c r="C65" s="1015">
        <f>IF('[2]BASE'!C65=0,"",'[2]BASE'!C65)</f>
        <v>48</v>
      </c>
      <c r="D65" s="1015" t="str">
        <f>IF('[2]BASE'!D65=0,"",'[2]BASE'!D65)</f>
        <v>GRAL. RODRIGUEZ - VILLA  LIA 1</v>
      </c>
      <c r="E65" s="1015">
        <f>IF('[2]BASE'!E65=0,"",'[2]BASE'!E65)</f>
        <v>220</v>
      </c>
      <c r="F65" s="1015">
        <f>IF('[2]BASE'!F65=0,"",'[2]BASE'!F65)</f>
        <v>61</v>
      </c>
      <c r="G65" s="1016" t="str">
        <f>IF('[2]BASE'!G65=0,"",'[2]BASE'!G65)</f>
        <v>C</v>
      </c>
      <c r="H65" s="1011">
        <f>IF('[2]BASE'!GB65=0,"",'[2]BASE'!GB65)</f>
      </c>
      <c r="I65" s="1011">
        <f>IF('[2]BASE'!GC65=0,"",'[2]BASE'!GC65)</f>
      </c>
      <c r="J65" s="1011">
        <f>IF('[2]BASE'!GD65=0,"",'[2]BASE'!GD65)</f>
        <v>1</v>
      </c>
      <c r="K65" s="1011">
        <f>IF('[2]BASE'!GE65=0,"",'[2]BASE'!GE65)</f>
      </c>
      <c r="L65" s="1011">
        <f>IF('[2]BASE'!GF65=0,"",'[2]BASE'!GF65)</f>
      </c>
      <c r="M65" s="1011">
        <f>IF('[2]BASE'!GG65=0,"",'[2]BASE'!GG65)</f>
      </c>
      <c r="N65" s="1011">
        <f>IF('[2]BASE'!GH65=0,"",'[2]BASE'!GH65)</f>
      </c>
      <c r="O65" s="1011">
        <f>IF('[2]BASE'!GI65=0,"",'[2]BASE'!GI65)</f>
      </c>
      <c r="P65" s="1011">
        <f>IF('[2]BASE'!GJ65=0,"",'[2]BASE'!GJ65)</f>
      </c>
      <c r="Q65" s="1011">
        <f>IF('[2]BASE'!GK65=0,"",'[2]BASE'!GK65)</f>
      </c>
      <c r="R65" s="1011">
        <f>IF('[2]BASE'!GL65=0,"",'[2]BASE'!GL65)</f>
      </c>
      <c r="S65" s="1011">
        <f>IF('[2]BASE'!GM65=0,"",'[2]BASE'!GM65)</f>
        <v>1</v>
      </c>
      <c r="T65" s="1012"/>
      <c r="U65" s="1008"/>
    </row>
    <row r="66" spans="2:21" s="1002" customFormat="1" ht="19.5" customHeight="1">
      <c r="B66" s="1003"/>
      <c r="C66" s="1013">
        <f>IF('[2]BASE'!C66=0,"",'[2]BASE'!C66)</f>
        <v>49</v>
      </c>
      <c r="D66" s="1013" t="str">
        <f>IF('[2]BASE'!D66=0,"",'[2]BASE'!D66)</f>
        <v>GRAL. RODRIGUEZ - VILLA  LIA 2</v>
      </c>
      <c r="E66" s="1013">
        <f>IF('[2]BASE'!E66=0,"",'[2]BASE'!E66)</f>
        <v>220</v>
      </c>
      <c r="F66" s="1013">
        <f>IF('[2]BASE'!F66=0,"",'[2]BASE'!F66)</f>
        <v>61</v>
      </c>
      <c r="G66" s="1014" t="str">
        <f>IF('[2]BASE'!G66=0,"",'[2]BASE'!G66)</f>
        <v>C</v>
      </c>
      <c r="H66" s="1011">
        <f>IF('[2]BASE'!GB66=0,"",'[2]BASE'!GB66)</f>
      </c>
      <c r="I66" s="1011">
        <f>IF('[2]BASE'!GC66=0,"",'[2]BASE'!GC66)</f>
      </c>
      <c r="J66" s="1011">
        <f>IF('[2]BASE'!GD66=0,"",'[2]BASE'!GD66)</f>
      </c>
      <c r="K66" s="1011">
        <f>IF('[2]BASE'!GE66=0,"",'[2]BASE'!GE66)</f>
      </c>
      <c r="L66" s="1011">
        <f>IF('[2]BASE'!GF66=0,"",'[2]BASE'!GF66)</f>
      </c>
      <c r="M66" s="1011">
        <f>IF('[2]BASE'!GG66=0,"",'[2]BASE'!GG66)</f>
      </c>
      <c r="N66" s="1011">
        <f>IF('[2]BASE'!GH66=0,"",'[2]BASE'!GH66)</f>
      </c>
      <c r="O66" s="1011">
        <f>IF('[2]BASE'!GI66=0,"",'[2]BASE'!GI66)</f>
      </c>
      <c r="P66" s="1011">
        <f>IF('[2]BASE'!GJ66=0,"",'[2]BASE'!GJ66)</f>
      </c>
      <c r="Q66" s="1011">
        <f>IF('[2]BASE'!GK66=0,"",'[2]BASE'!GK66)</f>
      </c>
      <c r="R66" s="1011">
        <f>IF('[2]BASE'!GL66=0,"",'[2]BASE'!GL66)</f>
      </c>
      <c r="S66" s="1011">
        <f>IF('[2]BASE'!GM66=0,"",'[2]BASE'!GM66)</f>
      </c>
      <c r="T66" s="1012"/>
      <c r="U66" s="1008"/>
    </row>
    <row r="67" spans="2:21" s="1002" customFormat="1" ht="19.5" customHeight="1">
      <c r="B67" s="1003"/>
      <c r="C67" s="1015">
        <f>IF('[2]BASE'!C67=0,"",'[2]BASE'!C67)</f>
        <v>50</v>
      </c>
      <c r="D67" s="1015" t="str">
        <f>IF('[2]BASE'!D67=0,"",'[2]BASE'!D67)</f>
        <v>RAMALLO - SAN NICOLAS (2)</v>
      </c>
      <c r="E67" s="1015">
        <f>IF('[2]BASE'!E67=0,"",'[2]BASE'!E67)</f>
        <v>220</v>
      </c>
      <c r="F67" s="1015">
        <f>IF('[2]BASE'!F67=0,"",'[2]BASE'!F67)</f>
        <v>6</v>
      </c>
      <c r="G67" s="1016" t="str">
        <f>IF('[2]BASE'!G67=0,"",'[2]BASE'!G67)</f>
        <v>C</v>
      </c>
      <c r="H67" s="1011">
        <f>IF('[2]BASE'!GB67=0,"",'[2]BASE'!GB67)</f>
      </c>
      <c r="I67" s="1011">
        <f>IF('[2]BASE'!GC67=0,"",'[2]BASE'!GC67)</f>
      </c>
      <c r="J67" s="1011">
        <f>IF('[2]BASE'!GD67=0,"",'[2]BASE'!GD67)</f>
      </c>
      <c r="K67" s="1011">
        <f>IF('[2]BASE'!GE67=0,"",'[2]BASE'!GE67)</f>
      </c>
      <c r="L67" s="1011">
        <f>IF('[2]BASE'!GF67=0,"",'[2]BASE'!GF67)</f>
      </c>
      <c r="M67" s="1011">
        <f>IF('[2]BASE'!GG67=0,"",'[2]BASE'!GG67)</f>
      </c>
      <c r="N67" s="1011">
        <f>IF('[2]BASE'!GH67=0,"",'[2]BASE'!GH67)</f>
      </c>
      <c r="O67" s="1011">
        <f>IF('[2]BASE'!GI67=0,"",'[2]BASE'!GI67)</f>
      </c>
      <c r="P67" s="1011">
        <f>IF('[2]BASE'!GJ67=0,"",'[2]BASE'!GJ67)</f>
      </c>
      <c r="Q67" s="1011">
        <f>IF('[2]BASE'!GK67=0,"",'[2]BASE'!GK67)</f>
      </c>
      <c r="R67" s="1011">
        <f>IF('[2]BASE'!GL67=0,"",'[2]BASE'!GL67)</f>
      </c>
      <c r="S67" s="1011">
        <f>IF('[2]BASE'!GM67=0,"",'[2]BASE'!GM67)</f>
      </c>
      <c r="T67" s="1012"/>
      <c r="U67" s="1008"/>
    </row>
    <row r="68" spans="2:21" s="1002" customFormat="1" ht="19.5" customHeight="1">
      <c r="B68" s="1003"/>
      <c r="C68" s="1013">
        <f>IF('[2]BASE'!C68=0,"",'[2]BASE'!C68)</f>
        <v>51</v>
      </c>
      <c r="D68" s="1013" t="str">
        <f>IF('[2]BASE'!D68=0,"",'[2]BASE'!D68)</f>
        <v>RAMALLO - SAN NICOLAS (1)</v>
      </c>
      <c r="E68" s="1013">
        <f>IF('[2]BASE'!E68=0,"",'[2]BASE'!E68)</f>
        <v>220</v>
      </c>
      <c r="F68" s="1013">
        <f>IF('[2]BASE'!F68=0,"",'[2]BASE'!F68)</f>
        <v>6</v>
      </c>
      <c r="G68" s="1014" t="str">
        <f>IF('[2]BASE'!G68=0,"",'[2]BASE'!G68)</f>
        <v>C</v>
      </c>
      <c r="H68" s="1011">
        <f>IF('[2]BASE'!GB68=0,"",'[2]BASE'!GB68)</f>
      </c>
      <c r="I68" s="1011">
        <f>IF('[2]BASE'!GC68=0,"",'[2]BASE'!GC68)</f>
      </c>
      <c r="J68" s="1011">
        <f>IF('[2]BASE'!GD68=0,"",'[2]BASE'!GD68)</f>
      </c>
      <c r="K68" s="1011">
        <f>IF('[2]BASE'!GE68=0,"",'[2]BASE'!GE68)</f>
      </c>
      <c r="L68" s="1011">
        <f>IF('[2]BASE'!GF68=0,"",'[2]BASE'!GF68)</f>
      </c>
      <c r="M68" s="1011">
        <f>IF('[2]BASE'!GG68=0,"",'[2]BASE'!GG68)</f>
      </c>
      <c r="N68" s="1011">
        <f>IF('[2]BASE'!GH68=0,"",'[2]BASE'!GH68)</f>
      </c>
      <c r="O68" s="1011">
        <f>IF('[2]BASE'!GI68=0,"",'[2]BASE'!GI68)</f>
      </c>
      <c r="P68" s="1011">
        <f>IF('[2]BASE'!GJ68=0,"",'[2]BASE'!GJ68)</f>
      </c>
      <c r="Q68" s="1011">
        <f>IF('[2]BASE'!GK68=0,"",'[2]BASE'!GK68)</f>
      </c>
      <c r="R68" s="1011">
        <f>IF('[2]BASE'!GL68=0,"",'[2]BASE'!GL68)</f>
      </c>
      <c r="S68" s="1011">
        <f>IF('[2]BASE'!GM68=0,"",'[2]BASE'!GM68)</f>
      </c>
      <c r="T68" s="1012"/>
      <c r="U68" s="1008"/>
    </row>
    <row r="69" spans="2:21" s="1002" customFormat="1" ht="19.5" customHeight="1">
      <c r="B69" s="1003"/>
      <c r="C69" s="1015">
        <f>IF('[2]BASE'!C69=0,"",'[2]BASE'!C69)</f>
        <v>52</v>
      </c>
      <c r="D69" s="1015" t="str">
        <f>IF('[2]BASE'!D69=0,"",'[2]BASE'!D69)</f>
        <v>RAMALLO - VILLA LIA  1</v>
      </c>
      <c r="E69" s="1015">
        <f>IF('[2]BASE'!E69=0,"",'[2]BASE'!E69)</f>
        <v>220</v>
      </c>
      <c r="F69" s="1016">
        <f>IF('[2]BASE'!F69=0,"",'[2]BASE'!F69)</f>
        <v>114</v>
      </c>
      <c r="G69" s="1016" t="str">
        <f>IF('[2]BASE'!G69=0,"",'[2]BASE'!G69)</f>
        <v>C</v>
      </c>
      <c r="H69" s="1011">
        <f>IF('[2]BASE'!GB69=0,"",'[2]BASE'!GB69)</f>
      </c>
      <c r="I69" s="1011">
        <f>IF('[2]BASE'!GC69=0,"",'[2]BASE'!GC69)</f>
      </c>
      <c r="J69" s="1011">
        <f>IF('[2]BASE'!GD69=0,"",'[2]BASE'!GD69)</f>
        <v>2</v>
      </c>
      <c r="K69" s="1011">
        <f>IF('[2]BASE'!GE69=0,"",'[2]BASE'!GE69)</f>
      </c>
      <c r="L69" s="1011">
        <f>IF('[2]BASE'!GF69=0,"",'[2]BASE'!GF69)</f>
      </c>
      <c r="M69" s="1011">
        <f>IF('[2]BASE'!GG69=0,"",'[2]BASE'!GG69)</f>
      </c>
      <c r="N69" s="1011">
        <f>IF('[2]BASE'!GH69=0,"",'[2]BASE'!GH69)</f>
        <v>1</v>
      </c>
      <c r="O69" s="1011">
        <f>IF('[2]BASE'!GI69=0,"",'[2]BASE'!GI69)</f>
      </c>
      <c r="P69" s="1011">
        <f>IF('[2]BASE'!GJ69=0,"",'[2]BASE'!GJ69)</f>
        <v>1</v>
      </c>
      <c r="Q69" s="1011">
        <f>IF('[2]BASE'!GK69=0,"",'[2]BASE'!GK69)</f>
      </c>
      <c r="R69" s="1011">
        <f>IF('[2]BASE'!GL69=0,"",'[2]BASE'!GL69)</f>
        <v>1</v>
      </c>
      <c r="S69" s="1011">
        <f>IF('[2]BASE'!GM69=0,"",'[2]BASE'!GM69)</f>
      </c>
      <c r="T69" s="1012"/>
      <c r="U69" s="1008"/>
    </row>
    <row r="70" spans="2:21" s="1002" customFormat="1" ht="19.5" customHeight="1">
      <c r="B70" s="1003"/>
      <c r="C70" s="1013">
        <f>IF('[2]BASE'!C70=0,"",'[2]BASE'!C70)</f>
        <v>53</v>
      </c>
      <c r="D70" s="1013" t="str">
        <f>IF('[2]BASE'!D70=0,"",'[2]BASE'!D70)</f>
        <v>RAMALLO - VILLA LIA  2</v>
      </c>
      <c r="E70" s="1013">
        <f>IF('[2]BASE'!E70=0,"",'[2]BASE'!E70)</f>
        <v>220</v>
      </c>
      <c r="F70" s="1014">
        <f>IF('[2]BASE'!F70=0,"",'[2]BASE'!F70)</f>
        <v>114</v>
      </c>
      <c r="G70" s="1014" t="str">
        <f>IF('[2]BASE'!G70=0,"",'[2]BASE'!G70)</f>
        <v>C</v>
      </c>
      <c r="H70" s="1011">
        <f>IF('[2]BASE'!GB70=0,"",'[2]BASE'!GB70)</f>
      </c>
      <c r="I70" s="1011">
        <f>IF('[2]BASE'!GC70=0,"",'[2]BASE'!GC70)</f>
      </c>
      <c r="J70" s="1011">
        <f>IF('[2]BASE'!GD70=0,"",'[2]BASE'!GD70)</f>
      </c>
      <c r="K70" s="1011">
        <f>IF('[2]BASE'!GE70=0,"",'[2]BASE'!GE70)</f>
      </c>
      <c r="L70" s="1011">
        <f>IF('[2]BASE'!GF70=0,"",'[2]BASE'!GF70)</f>
      </c>
      <c r="M70" s="1011">
        <f>IF('[2]BASE'!GG70=0,"",'[2]BASE'!GG70)</f>
      </c>
      <c r="N70" s="1011">
        <f>IF('[2]BASE'!GH70=0,"",'[2]BASE'!GH70)</f>
      </c>
      <c r="O70" s="1011">
        <f>IF('[2]BASE'!GI70=0,"",'[2]BASE'!GI70)</f>
      </c>
      <c r="P70" s="1011">
        <f>IF('[2]BASE'!GJ70=0,"",'[2]BASE'!GJ70)</f>
      </c>
      <c r="Q70" s="1011">
        <f>IF('[2]BASE'!GK70=0,"",'[2]BASE'!GK70)</f>
      </c>
      <c r="R70" s="1011">
        <f>IF('[2]BASE'!GL70=0,"",'[2]BASE'!GL70)</f>
      </c>
      <c r="S70" s="1011">
        <f>IF('[2]BASE'!GM70=0,"",'[2]BASE'!GM70)</f>
        <v>1</v>
      </c>
      <c r="T70" s="1012"/>
      <c r="U70" s="1008"/>
    </row>
    <row r="71" spans="2:21" s="1002" customFormat="1" ht="19.5" customHeight="1">
      <c r="B71" s="1003"/>
      <c r="C71" s="1015">
        <f>IF('[2]BASE'!C71=0,"",'[2]BASE'!C71)</f>
        <v>54</v>
      </c>
      <c r="D71" s="1015" t="str">
        <f>IF('[2]BASE'!D71=0,"",'[2]BASE'!D71)</f>
        <v>ROSARIO OESTE - RAMALLO  1</v>
      </c>
      <c r="E71" s="1015">
        <f>IF('[2]BASE'!E71=0,"",'[2]BASE'!E71)</f>
        <v>220</v>
      </c>
      <c r="F71" s="1016">
        <f>IF('[2]BASE'!F71=0,"",'[2]BASE'!F71)</f>
        <v>77</v>
      </c>
      <c r="G71" s="1016" t="str">
        <f>IF('[2]BASE'!G71=0,"",'[2]BASE'!G71)</f>
        <v>C</v>
      </c>
      <c r="H71" s="1011">
        <f>IF('[2]BASE'!GB71=0,"",'[2]BASE'!GB71)</f>
      </c>
      <c r="I71" s="1011">
        <f>IF('[2]BASE'!GC71=0,"",'[2]BASE'!GC71)</f>
      </c>
      <c r="J71" s="1011">
        <f>IF('[2]BASE'!GD71=0,"",'[2]BASE'!GD71)</f>
      </c>
      <c r="K71" s="1011">
        <f>IF('[2]BASE'!GE71=0,"",'[2]BASE'!GE71)</f>
      </c>
      <c r="L71" s="1011">
        <f>IF('[2]BASE'!GF71=0,"",'[2]BASE'!GF71)</f>
      </c>
      <c r="M71" s="1011">
        <f>IF('[2]BASE'!GG71=0,"",'[2]BASE'!GG71)</f>
      </c>
      <c r="N71" s="1011">
        <f>IF('[2]BASE'!GH71=0,"",'[2]BASE'!GH71)</f>
        <v>1</v>
      </c>
      <c r="O71" s="1011">
        <f>IF('[2]BASE'!GI71=0,"",'[2]BASE'!GI71)</f>
      </c>
      <c r="P71" s="1011">
        <f>IF('[2]BASE'!GJ71=0,"",'[2]BASE'!GJ71)</f>
      </c>
      <c r="Q71" s="1011">
        <f>IF('[2]BASE'!GK71=0,"",'[2]BASE'!GK71)</f>
      </c>
      <c r="R71" s="1011">
        <f>IF('[2]BASE'!GL71=0,"",'[2]BASE'!GL71)</f>
      </c>
      <c r="S71" s="1011">
        <f>IF('[2]BASE'!GM71=0,"",'[2]BASE'!GM71)</f>
        <v>1</v>
      </c>
      <c r="T71" s="1012"/>
      <c r="U71" s="1008"/>
    </row>
    <row r="72" spans="2:21" s="1002" customFormat="1" ht="19.5" customHeight="1">
      <c r="B72" s="1003"/>
      <c r="C72" s="1013">
        <f>IF('[2]BASE'!C72=0,"",'[2]BASE'!C72)</f>
        <v>55</v>
      </c>
      <c r="D72" s="1013" t="str">
        <f>IF('[2]BASE'!D72=0,"",'[2]BASE'!D72)</f>
        <v>ROSARIO OESTE - RAMALLO  2</v>
      </c>
      <c r="E72" s="1013">
        <f>IF('[2]BASE'!E72=0,"",'[2]BASE'!E72)</f>
        <v>220</v>
      </c>
      <c r="F72" s="1014">
        <f>IF('[2]BASE'!F72=0,"",'[2]BASE'!F72)</f>
        <v>77</v>
      </c>
      <c r="G72" s="1014" t="str">
        <f>IF('[2]BASE'!G72=0,"",'[2]BASE'!G72)</f>
        <v>C</v>
      </c>
      <c r="H72" s="1011">
        <f>IF('[2]BASE'!GB72=0,"",'[2]BASE'!GB72)</f>
      </c>
      <c r="I72" s="1011">
        <f>IF('[2]BASE'!GC72=0,"",'[2]BASE'!GC72)</f>
      </c>
      <c r="J72" s="1011">
        <f>IF('[2]BASE'!GD72=0,"",'[2]BASE'!GD72)</f>
      </c>
      <c r="K72" s="1011">
        <f>IF('[2]BASE'!GE72=0,"",'[2]BASE'!GE72)</f>
      </c>
      <c r="L72" s="1011">
        <f>IF('[2]BASE'!GF72=0,"",'[2]BASE'!GF72)</f>
      </c>
      <c r="M72" s="1011">
        <f>IF('[2]BASE'!GG72=0,"",'[2]BASE'!GG72)</f>
        <v>1</v>
      </c>
      <c r="N72" s="1011">
        <f>IF('[2]BASE'!GH72=0,"",'[2]BASE'!GH72)</f>
        <v>1</v>
      </c>
      <c r="O72" s="1011">
        <f>IF('[2]BASE'!GI72=0,"",'[2]BASE'!GI72)</f>
      </c>
      <c r="P72" s="1011">
        <f>IF('[2]BASE'!GJ72=0,"",'[2]BASE'!GJ72)</f>
        <v>1</v>
      </c>
      <c r="Q72" s="1011">
        <f>IF('[2]BASE'!GK72=0,"",'[2]BASE'!GK72)</f>
      </c>
      <c r="R72" s="1011">
        <f>IF('[2]BASE'!GL72=0,"",'[2]BASE'!GL72)</f>
        <v>1</v>
      </c>
      <c r="S72" s="1011">
        <f>IF('[2]BASE'!GM72=0,"",'[2]BASE'!GM72)</f>
        <v>2</v>
      </c>
      <c r="T72" s="1012"/>
      <c r="U72" s="1008"/>
    </row>
    <row r="73" spans="2:21" s="1002" customFormat="1" ht="19.5" customHeight="1">
      <c r="B73" s="1003"/>
      <c r="C73" s="1015">
        <f>IF('[2]BASE'!C73=0,"",'[2]BASE'!C73)</f>
        <v>56</v>
      </c>
      <c r="D73" s="1015" t="str">
        <f>IF('[2]BASE'!D73=0,"",'[2]BASE'!D73)</f>
        <v>VILLA LIA - ATUCHA 1</v>
      </c>
      <c r="E73" s="1015">
        <f>IF('[2]BASE'!E73=0,"",'[2]BASE'!E73)</f>
        <v>220</v>
      </c>
      <c r="F73" s="1015">
        <f>IF('[2]BASE'!F73=0,"",'[2]BASE'!F73)</f>
        <v>26</v>
      </c>
      <c r="G73" s="1016" t="str">
        <f>IF('[2]BASE'!G73=0,"",'[2]BASE'!G73)</f>
        <v>C</v>
      </c>
      <c r="H73" s="1011">
        <f>IF('[2]BASE'!GB73=0,"",'[2]BASE'!GB73)</f>
      </c>
      <c r="I73" s="1011">
        <f>IF('[2]BASE'!GC73=0,"",'[2]BASE'!GC73)</f>
      </c>
      <c r="J73" s="1011">
        <f>IF('[2]BASE'!GD73=0,"",'[2]BASE'!GD73)</f>
        <v>1</v>
      </c>
      <c r="K73" s="1011">
        <f>IF('[2]BASE'!GE73=0,"",'[2]BASE'!GE73)</f>
      </c>
      <c r="L73" s="1011">
        <f>IF('[2]BASE'!GF73=0,"",'[2]BASE'!GF73)</f>
      </c>
      <c r="M73" s="1011">
        <f>IF('[2]BASE'!GG73=0,"",'[2]BASE'!GG73)</f>
      </c>
      <c r="N73" s="1011">
        <f>IF('[2]BASE'!GH73=0,"",'[2]BASE'!GH73)</f>
      </c>
      <c r="O73" s="1011">
        <f>IF('[2]BASE'!GI73=0,"",'[2]BASE'!GI73)</f>
        <v>1</v>
      </c>
      <c r="P73" s="1011">
        <f>IF('[2]BASE'!GJ73=0,"",'[2]BASE'!GJ73)</f>
        <v>1</v>
      </c>
      <c r="Q73" s="1011">
        <f>IF('[2]BASE'!GK73=0,"",'[2]BASE'!GK73)</f>
      </c>
      <c r="R73" s="1011">
        <f>IF('[2]BASE'!GL73=0,"",'[2]BASE'!GL73)</f>
      </c>
      <c r="S73" s="1011">
        <f>IF('[2]BASE'!GM73=0,"",'[2]BASE'!GM73)</f>
        <v>1</v>
      </c>
      <c r="T73" s="1012"/>
      <c r="U73" s="1008"/>
    </row>
    <row r="74" spans="2:21" s="1002" customFormat="1" ht="19.5" customHeight="1">
      <c r="B74" s="1003"/>
      <c r="C74" s="1013">
        <f>IF('[2]BASE'!C74=0,"",'[2]BASE'!C74)</f>
        <v>57</v>
      </c>
      <c r="D74" s="1013" t="str">
        <f>IF('[2]BASE'!D74=0,"",'[2]BASE'!D74)</f>
        <v>VILLA LIA - ATUCHA 2</v>
      </c>
      <c r="E74" s="1013">
        <f>IF('[2]BASE'!E74=0,"",'[2]BASE'!E74)</f>
        <v>220</v>
      </c>
      <c r="F74" s="1013">
        <f>IF('[2]BASE'!F74=0,"",'[2]BASE'!F74)</f>
        <v>26</v>
      </c>
      <c r="G74" s="1014" t="str">
        <f>IF('[2]BASE'!G74=0,"",'[2]BASE'!G74)</f>
        <v>C</v>
      </c>
      <c r="H74" s="1011">
        <f>IF('[2]BASE'!GB74=0,"",'[2]BASE'!GB74)</f>
      </c>
      <c r="I74" s="1011">
        <f>IF('[2]BASE'!GC74=0,"",'[2]BASE'!GC74)</f>
      </c>
      <c r="J74" s="1011">
        <f>IF('[2]BASE'!GD74=0,"",'[2]BASE'!GD74)</f>
      </c>
      <c r="K74" s="1011">
        <f>IF('[2]BASE'!GE74=0,"",'[2]BASE'!GE74)</f>
      </c>
      <c r="L74" s="1011">
        <f>IF('[2]BASE'!GF74=0,"",'[2]BASE'!GF74)</f>
      </c>
      <c r="M74" s="1011">
        <f>IF('[2]BASE'!GG74=0,"",'[2]BASE'!GG74)</f>
      </c>
      <c r="N74" s="1011">
        <f>IF('[2]BASE'!GH74=0,"",'[2]BASE'!GH74)</f>
      </c>
      <c r="O74" s="1011">
        <f>IF('[2]BASE'!GI74=0,"",'[2]BASE'!GI74)</f>
      </c>
      <c r="P74" s="1011">
        <f>IF('[2]BASE'!GJ74=0,"",'[2]BASE'!GJ74)</f>
      </c>
      <c r="Q74" s="1011">
        <f>IF('[2]BASE'!GK74=0,"",'[2]BASE'!GK74)</f>
      </c>
      <c r="R74" s="1011">
        <f>IF('[2]BASE'!GL74=0,"",'[2]BASE'!GL74)</f>
      </c>
      <c r="S74" s="1011">
        <f>IF('[2]BASE'!GM74=0,"",'[2]BASE'!GM74)</f>
      </c>
      <c r="T74" s="1012"/>
      <c r="U74" s="1008"/>
    </row>
    <row r="75" spans="2:21" s="1002" customFormat="1" ht="9.75" customHeight="1">
      <c r="B75" s="1003"/>
      <c r="C75" s="1015">
        <f>IF('[2]BASE'!C75=0,"",'[2]BASE'!C75)</f>
      </c>
      <c r="D75" s="1015">
        <f>IF('[2]BASE'!D75=0,"",'[2]BASE'!D75)</f>
      </c>
      <c r="E75" s="1015">
        <f>IF('[2]BASE'!E75=0,"",'[2]BASE'!E75)</f>
      </c>
      <c r="F75" s="1015">
        <f>IF('[2]BASE'!F75=0,"",'[2]BASE'!F75)</f>
      </c>
      <c r="G75" s="1016">
        <f>IF('[2]BASE'!G75=0,"",'[2]BASE'!G75)</f>
      </c>
      <c r="H75" s="1011">
        <f>IF('[2]BASE'!GB75=0,"",'[2]BASE'!GB75)</f>
      </c>
      <c r="I75" s="1011">
        <f>IF('[2]BASE'!GC75=0,"",'[2]BASE'!GC75)</f>
      </c>
      <c r="J75" s="1011">
        <f>IF('[2]BASE'!GD75=0,"",'[2]BASE'!GD75)</f>
      </c>
      <c r="K75" s="1011">
        <f>IF('[2]BASE'!GE75=0,"",'[2]BASE'!GE75)</f>
      </c>
      <c r="L75" s="1011">
        <f>IF('[2]BASE'!GF75=0,"",'[2]BASE'!GF75)</f>
      </c>
      <c r="M75" s="1011">
        <f>IF('[2]BASE'!GG75=0,"",'[2]BASE'!GG75)</f>
      </c>
      <c r="N75" s="1011">
        <f>IF('[2]BASE'!GH75=0,"",'[2]BASE'!GH75)</f>
      </c>
      <c r="O75" s="1011">
        <f>IF('[2]BASE'!GI75=0,"",'[2]BASE'!GI75)</f>
      </c>
      <c r="P75" s="1011">
        <f>IF('[2]BASE'!GJ75=0,"",'[2]BASE'!GJ75)</f>
      </c>
      <c r="Q75" s="1011">
        <f>IF('[2]BASE'!GK75=0,"",'[2]BASE'!GK75)</f>
      </c>
      <c r="R75" s="1011">
        <f>IF('[2]BASE'!GL75=0,"",'[2]BASE'!GL75)</f>
      </c>
      <c r="S75" s="1011">
        <f>IF('[2]BASE'!GM75=0,"",'[2]BASE'!GM75)</f>
      </c>
      <c r="T75" s="1012"/>
      <c r="U75" s="1008"/>
    </row>
    <row r="76" spans="2:21" s="1002" customFormat="1" ht="19.5" customHeight="1">
      <c r="B76" s="1003"/>
      <c r="C76" s="1013">
        <f>IF('[2]BASE'!C76=0,"",'[2]BASE'!C76)</f>
        <v>58</v>
      </c>
      <c r="D76" s="1013" t="str">
        <f>IF('[2]BASE'!D76=0,"",'[2]BASE'!D76)</f>
        <v>GRAL RODRIGUEZ - RAMALLO</v>
      </c>
      <c r="E76" s="1013">
        <f>IF('[2]BASE'!E76=0,"",'[2]BASE'!E76)</f>
        <v>500</v>
      </c>
      <c r="F76" s="1014">
        <f>IF('[2]BASE'!F76=0,"",'[2]BASE'!F76)</f>
        <v>183.9</v>
      </c>
      <c r="G76" s="1014" t="str">
        <f>IF('[2]BASE'!G76=0,"",'[2]BASE'!G76)</f>
        <v>C</v>
      </c>
      <c r="H76" s="1011">
        <f>IF('[2]BASE'!GB76=0,"",'[2]BASE'!GB76)</f>
      </c>
      <c r="I76" s="1011">
        <f>IF('[2]BASE'!GC76=0,"",'[2]BASE'!GC76)</f>
        <v>1</v>
      </c>
      <c r="J76" s="1011">
        <f>IF('[2]BASE'!GD76=0,"",'[2]BASE'!GD76)</f>
      </c>
      <c r="K76" s="1011">
        <f>IF('[2]BASE'!GE76=0,"",'[2]BASE'!GE76)</f>
        <v>2</v>
      </c>
      <c r="L76" s="1011">
        <f>IF('[2]BASE'!GF76=0,"",'[2]BASE'!GF76)</f>
      </c>
      <c r="M76" s="1011">
        <f>IF('[2]BASE'!GG76=0,"",'[2]BASE'!GG76)</f>
      </c>
      <c r="N76" s="1011">
        <f>IF('[2]BASE'!GH76=0,"",'[2]BASE'!GH76)</f>
      </c>
      <c r="O76" s="1011">
        <f>IF('[2]BASE'!GI76=0,"",'[2]BASE'!GI76)</f>
      </c>
      <c r="P76" s="1011">
        <f>IF('[2]BASE'!GJ76=0,"",'[2]BASE'!GJ76)</f>
      </c>
      <c r="Q76" s="1011">
        <f>IF('[2]BASE'!GK76=0,"",'[2]BASE'!GK76)</f>
      </c>
      <c r="R76" s="1011">
        <f>IF('[2]BASE'!GL76=0,"",'[2]BASE'!GL76)</f>
        <v>1</v>
      </c>
      <c r="S76" s="1011">
        <f>IF('[2]BASE'!GM76=0,"",'[2]BASE'!GM76)</f>
      </c>
      <c r="T76" s="1012"/>
      <c r="U76" s="1008"/>
    </row>
    <row r="77" spans="2:21" s="1002" customFormat="1" ht="19.5" customHeight="1">
      <c r="B77" s="1003"/>
      <c r="C77" s="1015">
        <f>IF('[2]BASE'!C77=0,"",'[2]BASE'!C77)</f>
        <v>59</v>
      </c>
      <c r="D77" s="1015" t="str">
        <f>IF('[2]BASE'!D77=0,"",'[2]BASE'!D77)</f>
        <v>RAMALLO - ROSARIO OESTE</v>
      </c>
      <c r="E77" s="1015">
        <f>IF('[2]BASE'!E77=0,"",'[2]BASE'!E77)</f>
        <v>500</v>
      </c>
      <c r="F77" s="1016">
        <f>IF('[2]BASE'!F77=0,"",'[2]BASE'!F77)</f>
        <v>77</v>
      </c>
      <c r="G77" s="1016" t="str">
        <f>IF('[2]BASE'!G77=0,"",'[2]BASE'!G77)</f>
        <v>C</v>
      </c>
      <c r="H77" s="1011">
        <f>IF('[2]BASE'!GB77=0,"",'[2]BASE'!GB77)</f>
      </c>
      <c r="I77" s="1011">
        <f>IF('[2]BASE'!GC77=0,"",'[2]BASE'!GC77)</f>
      </c>
      <c r="J77" s="1011">
        <f>IF('[2]BASE'!GD77=0,"",'[2]BASE'!GD77)</f>
      </c>
      <c r="K77" s="1011">
        <f>IF('[2]BASE'!GE77=0,"",'[2]BASE'!GE77)</f>
      </c>
      <c r="L77" s="1011">
        <f>IF('[2]BASE'!GF77=0,"",'[2]BASE'!GF77)</f>
      </c>
      <c r="M77" s="1011">
        <f>IF('[2]BASE'!GG77=0,"",'[2]BASE'!GG77)</f>
      </c>
      <c r="N77" s="1011">
        <f>IF('[2]BASE'!GH77=0,"",'[2]BASE'!GH77)</f>
      </c>
      <c r="O77" s="1011">
        <f>IF('[2]BASE'!GI77=0,"",'[2]BASE'!GI77)</f>
      </c>
      <c r="P77" s="1011">
        <f>IF('[2]BASE'!GJ77=0,"",'[2]BASE'!GJ77)</f>
        <v>1</v>
      </c>
      <c r="Q77" s="1011">
        <f>IF('[2]BASE'!GK77=0,"",'[2]BASE'!GK77)</f>
        <v>2</v>
      </c>
      <c r="R77" s="1011">
        <f>IF('[2]BASE'!GL77=0,"",'[2]BASE'!GL77)</f>
        <v>1</v>
      </c>
      <c r="S77" s="1011">
        <f>IF('[2]BASE'!GM77=0,"",'[2]BASE'!GM77)</f>
      </c>
      <c r="T77" s="1012"/>
      <c r="U77" s="1008"/>
    </row>
    <row r="78" spans="2:21" s="1002" customFormat="1" ht="19.5" customHeight="1">
      <c r="B78" s="1003"/>
      <c r="C78" s="1013">
        <f>IF('[2]BASE'!C78=0,"",'[2]BASE'!C78)</f>
        <v>60</v>
      </c>
      <c r="D78" s="1013" t="str">
        <f>IF('[2]BASE'!D78=0,"",'[2]BASE'!D78)</f>
        <v>MACACHIN - HENDERSON</v>
      </c>
      <c r="E78" s="1013">
        <f>IF('[2]BASE'!E78=0,"",'[2]BASE'!E78)</f>
        <v>500</v>
      </c>
      <c r="F78" s="1014">
        <f>IF('[2]BASE'!F78=0,"",'[2]BASE'!F78)</f>
        <v>194</v>
      </c>
      <c r="G78" s="1014" t="str">
        <f>IF('[2]BASE'!G78=0,"",'[2]BASE'!G78)</f>
        <v>A</v>
      </c>
      <c r="H78" s="1011">
        <f>IF('[2]BASE'!GB78=0,"",'[2]BASE'!GB78)</f>
      </c>
      <c r="I78" s="1011">
        <f>IF('[2]BASE'!GC78=0,"",'[2]BASE'!GC78)</f>
      </c>
      <c r="J78" s="1011">
        <f>IF('[2]BASE'!GD78=0,"",'[2]BASE'!GD78)</f>
      </c>
      <c r="K78" s="1011">
        <f>IF('[2]BASE'!GE78=0,"",'[2]BASE'!GE78)</f>
      </c>
      <c r="L78" s="1011">
        <f>IF('[2]BASE'!GF78=0,"",'[2]BASE'!GF78)</f>
      </c>
      <c r="M78" s="1011">
        <f>IF('[2]BASE'!GG78=0,"",'[2]BASE'!GG78)</f>
      </c>
      <c r="N78" s="1011">
        <f>IF('[2]BASE'!GH78=0,"",'[2]BASE'!GH78)</f>
      </c>
      <c r="O78" s="1011">
        <f>IF('[2]BASE'!GI78=0,"",'[2]BASE'!GI78)</f>
      </c>
      <c r="P78" s="1011">
        <f>IF('[2]BASE'!GJ78=0,"",'[2]BASE'!GJ78)</f>
      </c>
      <c r="Q78" s="1011">
        <f>IF('[2]BASE'!GK78=0,"",'[2]BASE'!GK78)</f>
      </c>
      <c r="R78" s="1011">
        <f>IF('[2]BASE'!GL78=0,"",'[2]BASE'!GL78)</f>
      </c>
      <c r="S78" s="1011">
        <f>IF('[2]BASE'!GM78=0,"",'[2]BASE'!GM78)</f>
      </c>
      <c r="T78" s="1012"/>
      <c r="U78" s="1008"/>
    </row>
    <row r="79" spans="2:21" s="1002" customFormat="1" ht="19.5" customHeight="1">
      <c r="B79" s="1003"/>
      <c r="C79" s="1015">
        <f>IF('[2]BASE'!C79=0,"",'[2]BASE'!C79)</f>
        <v>61</v>
      </c>
      <c r="D79" s="1015" t="str">
        <f>IF('[2]BASE'!D79=0,"",'[2]BASE'!D79)</f>
        <v>PUELCHES - MACACHIN</v>
      </c>
      <c r="E79" s="1015">
        <f>IF('[2]BASE'!E79=0,"",'[2]BASE'!E79)</f>
        <v>500</v>
      </c>
      <c r="F79" s="1015">
        <f>IF('[2]BASE'!F79=0,"",'[2]BASE'!F79)</f>
        <v>227</v>
      </c>
      <c r="G79" s="1016" t="str">
        <f>IF('[2]BASE'!G79=0,"",'[2]BASE'!G79)</f>
        <v>A</v>
      </c>
      <c r="H79" s="1011">
        <f>IF('[2]BASE'!GB79=0,"",'[2]BASE'!GB79)</f>
      </c>
      <c r="I79" s="1011">
        <f>IF('[2]BASE'!GC79=0,"",'[2]BASE'!GC79)</f>
        <v>1</v>
      </c>
      <c r="J79" s="1011">
        <f>IF('[2]BASE'!GD79=0,"",'[2]BASE'!GD79)</f>
      </c>
      <c r="K79" s="1011">
        <f>IF('[2]BASE'!GE79=0,"",'[2]BASE'!GE79)</f>
      </c>
      <c r="L79" s="1011">
        <f>IF('[2]BASE'!GF79=0,"",'[2]BASE'!GF79)</f>
      </c>
      <c r="M79" s="1011">
        <f>IF('[2]BASE'!GG79=0,"",'[2]BASE'!GG79)</f>
      </c>
      <c r="N79" s="1011">
        <f>IF('[2]BASE'!GH79=0,"",'[2]BASE'!GH79)</f>
      </c>
      <c r="O79" s="1011">
        <f>IF('[2]BASE'!GI79=0,"",'[2]BASE'!GI79)</f>
      </c>
      <c r="P79" s="1011">
        <f>IF('[2]BASE'!GJ79=0,"",'[2]BASE'!GJ79)</f>
      </c>
      <c r="Q79" s="1011">
        <f>IF('[2]BASE'!GK79=0,"",'[2]BASE'!GK79)</f>
      </c>
      <c r="R79" s="1011">
        <f>IF('[2]BASE'!GL79=0,"",'[2]BASE'!GL79)</f>
      </c>
      <c r="S79" s="1011">
        <f>IF('[2]BASE'!GM79=0,"",'[2]BASE'!GM79)</f>
      </c>
      <c r="T79" s="1012"/>
      <c r="U79" s="1008"/>
    </row>
    <row r="80" spans="2:21" s="1002" customFormat="1" ht="9.75" customHeight="1">
      <c r="B80" s="1003"/>
      <c r="C80" s="1013">
        <f>IF('[2]BASE'!C80=0,"",'[2]BASE'!C80)</f>
      </c>
      <c r="D80" s="1013">
        <f>IF('[2]BASE'!D80=0,"",'[2]BASE'!D80)</f>
      </c>
      <c r="E80" s="1013">
        <f>IF('[2]BASE'!E80=0,"",'[2]BASE'!E80)</f>
      </c>
      <c r="F80" s="1014">
        <f>IF('[2]BASE'!F80=0,"",'[2]BASE'!F80)</f>
      </c>
      <c r="G80" s="1014">
        <f>IF('[2]BASE'!G80=0,"",'[2]BASE'!G80)</f>
      </c>
      <c r="H80" s="1011">
        <f>IF('[2]BASE'!GB80=0,"",'[2]BASE'!GB80)</f>
      </c>
      <c r="I80" s="1011">
        <f>IF('[2]BASE'!GC80=0,"",'[2]BASE'!GC80)</f>
      </c>
      <c r="J80" s="1011">
        <f>IF('[2]BASE'!GD80=0,"",'[2]BASE'!GD80)</f>
      </c>
      <c r="K80" s="1011">
        <f>IF('[2]BASE'!GE80=0,"",'[2]BASE'!GE80)</f>
      </c>
      <c r="L80" s="1011">
        <f>IF('[2]BASE'!GF80=0,"",'[2]BASE'!GF80)</f>
      </c>
      <c r="M80" s="1011">
        <f>IF('[2]BASE'!GG80=0,"",'[2]BASE'!GG80)</f>
      </c>
      <c r="N80" s="1011">
        <f>IF('[2]BASE'!GH80=0,"",'[2]BASE'!GH80)</f>
      </c>
      <c r="O80" s="1011">
        <f>IF('[2]BASE'!GI80=0,"",'[2]BASE'!GI80)</f>
      </c>
      <c r="P80" s="1011">
        <f>IF('[2]BASE'!GJ80=0,"",'[2]BASE'!GJ80)</f>
      </c>
      <c r="Q80" s="1011">
        <f>IF('[2]BASE'!GK80=0,"",'[2]BASE'!GK80)</f>
      </c>
      <c r="R80" s="1011">
        <f>IF('[2]BASE'!GL80=0,"",'[2]BASE'!GL80)</f>
      </c>
      <c r="S80" s="1011">
        <f>IF('[2]BASE'!GM80=0,"",'[2]BASE'!GM80)</f>
      </c>
      <c r="T80" s="1012"/>
      <c r="U80" s="1008"/>
    </row>
    <row r="81" spans="2:21" s="1002" customFormat="1" ht="9.75" customHeight="1">
      <c r="B81" s="1003"/>
      <c r="C81" s="1015">
        <f>IF('[2]BASE'!C81=0,"",'[2]BASE'!C81)</f>
      </c>
      <c r="D81" s="1015">
        <f>IF('[2]BASE'!D81=0,"",'[2]BASE'!D81)</f>
      </c>
      <c r="E81" s="1015">
        <f>IF('[2]BASE'!E81=0,"",'[2]BASE'!E81)</f>
      </c>
      <c r="F81" s="1016">
        <f>IF('[2]BASE'!F81=0,"",'[2]BASE'!F81)</f>
      </c>
      <c r="G81" s="1016">
        <f>IF('[2]BASE'!G81=0,"",'[2]BASE'!G81)</f>
      </c>
      <c r="H81" s="1011">
        <f>IF('[2]BASE'!GB81=0,"",'[2]BASE'!GB81)</f>
      </c>
      <c r="I81" s="1011">
        <f>IF('[2]BASE'!GC81=0,"",'[2]BASE'!GC81)</f>
      </c>
      <c r="J81" s="1011">
        <f>IF('[2]BASE'!GD81=0,"",'[2]BASE'!GD81)</f>
      </c>
      <c r="K81" s="1011">
        <f>IF('[2]BASE'!GE81=0,"",'[2]BASE'!GE81)</f>
      </c>
      <c r="L81" s="1011">
        <f>IF('[2]BASE'!GF81=0,"",'[2]BASE'!GF81)</f>
      </c>
      <c r="M81" s="1011">
        <f>IF('[2]BASE'!GG81=0,"",'[2]BASE'!GG81)</f>
      </c>
      <c r="N81" s="1011">
        <f>IF('[2]BASE'!GH81=0,"",'[2]BASE'!GH81)</f>
      </c>
      <c r="O81" s="1011">
        <f>IF('[2]BASE'!GI81=0,"",'[2]BASE'!GI81)</f>
      </c>
      <c r="P81" s="1011">
        <f>IF('[2]BASE'!GJ81=0,"",'[2]BASE'!GJ81)</f>
      </c>
      <c r="Q81" s="1011">
        <f>IF('[2]BASE'!GK81=0,"",'[2]BASE'!GK81)</f>
      </c>
      <c r="R81" s="1011">
        <f>IF('[2]BASE'!GL81=0,"",'[2]BASE'!GL81)</f>
      </c>
      <c r="S81" s="1011">
        <f>IF('[2]BASE'!GM81=0,"",'[2]BASE'!GM81)</f>
      </c>
      <c r="T81" s="1012"/>
      <c r="U81" s="1008"/>
    </row>
    <row r="82" spans="2:21" s="1002" customFormat="1" ht="19.5" customHeight="1">
      <c r="B82" s="1003"/>
      <c r="C82" s="1013">
        <f>IF('[2]BASE'!C82=0,"",'[2]BASE'!C82)</f>
        <v>62</v>
      </c>
      <c r="D82" s="1013" t="str">
        <f>IF('[2]BASE'!D82=0,"",'[2]BASE'!D82)</f>
        <v>YACYRETÁ - RINCON I</v>
      </c>
      <c r="E82" s="1013">
        <f>IF('[2]BASE'!E82=0,"",'[2]BASE'!E82)</f>
        <v>500</v>
      </c>
      <c r="F82" s="1014">
        <f>IF('[2]BASE'!F82=0,"",'[2]BASE'!F82)</f>
        <v>3.6</v>
      </c>
      <c r="G82" s="1014" t="str">
        <f>IF('[2]BASE'!G82=0,"",'[2]BASE'!G82)</f>
        <v>B</v>
      </c>
      <c r="H82" s="1011">
        <f>IF('[2]BASE'!GB82=0,"",'[2]BASE'!GB82)</f>
      </c>
      <c r="I82" s="1011">
        <f>IF('[2]BASE'!GC82=0,"",'[2]BASE'!GC82)</f>
      </c>
      <c r="J82" s="1011">
        <f>IF('[2]BASE'!GD82=0,"",'[2]BASE'!GD82)</f>
      </c>
      <c r="K82" s="1011">
        <f>IF('[2]BASE'!GE82=0,"",'[2]BASE'!GE82)</f>
      </c>
      <c r="L82" s="1011">
        <f>IF('[2]BASE'!GF82=0,"",'[2]BASE'!GF82)</f>
      </c>
      <c r="M82" s="1011">
        <f>IF('[2]BASE'!GG82=0,"",'[2]BASE'!GG82)</f>
      </c>
      <c r="N82" s="1011">
        <f>IF('[2]BASE'!GH82=0,"",'[2]BASE'!GH82)</f>
      </c>
      <c r="O82" s="1011">
        <f>IF('[2]BASE'!GI82=0,"",'[2]BASE'!GI82)</f>
      </c>
      <c r="P82" s="1011">
        <f>IF('[2]BASE'!GJ82=0,"",'[2]BASE'!GJ82)</f>
      </c>
      <c r="Q82" s="1011">
        <f>IF('[2]BASE'!GK82=0,"",'[2]BASE'!GK82)</f>
      </c>
      <c r="R82" s="1011">
        <f>IF('[2]BASE'!GL82=0,"",'[2]BASE'!GL82)</f>
      </c>
      <c r="S82" s="1011">
        <f>IF('[2]BASE'!GM82=0,"",'[2]BASE'!GM82)</f>
      </c>
      <c r="T82" s="1012"/>
      <c r="U82" s="1008"/>
    </row>
    <row r="83" spans="2:21" s="1002" customFormat="1" ht="19.5" customHeight="1">
      <c r="B83" s="1003"/>
      <c r="C83" s="1015">
        <f>IF('[2]BASE'!C83=0,"",'[2]BASE'!C83)</f>
        <v>63</v>
      </c>
      <c r="D83" s="1015" t="str">
        <f>IF('[2]BASE'!D83=0,"",'[2]BASE'!D83)</f>
        <v>YACYRETÁ - RINCON II</v>
      </c>
      <c r="E83" s="1015">
        <f>IF('[2]BASE'!E83=0,"",'[2]BASE'!E83)</f>
        <v>500</v>
      </c>
      <c r="F83" s="1015">
        <f>IF('[2]BASE'!F83=0,"",'[2]BASE'!F83)</f>
        <v>3.6</v>
      </c>
      <c r="G83" s="1016" t="str">
        <f>IF('[2]BASE'!G83=0,"",'[2]BASE'!G83)</f>
        <v>B</v>
      </c>
      <c r="H83" s="1011">
        <f>IF('[2]BASE'!GB83=0,"",'[2]BASE'!GB83)</f>
      </c>
      <c r="I83" s="1011">
        <f>IF('[2]BASE'!GC83=0,"",'[2]BASE'!GC83)</f>
      </c>
      <c r="J83" s="1011">
        <f>IF('[2]BASE'!GD83=0,"",'[2]BASE'!GD83)</f>
      </c>
      <c r="K83" s="1011">
        <f>IF('[2]BASE'!GE83=0,"",'[2]BASE'!GE83)</f>
      </c>
      <c r="L83" s="1011">
        <f>IF('[2]BASE'!GF83=0,"",'[2]BASE'!GF83)</f>
      </c>
      <c r="M83" s="1011">
        <f>IF('[2]BASE'!GG83=0,"",'[2]BASE'!GG83)</f>
      </c>
      <c r="N83" s="1011">
        <f>IF('[2]BASE'!GH83=0,"",'[2]BASE'!GH83)</f>
      </c>
      <c r="O83" s="1011">
        <f>IF('[2]BASE'!GI83=0,"",'[2]BASE'!GI83)</f>
      </c>
      <c r="P83" s="1011">
        <f>IF('[2]BASE'!GJ83=0,"",'[2]BASE'!GJ83)</f>
      </c>
      <c r="Q83" s="1011">
        <f>IF('[2]BASE'!GK83=0,"",'[2]BASE'!GK83)</f>
      </c>
      <c r="R83" s="1011">
        <f>IF('[2]BASE'!GL83=0,"",'[2]BASE'!GL83)</f>
      </c>
      <c r="S83" s="1011">
        <f>IF('[2]BASE'!GM83=0,"",'[2]BASE'!GM83)</f>
      </c>
      <c r="T83" s="1012"/>
      <c r="U83" s="1008"/>
    </row>
    <row r="84" spans="2:21" s="1002" customFormat="1" ht="19.5" customHeight="1">
      <c r="B84" s="1003"/>
      <c r="C84" s="1013">
        <f>IF('[2]BASE'!C84=0,"",'[2]BASE'!C84)</f>
        <v>64</v>
      </c>
      <c r="D84" s="1013" t="str">
        <f>IF('[2]BASE'!D84=0,"",'[2]BASE'!D84)</f>
        <v>YACYRETÁ - RINCON III</v>
      </c>
      <c r="E84" s="1013">
        <f>IF('[2]BASE'!E84=0,"",'[2]BASE'!E84)</f>
        <v>500</v>
      </c>
      <c r="F84" s="1014">
        <f>IF('[2]BASE'!F84=0,"",'[2]BASE'!F84)</f>
        <v>3.6</v>
      </c>
      <c r="G84" s="1014" t="str">
        <f>IF('[2]BASE'!G84=0,"",'[2]BASE'!G84)</f>
        <v>B</v>
      </c>
      <c r="H84" s="1011">
        <f>IF('[2]BASE'!GB84=0,"",'[2]BASE'!GB84)</f>
      </c>
      <c r="I84" s="1011">
        <f>IF('[2]BASE'!GC84=0,"",'[2]BASE'!GC84)</f>
      </c>
      <c r="J84" s="1011">
        <f>IF('[2]BASE'!GD84=0,"",'[2]BASE'!GD84)</f>
      </c>
      <c r="K84" s="1011">
        <f>IF('[2]BASE'!GE84=0,"",'[2]BASE'!GE84)</f>
      </c>
      <c r="L84" s="1011">
        <f>IF('[2]BASE'!GF84=0,"",'[2]BASE'!GF84)</f>
      </c>
      <c r="M84" s="1011">
        <f>IF('[2]BASE'!GG84=0,"",'[2]BASE'!GG84)</f>
      </c>
      <c r="N84" s="1011">
        <f>IF('[2]BASE'!GH84=0,"",'[2]BASE'!GH84)</f>
      </c>
      <c r="O84" s="1011">
        <f>IF('[2]BASE'!GI84=0,"",'[2]BASE'!GI84)</f>
      </c>
      <c r="P84" s="1011">
        <f>IF('[2]BASE'!GJ84=0,"",'[2]BASE'!GJ84)</f>
      </c>
      <c r="Q84" s="1011">
        <f>IF('[2]BASE'!GK84=0,"",'[2]BASE'!GK84)</f>
      </c>
      <c r="R84" s="1011">
        <f>IF('[2]BASE'!GL84=0,"",'[2]BASE'!GL84)</f>
      </c>
      <c r="S84" s="1011">
        <f>IF('[2]BASE'!GM84=0,"",'[2]BASE'!GM84)</f>
      </c>
      <c r="T84" s="1012"/>
      <c r="U84" s="1008"/>
    </row>
    <row r="85" spans="2:21" s="1002" customFormat="1" ht="19.5" customHeight="1">
      <c r="B85" s="1003"/>
      <c r="C85" s="1015">
        <f>IF('[2]BASE'!C85=0,"",'[2]BASE'!C85)</f>
        <v>65</v>
      </c>
      <c r="D85" s="1015" t="str">
        <f>IF('[2]BASE'!D85=0,"",'[2]BASE'!D85)</f>
        <v>RINCON - PASO DE LA PATRIA</v>
      </c>
      <c r="E85" s="1015">
        <f>IF('[2]BASE'!E85=0,"",'[2]BASE'!E85)</f>
        <v>500</v>
      </c>
      <c r="F85" s="1016">
        <f>IF('[2]BASE'!F85=0,"",'[2]BASE'!F85)</f>
        <v>227</v>
      </c>
      <c r="G85" s="1016" t="str">
        <f>IF('[2]BASE'!G85=0,"",'[2]BASE'!G85)</f>
        <v>A</v>
      </c>
      <c r="H85" s="1011">
        <f>IF('[2]BASE'!GB85=0,"",'[2]BASE'!GB85)</f>
      </c>
      <c r="I85" s="1011">
        <f>IF('[2]BASE'!GC85=0,"",'[2]BASE'!GC85)</f>
      </c>
      <c r="J85" s="1011">
        <f>IF('[2]BASE'!GD85=0,"",'[2]BASE'!GD85)</f>
      </c>
      <c r="K85" s="1011">
        <f>IF('[2]BASE'!GE85=0,"",'[2]BASE'!GE85)</f>
      </c>
      <c r="L85" s="1011">
        <f>IF('[2]BASE'!GF85=0,"",'[2]BASE'!GF85)</f>
      </c>
      <c r="M85" s="1011">
        <f>IF('[2]BASE'!GG85=0,"",'[2]BASE'!GG85)</f>
      </c>
      <c r="N85" s="1011">
        <f>IF('[2]BASE'!GH85=0,"",'[2]BASE'!GH85)</f>
      </c>
      <c r="O85" s="1011">
        <f>IF('[2]BASE'!GI85=0,"",'[2]BASE'!GI85)</f>
      </c>
      <c r="P85" s="1011">
        <f>IF('[2]BASE'!GJ85=0,"",'[2]BASE'!GJ85)</f>
      </c>
      <c r="Q85" s="1011">
        <f>IF('[2]BASE'!GK85=0,"",'[2]BASE'!GK85)</f>
      </c>
      <c r="R85" s="1011">
        <f>IF('[2]BASE'!GL85=0,"",'[2]BASE'!GL85)</f>
      </c>
      <c r="S85" s="1011">
        <f>IF('[2]BASE'!GM85=0,"",'[2]BASE'!GM85)</f>
      </c>
      <c r="T85" s="1012"/>
      <c r="U85" s="1008"/>
    </row>
    <row r="86" spans="2:21" s="1002" customFormat="1" ht="19.5" customHeight="1">
      <c r="B86" s="1003"/>
      <c r="C86" s="1013">
        <f>IF('[2]BASE'!C86=0,"",'[2]BASE'!C86)</f>
        <v>66</v>
      </c>
      <c r="D86" s="1013" t="str">
        <f>IF('[2]BASE'!D86=0,"",'[2]BASE'!D86)</f>
        <v>PASO DE LA PATRIA - RESISTENCIA</v>
      </c>
      <c r="E86" s="1013">
        <f>IF('[2]BASE'!E86=0,"",'[2]BASE'!E86)</f>
        <v>500</v>
      </c>
      <c r="F86" s="1014">
        <f>IF('[2]BASE'!F86=0,"",'[2]BASE'!F86)</f>
        <v>40</v>
      </c>
      <c r="G86" s="1014" t="str">
        <f>IF('[2]BASE'!G86=0,"",'[2]BASE'!G86)</f>
        <v>C</v>
      </c>
      <c r="H86" s="1011">
        <f>IF('[2]BASE'!GB86=0,"",'[2]BASE'!GB86)</f>
      </c>
      <c r="I86" s="1011">
        <f>IF('[2]BASE'!GC86=0,"",'[2]BASE'!GC86)</f>
      </c>
      <c r="J86" s="1011">
        <f>IF('[2]BASE'!GD86=0,"",'[2]BASE'!GD86)</f>
      </c>
      <c r="K86" s="1011">
        <f>IF('[2]BASE'!GE86=0,"",'[2]BASE'!GE86)</f>
      </c>
      <c r="L86" s="1011">
        <f>IF('[2]BASE'!GF86=0,"",'[2]BASE'!GF86)</f>
      </c>
      <c r="M86" s="1011">
        <f>IF('[2]BASE'!GG86=0,"",'[2]BASE'!GG86)</f>
      </c>
      <c r="N86" s="1011">
        <f>IF('[2]BASE'!GH86=0,"",'[2]BASE'!GH86)</f>
      </c>
      <c r="O86" s="1011">
        <f>IF('[2]BASE'!GI86=0,"",'[2]BASE'!GI86)</f>
      </c>
      <c r="P86" s="1011">
        <f>IF('[2]BASE'!GJ86=0,"",'[2]BASE'!GJ86)</f>
      </c>
      <c r="Q86" s="1011">
        <f>IF('[2]BASE'!GK86=0,"",'[2]BASE'!GK86)</f>
      </c>
      <c r="R86" s="1011">
        <f>IF('[2]BASE'!GL86=0,"",'[2]BASE'!GL86)</f>
      </c>
      <c r="S86" s="1011">
        <f>IF('[2]BASE'!GM86=0,"",'[2]BASE'!GM86)</f>
      </c>
      <c r="T86" s="1012"/>
      <c r="U86" s="1008"/>
    </row>
    <row r="87" spans="2:21" s="1002" customFormat="1" ht="19.5" customHeight="1">
      <c r="B87" s="1003"/>
      <c r="C87" s="1015">
        <f>IF('[2]BASE'!C87=0,"",'[2]BASE'!C87)</f>
        <v>67</v>
      </c>
      <c r="D87" s="1015" t="str">
        <f>IF('[2]BASE'!D87=0,"",'[2]BASE'!D87)</f>
        <v>RINCON - RESISTENCIA</v>
      </c>
      <c r="E87" s="1015">
        <f>IF('[2]BASE'!E87=0,"",'[2]BASE'!E87)</f>
        <v>500</v>
      </c>
      <c r="F87" s="1015">
        <f>IF('[2]BASE'!F87=0,"",'[2]BASE'!F87)</f>
        <v>267</v>
      </c>
      <c r="G87" s="1016" t="str">
        <f>IF('[2]BASE'!G87=0,"",'[2]BASE'!G87)</f>
        <v>B</v>
      </c>
      <c r="H87" s="1011" t="str">
        <f>IF('[2]BASE'!GB87=0,"",'[2]BASE'!GB87)</f>
        <v>XXXX</v>
      </c>
      <c r="I87" s="1011" t="str">
        <f>IF('[2]BASE'!GC87=0,"",'[2]BASE'!GC87)</f>
        <v>XXXX</v>
      </c>
      <c r="J87" s="1011" t="str">
        <f>IF('[2]BASE'!GD87=0,"",'[2]BASE'!GD87)</f>
        <v>XXXX</v>
      </c>
      <c r="K87" s="1011" t="str">
        <f>IF('[2]BASE'!GE87=0,"",'[2]BASE'!GE87)</f>
        <v>XXXX</v>
      </c>
      <c r="L87" s="1011" t="str">
        <f>IF('[2]BASE'!GF87=0,"",'[2]BASE'!GF87)</f>
        <v>XXXX</v>
      </c>
      <c r="M87" s="1011" t="str">
        <f>IF('[2]BASE'!GG87=0,"",'[2]BASE'!GG87)</f>
        <v>XXXX</v>
      </c>
      <c r="N87" s="1011" t="str">
        <f>IF('[2]BASE'!GH87=0,"",'[2]BASE'!GH87)</f>
        <v>XXXX</v>
      </c>
      <c r="O87" s="1011" t="str">
        <f>IF('[2]BASE'!GI87=0,"",'[2]BASE'!GI87)</f>
        <v>XXXX</v>
      </c>
      <c r="P87" s="1011" t="str">
        <f>IF('[2]BASE'!GJ87=0,"",'[2]BASE'!GJ87)</f>
        <v>XXXX</v>
      </c>
      <c r="Q87" s="1011" t="str">
        <f>IF('[2]BASE'!GK87=0,"",'[2]BASE'!GK87)</f>
        <v>XXXX</v>
      </c>
      <c r="R87" s="1011" t="str">
        <f>IF('[2]BASE'!GL87=0,"",'[2]BASE'!GL87)</f>
        <v>XXXX</v>
      </c>
      <c r="S87" s="1011" t="str">
        <f>IF('[2]BASE'!GM87=0,"",'[2]BASE'!GM87)</f>
        <v>XXXX</v>
      </c>
      <c r="T87" s="1012"/>
      <c r="U87" s="1008"/>
    </row>
    <row r="88" spans="2:21" s="1002" customFormat="1" ht="9.75" customHeight="1">
      <c r="B88" s="1003"/>
      <c r="C88" s="1013">
        <f>IF('[2]BASE'!C88=0,"",'[2]BASE'!C88)</f>
      </c>
      <c r="D88" s="1013">
        <f>IF('[2]BASE'!D88=0,"",'[2]BASE'!D88)</f>
      </c>
      <c r="E88" s="1013">
        <f>IF('[2]BASE'!E88=0,"",'[2]BASE'!E88)</f>
      </c>
      <c r="F88" s="1014">
        <f>IF('[2]BASE'!F88=0,"",'[2]BASE'!F88)</f>
      </c>
      <c r="G88" s="1014">
        <f>IF('[2]BASE'!G88=0,"",'[2]BASE'!G88)</f>
      </c>
      <c r="H88" s="1011">
        <f>IF('[2]BASE'!GB88=0,"",'[2]BASE'!GB88)</f>
      </c>
      <c r="I88" s="1011">
        <f>IF('[2]BASE'!GC88=0,"",'[2]BASE'!GC88)</f>
      </c>
      <c r="J88" s="1011">
        <f>IF('[2]BASE'!GD88=0,"",'[2]BASE'!GD88)</f>
      </c>
      <c r="K88" s="1011">
        <f>IF('[2]BASE'!GE88=0,"",'[2]BASE'!GE88)</f>
      </c>
      <c r="L88" s="1011">
        <f>IF('[2]BASE'!GF88=0,"",'[2]BASE'!GF88)</f>
      </c>
      <c r="M88" s="1011">
        <f>IF('[2]BASE'!GG88=0,"",'[2]BASE'!GG88)</f>
      </c>
      <c r="N88" s="1011">
        <f>IF('[2]BASE'!GH88=0,"",'[2]BASE'!GH88)</f>
      </c>
      <c r="O88" s="1011">
        <f>IF('[2]BASE'!GI88=0,"",'[2]BASE'!GI88)</f>
      </c>
      <c r="P88" s="1011">
        <f>IF('[2]BASE'!GJ88=0,"",'[2]BASE'!GJ88)</f>
      </c>
      <c r="Q88" s="1011">
        <f>IF('[2]BASE'!GK88=0,"",'[2]BASE'!GK88)</f>
      </c>
      <c r="R88" s="1011">
        <f>IF('[2]BASE'!GL88=0,"",'[2]BASE'!GL88)</f>
      </c>
      <c r="S88" s="1011">
        <f>IF('[2]BASE'!GM88=0,"",'[2]BASE'!GM88)</f>
      </c>
      <c r="T88" s="1012"/>
      <c r="U88" s="1008"/>
    </row>
    <row r="89" spans="2:21" s="1002" customFormat="1" ht="19.5" customHeight="1">
      <c r="B89" s="1003"/>
      <c r="C89" s="1015">
        <f>IF('[2]BASE'!C89=0,"",'[2]BASE'!C89)</f>
        <v>68</v>
      </c>
      <c r="D89" s="1015" t="str">
        <f>IF('[2]BASE'!D89=0,"",'[2]BASE'!D89)</f>
        <v>RINCON - SALTO GRANDE</v>
      </c>
      <c r="E89" s="1015">
        <f>IF('[2]BASE'!E89=0,"",'[2]BASE'!E89)</f>
        <v>500</v>
      </c>
      <c r="F89" s="1016">
        <f>IF('[2]BASE'!F89=0,"",'[2]BASE'!F89)</f>
        <v>506</v>
      </c>
      <c r="G89" s="1016" t="str">
        <f>IF('[2]BASE'!G89=0,"",'[2]BASE'!G89)</f>
        <v>A</v>
      </c>
      <c r="H89" s="1011">
        <f>IF('[2]BASE'!GB89=0,"",'[2]BASE'!GB89)</f>
      </c>
      <c r="I89" s="1011">
        <f>IF('[2]BASE'!GC89=0,"",'[2]BASE'!GC89)</f>
      </c>
      <c r="J89" s="1011">
        <f>IF('[2]BASE'!GD89=0,"",'[2]BASE'!GD89)</f>
      </c>
      <c r="K89" s="1011">
        <f>IF('[2]BASE'!GE89=0,"",'[2]BASE'!GE89)</f>
      </c>
      <c r="L89" s="1011">
        <f>IF('[2]BASE'!GF89=0,"",'[2]BASE'!GF89)</f>
      </c>
      <c r="M89" s="1011">
        <f>IF('[2]BASE'!GG89=0,"",'[2]BASE'!GG89)</f>
      </c>
      <c r="N89" s="1011">
        <f>IF('[2]BASE'!GH89=0,"",'[2]BASE'!GH89)</f>
      </c>
      <c r="O89" s="1011">
        <f>IF('[2]BASE'!GI89=0,"",'[2]BASE'!GI89)</f>
      </c>
      <c r="P89" s="1011">
        <f>IF('[2]BASE'!GJ89=0,"",'[2]BASE'!GJ89)</f>
      </c>
      <c r="Q89" s="1011">
        <f>IF('[2]BASE'!GK89=0,"",'[2]BASE'!GK89)</f>
      </c>
      <c r="R89" s="1011">
        <f>IF('[2]BASE'!GL89=0,"",'[2]BASE'!GL89)</f>
      </c>
      <c r="S89" s="1011">
        <f>IF('[2]BASE'!GM89=0,"",'[2]BASE'!GM89)</f>
      </c>
      <c r="T89" s="1012"/>
      <c r="U89" s="1008"/>
    </row>
    <row r="90" spans="2:21" s="1002" customFormat="1" ht="19.5" customHeight="1">
      <c r="B90" s="1003"/>
      <c r="C90" s="1013">
        <f>IF('[2]BASE'!C90=0,"",'[2]BASE'!C90)</f>
        <v>69</v>
      </c>
      <c r="D90" s="1013" t="str">
        <f>IF('[2]BASE'!D90=0,"",'[2]BASE'!D90)</f>
        <v>RINCON - SAN ISIDRO</v>
      </c>
      <c r="E90" s="1013">
        <f>IF('[2]BASE'!E90=0,"",'[2]BASE'!E90)</f>
        <v>500</v>
      </c>
      <c r="F90" s="1014">
        <f>IF('[2]BASE'!F90=0,"",'[2]BASE'!F90)</f>
        <v>85</v>
      </c>
      <c r="G90" s="1014" t="str">
        <f>IF('[2]BASE'!G90=0,"",'[2]BASE'!G90)</f>
        <v>C</v>
      </c>
      <c r="H90" s="1011">
        <f>IF('[2]BASE'!GB90=0,"",'[2]BASE'!GB90)</f>
      </c>
      <c r="I90" s="1011">
        <f>IF('[2]BASE'!GC90=0,"",'[2]BASE'!GC90)</f>
      </c>
      <c r="J90" s="1011">
        <f>IF('[2]BASE'!GD90=0,"",'[2]BASE'!GD90)</f>
      </c>
      <c r="K90" s="1011">
        <f>IF('[2]BASE'!GE90=0,"",'[2]BASE'!GE90)</f>
      </c>
      <c r="L90" s="1011">
        <f>IF('[2]BASE'!GF90=0,"",'[2]BASE'!GF90)</f>
      </c>
      <c r="M90" s="1011">
        <f>IF('[2]BASE'!GG90=0,"",'[2]BASE'!GG90)</f>
      </c>
      <c r="N90" s="1011">
        <f>IF('[2]BASE'!GH90=0,"",'[2]BASE'!GH90)</f>
      </c>
      <c r="O90" s="1011">
        <f>IF('[2]BASE'!GI90=0,"",'[2]BASE'!GI90)</f>
      </c>
      <c r="P90" s="1011">
        <f>IF('[2]BASE'!GJ90=0,"",'[2]BASE'!GJ90)</f>
      </c>
      <c r="Q90" s="1011">
        <f>IF('[2]BASE'!GK90=0,"",'[2]BASE'!GK90)</f>
      </c>
      <c r="R90" s="1011">
        <f>IF('[2]BASE'!GL90=0,"",'[2]BASE'!GL90)</f>
      </c>
      <c r="S90" s="1011">
        <f>IF('[2]BASE'!GM90=0,"",'[2]BASE'!GM90)</f>
      </c>
      <c r="T90" s="1012"/>
      <c r="U90" s="1008"/>
    </row>
    <row r="91" spans="2:21" s="1002" customFormat="1" ht="9.75" customHeight="1">
      <c r="B91" s="1003"/>
      <c r="C91" s="1015">
        <f>IF('[2]BASE'!C91=0,"",'[2]BASE'!C91)</f>
      </c>
      <c r="D91" s="1015">
        <f>IF('[2]BASE'!D91=0,"",'[2]BASE'!D91)</f>
      </c>
      <c r="E91" s="1015">
        <f>IF('[2]BASE'!E91=0,"",'[2]BASE'!E91)</f>
      </c>
      <c r="F91" s="1015">
        <f>IF('[2]BASE'!F91=0,"",'[2]BASE'!F91)</f>
      </c>
      <c r="G91" s="1016">
        <f>IF('[2]BASE'!G91=0,"",'[2]BASE'!G91)</f>
      </c>
      <c r="H91" s="1011">
        <f>IF('[2]BASE'!GB91=0,"",'[2]BASE'!GB91)</f>
      </c>
      <c r="I91" s="1011">
        <f>IF('[2]BASE'!GC91=0,"",'[2]BASE'!GC91)</f>
      </c>
      <c r="J91" s="1011">
        <f>IF('[2]BASE'!GD91=0,"",'[2]BASE'!GD91)</f>
      </c>
      <c r="K91" s="1011">
        <f>IF('[2]BASE'!GE91=0,"",'[2]BASE'!GE91)</f>
      </c>
      <c r="L91" s="1011">
        <f>IF('[2]BASE'!GF91=0,"",'[2]BASE'!GF91)</f>
      </c>
      <c r="M91" s="1011">
        <f>IF('[2]BASE'!GG91=0,"",'[2]BASE'!GG91)</f>
      </c>
      <c r="N91" s="1011">
        <f>IF('[2]BASE'!GH91=0,"",'[2]BASE'!GH91)</f>
      </c>
      <c r="O91" s="1011">
        <f>IF('[2]BASE'!GI91=0,"",'[2]BASE'!GI91)</f>
      </c>
      <c r="P91" s="1011">
        <f>IF('[2]BASE'!GJ91=0,"",'[2]BASE'!GJ91)</f>
      </c>
      <c r="Q91" s="1011">
        <f>IF('[2]BASE'!GK91=0,"",'[2]BASE'!GK91)</f>
      </c>
      <c r="R91" s="1011">
        <f>IF('[2]BASE'!GL91=0,"",'[2]BASE'!GL91)</f>
      </c>
      <c r="S91" s="1011">
        <f>IF('[2]BASE'!GM91=0,"",'[2]BASE'!GM91)</f>
      </c>
      <c r="T91" s="1012"/>
      <c r="U91" s="1008"/>
    </row>
    <row r="92" spans="2:21" s="1002" customFormat="1" ht="9.75" customHeight="1" thickBot="1">
      <c r="B92" s="1003"/>
      <c r="C92" s="1017"/>
      <c r="D92" s="1017"/>
      <c r="E92" s="1017"/>
      <c r="F92" s="1017"/>
      <c r="G92" s="1018"/>
      <c r="H92" s="1019"/>
      <c r="I92" s="1019"/>
      <c r="J92" s="1019"/>
      <c r="K92" s="1019"/>
      <c r="L92" s="1019"/>
      <c r="M92" s="1019"/>
      <c r="N92" s="1019"/>
      <c r="O92" s="1019"/>
      <c r="P92" s="1019"/>
      <c r="Q92" s="1019"/>
      <c r="R92" s="1019"/>
      <c r="S92" s="1019"/>
      <c r="T92" s="1012"/>
      <c r="U92" s="1008"/>
    </row>
    <row r="93" spans="2:21" s="1002" customFormat="1" ht="19.5" customHeight="1" thickBot="1" thickTop="1">
      <c r="B93" s="1003"/>
      <c r="C93" s="1020"/>
      <c r="D93" s="1021"/>
      <c r="E93" s="1022" t="s">
        <v>306</v>
      </c>
      <c r="F93" s="1023">
        <f>SUM(F16:F92)-F46-F57-F78-F79-F87</f>
        <v>9666.7</v>
      </c>
      <c r="G93" s="1024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12"/>
      <c r="U93" s="1008"/>
    </row>
    <row r="94" spans="2:21" s="1002" customFormat="1" ht="19.5" customHeight="1" thickBot="1" thickTop="1">
      <c r="B94" s="1003"/>
      <c r="C94" s="1026"/>
      <c r="D94" s="1027"/>
      <c r="E94" s="1028"/>
      <c r="F94" s="1029" t="s">
        <v>307</v>
      </c>
      <c r="H94" s="1030">
        <f aca="true" t="shared" si="0" ref="H94:S94">SUM(H17:H92)</f>
        <v>6</v>
      </c>
      <c r="I94" s="1030">
        <f t="shared" si="0"/>
        <v>6</v>
      </c>
      <c r="J94" s="1030">
        <f t="shared" si="0"/>
        <v>6</v>
      </c>
      <c r="K94" s="1030">
        <f t="shared" si="0"/>
        <v>9</v>
      </c>
      <c r="L94" s="1030">
        <f t="shared" si="0"/>
        <v>2</v>
      </c>
      <c r="M94" s="1030">
        <f t="shared" si="0"/>
        <v>1</v>
      </c>
      <c r="N94" s="1030">
        <f t="shared" si="0"/>
        <v>5</v>
      </c>
      <c r="O94" s="1030">
        <f t="shared" si="0"/>
        <v>2</v>
      </c>
      <c r="P94" s="1030">
        <f t="shared" si="0"/>
        <v>4</v>
      </c>
      <c r="Q94" s="1030">
        <f t="shared" si="0"/>
        <v>2</v>
      </c>
      <c r="R94" s="1030">
        <f t="shared" si="0"/>
        <v>6</v>
      </c>
      <c r="S94" s="1030">
        <f t="shared" si="0"/>
        <v>9</v>
      </c>
      <c r="T94" s="1012"/>
      <c r="U94" s="1008"/>
    </row>
    <row r="95" spans="2:21" s="1002" customFormat="1" ht="19.5" customHeight="1" thickBot="1" thickTop="1">
      <c r="B95" s="1003"/>
      <c r="E95" s="1028"/>
      <c r="F95" s="1029" t="s">
        <v>308</v>
      </c>
      <c r="H95" s="1031">
        <f>'[2]BASE'!GB100</f>
        <v>0.35</v>
      </c>
      <c r="I95" s="1031">
        <f>'[2]BASE'!GC100</f>
        <v>0.37</v>
      </c>
      <c r="J95" s="1031">
        <f>'[2]BASE'!GD100</f>
        <v>0.43</v>
      </c>
      <c r="K95" s="1031">
        <f>'[2]BASE'!GE100</f>
        <v>0.46</v>
      </c>
      <c r="L95" s="1031">
        <f>'[2]BASE'!GF100</f>
        <v>0.51</v>
      </c>
      <c r="M95" s="1031">
        <f>'[2]BASE'!GG100</f>
        <v>0.5</v>
      </c>
      <c r="N95" s="1031">
        <f>'[2]BASE'!GH100</f>
        <v>0.5</v>
      </c>
      <c r="O95" s="1031">
        <f>'[2]BASE'!GI100</f>
        <v>0.53</v>
      </c>
      <c r="P95" s="1031">
        <f>'[2]BASE'!GJ100</f>
        <v>0.54</v>
      </c>
      <c r="Q95" s="1031">
        <f>'[2]BASE'!GK100</f>
        <v>0.5</v>
      </c>
      <c r="R95" s="1031">
        <f>'[2]BASE'!GL100</f>
        <v>0.5</v>
      </c>
      <c r="S95" s="1031">
        <f>'[2]BASE'!GM100</f>
        <v>0.56</v>
      </c>
      <c r="T95" s="1031">
        <f>'[2]BASE'!GN100</f>
        <v>0.6</v>
      </c>
      <c r="U95" s="1008"/>
    </row>
    <row r="96" spans="2:21" s="727" customFormat="1" ht="9.75" customHeight="1" thickBot="1" thickTop="1">
      <c r="B96" s="1032"/>
      <c r="C96"/>
      <c r="D96" s="1033"/>
      <c r="E96" s="1034"/>
      <c r="F96" s="1035"/>
      <c r="G96"/>
      <c r="H96" s="1036"/>
      <c r="I96" s="1036"/>
      <c r="J96" s="1036"/>
      <c r="K96" s="1036"/>
      <c r="L96" s="1036"/>
      <c r="M96" s="1036"/>
      <c r="N96" s="1036"/>
      <c r="O96" s="1036"/>
      <c r="P96" s="1036"/>
      <c r="Q96" s="1036"/>
      <c r="R96" s="1036"/>
      <c r="S96" s="1036"/>
      <c r="T96" s="1036"/>
      <c r="U96" s="1037"/>
    </row>
    <row r="97" spans="2:21" ht="15.75" customHeight="1" thickBot="1">
      <c r="B97" s="50"/>
      <c r="C97" s="1038"/>
      <c r="D97" s="15" t="s">
        <v>309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772" t="s">
        <v>310</v>
      </c>
      <c r="I98" s="1039"/>
      <c r="J98" s="1040">
        <f>T95</f>
        <v>0.6</v>
      </c>
      <c r="K98" s="1041" t="s">
        <v>311</v>
      </c>
      <c r="L98" s="773"/>
      <c r="M98" s="1042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43"/>
      <c r="D99" s="59"/>
      <c r="E99" s="59"/>
      <c r="F99" s="1043"/>
      <c r="G99" s="1043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44"/>
      <c r="F100" s="1044"/>
      <c r="G100" s="1044"/>
    </row>
    <row r="101" spans="3:194" ht="12.75">
      <c r="C101" s="1044"/>
      <c r="D101" s="66"/>
      <c r="E101" s="66"/>
      <c r="F101" s="66"/>
      <c r="G101" s="66"/>
      <c r="H101" s="1045"/>
      <c r="I101" s="1045"/>
      <c r="J101" s="1045"/>
      <c r="K101" s="1045"/>
      <c r="L101" s="1045"/>
      <c r="M101" s="1045"/>
      <c r="N101" s="1045"/>
      <c r="O101" s="1045"/>
      <c r="P101" s="1045"/>
      <c r="Q101" s="1045"/>
      <c r="R101" s="1045"/>
      <c r="S101" s="1045"/>
      <c r="T101" s="104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44"/>
      <c r="D102" s="66"/>
      <c r="E102" s="66"/>
      <c r="F102" s="66"/>
      <c r="G102" s="66"/>
      <c r="H102" s="1045"/>
      <c r="I102" s="1045"/>
      <c r="J102" s="1045"/>
      <c r="K102" s="1045"/>
      <c r="L102" s="1045"/>
      <c r="M102" s="1045"/>
      <c r="N102" s="1045"/>
      <c r="O102" s="1045"/>
      <c r="P102" s="1045"/>
      <c r="Q102" s="1045"/>
      <c r="R102" s="1045"/>
      <c r="S102" s="1045"/>
      <c r="T102" s="104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44"/>
      <c r="D103" s="66"/>
      <c r="E103" s="66"/>
      <c r="F103" s="66"/>
      <c r="G103" s="6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44"/>
      <c r="D104" s="66"/>
      <c r="E104" s="66"/>
      <c r="F104" s="66"/>
      <c r="G104" s="66"/>
      <c r="H104" s="1045"/>
      <c r="I104" s="1045"/>
      <c r="J104" s="1045"/>
      <c r="K104" s="1045"/>
      <c r="L104" s="1045"/>
      <c r="M104" s="1045"/>
      <c r="N104" s="1045"/>
      <c r="O104" s="1045"/>
      <c r="P104" s="1045"/>
      <c r="Q104" s="1045"/>
      <c r="R104" s="1045"/>
      <c r="S104" s="1045"/>
      <c r="T104" s="104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44"/>
      <c r="D105" s="66"/>
      <c r="E105" s="66"/>
      <c r="F105" s="66"/>
      <c r="G105" s="66"/>
      <c r="H105" s="1045"/>
      <c r="I105" s="1045"/>
      <c r="J105" s="1045"/>
      <c r="K105" s="1045"/>
      <c r="L105" s="1045"/>
      <c r="M105" s="1045"/>
      <c r="N105" s="1045"/>
      <c r="O105" s="1045"/>
      <c r="P105" s="1045"/>
      <c r="Q105" s="1045"/>
      <c r="R105" s="1045"/>
      <c r="S105" s="1045"/>
      <c r="T105" s="104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44"/>
      <c r="D106" s="66"/>
      <c r="E106" s="66"/>
      <c r="F106" s="66"/>
      <c r="G106" s="66"/>
      <c r="H106" s="1045"/>
      <c r="I106" s="1045"/>
      <c r="J106" s="1045"/>
      <c r="K106" s="1045"/>
      <c r="L106" s="1045"/>
      <c r="M106" s="1045"/>
      <c r="N106" s="1045"/>
      <c r="O106" s="1045"/>
      <c r="P106" s="1045"/>
      <c r="Q106" s="1045"/>
      <c r="R106" s="1045"/>
      <c r="S106" s="1045"/>
      <c r="T106" s="104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44"/>
      <c r="D107" s="66"/>
      <c r="E107" s="66"/>
      <c r="F107" s="66"/>
      <c r="G107" s="66"/>
      <c r="H107" s="1045"/>
      <c r="I107" s="1045"/>
      <c r="J107" s="1045"/>
      <c r="K107" s="1045"/>
      <c r="L107" s="1045"/>
      <c r="M107" s="1045"/>
      <c r="N107" s="1045"/>
      <c r="O107" s="1045"/>
      <c r="P107" s="1045"/>
      <c r="Q107" s="1045"/>
      <c r="R107" s="1045"/>
      <c r="S107" s="1045"/>
      <c r="T107" s="104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44"/>
      <c r="D108" s="66"/>
      <c r="E108" s="66"/>
      <c r="F108" s="66"/>
      <c r="G108" s="66"/>
      <c r="H108" s="1045"/>
      <c r="I108" s="1045"/>
      <c r="J108" s="1045"/>
      <c r="K108" s="1045"/>
      <c r="L108" s="1045"/>
      <c r="M108" s="1045"/>
      <c r="N108" s="1045"/>
      <c r="O108" s="1045"/>
      <c r="P108" s="1045"/>
      <c r="Q108" s="1045"/>
      <c r="R108" s="1045"/>
      <c r="S108" s="1045"/>
      <c r="T108" s="104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44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44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44"/>
      <c r="F111" s="1044"/>
      <c r="G111" s="1044"/>
    </row>
    <row r="112" spans="3:7" ht="12.75">
      <c r="C112" s="1044"/>
      <c r="F112" s="1044"/>
      <c r="G112" s="1044"/>
    </row>
    <row r="113" spans="3:7" ht="12.75">
      <c r="C113" s="1044"/>
      <c r="F113" s="1044"/>
      <c r="G113" s="1044"/>
    </row>
    <row r="114" spans="6:7" ht="12.75">
      <c r="F114" s="1044"/>
      <c r="G114" s="1044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45"/>
  <sheetViews>
    <sheetView zoomScale="70" zoomScaleNormal="70" workbookViewId="0" topLeftCell="A7">
      <selection activeCell="F33" sqref="F33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8" t="s">
        <v>55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5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117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5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'TOT-0809'!B14</f>
        <v>Desde el 01 al 31 de agosto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1"/>
      <c r="Q14" s="19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5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2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75</v>
      </c>
      <c r="G16" s="696">
        <v>117.179</v>
      </c>
      <c r="H16" s="19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76</v>
      </c>
      <c r="G17" s="696">
        <v>97.649</v>
      </c>
      <c r="H17" s="193"/>
      <c r="I17" s="4"/>
      <c r="J17" s="4"/>
      <c r="K17" s="4"/>
      <c r="L17" s="194"/>
      <c r="M17" s="195"/>
      <c r="N17" s="4"/>
      <c r="O17" s="4"/>
      <c r="P17" s="4"/>
      <c r="Q17" s="4"/>
      <c r="R17" s="4"/>
      <c r="S17" s="4"/>
      <c r="T17" s="4"/>
      <c r="U17" s="4"/>
      <c r="V17" s="4"/>
      <c r="W17" s="4"/>
      <c r="X17" s="113"/>
      <c r="Y17" s="113"/>
      <c r="Z17" s="113"/>
      <c r="AA17" s="113"/>
      <c r="AB17" s="113"/>
      <c r="AC17" s="113"/>
      <c r="AD17" s="113"/>
      <c r="AF17" s="17"/>
    </row>
    <row r="18" spans="2:32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760">
        <v>23</v>
      </c>
      <c r="X18" s="760">
        <v>24</v>
      </c>
      <c r="Y18" s="760">
        <v>25</v>
      </c>
      <c r="Z18" s="760">
        <v>26</v>
      </c>
      <c r="AA18" s="760">
        <v>27</v>
      </c>
      <c r="AB18" s="760">
        <v>28</v>
      </c>
      <c r="AC18" s="760">
        <v>29</v>
      </c>
      <c r="AD18" s="760">
        <v>30</v>
      </c>
      <c r="AE18" s="760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138</v>
      </c>
      <c r="E19" s="84" t="s">
        <v>139</v>
      </c>
      <c r="F19" s="85" t="s">
        <v>0</v>
      </c>
      <c r="G19" s="630" t="s">
        <v>13</v>
      </c>
      <c r="H19" s="86" t="s">
        <v>14</v>
      </c>
      <c r="I19" s="197" t="s">
        <v>57</v>
      </c>
      <c r="J19" s="631" t="s">
        <v>35</v>
      </c>
      <c r="K19" s="632" t="s">
        <v>15</v>
      </c>
      <c r="L19" s="85" t="s">
        <v>16</v>
      </c>
      <c r="M19" s="172" t="s">
        <v>17</v>
      </c>
      <c r="N19" s="87" t="s">
        <v>34</v>
      </c>
      <c r="O19" s="86" t="s">
        <v>29</v>
      </c>
      <c r="P19" s="87" t="s">
        <v>18</v>
      </c>
      <c r="Q19" s="86" t="s">
        <v>44</v>
      </c>
      <c r="R19" s="172" t="s">
        <v>45</v>
      </c>
      <c r="S19" s="85" t="s">
        <v>30</v>
      </c>
      <c r="T19" s="134" t="s">
        <v>19</v>
      </c>
      <c r="U19" s="633" t="s">
        <v>20</v>
      </c>
      <c r="V19" s="198" t="s">
        <v>46</v>
      </c>
      <c r="W19" s="199"/>
      <c r="X19" s="200"/>
      <c r="Y19" s="634" t="s">
        <v>118</v>
      </c>
      <c r="Z19" s="635"/>
      <c r="AA19" s="636"/>
      <c r="AB19" s="201" t="s">
        <v>21</v>
      </c>
      <c r="AC19" s="202" t="s">
        <v>58</v>
      </c>
      <c r="AD19" s="130" t="s">
        <v>59</v>
      </c>
      <c r="AE19" s="130" t="s">
        <v>22</v>
      </c>
      <c r="AF19" s="203"/>
    </row>
    <row r="20" spans="2:32" s="5" customFormat="1" ht="16.5" customHeight="1" thickTop="1">
      <c r="B20" s="50"/>
      <c r="C20" s="174"/>
      <c r="D20" s="174"/>
      <c r="E20" s="174"/>
      <c r="F20" s="679"/>
      <c r="G20" s="679"/>
      <c r="H20" s="697"/>
      <c r="I20" s="678"/>
      <c r="J20" s="680"/>
      <c r="K20" s="681"/>
      <c r="L20" s="692"/>
      <c r="M20" s="692"/>
      <c r="N20" s="678"/>
      <c r="O20" s="678"/>
      <c r="P20" s="678"/>
      <c r="Q20" s="678"/>
      <c r="R20" s="678"/>
      <c r="S20" s="678"/>
      <c r="T20" s="682"/>
      <c r="U20" s="683"/>
      <c r="V20" s="684"/>
      <c r="W20" s="685"/>
      <c r="X20" s="686"/>
      <c r="Y20" s="687"/>
      <c r="Z20" s="688"/>
      <c r="AA20" s="689"/>
      <c r="AB20" s="690"/>
      <c r="AC20" s="691"/>
      <c r="AD20" s="678"/>
      <c r="AE20" s="637">
        <f>'LI-08 (1)'!AE40</f>
        <v>225042.86</v>
      </c>
      <c r="AF20" s="17"/>
    </row>
    <row r="21" spans="2:32" s="5" customFormat="1" ht="16.5" customHeight="1">
      <c r="B21" s="50"/>
      <c r="C21" s="264"/>
      <c r="D21" s="264"/>
      <c r="E21" s="264"/>
      <c r="F21" s="175"/>
      <c r="G21" s="7"/>
      <c r="H21" s="698"/>
      <c r="I21" s="175"/>
      <c r="J21" s="638"/>
      <c r="K21" s="639"/>
      <c r="L21" s="204"/>
      <c r="M21" s="113"/>
      <c r="N21" s="175"/>
      <c r="O21" s="175"/>
      <c r="P21" s="176"/>
      <c r="Q21" s="175"/>
      <c r="R21" s="175"/>
      <c r="S21" s="175"/>
      <c r="T21" s="640"/>
      <c r="U21" s="641"/>
      <c r="V21" s="642"/>
      <c r="W21" s="643"/>
      <c r="X21" s="644"/>
      <c r="Y21" s="645"/>
      <c r="Z21" s="646"/>
      <c r="AA21" s="647"/>
      <c r="AB21" s="205"/>
      <c r="AC21" s="206"/>
      <c r="AD21" s="175"/>
      <c r="AE21" s="207"/>
      <c r="AF21" s="17"/>
    </row>
    <row r="22" spans="2:32" s="5" customFormat="1" ht="16.5" customHeight="1">
      <c r="B22" s="50"/>
      <c r="C22" s="149"/>
      <c r="D22" s="149"/>
      <c r="E22" s="149"/>
      <c r="F22" s="149"/>
      <c r="G22" s="177"/>
      <c r="H22" s="699"/>
      <c r="I22" s="177"/>
      <c r="J22" s="648"/>
      <c r="K22" s="649"/>
      <c r="L22" s="650"/>
      <c r="M22" s="651"/>
      <c r="N22" s="180"/>
      <c r="O22" s="181"/>
      <c r="P22" s="210"/>
      <c r="Q22" s="751"/>
      <c r="R22" s="211"/>
      <c r="S22" s="211"/>
      <c r="T22" s="652"/>
      <c r="U22" s="653"/>
      <c r="V22" s="212"/>
      <c r="W22" s="213"/>
      <c r="X22" s="214"/>
      <c r="Y22" s="654"/>
      <c r="Z22" s="655"/>
      <c r="AA22" s="656"/>
      <c r="AB22" s="215"/>
      <c r="AC22" s="216"/>
      <c r="AD22" s="752"/>
      <c r="AE22" s="16"/>
      <c r="AF22" s="657"/>
    </row>
    <row r="23" spans="2:32" s="5" customFormat="1" ht="16.5" customHeight="1">
      <c r="B23" s="50"/>
      <c r="C23" s="264">
        <v>21</v>
      </c>
      <c r="D23" s="264">
        <v>210482</v>
      </c>
      <c r="E23" s="264">
        <v>1344</v>
      </c>
      <c r="F23" s="149" t="s">
        <v>154</v>
      </c>
      <c r="G23" s="177">
        <v>500</v>
      </c>
      <c r="H23" s="699">
        <v>194</v>
      </c>
      <c r="I23" s="177" t="s">
        <v>143</v>
      </c>
      <c r="J23" s="648">
        <f aca="true" t="shared" si="0" ref="J23:J41">IF(I23="A",200,IF(I23="B",60,20))</f>
        <v>20</v>
      </c>
      <c r="K23" s="649">
        <f aca="true" t="shared" si="1" ref="K23:K41">IF(G23=500,IF(H23&lt;100,100*$G$16/100,H23*$G$16/100),IF(H23&lt;100,100*$G$17/100,H23*$G$17/100))</f>
        <v>227.32726</v>
      </c>
      <c r="L23" s="650">
        <v>40054.31319444445</v>
      </c>
      <c r="M23" s="651">
        <v>40054.75069444445</v>
      </c>
      <c r="N23" s="180">
        <f aca="true" t="shared" si="2" ref="N23:N41">IF(F23="","",(M23-L23)*24)</f>
        <v>10.5</v>
      </c>
      <c r="O23" s="181">
        <f aca="true" t="shared" si="3" ref="O23:O41">IF(F23="","",ROUND((M23-L23)*24*60,0))</f>
        <v>630</v>
      </c>
      <c r="P23" s="210" t="s">
        <v>144</v>
      </c>
      <c r="Q23" s="751" t="str">
        <f aca="true" t="shared" si="4" ref="Q23:Q41">IF(F23="","","--")</f>
        <v>--</v>
      </c>
      <c r="R23" s="211" t="str">
        <f aca="true" t="shared" si="5" ref="R23:R41">IF(F23="","","NO")</f>
        <v>NO</v>
      </c>
      <c r="S23" s="211" t="str">
        <f aca="true" t="shared" si="6" ref="S23:S41">IF(F23="","",IF(OR(P23="P",P23="RP"),"--","NO"))</f>
        <v>--</v>
      </c>
      <c r="T23" s="652">
        <f aca="true" t="shared" si="7" ref="T23:T41">IF(P23="P",K23*J23*ROUND(O23/60,2)*0.01,"--")</f>
        <v>477.38724599999995</v>
      </c>
      <c r="U23" s="653" t="str">
        <f aca="true" t="shared" si="8" ref="U23:U41">IF(P23="RP",K23*J23*ROUND(O23/60,2)*0.01*Q23/100,"--")</f>
        <v>--</v>
      </c>
      <c r="V23" s="212" t="str">
        <f aca="true" t="shared" si="9" ref="V23:V41">IF(AND(P23="F",S23="NO"),K23*J23*IF(R23="SI",1.2,1),"--")</f>
        <v>--</v>
      </c>
      <c r="W23" s="213" t="str">
        <f aca="true" t="shared" si="10" ref="W23:W41">IF(AND(P23="F",O23&gt;=10),K23*J23*IF(R23="SI",1.2,1)*IF(O23&lt;=300,ROUND(O23/60,2),5),"--")</f>
        <v>--</v>
      </c>
      <c r="X23" s="214" t="str">
        <f aca="true" t="shared" si="11" ref="X23:X41">IF(AND(P23="F",O23&gt;300),(ROUND(O23/60,2)-5)*K23*J23*0.1*IF(R23="SI",1.2,1),"--")</f>
        <v>--</v>
      </c>
      <c r="Y23" s="654" t="str">
        <f aca="true" t="shared" si="12" ref="Y23:Y41">IF(AND(P23="R",S23="NO"),K23*J23*Q23/100*IF(R23="SI",1.2,1),"--")</f>
        <v>--</v>
      </c>
      <c r="Z23" s="655" t="str">
        <f aca="true" t="shared" si="13" ref="Z23:Z41">IF(AND(P23="R",O23&gt;=10),K23*J23*Q23/100*IF(R23="SI",1.2,1)*IF(O23&lt;=300,ROUND(O23/60,2),5),"--")</f>
        <v>--</v>
      </c>
      <c r="AA23" s="656" t="str">
        <f aca="true" t="shared" si="14" ref="AA23:AA41">IF(AND(P23="R",O23&gt;300),(ROUND(O23/60,2)-5)*K23*J23*0.1*Q23/100*IF(R23="SI",1.2,1),"--")</f>
        <v>--</v>
      </c>
      <c r="AB23" s="215" t="str">
        <f aca="true" t="shared" si="15" ref="AB23:AB41">IF(P23="RF",ROUND(O23/60,2)*K23*J23*0.1*IF(R23="SI",1.2,1),"--")</f>
        <v>--</v>
      </c>
      <c r="AC23" s="216" t="str">
        <f aca="true" t="shared" si="16" ref="AC23:AC41">IF(P23="RR",ROUND(O23/60,2)*K23*J23*0.1*Q23/100*IF(R23="SI",1.2,1),"--")</f>
        <v>--</v>
      </c>
      <c r="AD23" s="752" t="s">
        <v>128</v>
      </c>
      <c r="AE23" s="16">
        <f aca="true" t="shared" si="17" ref="AE23:AE41">IF(F23="","",SUM(T23:AC23)*IF(AD23="SI",1,2))</f>
        <v>477.38724599999995</v>
      </c>
      <c r="AF23" s="657"/>
    </row>
    <row r="24" spans="2:32" s="5" customFormat="1" ht="16.5" customHeight="1">
      <c r="B24" s="50"/>
      <c r="C24" s="149">
        <v>22</v>
      </c>
      <c r="D24" s="149">
        <v>210485</v>
      </c>
      <c r="E24" s="149">
        <v>47</v>
      </c>
      <c r="F24" s="658" t="s">
        <v>151</v>
      </c>
      <c r="G24" s="659">
        <v>500</v>
      </c>
      <c r="H24" s="700">
        <v>289</v>
      </c>
      <c r="I24" s="659" t="s">
        <v>143</v>
      </c>
      <c r="J24" s="648">
        <f t="shared" si="0"/>
        <v>20</v>
      </c>
      <c r="K24" s="649">
        <f t="shared" si="1"/>
        <v>338.64731</v>
      </c>
      <c r="L24" s="660">
        <v>40055.37430555555</v>
      </c>
      <c r="M24" s="661">
        <v>40055.74722222222</v>
      </c>
      <c r="N24" s="180">
        <f t="shared" si="2"/>
        <v>8.950000000011642</v>
      </c>
      <c r="O24" s="181">
        <f t="shared" si="3"/>
        <v>537</v>
      </c>
      <c r="P24" s="210" t="s">
        <v>144</v>
      </c>
      <c r="Q24" s="751" t="str">
        <f t="shared" si="4"/>
        <v>--</v>
      </c>
      <c r="R24" s="211" t="str">
        <f t="shared" si="5"/>
        <v>NO</v>
      </c>
      <c r="S24" s="211" t="str">
        <f t="shared" si="6"/>
        <v>--</v>
      </c>
      <c r="T24" s="652">
        <f t="shared" si="7"/>
        <v>606.1786849</v>
      </c>
      <c r="U24" s="653" t="str">
        <f t="shared" si="8"/>
        <v>--</v>
      </c>
      <c r="V24" s="212" t="str">
        <f t="shared" si="9"/>
        <v>--</v>
      </c>
      <c r="W24" s="213" t="str">
        <f t="shared" si="10"/>
        <v>--</v>
      </c>
      <c r="X24" s="214" t="str">
        <f t="shared" si="11"/>
        <v>--</v>
      </c>
      <c r="Y24" s="654" t="str">
        <f t="shared" si="12"/>
        <v>--</v>
      </c>
      <c r="Z24" s="655" t="str">
        <f t="shared" si="13"/>
        <v>--</v>
      </c>
      <c r="AA24" s="656" t="str">
        <f t="shared" si="14"/>
        <v>--</v>
      </c>
      <c r="AB24" s="215" t="str">
        <f t="shared" si="15"/>
        <v>--</v>
      </c>
      <c r="AC24" s="216" t="str">
        <f t="shared" si="16"/>
        <v>--</v>
      </c>
      <c r="AD24" s="752" t="s">
        <v>128</v>
      </c>
      <c r="AE24" s="16">
        <f t="shared" si="17"/>
        <v>606.1786849</v>
      </c>
      <c r="AF24" s="657"/>
    </row>
    <row r="25" spans="2:32" s="5" customFormat="1" ht="16.5" customHeight="1">
      <c r="B25" s="50"/>
      <c r="C25" s="264"/>
      <c r="D25" s="264"/>
      <c r="E25" s="264"/>
      <c r="F25" s="658"/>
      <c r="G25" s="659"/>
      <c r="H25" s="700"/>
      <c r="I25" s="659"/>
      <c r="J25" s="648">
        <f t="shared" si="0"/>
        <v>20</v>
      </c>
      <c r="K25" s="649">
        <f t="shared" si="1"/>
        <v>97.649</v>
      </c>
      <c r="L25" s="660"/>
      <c r="M25" s="661"/>
      <c r="N25" s="180">
        <f t="shared" si="2"/>
      </c>
      <c r="O25" s="181">
        <f t="shared" si="3"/>
      </c>
      <c r="P25" s="210"/>
      <c r="Q25" s="751">
        <f t="shared" si="4"/>
      </c>
      <c r="R25" s="211">
        <f t="shared" si="5"/>
      </c>
      <c r="S25" s="211">
        <f t="shared" si="6"/>
      </c>
      <c r="T25" s="652" t="str">
        <f t="shared" si="7"/>
        <v>--</v>
      </c>
      <c r="U25" s="653" t="str">
        <f t="shared" si="8"/>
        <v>--</v>
      </c>
      <c r="V25" s="212" t="str">
        <f t="shared" si="9"/>
        <v>--</v>
      </c>
      <c r="W25" s="213" t="str">
        <f t="shared" si="10"/>
        <v>--</v>
      </c>
      <c r="X25" s="214" t="str">
        <f t="shared" si="11"/>
        <v>--</v>
      </c>
      <c r="Y25" s="654" t="str">
        <f t="shared" si="12"/>
        <v>--</v>
      </c>
      <c r="Z25" s="655" t="str">
        <f t="shared" si="13"/>
        <v>--</v>
      </c>
      <c r="AA25" s="656" t="str">
        <f t="shared" si="14"/>
        <v>--</v>
      </c>
      <c r="AB25" s="215" t="str">
        <f t="shared" si="15"/>
        <v>--</v>
      </c>
      <c r="AC25" s="216" t="str">
        <f t="shared" si="16"/>
        <v>--</v>
      </c>
      <c r="AD25" s="752">
        <f aca="true" t="shared" si="18" ref="AD25:AD41">IF(F25="","","SI")</f>
      </c>
      <c r="AE25" s="16">
        <f t="shared" si="17"/>
      </c>
      <c r="AF25" s="657"/>
    </row>
    <row r="26" spans="2:32" s="5" customFormat="1" ht="16.5" customHeight="1">
      <c r="B26" s="50"/>
      <c r="C26" s="149"/>
      <c r="D26" s="149"/>
      <c r="E26" s="149"/>
      <c r="F26" s="149"/>
      <c r="G26" s="177"/>
      <c r="H26" s="699"/>
      <c r="I26" s="177"/>
      <c r="J26" s="648">
        <f t="shared" si="0"/>
        <v>20</v>
      </c>
      <c r="K26" s="649">
        <f t="shared" si="1"/>
        <v>97.649</v>
      </c>
      <c r="L26" s="650"/>
      <c r="M26" s="651"/>
      <c r="N26" s="180">
        <f t="shared" si="2"/>
      </c>
      <c r="O26" s="181">
        <f t="shared" si="3"/>
      </c>
      <c r="P26" s="210"/>
      <c r="Q26" s="751">
        <f t="shared" si="4"/>
      </c>
      <c r="R26" s="211">
        <f t="shared" si="5"/>
      </c>
      <c r="S26" s="211">
        <f t="shared" si="6"/>
      </c>
      <c r="T26" s="652" t="str">
        <f t="shared" si="7"/>
        <v>--</v>
      </c>
      <c r="U26" s="653" t="str">
        <f t="shared" si="8"/>
        <v>--</v>
      </c>
      <c r="V26" s="212" t="str">
        <f t="shared" si="9"/>
        <v>--</v>
      </c>
      <c r="W26" s="213" t="str">
        <f t="shared" si="10"/>
        <v>--</v>
      </c>
      <c r="X26" s="214" t="str">
        <f t="shared" si="11"/>
        <v>--</v>
      </c>
      <c r="Y26" s="654" t="str">
        <f t="shared" si="12"/>
        <v>--</v>
      </c>
      <c r="Z26" s="655" t="str">
        <f t="shared" si="13"/>
        <v>--</v>
      </c>
      <c r="AA26" s="656" t="str">
        <f t="shared" si="14"/>
        <v>--</v>
      </c>
      <c r="AB26" s="215" t="str">
        <f t="shared" si="15"/>
        <v>--</v>
      </c>
      <c r="AC26" s="216" t="str">
        <f t="shared" si="16"/>
        <v>--</v>
      </c>
      <c r="AD26" s="752">
        <f t="shared" si="18"/>
      </c>
      <c r="AE26" s="16">
        <f t="shared" si="17"/>
      </c>
      <c r="AF26" s="657"/>
    </row>
    <row r="27" spans="2:32" s="5" customFormat="1" ht="16.5" customHeight="1">
      <c r="B27" s="50"/>
      <c r="C27" s="264"/>
      <c r="D27" s="264"/>
      <c r="E27" s="264"/>
      <c r="F27" s="149"/>
      <c r="G27" s="177"/>
      <c r="H27" s="699"/>
      <c r="I27" s="177"/>
      <c r="J27" s="648">
        <f t="shared" si="0"/>
        <v>20</v>
      </c>
      <c r="K27" s="649">
        <f t="shared" si="1"/>
        <v>97.649</v>
      </c>
      <c r="L27" s="650"/>
      <c r="M27" s="651"/>
      <c r="N27" s="180">
        <f t="shared" si="2"/>
      </c>
      <c r="O27" s="181">
        <f t="shared" si="3"/>
      </c>
      <c r="P27" s="210"/>
      <c r="Q27" s="751">
        <f t="shared" si="4"/>
      </c>
      <c r="R27" s="211">
        <f t="shared" si="5"/>
      </c>
      <c r="S27" s="211">
        <f t="shared" si="6"/>
      </c>
      <c r="T27" s="652" t="str">
        <f t="shared" si="7"/>
        <v>--</v>
      </c>
      <c r="U27" s="653" t="str">
        <f t="shared" si="8"/>
        <v>--</v>
      </c>
      <c r="V27" s="212" t="str">
        <f t="shared" si="9"/>
        <v>--</v>
      </c>
      <c r="W27" s="213" t="str">
        <f t="shared" si="10"/>
        <v>--</v>
      </c>
      <c r="X27" s="214" t="str">
        <f t="shared" si="11"/>
        <v>--</v>
      </c>
      <c r="Y27" s="654" t="str">
        <f t="shared" si="12"/>
        <v>--</v>
      </c>
      <c r="Z27" s="655" t="str">
        <f t="shared" si="13"/>
        <v>--</v>
      </c>
      <c r="AA27" s="656" t="str">
        <f t="shared" si="14"/>
        <v>--</v>
      </c>
      <c r="AB27" s="215" t="str">
        <f t="shared" si="15"/>
        <v>--</v>
      </c>
      <c r="AC27" s="216" t="str">
        <f t="shared" si="16"/>
        <v>--</v>
      </c>
      <c r="AD27" s="752">
        <f t="shared" si="18"/>
      </c>
      <c r="AE27" s="16">
        <f t="shared" si="17"/>
      </c>
      <c r="AF27" s="657"/>
    </row>
    <row r="28" spans="2:32" s="5" customFormat="1" ht="16.5" customHeight="1">
      <c r="B28" s="50"/>
      <c r="C28" s="149"/>
      <c r="D28" s="149"/>
      <c r="E28" s="149"/>
      <c r="F28" s="143"/>
      <c r="G28" s="144"/>
      <c r="H28" s="701"/>
      <c r="I28" s="144"/>
      <c r="J28" s="648">
        <f t="shared" si="0"/>
        <v>20</v>
      </c>
      <c r="K28" s="649">
        <f t="shared" si="1"/>
        <v>97.649</v>
      </c>
      <c r="L28" s="178"/>
      <c r="M28" s="209"/>
      <c r="N28" s="180">
        <f t="shared" si="2"/>
      </c>
      <c r="O28" s="181">
        <f t="shared" si="3"/>
      </c>
      <c r="P28" s="210"/>
      <c r="Q28" s="751">
        <f t="shared" si="4"/>
      </c>
      <c r="R28" s="211">
        <f t="shared" si="5"/>
      </c>
      <c r="S28" s="211">
        <f t="shared" si="6"/>
      </c>
      <c r="T28" s="652" t="str">
        <f t="shared" si="7"/>
        <v>--</v>
      </c>
      <c r="U28" s="653" t="str">
        <f t="shared" si="8"/>
        <v>--</v>
      </c>
      <c r="V28" s="212" t="str">
        <f t="shared" si="9"/>
        <v>--</v>
      </c>
      <c r="W28" s="213" t="str">
        <f t="shared" si="10"/>
        <v>--</v>
      </c>
      <c r="X28" s="214" t="str">
        <f t="shared" si="11"/>
        <v>--</v>
      </c>
      <c r="Y28" s="654" t="str">
        <f t="shared" si="12"/>
        <v>--</v>
      </c>
      <c r="Z28" s="655" t="str">
        <f t="shared" si="13"/>
        <v>--</v>
      </c>
      <c r="AA28" s="656" t="str">
        <f t="shared" si="14"/>
        <v>--</v>
      </c>
      <c r="AB28" s="215" t="str">
        <f t="shared" si="15"/>
        <v>--</v>
      </c>
      <c r="AC28" s="216" t="str">
        <f t="shared" si="16"/>
        <v>--</v>
      </c>
      <c r="AD28" s="752">
        <f t="shared" si="18"/>
      </c>
      <c r="AE28" s="16">
        <f t="shared" si="17"/>
      </c>
      <c r="AF28" s="657"/>
    </row>
    <row r="29" spans="2:32" s="5" customFormat="1" ht="16.5" customHeight="1">
      <c r="B29" s="50"/>
      <c r="C29" s="264"/>
      <c r="D29" s="264"/>
      <c r="E29" s="264"/>
      <c r="F29" s="143"/>
      <c r="G29" s="144"/>
      <c r="H29" s="701"/>
      <c r="I29" s="144"/>
      <c r="J29" s="648">
        <f t="shared" si="0"/>
        <v>20</v>
      </c>
      <c r="K29" s="649">
        <f t="shared" si="1"/>
        <v>97.649</v>
      </c>
      <c r="L29" s="178"/>
      <c r="M29" s="209"/>
      <c r="N29" s="180">
        <f t="shared" si="2"/>
      </c>
      <c r="O29" s="181">
        <f t="shared" si="3"/>
      </c>
      <c r="P29" s="210"/>
      <c r="Q29" s="751">
        <f t="shared" si="4"/>
      </c>
      <c r="R29" s="211">
        <f t="shared" si="5"/>
      </c>
      <c r="S29" s="211">
        <f t="shared" si="6"/>
      </c>
      <c r="T29" s="652" t="str">
        <f t="shared" si="7"/>
        <v>--</v>
      </c>
      <c r="U29" s="653" t="str">
        <f t="shared" si="8"/>
        <v>--</v>
      </c>
      <c r="V29" s="212" t="str">
        <f t="shared" si="9"/>
        <v>--</v>
      </c>
      <c r="W29" s="213" t="str">
        <f t="shared" si="10"/>
        <v>--</v>
      </c>
      <c r="X29" s="214" t="str">
        <f t="shared" si="11"/>
        <v>--</v>
      </c>
      <c r="Y29" s="654" t="str">
        <f t="shared" si="12"/>
        <v>--</v>
      </c>
      <c r="Z29" s="655" t="str">
        <f t="shared" si="13"/>
        <v>--</v>
      </c>
      <c r="AA29" s="656" t="str">
        <f t="shared" si="14"/>
        <v>--</v>
      </c>
      <c r="AB29" s="215" t="str">
        <f t="shared" si="15"/>
        <v>--</v>
      </c>
      <c r="AC29" s="216" t="str">
        <f t="shared" si="16"/>
        <v>--</v>
      </c>
      <c r="AD29" s="752">
        <f t="shared" si="18"/>
      </c>
      <c r="AE29" s="16">
        <f t="shared" si="17"/>
      </c>
      <c r="AF29" s="657"/>
    </row>
    <row r="30" spans="2:32" s="5" customFormat="1" ht="16.5" customHeight="1">
      <c r="B30" s="50"/>
      <c r="C30" s="149"/>
      <c r="D30" s="149"/>
      <c r="E30" s="149"/>
      <c r="F30" s="143"/>
      <c r="G30" s="144"/>
      <c r="H30" s="701"/>
      <c r="I30" s="144"/>
      <c r="J30" s="648">
        <f t="shared" si="0"/>
        <v>20</v>
      </c>
      <c r="K30" s="649">
        <f t="shared" si="1"/>
        <v>97.649</v>
      </c>
      <c r="L30" s="178"/>
      <c r="M30" s="209"/>
      <c r="N30" s="180">
        <f t="shared" si="2"/>
      </c>
      <c r="O30" s="181">
        <f t="shared" si="3"/>
      </c>
      <c r="P30" s="210"/>
      <c r="Q30" s="751">
        <f t="shared" si="4"/>
      </c>
      <c r="R30" s="211">
        <f t="shared" si="5"/>
      </c>
      <c r="S30" s="211">
        <f t="shared" si="6"/>
      </c>
      <c r="T30" s="652" t="str">
        <f t="shared" si="7"/>
        <v>--</v>
      </c>
      <c r="U30" s="653" t="str">
        <f t="shared" si="8"/>
        <v>--</v>
      </c>
      <c r="V30" s="212" t="str">
        <f t="shared" si="9"/>
        <v>--</v>
      </c>
      <c r="W30" s="213" t="str">
        <f t="shared" si="10"/>
        <v>--</v>
      </c>
      <c r="X30" s="214" t="str">
        <f t="shared" si="11"/>
        <v>--</v>
      </c>
      <c r="Y30" s="654" t="str">
        <f t="shared" si="12"/>
        <v>--</v>
      </c>
      <c r="Z30" s="655" t="str">
        <f t="shared" si="13"/>
        <v>--</v>
      </c>
      <c r="AA30" s="656" t="str">
        <f t="shared" si="14"/>
        <v>--</v>
      </c>
      <c r="AB30" s="215" t="str">
        <f t="shared" si="15"/>
        <v>--</v>
      </c>
      <c r="AC30" s="216" t="str">
        <f t="shared" si="16"/>
        <v>--</v>
      </c>
      <c r="AD30" s="752">
        <f t="shared" si="18"/>
      </c>
      <c r="AE30" s="16">
        <f t="shared" si="17"/>
      </c>
      <c r="AF30" s="657"/>
    </row>
    <row r="31" spans="2:32" s="5" customFormat="1" ht="16.5" customHeight="1">
      <c r="B31" s="50"/>
      <c r="C31" s="264"/>
      <c r="D31" s="264"/>
      <c r="E31" s="264"/>
      <c r="F31" s="143"/>
      <c r="G31" s="144"/>
      <c r="H31" s="701"/>
      <c r="I31" s="144"/>
      <c r="J31" s="648">
        <f t="shared" si="0"/>
        <v>20</v>
      </c>
      <c r="K31" s="649">
        <f t="shared" si="1"/>
        <v>97.649</v>
      </c>
      <c r="L31" s="178"/>
      <c r="M31" s="209"/>
      <c r="N31" s="180">
        <f t="shared" si="2"/>
      </c>
      <c r="O31" s="181">
        <f t="shared" si="3"/>
      </c>
      <c r="P31" s="210"/>
      <c r="Q31" s="751">
        <f t="shared" si="4"/>
      </c>
      <c r="R31" s="211">
        <f t="shared" si="5"/>
      </c>
      <c r="S31" s="211">
        <f t="shared" si="6"/>
      </c>
      <c r="T31" s="652" t="str">
        <f t="shared" si="7"/>
        <v>--</v>
      </c>
      <c r="U31" s="653" t="str">
        <f t="shared" si="8"/>
        <v>--</v>
      </c>
      <c r="V31" s="212" t="str">
        <f t="shared" si="9"/>
        <v>--</v>
      </c>
      <c r="W31" s="213" t="str">
        <f t="shared" si="10"/>
        <v>--</v>
      </c>
      <c r="X31" s="214" t="str">
        <f t="shared" si="11"/>
        <v>--</v>
      </c>
      <c r="Y31" s="654" t="str">
        <f t="shared" si="12"/>
        <v>--</v>
      </c>
      <c r="Z31" s="655" t="str">
        <f t="shared" si="13"/>
        <v>--</v>
      </c>
      <c r="AA31" s="656" t="str">
        <f t="shared" si="14"/>
        <v>--</v>
      </c>
      <c r="AB31" s="215" t="str">
        <f t="shared" si="15"/>
        <v>--</v>
      </c>
      <c r="AC31" s="216" t="str">
        <f t="shared" si="16"/>
        <v>--</v>
      </c>
      <c r="AD31" s="752">
        <f t="shared" si="18"/>
      </c>
      <c r="AE31" s="16">
        <f t="shared" si="17"/>
      </c>
      <c r="AF31" s="657"/>
    </row>
    <row r="32" spans="2:32" s="5" customFormat="1" ht="16.5" customHeight="1">
      <c r="B32" s="50"/>
      <c r="C32" s="149"/>
      <c r="D32" s="149"/>
      <c r="E32" s="149"/>
      <c r="F32" s="143"/>
      <c r="G32" s="144"/>
      <c r="H32" s="701"/>
      <c r="I32" s="144"/>
      <c r="J32" s="648">
        <f t="shared" si="0"/>
        <v>20</v>
      </c>
      <c r="K32" s="649">
        <f t="shared" si="1"/>
        <v>97.649</v>
      </c>
      <c r="L32" s="178"/>
      <c r="M32" s="209"/>
      <c r="N32" s="180">
        <f t="shared" si="2"/>
      </c>
      <c r="O32" s="181">
        <f t="shared" si="3"/>
      </c>
      <c r="P32" s="210"/>
      <c r="Q32" s="751">
        <f t="shared" si="4"/>
      </c>
      <c r="R32" s="211">
        <f t="shared" si="5"/>
      </c>
      <c r="S32" s="211">
        <f t="shared" si="6"/>
      </c>
      <c r="T32" s="652" t="str">
        <f t="shared" si="7"/>
        <v>--</v>
      </c>
      <c r="U32" s="653" t="str">
        <f t="shared" si="8"/>
        <v>--</v>
      </c>
      <c r="V32" s="212" t="str">
        <f t="shared" si="9"/>
        <v>--</v>
      </c>
      <c r="W32" s="213" t="str">
        <f t="shared" si="10"/>
        <v>--</v>
      </c>
      <c r="X32" s="214" t="str">
        <f t="shared" si="11"/>
        <v>--</v>
      </c>
      <c r="Y32" s="654" t="str">
        <f t="shared" si="12"/>
        <v>--</v>
      </c>
      <c r="Z32" s="655" t="str">
        <f t="shared" si="13"/>
        <v>--</v>
      </c>
      <c r="AA32" s="656" t="str">
        <f t="shared" si="14"/>
        <v>--</v>
      </c>
      <c r="AB32" s="215" t="str">
        <f t="shared" si="15"/>
        <v>--</v>
      </c>
      <c r="AC32" s="216" t="str">
        <f t="shared" si="16"/>
        <v>--</v>
      </c>
      <c r="AD32" s="752">
        <f t="shared" si="18"/>
      </c>
      <c r="AE32" s="16">
        <f t="shared" si="17"/>
      </c>
      <c r="AF32" s="657"/>
    </row>
    <row r="33" spans="2:32" s="5" customFormat="1" ht="16.5" customHeight="1">
      <c r="B33" s="50"/>
      <c r="C33" s="264"/>
      <c r="D33" s="264"/>
      <c r="E33" s="264"/>
      <c r="F33" s="143"/>
      <c r="G33" s="144"/>
      <c r="H33" s="701"/>
      <c r="I33" s="144"/>
      <c r="J33" s="648">
        <f t="shared" si="0"/>
        <v>20</v>
      </c>
      <c r="K33" s="649">
        <f t="shared" si="1"/>
        <v>97.649</v>
      </c>
      <c r="L33" s="178"/>
      <c r="M33" s="179"/>
      <c r="N33" s="180">
        <f t="shared" si="2"/>
      </c>
      <c r="O33" s="181">
        <f t="shared" si="3"/>
      </c>
      <c r="P33" s="210"/>
      <c r="Q33" s="751">
        <f t="shared" si="4"/>
      </c>
      <c r="R33" s="211">
        <f t="shared" si="5"/>
      </c>
      <c r="S33" s="211">
        <f t="shared" si="6"/>
      </c>
      <c r="T33" s="652" t="str">
        <f t="shared" si="7"/>
        <v>--</v>
      </c>
      <c r="U33" s="653" t="str">
        <f t="shared" si="8"/>
        <v>--</v>
      </c>
      <c r="V33" s="212" t="str">
        <f t="shared" si="9"/>
        <v>--</v>
      </c>
      <c r="W33" s="213" t="str">
        <f t="shared" si="10"/>
        <v>--</v>
      </c>
      <c r="X33" s="214" t="str">
        <f t="shared" si="11"/>
        <v>--</v>
      </c>
      <c r="Y33" s="654" t="str">
        <f t="shared" si="12"/>
        <v>--</v>
      </c>
      <c r="Z33" s="655" t="str">
        <f t="shared" si="13"/>
        <v>--</v>
      </c>
      <c r="AA33" s="656" t="str">
        <f t="shared" si="14"/>
        <v>--</v>
      </c>
      <c r="AB33" s="215" t="str">
        <f t="shared" si="15"/>
        <v>--</v>
      </c>
      <c r="AC33" s="216" t="str">
        <f t="shared" si="16"/>
        <v>--</v>
      </c>
      <c r="AD33" s="752">
        <f t="shared" si="18"/>
      </c>
      <c r="AE33" s="16">
        <f t="shared" si="17"/>
      </c>
      <c r="AF33" s="657"/>
    </row>
    <row r="34" spans="2:32" s="5" customFormat="1" ht="16.5" customHeight="1">
      <c r="B34" s="50"/>
      <c r="C34" s="149"/>
      <c r="D34" s="149"/>
      <c r="E34" s="149"/>
      <c r="F34" s="143"/>
      <c r="G34" s="144"/>
      <c r="H34" s="701"/>
      <c r="I34" s="144"/>
      <c r="J34" s="648">
        <f t="shared" si="0"/>
        <v>20</v>
      </c>
      <c r="K34" s="649">
        <f t="shared" si="1"/>
        <v>97.649</v>
      </c>
      <c r="L34" s="178"/>
      <c r="M34" s="179"/>
      <c r="N34" s="180">
        <f t="shared" si="2"/>
      </c>
      <c r="O34" s="181">
        <f t="shared" si="3"/>
      </c>
      <c r="P34" s="210"/>
      <c r="Q34" s="751">
        <f t="shared" si="4"/>
      </c>
      <c r="R34" s="211">
        <f t="shared" si="5"/>
      </c>
      <c r="S34" s="211">
        <f t="shared" si="6"/>
      </c>
      <c r="T34" s="652" t="str">
        <f t="shared" si="7"/>
        <v>--</v>
      </c>
      <c r="U34" s="653" t="str">
        <f t="shared" si="8"/>
        <v>--</v>
      </c>
      <c r="V34" s="212" t="str">
        <f t="shared" si="9"/>
        <v>--</v>
      </c>
      <c r="W34" s="213" t="str">
        <f t="shared" si="10"/>
        <v>--</v>
      </c>
      <c r="X34" s="214" t="str">
        <f t="shared" si="11"/>
        <v>--</v>
      </c>
      <c r="Y34" s="654" t="str">
        <f t="shared" si="12"/>
        <v>--</v>
      </c>
      <c r="Z34" s="655" t="str">
        <f t="shared" si="13"/>
        <v>--</v>
      </c>
      <c r="AA34" s="656" t="str">
        <f t="shared" si="14"/>
        <v>--</v>
      </c>
      <c r="AB34" s="215" t="str">
        <f t="shared" si="15"/>
        <v>--</v>
      </c>
      <c r="AC34" s="216" t="str">
        <f t="shared" si="16"/>
        <v>--</v>
      </c>
      <c r="AD34" s="752">
        <f t="shared" si="18"/>
      </c>
      <c r="AE34" s="16">
        <f t="shared" si="17"/>
      </c>
      <c r="AF34" s="657"/>
    </row>
    <row r="35" spans="2:32" s="5" customFormat="1" ht="16.5" customHeight="1">
      <c r="B35" s="50"/>
      <c r="C35" s="264"/>
      <c r="D35" s="264"/>
      <c r="E35" s="264"/>
      <c r="F35" s="143"/>
      <c r="G35" s="144"/>
      <c r="H35" s="701"/>
      <c r="I35" s="144"/>
      <c r="J35" s="648">
        <f t="shared" si="0"/>
        <v>20</v>
      </c>
      <c r="K35" s="649">
        <f t="shared" si="1"/>
        <v>97.649</v>
      </c>
      <c r="L35" s="178"/>
      <c r="M35" s="179"/>
      <c r="N35" s="180">
        <f t="shared" si="2"/>
      </c>
      <c r="O35" s="181">
        <f t="shared" si="3"/>
      </c>
      <c r="P35" s="210"/>
      <c r="Q35" s="751">
        <f t="shared" si="4"/>
      </c>
      <c r="R35" s="211">
        <f t="shared" si="5"/>
      </c>
      <c r="S35" s="211">
        <f t="shared" si="6"/>
      </c>
      <c r="T35" s="652" t="str">
        <f t="shared" si="7"/>
        <v>--</v>
      </c>
      <c r="U35" s="653" t="str">
        <f t="shared" si="8"/>
        <v>--</v>
      </c>
      <c r="V35" s="212" t="str">
        <f t="shared" si="9"/>
        <v>--</v>
      </c>
      <c r="W35" s="213" t="str">
        <f t="shared" si="10"/>
        <v>--</v>
      </c>
      <c r="X35" s="214" t="str">
        <f t="shared" si="11"/>
        <v>--</v>
      </c>
      <c r="Y35" s="654" t="str">
        <f t="shared" si="12"/>
        <v>--</v>
      </c>
      <c r="Z35" s="655" t="str">
        <f t="shared" si="13"/>
        <v>--</v>
      </c>
      <c r="AA35" s="656" t="str">
        <f t="shared" si="14"/>
        <v>--</v>
      </c>
      <c r="AB35" s="215" t="str">
        <f t="shared" si="15"/>
        <v>--</v>
      </c>
      <c r="AC35" s="216" t="str">
        <f t="shared" si="16"/>
        <v>--</v>
      </c>
      <c r="AD35" s="752">
        <f t="shared" si="18"/>
      </c>
      <c r="AE35" s="16">
        <f t="shared" si="17"/>
      </c>
      <c r="AF35" s="657"/>
    </row>
    <row r="36" spans="2:32" s="5" customFormat="1" ht="16.5" customHeight="1">
      <c r="B36" s="50"/>
      <c r="C36" s="149"/>
      <c r="D36" s="149"/>
      <c r="E36" s="149"/>
      <c r="F36" s="143"/>
      <c r="G36" s="144"/>
      <c r="H36" s="701"/>
      <c r="I36" s="144"/>
      <c r="J36" s="648">
        <f t="shared" si="0"/>
        <v>20</v>
      </c>
      <c r="K36" s="649">
        <f t="shared" si="1"/>
        <v>97.649</v>
      </c>
      <c r="L36" s="178"/>
      <c r="M36" s="179"/>
      <c r="N36" s="180">
        <f t="shared" si="2"/>
      </c>
      <c r="O36" s="181">
        <f t="shared" si="3"/>
      </c>
      <c r="P36" s="210"/>
      <c r="Q36" s="751">
        <f t="shared" si="4"/>
      </c>
      <c r="R36" s="211">
        <f t="shared" si="5"/>
      </c>
      <c r="S36" s="211">
        <f t="shared" si="6"/>
      </c>
      <c r="T36" s="652" t="str">
        <f t="shared" si="7"/>
        <v>--</v>
      </c>
      <c r="U36" s="653" t="str">
        <f t="shared" si="8"/>
        <v>--</v>
      </c>
      <c r="V36" s="212" t="str">
        <f t="shared" si="9"/>
        <v>--</v>
      </c>
      <c r="W36" s="213" t="str">
        <f t="shared" si="10"/>
        <v>--</v>
      </c>
      <c r="X36" s="214" t="str">
        <f t="shared" si="11"/>
        <v>--</v>
      </c>
      <c r="Y36" s="654" t="str">
        <f t="shared" si="12"/>
        <v>--</v>
      </c>
      <c r="Z36" s="655" t="str">
        <f t="shared" si="13"/>
        <v>--</v>
      </c>
      <c r="AA36" s="656" t="str">
        <f t="shared" si="14"/>
        <v>--</v>
      </c>
      <c r="AB36" s="215" t="str">
        <f t="shared" si="15"/>
        <v>--</v>
      </c>
      <c r="AC36" s="216" t="str">
        <f t="shared" si="16"/>
        <v>--</v>
      </c>
      <c r="AD36" s="752">
        <f t="shared" si="18"/>
      </c>
      <c r="AE36" s="16">
        <f t="shared" si="17"/>
      </c>
      <c r="AF36" s="657"/>
    </row>
    <row r="37" spans="2:32" s="5" customFormat="1" ht="16.5" customHeight="1">
      <c r="B37" s="50"/>
      <c r="C37" s="264"/>
      <c r="D37" s="264"/>
      <c r="E37" s="264"/>
      <c r="F37" s="143"/>
      <c r="G37" s="144"/>
      <c r="H37" s="701"/>
      <c r="I37" s="144"/>
      <c r="J37" s="648">
        <f t="shared" si="0"/>
        <v>20</v>
      </c>
      <c r="K37" s="649">
        <f t="shared" si="1"/>
        <v>97.649</v>
      </c>
      <c r="L37" s="178"/>
      <c r="M37" s="179"/>
      <c r="N37" s="180">
        <f t="shared" si="2"/>
      </c>
      <c r="O37" s="181">
        <f t="shared" si="3"/>
      </c>
      <c r="P37" s="210"/>
      <c r="Q37" s="751">
        <f t="shared" si="4"/>
      </c>
      <c r="R37" s="211">
        <f t="shared" si="5"/>
      </c>
      <c r="S37" s="211">
        <f t="shared" si="6"/>
      </c>
      <c r="T37" s="652" t="str">
        <f t="shared" si="7"/>
        <v>--</v>
      </c>
      <c r="U37" s="653" t="str">
        <f t="shared" si="8"/>
        <v>--</v>
      </c>
      <c r="V37" s="212" t="str">
        <f t="shared" si="9"/>
        <v>--</v>
      </c>
      <c r="W37" s="213" t="str">
        <f t="shared" si="10"/>
        <v>--</v>
      </c>
      <c r="X37" s="214" t="str">
        <f t="shared" si="11"/>
        <v>--</v>
      </c>
      <c r="Y37" s="654" t="str">
        <f t="shared" si="12"/>
        <v>--</v>
      </c>
      <c r="Z37" s="655" t="str">
        <f t="shared" si="13"/>
        <v>--</v>
      </c>
      <c r="AA37" s="656" t="str">
        <f t="shared" si="14"/>
        <v>--</v>
      </c>
      <c r="AB37" s="215" t="str">
        <f t="shared" si="15"/>
        <v>--</v>
      </c>
      <c r="AC37" s="216" t="str">
        <f t="shared" si="16"/>
        <v>--</v>
      </c>
      <c r="AD37" s="752">
        <f t="shared" si="18"/>
      </c>
      <c r="AE37" s="16">
        <f t="shared" si="17"/>
      </c>
      <c r="AF37" s="657"/>
    </row>
    <row r="38" spans="2:32" s="5" customFormat="1" ht="16.5" customHeight="1">
      <c r="B38" s="50"/>
      <c r="C38" s="149"/>
      <c r="D38" s="149"/>
      <c r="E38" s="149"/>
      <c r="F38" s="143"/>
      <c r="G38" s="144"/>
      <c r="H38" s="701"/>
      <c r="I38" s="144"/>
      <c r="J38" s="648">
        <f t="shared" si="0"/>
        <v>20</v>
      </c>
      <c r="K38" s="649">
        <f t="shared" si="1"/>
        <v>97.649</v>
      </c>
      <c r="L38" s="178"/>
      <c r="M38" s="179"/>
      <c r="N38" s="180">
        <f t="shared" si="2"/>
      </c>
      <c r="O38" s="181">
        <f t="shared" si="3"/>
      </c>
      <c r="P38" s="210"/>
      <c r="Q38" s="751">
        <f t="shared" si="4"/>
      </c>
      <c r="R38" s="211">
        <f t="shared" si="5"/>
      </c>
      <c r="S38" s="211">
        <f t="shared" si="6"/>
      </c>
      <c r="T38" s="652" t="str">
        <f t="shared" si="7"/>
        <v>--</v>
      </c>
      <c r="U38" s="653" t="str">
        <f t="shared" si="8"/>
        <v>--</v>
      </c>
      <c r="V38" s="212" t="str">
        <f t="shared" si="9"/>
        <v>--</v>
      </c>
      <c r="W38" s="213" t="str">
        <f t="shared" si="10"/>
        <v>--</v>
      </c>
      <c r="X38" s="214" t="str">
        <f t="shared" si="11"/>
        <v>--</v>
      </c>
      <c r="Y38" s="654" t="str">
        <f t="shared" si="12"/>
        <v>--</v>
      </c>
      <c r="Z38" s="655" t="str">
        <f t="shared" si="13"/>
        <v>--</v>
      </c>
      <c r="AA38" s="656" t="str">
        <f t="shared" si="14"/>
        <v>--</v>
      </c>
      <c r="AB38" s="215" t="str">
        <f t="shared" si="15"/>
        <v>--</v>
      </c>
      <c r="AC38" s="216" t="str">
        <f t="shared" si="16"/>
        <v>--</v>
      </c>
      <c r="AD38" s="752">
        <f t="shared" si="18"/>
      </c>
      <c r="AE38" s="16">
        <f t="shared" si="17"/>
      </c>
      <c r="AF38" s="657"/>
    </row>
    <row r="39" spans="2:32" s="5" customFormat="1" ht="16.5" customHeight="1">
      <c r="B39" s="50"/>
      <c r="C39" s="264"/>
      <c r="D39" s="264"/>
      <c r="E39" s="264"/>
      <c r="F39" s="143"/>
      <c r="G39" s="144"/>
      <c r="H39" s="701"/>
      <c r="I39" s="144"/>
      <c r="J39" s="648">
        <f t="shared" si="0"/>
        <v>20</v>
      </c>
      <c r="K39" s="649">
        <f t="shared" si="1"/>
        <v>97.649</v>
      </c>
      <c r="L39" s="178"/>
      <c r="M39" s="179"/>
      <c r="N39" s="180">
        <f t="shared" si="2"/>
      </c>
      <c r="O39" s="181">
        <f t="shared" si="3"/>
      </c>
      <c r="P39" s="210"/>
      <c r="Q39" s="751">
        <f t="shared" si="4"/>
      </c>
      <c r="R39" s="211">
        <f t="shared" si="5"/>
      </c>
      <c r="S39" s="211">
        <f t="shared" si="6"/>
      </c>
      <c r="T39" s="652" t="str">
        <f t="shared" si="7"/>
        <v>--</v>
      </c>
      <c r="U39" s="653" t="str">
        <f t="shared" si="8"/>
        <v>--</v>
      </c>
      <c r="V39" s="212" t="str">
        <f t="shared" si="9"/>
        <v>--</v>
      </c>
      <c r="W39" s="213" t="str">
        <f t="shared" si="10"/>
        <v>--</v>
      </c>
      <c r="X39" s="214" t="str">
        <f t="shared" si="11"/>
        <v>--</v>
      </c>
      <c r="Y39" s="654" t="str">
        <f t="shared" si="12"/>
        <v>--</v>
      </c>
      <c r="Z39" s="655" t="str">
        <f t="shared" si="13"/>
        <v>--</v>
      </c>
      <c r="AA39" s="656" t="str">
        <f t="shared" si="14"/>
        <v>--</v>
      </c>
      <c r="AB39" s="215" t="str">
        <f t="shared" si="15"/>
        <v>--</v>
      </c>
      <c r="AC39" s="216" t="str">
        <f t="shared" si="16"/>
        <v>--</v>
      </c>
      <c r="AD39" s="752">
        <f t="shared" si="18"/>
      </c>
      <c r="AE39" s="16">
        <f t="shared" si="17"/>
      </c>
      <c r="AF39" s="657"/>
    </row>
    <row r="40" spans="2:32" s="5" customFormat="1" ht="16.5" customHeight="1">
      <c r="B40" s="50"/>
      <c r="C40" s="149"/>
      <c r="D40" s="149"/>
      <c r="E40" s="149"/>
      <c r="F40" s="143"/>
      <c r="G40" s="144"/>
      <c r="H40" s="701"/>
      <c r="I40" s="144"/>
      <c r="J40" s="648">
        <f t="shared" si="0"/>
        <v>20</v>
      </c>
      <c r="K40" s="649">
        <f t="shared" si="1"/>
        <v>97.649</v>
      </c>
      <c r="L40" s="178"/>
      <c r="M40" s="179"/>
      <c r="N40" s="180">
        <f t="shared" si="2"/>
      </c>
      <c r="O40" s="181">
        <f t="shared" si="3"/>
      </c>
      <c r="P40" s="210"/>
      <c r="Q40" s="751">
        <f t="shared" si="4"/>
      </c>
      <c r="R40" s="211">
        <f t="shared" si="5"/>
      </c>
      <c r="S40" s="211">
        <f t="shared" si="6"/>
      </c>
      <c r="T40" s="652" t="str">
        <f t="shared" si="7"/>
        <v>--</v>
      </c>
      <c r="U40" s="653" t="str">
        <f t="shared" si="8"/>
        <v>--</v>
      </c>
      <c r="V40" s="212" t="str">
        <f t="shared" si="9"/>
        <v>--</v>
      </c>
      <c r="W40" s="213" t="str">
        <f t="shared" si="10"/>
        <v>--</v>
      </c>
      <c r="X40" s="214" t="str">
        <f t="shared" si="11"/>
        <v>--</v>
      </c>
      <c r="Y40" s="654" t="str">
        <f t="shared" si="12"/>
        <v>--</v>
      </c>
      <c r="Z40" s="655" t="str">
        <f t="shared" si="13"/>
        <v>--</v>
      </c>
      <c r="AA40" s="656" t="str">
        <f t="shared" si="14"/>
        <v>--</v>
      </c>
      <c r="AB40" s="215" t="str">
        <f t="shared" si="15"/>
        <v>--</v>
      </c>
      <c r="AC40" s="216" t="str">
        <f t="shared" si="16"/>
        <v>--</v>
      </c>
      <c r="AD40" s="752">
        <f t="shared" si="18"/>
      </c>
      <c r="AE40" s="16">
        <f t="shared" si="17"/>
      </c>
      <c r="AF40" s="657"/>
    </row>
    <row r="41" spans="2:32" s="5" customFormat="1" ht="16.5" customHeight="1">
      <c r="B41" s="50"/>
      <c r="C41" s="264"/>
      <c r="D41" s="264"/>
      <c r="E41" s="264"/>
      <c r="F41" s="143"/>
      <c r="G41" s="144"/>
      <c r="H41" s="701"/>
      <c r="I41" s="144"/>
      <c r="J41" s="648">
        <f t="shared" si="0"/>
        <v>20</v>
      </c>
      <c r="K41" s="649">
        <f t="shared" si="1"/>
        <v>97.649</v>
      </c>
      <c r="L41" s="178"/>
      <c r="M41" s="179"/>
      <c r="N41" s="180">
        <f t="shared" si="2"/>
      </c>
      <c r="O41" s="181">
        <f t="shared" si="3"/>
      </c>
      <c r="P41" s="210"/>
      <c r="Q41" s="751">
        <f t="shared" si="4"/>
      </c>
      <c r="R41" s="211">
        <f t="shared" si="5"/>
      </c>
      <c r="S41" s="211">
        <f t="shared" si="6"/>
      </c>
      <c r="T41" s="652" t="str">
        <f t="shared" si="7"/>
        <v>--</v>
      </c>
      <c r="U41" s="653" t="str">
        <f t="shared" si="8"/>
        <v>--</v>
      </c>
      <c r="V41" s="212" t="str">
        <f t="shared" si="9"/>
        <v>--</v>
      </c>
      <c r="W41" s="213" t="str">
        <f t="shared" si="10"/>
        <v>--</v>
      </c>
      <c r="X41" s="214" t="str">
        <f t="shared" si="11"/>
        <v>--</v>
      </c>
      <c r="Y41" s="654" t="str">
        <f t="shared" si="12"/>
        <v>--</v>
      </c>
      <c r="Z41" s="655" t="str">
        <f t="shared" si="13"/>
        <v>--</v>
      </c>
      <c r="AA41" s="656" t="str">
        <f t="shared" si="14"/>
        <v>--</v>
      </c>
      <c r="AB41" s="215" t="str">
        <f t="shared" si="15"/>
        <v>--</v>
      </c>
      <c r="AC41" s="216" t="str">
        <f t="shared" si="16"/>
        <v>--</v>
      </c>
      <c r="AD41" s="752">
        <f t="shared" si="18"/>
      </c>
      <c r="AE41" s="16">
        <f t="shared" si="17"/>
      </c>
      <c r="AF41" s="657"/>
    </row>
    <row r="42" spans="2:32" s="5" customFormat="1" ht="16.5" customHeight="1" thickBot="1">
      <c r="B42" s="50"/>
      <c r="C42" s="750"/>
      <c r="D42" s="753"/>
      <c r="E42" s="149"/>
      <c r="F42" s="146"/>
      <c r="G42" s="218"/>
      <c r="H42" s="695"/>
      <c r="I42" s="219"/>
      <c r="J42" s="662"/>
      <c r="K42" s="663"/>
      <c r="L42" s="693"/>
      <c r="M42" s="693"/>
      <c r="N42" s="9"/>
      <c r="O42" s="9"/>
      <c r="P42" s="148"/>
      <c r="Q42" s="183"/>
      <c r="R42" s="148"/>
      <c r="S42" s="148"/>
      <c r="T42" s="664"/>
      <c r="U42" s="665"/>
      <c r="V42" s="220"/>
      <c r="W42" s="221"/>
      <c r="X42" s="222"/>
      <c r="Y42" s="666"/>
      <c r="Z42" s="667"/>
      <c r="AA42" s="668"/>
      <c r="AB42" s="223"/>
      <c r="AC42" s="224"/>
      <c r="AD42" s="669"/>
      <c r="AE42" s="225"/>
      <c r="AF42" s="657"/>
    </row>
    <row r="43" spans="2:32" s="5" customFormat="1" ht="16.5" customHeight="1" thickBot="1" thickTop="1">
      <c r="B43" s="50"/>
      <c r="C43" s="125" t="s">
        <v>23</v>
      </c>
      <c r="D43" s="976" t="s">
        <v>229</v>
      </c>
      <c r="E43" s="125"/>
      <c r="F43" s="126"/>
      <c r="G43" s="226"/>
      <c r="H43" s="196"/>
      <c r="I43" s="227"/>
      <c r="J43" s="196"/>
      <c r="K43" s="184"/>
      <c r="L43" s="184"/>
      <c r="M43" s="184"/>
      <c r="N43" s="184"/>
      <c r="O43" s="184"/>
      <c r="P43" s="184"/>
      <c r="Q43" s="228"/>
      <c r="R43" s="184"/>
      <c r="S43" s="184"/>
      <c r="T43" s="670">
        <f aca="true" t="shared" si="19" ref="T43:AC43">SUM(T20:T42)</f>
        <v>1083.5659309</v>
      </c>
      <c r="U43" s="671">
        <f t="shared" si="19"/>
        <v>0</v>
      </c>
      <c r="V43" s="672">
        <f t="shared" si="19"/>
        <v>0</v>
      </c>
      <c r="W43" s="672">
        <f t="shared" si="19"/>
        <v>0</v>
      </c>
      <c r="X43" s="672">
        <f t="shared" si="19"/>
        <v>0</v>
      </c>
      <c r="Y43" s="673">
        <f t="shared" si="19"/>
        <v>0</v>
      </c>
      <c r="Z43" s="673">
        <f t="shared" si="19"/>
        <v>0</v>
      </c>
      <c r="AA43" s="673">
        <f t="shared" si="19"/>
        <v>0</v>
      </c>
      <c r="AB43" s="229">
        <f t="shared" si="19"/>
        <v>0</v>
      </c>
      <c r="AC43" s="230">
        <f t="shared" si="19"/>
        <v>0</v>
      </c>
      <c r="AD43" s="231"/>
      <c r="AE43" s="232">
        <f>ROUND(SUM(AE20:AE42),2)</f>
        <v>226126.43</v>
      </c>
      <c r="AF43" s="657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75" zoomScaleNormal="75" workbookViewId="0" topLeftCell="E1">
      <selection activeCell="E12" sqref="E1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bestFit="1" customWidth="1"/>
    <col min="9" max="9" width="4.421875" style="0" hidden="1" customWidth="1"/>
    <col min="10" max="10" width="7.0039062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9.8515625" style="0" hidden="1" customWidth="1"/>
    <col min="22" max="22" width="8.281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8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141"/>
    </row>
    <row r="2" spans="1:31" s="18" customFormat="1" ht="26.25">
      <c r="A2" s="89"/>
      <c r="B2" s="19" t="str">
        <f>+'TOT-0809'!B2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="5" customFormat="1" ht="12.75">
      <c r="A3" s="88"/>
    </row>
    <row r="4" spans="1:2" s="25" customFormat="1" ht="11.25">
      <c r="A4" s="23" t="s">
        <v>1</v>
      </c>
      <c r="B4" s="122"/>
    </row>
    <row r="5" spans="1:2" s="25" customFormat="1" ht="11.25">
      <c r="A5" s="23" t="s">
        <v>2</v>
      </c>
      <c r="B5" s="122"/>
    </row>
    <row r="6" s="5" customFormat="1" ht="13.5" thickBot="1"/>
    <row r="7" spans="2:31" s="5" customFormat="1" ht="13.5" thickTop="1">
      <c r="B7" s="69"/>
      <c r="C7" s="70"/>
      <c r="D7" s="70"/>
      <c r="E7" s="70"/>
      <c r="F7" s="187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92"/>
    </row>
    <row r="8" spans="2:31" s="29" customFormat="1" ht="20.25">
      <c r="B8" s="79"/>
      <c r="C8" s="30"/>
      <c r="D8" s="30"/>
      <c r="E8" s="168" t="s">
        <v>55</v>
      </c>
      <c r="F8" s="30"/>
      <c r="G8" s="30"/>
      <c r="H8" s="30"/>
      <c r="I8" s="30"/>
      <c r="O8" s="30"/>
      <c r="P8" s="30"/>
      <c r="Q8" s="11"/>
      <c r="R8" s="1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05"/>
    </row>
    <row r="9" spans="2:31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7"/>
    </row>
    <row r="10" spans="2:31" s="29" customFormat="1" ht="20.25">
      <c r="B10" s="79"/>
      <c r="C10" s="30"/>
      <c r="D10" s="30"/>
      <c r="E10" s="11" t="s">
        <v>11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105"/>
    </row>
    <row r="11" spans="2:31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7"/>
    </row>
    <row r="12" spans="2:31" s="29" customFormat="1" ht="20.25">
      <c r="B12" s="79"/>
      <c r="C12" s="30"/>
      <c r="D12" s="30"/>
      <c r="E12" s="11" t="s">
        <v>318</v>
      </c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11"/>
      <c r="R12" s="1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05"/>
    </row>
    <row r="13" spans="2:31" s="5" customFormat="1" ht="12.75">
      <c r="B13" s="50"/>
      <c r="C13" s="4"/>
      <c r="D13" s="4"/>
      <c r="E13" s="4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7"/>
    </row>
    <row r="14" spans="2:31" s="36" customFormat="1" ht="19.5">
      <c r="B14" s="37" t="str">
        <f>+'TOT-0809'!B14</f>
        <v>Desde el 01 al 31 de agosto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91"/>
      <c r="P14" s="191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135"/>
    </row>
    <row r="15" spans="2:31" s="5" customFormat="1" ht="16.5" customHeight="1" thickBot="1">
      <c r="B15" s="50"/>
      <c r="C15" s="4"/>
      <c r="D15" s="4"/>
      <c r="E15" s="4"/>
      <c r="F15" s="66"/>
      <c r="G15" s="66"/>
      <c r="H15" s="4"/>
      <c r="I15" s="4"/>
      <c r="J15" s="4"/>
      <c r="K15" s="192"/>
      <c r="L15" s="4"/>
      <c r="M15" s="4"/>
      <c r="N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7"/>
    </row>
    <row r="16" spans="2:31" s="5" customFormat="1" ht="16.5" customHeight="1" thickBot="1" thickTop="1">
      <c r="B16" s="50"/>
      <c r="C16" s="4"/>
      <c r="D16" s="4"/>
      <c r="E16" s="82" t="s">
        <v>75</v>
      </c>
      <c r="F16" s="696">
        <v>117.179</v>
      </c>
      <c r="G16" s="19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7"/>
    </row>
    <row r="17" spans="2:31" s="5" customFormat="1" ht="16.5" customHeight="1" thickBot="1" thickTop="1">
      <c r="B17" s="50"/>
      <c r="C17" s="4"/>
      <c r="D17" s="4"/>
      <c r="E17" s="82" t="s">
        <v>76</v>
      </c>
      <c r="F17" s="696">
        <v>97.649</v>
      </c>
      <c r="G17" s="193"/>
      <c r="H17" s="4"/>
      <c r="I17" s="4"/>
      <c r="J17" s="4"/>
      <c r="K17" s="194"/>
      <c r="L17" s="195"/>
      <c r="M17" s="4"/>
      <c r="N17" s="4"/>
      <c r="O17" s="4"/>
      <c r="P17" s="4"/>
      <c r="Q17" s="4"/>
      <c r="R17" s="4"/>
      <c r="S17" s="4"/>
      <c r="T17" s="4"/>
      <c r="U17" s="4"/>
      <c r="V17" s="4"/>
      <c r="W17" s="113"/>
      <c r="X17" s="113"/>
      <c r="Y17" s="113"/>
      <c r="Z17" s="113"/>
      <c r="AA17" s="113"/>
      <c r="AB17" s="113"/>
      <c r="AC17" s="113"/>
      <c r="AE17" s="17"/>
    </row>
    <row r="18" spans="2:31" s="5" customFormat="1" ht="16.5" customHeight="1" thickBot="1" thickTop="1">
      <c r="B18" s="50"/>
      <c r="C18" s="4"/>
      <c r="D18" s="4"/>
      <c r="E18" s="4"/>
      <c r="F18" s="196"/>
      <c r="G18" s="4"/>
      <c r="H18" s="4"/>
      <c r="I18" s="4"/>
      <c r="J18" s="4"/>
      <c r="K18" s="4"/>
      <c r="L18" s="4"/>
      <c r="M18" s="4"/>
      <c r="N18" s="4"/>
      <c r="O18" s="104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7"/>
    </row>
    <row r="19" spans="2:31" s="5" customFormat="1" ht="33.75" customHeight="1" thickBot="1" thickTop="1">
      <c r="B19" s="50"/>
      <c r="C19" s="84" t="s">
        <v>12</v>
      </c>
      <c r="D19" s="84" t="s">
        <v>138</v>
      </c>
      <c r="E19" s="85" t="s">
        <v>0</v>
      </c>
      <c r="F19" s="630" t="s">
        <v>13</v>
      </c>
      <c r="G19" s="86" t="s">
        <v>14</v>
      </c>
      <c r="H19" s="197" t="s">
        <v>57</v>
      </c>
      <c r="I19" s="631" t="s">
        <v>35</v>
      </c>
      <c r="J19" s="632" t="s">
        <v>15</v>
      </c>
      <c r="K19" s="85" t="s">
        <v>16</v>
      </c>
      <c r="L19" s="172" t="s">
        <v>17</v>
      </c>
      <c r="M19" s="87" t="s">
        <v>34</v>
      </c>
      <c r="N19" s="86" t="s">
        <v>29</v>
      </c>
      <c r="O19" s="87" t="s">
        <v>18</v>
      </c>
      <c r="P19" s="86" t="s">
        <v>44</v>
      </c>
      <c r="Q19" s="172" t="s">
        <v>45</v>
      </c>
      <c r="R19" s="85" t="s">
        <v>30</v>
      </c>
      <c r="S19" s="134" t="s">
        <v>19</v>
      </c>
      <c r="T19" s="633" t="s">
        <v>20</v>
      </c>
      <c r="U19" s="198" t="s">
        <v>46</v>
      </c>
      <c r="V19" s="199"/>
      <c r="W19" s="200"/>
      <c r="X19" s="634" t="s">
        <v>118</v>
      </c>
      <c r="Y19" s="635"/>
      <c r="Z19" s="636"/>
      <c r="AA19" s="201" t="s">
        <v>21</v>
      </c>
      <c r="AB19" s="202" t="s">
        <v>58</v>
      </c>
      <c r="AC19" s="130" t="s">
        <v>59</v>
      </c>
      <c r="AD19" s="130" t="s">
        <v>22</v>
      </c>
      <c r="AE19" s="203"/>
    </row>
    <row r="20" spans="2:31" s="5" customFormat="1" ht="16.5" customHeight="1" thickTop="1">
      <c r="B20" s="50"/>
      <c r="C20" s="149"/>
      <c r="D20" s="149"/>
      <c r="E20" s="658"/>
      <c r="F20" s="659"/>
      <c r="G20" s="700"/>
      <c r="H20" s="659"/>
      <c r="I20" s="648"/>
      <c r="J20" s="649"/>
      <c r="K20" s="660"/>
      <c r="L20" s="661"/>
      <c r="M20" s="180"/>
      <c r="N20" s="181"/>
      <c r="O20" s="210"/>
      <c r="P20" s="1050"/>
      <c r="Q20" s="767"/>
      <c r="R20" s="767"/>
      <c r="S20" s="652"/>
      <c r="T20" s="653"/>
      <c r="U20" s="212"/>
      <c r="V20" s="213"/>
      <c r="W20" s="214"/>
      <c r="X20" s="654"/>
      <c r="Y20" s="655"/>
      <c r="Z20" s="656"/>
      <c r="AA20" s="215"/>
      <c r="AB20" s="216"/>
      <c r="AC20" s="1051"/>
      <c r="AD20" s="16"/>
      <c r="AE20" s="657"/>
    </row>
    <row r="21" spans="2:31" s="5" customFormat="1" ht="16.5" customHeight="1">
      <c r="B21" s="50"/>
      <c r="C21" s="143">
        <v>5</v>
      </c>
      <c r="D21" s="143">
        <v>209892</v>
      </c>
      <c r="E21" s="143" t="s">
        <v>148</v>
      </c>
      <c r="F21" s="144">
        <v>500</v>
      </c>
      <c r="G21" s="1052">
        <v>255</v>
      </c>
      <c r="H21" s="144" t="s">
        <v>149</v>
      </c>
      <c r="I21" s="648">
        <f aca="true" t="shared" si="0" ref="I21:I26">IF(H21="A",200,IF(H21="B",60,20))</f>
        <v>60</v>
      </c>
      <c r="J21" s="649">
        <f aca="true" t="shared" si="1" ref="J21:J26">IF(F21=500,IF(G21&lt;100,100*$F$16/100,G21*$F$16/100),IF(G21&lt;100,100*$F$17/100,G21*$F$17/100))</f>
        <v>298.80645</v>
      </c>
      <c r="K21" s="178">
        <v>40036.66388888889</v>
      </c>
      <c r="L21" s="209">
        <v>40036.72152777778</v>
      </c>
      <c r="M21" s="180">
        <f aca="true" t="shared" si="2" ref="M21:M26">IF(E21="","",(L21-K21)*24)</f>
        <v>1.3833333333022892</v>
      </c>
      <c r="N21" s="181">
        <f aca="true" t="shared" si="3" ref="N21:N26">IF(E21="","",ROUND((L21-K21)*24*60,0))</f>
        <v>83</v>
      </c>
      <c r="O21" s="210" t="s">
        <v>147</v>
      </c>
      <c r="P21" s="1050" t="str">
        <f aca="true" t="shared" si="4" ref="P21:P26">IF(E21="","","--")</f>
        <v>--</v>
      </c>
      <c r="Q21" s="767" t="str">
        <f aca="true" t="shared" si="5" ref="Q21:Q26">IF(E21="","","NO")</f>
        <v>NO</v>
      </c>
      <c r="R21" s="767" t="str">
        <f aca="true" t="shared" si="6" ref="R21:R26">IF(E21="","",IF(OR(O21="P",O21="RP"),"--","NO"))</f>
        <v>NO</v>
      </c>
      <c r="S21" s="652" t="str">
        <f aca="true" t="shared" si="7" ref="S21:S26">IF(O21="P",J21*I21*ROUND(N21/60,2)*0.01,"--")</f>
        <v>--</v>
      </c>
      <c r="T21" s="653" t="str">
        <f aca="true" t="shared" si="8" ref="T21:T26">IF(O21="RP",J21*I21*ROUND(N21/60,2)*0.01*P21/100,"--")</f>
        <v>--</v>
      </c>
      <c r="U21" s="212">
        <v>0</v>
      </c>
      <c r="V21" s="213">
        <f aca="true" t="shared" si="9" ref="V21:V26">IF(AND(O21="F",N21&gt;=10),J21*I21*IF(Q21="SI",1.2,1)*IF(N21&lt;=300,ROUND(N21/60,2),5),"--")</f>
        <v>24741.174059999998</v>
      </c>
      <c r="W21" s="214" t="str">
        <f aca="true" t="shared" si="10" ref="W21:W26">IF(AND(O21="F",N21&gt;300),(ROUND(N21/60,2)-5)*J21*I21*0.1*IF(Q21="SI",1.2,1),"--")</f>
        <v>--</v>
      </c>
      <c r="X21" s="654" t="str">
        <f aca="true" t="shared" si="11" ref="X21:X26">IF(AND(O21="R",R21="NO"),J21*I21*P21/100*IF(Q21="SI",1.2,1),"--")</f>
        <v>--</v>
      </c>
      <c r="Y21" s="655" t="str">
        <f aca="true" t="shared" si="12" ref="Y21:Y26">IF(AND(O21="R",N21&gt;=10),J21*I21*P21/100*IF(Q21="SI",1.2,1)*IF(N21&lt;=300,ROUND(N21/60,2),5),"--")</f>
        <v>--</v>
      </c>
      <c r="Z21" s="656" t="str">
        <f aca="true" t="shared" si="13" ref="Z21:Z26">IF(AND(O21="R",N21&gt;300),(ROUND(N21/60,2)-5)*J21*I21*0.1*P21/100*IF(Q21="SI",1.2,1),"--")</f>
        <v>--</v>
      </c>
      <c r="AA21" s="215" t="str">
        <f aca="true" t="shared" si="14" ref="AA21:AA26">IF(O21="RF",ROUND(N21/60,2)*J21*I21*0.1*IF(Q21="SI",1.2,1),"--")</f>
        <v>--</v>
      </c>
      <c r="AB21" s="216" t="str">
        <f aca="true" t="shared" si="15" ref="AB21:AB26">IF(O21="RR",ROUND(N21/60,2)*J21*I21*0.1*P21/100*IF(Q21="SI",1.2,1),"--")</f>
        <v>--</v>
      </c>
      <c r="AC21" s="1051" t="str">
        <f aca="true" t="shared" si="16" ref="AC21:AC26">IF(E21="","","SI")</f>
        <v>SI</v>
      </c>
      <c r="AD21" s="16">
        <f aca="true" t="shared" si="17" ref="AD21:AD26">IF(E21="","",SUM(S21:AB21)*IF(AC21="SI",1,2))</f>
        <v>24741.174059999998</v>
      </c>
      <c r="AE21" s="657"/>
    </row>
    <row r="22" spans="2:31" s="5" customFormat="1" ht="16.5" customHeight="1">
      <c r="B22" s="50"/>
      <c r="C22" s="264">
        <v>10</v>
      </c>
      <c r="D22" s="264">
        <v>210123</v>
      </c>
      <c r="E22" s="143" t="s">
        <v>148</v>
      </c>
      <c r="F22" s="144">
        <v>500</v>
      </c>
      <c r="G22" s="701">
        <v>255</v>
      </c>
      <c r="H22" s="144" t="s">
        <v>149</v>
      </c>
      <c r="I22" s="648">
        <f t="shared" si="0"/>
        <v>60</v>
      </c>
      <c r="J22" s="649">
        <f t="shared" si="1"/>
        <v>298.80645</v>
      </c>
      <c r="K22" s="178">
        <v>40044.74930555555</v>
      </c>
      <c r="L22" s="209">
        <v>40044.763194444444</v>
      </c>
      <c r="M22" s="180">
        <f t="shared" si="2"/>
        <v>0.33333333337213844</v>
      </c>
      <c r="N22" s="181">
        <f t="shared" si="3"/>
        <v>20</v>
      </c>
      <c r="O22" s="210" t="s">
        <v>147</v>
      </c>
      <c r="P22" s="1050" t="str">
        <f t="shared" si="4"/>
        <v>--</v>
      </c>
      <c r="Q22" s="767" t="str">
        <f t="shared" si="5"/>
        <v>NO</v>
      </c>
      <c r="R22" s="767" t="str">
        <f t="shared" si="6"/>
        <v>NO</v>
      </c>
      <c r="S22" s="652" t="str">
        <f t="shared" si="7"/>
        <v>--</v>
      </c>
      <c r="T22" s="653" t="str">
        <f t="shared" si="8"/>
        <v>--</v>
      </c>
      <c r="U22" s="212">
        <v>0</v>
      </c>
      <c r="V22" s="213">
        <f t="shared" si="9"/>
        <v>5916.3677099999995</v>
      </c>
      <c r="W22" s="214" t="str">
        <f t="shared" si="10"/>
        <v>--</v>
      </c>
      <c r="X22" s="654" t="str">
        <f t="shared" si="11"/>
        <v>--</v>
      </c>
      <c r="Y22" s="655" t="str">
        <f t="shared" si="12"/>
        <v>--</v>
      </c>
      <c r="Z22" s="656" t="str">
        <f t="shared" si="13"/>
        <v>--</v>
      </c>
      <c r="AA22" s="215" t="str">
        <f t="shared" si="14"/>
        <v>--</v>
      </c>
      <c r="AB22" s="216" t="str">
        <f t="shared" si="15"/>
        <v>--</v>
      </c>
      <c r="AC22" s="1051" t="str">
        <f t="shared" si="16"/>
        <v>SI</v>
      </c>
      <c r="AD22" s="16">
        <f t="shared" si="17"/>
        <v>5916.3677099999995</v>
      </c>
      <c r="AE22" s="657"/>
    </row>
    <row r="23" spans="2:31" s="5" customFormat="1" ht="16.5" customHeight="1">
      <c r="B23" s="50"/>
      <c r="C23" s="149">
        <v>16</v>
      </c>
      <c r="D23" s="149">
        <v>210477</v>
      </c>
      <c r="E23" s="143" t="s">
        <v>155</v>
      </c>
      <c r="F23" s="144">
        <v>500</v>
      </c>
      <c r="G23" s="701">
        <v>150</v>
      </c>
      <c r="H23" s="144" t="s">
        <v>143</v>
      </c>
      <c r="I23" s="648">
        <f t="shared" si="0"/>
        <v>20</v>
      </c>
      <c r="J23" s="649">
        <f t="shared" si="1"/>
        <v>175.7685</v>
      </c>
      <c r="K23" s="178">
        <v>40053.59166666667</v>
      </c>
      <c r="L23" s="209">
        <v>40053.59861111111</v>
      </c>
      <c r="M23" s="180">
        <f t="shared" si="2"/>
        <v>0.16666666668606922</v>
      </c>
      <c r="N23" s="181">
        <f t="shared" si="3"/>
        <v>10</v>
      </c>
      <c r="O23" s="210" t="s">
        <v>147</v>
      </c>
      <c r="P23" s="1050" t="str">
        <f t="shared" si="4"/>
        <v>--</v>
      </c>
      <c r="Q23" s="767" t="str">
        <f t="shared" si="5"/>
        <v>NO</v>
      </c>
      <c r="R23" s="767" t="str">
        <f t="shared" si="6"/>
        <v>NO</v>
      </c>
      <c r="S23" s="652" t="str">
        <f t="shared" si="7"/>
        <v>--</v>
      </c>
      <c r="T23" s="653" t="str">
        <f t="shared" si="8"/>
        <v>--</v>
      </c>
      <c r="U23" s="212">
        <v>0</v>
      </c>
      <c r="V23" s="213">
        <f t="shared" si="9"/>
        <v>597.6129</v>
      </c>
      <c r="W23" s="214" t="str">
        <f t="shared" si="10"/>
        <v>--</v>
      </c>
      <c r="X23" s="654" t="str">
        <f t="shared" si="11"/>
        <v>--</v>
      </c>
      <c r="Y23" s="655" t="str">
        <f t="shared" si="12"/>
        <v>--</v>
      </c>
      <c r="Z23" s="656" t="str">
        <f t="shared" si="13"/>
        <v>--</v>
      </c>
      <c r="AA23" s="215" t="str">
        <f t="shared" si="14"/>
        <v>--</v>
      </c>
      <c r="AB23" s="216" t="str">
        <f t="shared" si="15"/>
        <v>--</v>
      </c>
      <c r="AC23" s="1051" t="str">
        <f t="shared" si="16"/>
        <v>SI</v>
      </c>
      <c r="AD23" s="16">
        <f t="shared" si="17"/>
        <v>597.6129</v>
      </c>
      <c r="AE23" s="657"/>
    </row>
    <row r="24" spans="2:31" s="5" customFormat="1" ht="16.5" customHeight="1">
      <c r="B24" s="50"/>
      <c r="C24" s="149">
        <v>18</v>
      </c>
      <c r="D24" s="149">
        <v>210479</v>
      </c>
      <c r="E24" s="143" t="s">
        <v>153</v>
      </c>
      <c r="F24" s="144">
        <v>500</v>
      </c>
      <c r="G24" s="701">
        <v>345</v>
      </c>
      <c r="H24" s="144" t="s">
        <v>149</v>
      </c>
      <c r="I24" s="648">
        <f t="shared" si="0"/>
        <v>60</v>
      </c>
      <c r="J24" s="649">
        <f t="shared" si="1"/>
        <v>404.26754999999997</v>
      </c>
      <c r="K24" s="178">
        <v>40053.62986111111</v>
      </c>
      <c r="L24" s="179">
        <v>40053.63680555556</v>
      </c>
      <c r="M24" s="180">
        <f t="shared" si="2"/>
        <v>0.16666666668606922</v>
      </c>
      <c r="N24" s="181">
        <f t="shared" si="3"/>
        <v>10</v>
      </c>
      <c r="O24" s="210" t="s">
        <v>147</v>
      </c>
      <c r="P24" s="1050" t="str">
        <f t="shared" si="4"/>
        <v>--</v>
      </c>
      <c r="Q24" s="767" t="str">
        <f t="shared" si="5"/>
        <v>NO</v>
      </c>
      <c r="R24" s="767" t="str">
        <f t="shared" si="6"/>
        <v>NO</v>
      </c>
      <c r="S24" s="652" t="str">
        <f t="shared" si="7"/>
        <v>--</v>
      </c>
      <c r="T24" s="653" t="str">
        <f t="shared" si="8"/>
        <v>--</v>
      </c>
      <c r="U24" s="212">
        <v>0</v>
      </c>
      <c r="V24" s="213">
        <f t="shared" si="9"/>
        <v>4123.52901</v>
      </c>
      <c r="W24" s="214" t="str">
        <f t="shared" si="10"/>
        <v>--</v>
      </c>
      <c r="X24" s="654" t="str">
        <f t="shared" si="11"/>
        <v>--</v>
      </c>
      <c r="Y24" s="655" t="str">
        <f t="shared" si="12"/>
        <v>--</v>
      </c>
      <c r="Z24" s="656" t="str">
        <f t="shared" si="13"/>
        <v>--</v>
      </c>
      <c r="AA24" s="215" t="str">
        <f t="shared" si="14"/>
        <v>--</v>
      </c>
      <c r="AB24" s="216" t="str">
        <f t="shared" si="15"/>
        <v>--</v>
      </c>
      <c r="AC24" s="1051" t="str">
        <f t="shared" si="16"/>
        <v>SI</v>
      </c>
      <c r="AD24" s="16">
        <f t="shared" si="17"/>
        <v>4123.52901</v>
      </c>
      <c r="AE24" s="657"/>
    </row>
    <row r="25" spans="2:31" s="5" customFormat="1" ht="16.5" customHeight="1">
      <c r="B25" s="50"/>
      <c r="C25" s="264">
        <v>19</v>
      </c>
      <c r="D25" s="264">
        <v>210480</v>
      </c>
      <c r="E25" s="143" t="s">
        <v>155</v>
      </c>
      <c r="F25" s="144">
        <v>500</v>
      </c>
      <c r="G25" s="701">
        <v>150</v>
      </c>
      <c r="H25" s="144" t="s">
        <v>143</v>
      </c>
      <c r="I25" s="648">
        <f t="shared" si="0"/>
        <v>20</v>
      </c>
      <c r="J25" s="649">
        <f t="shared" si="1"/>
        <v>175.7685</v>
      </c>
      <c r="K25" s="178">
        <v>40053.646527777775</v>
      </c>
      <c r="L25" s="179">
        <v>40053.69097222222</v>
      </c>
      <c r="M25" s="180">
        <f t="shared" si="2"/>
        <v>1.0666666666511446</v>
      </c>
      <c r="N25" s="181">
        <f t="shared" si="3"/>
        <v>64</v>
      </c>
      <c r="O25" s="210" t="s">
        <v>147</v>
      </c>
      <c r="P25" s="1050" t="str">
        <f t="shared" si="4"/>
        <v>--</v>
      </c>
      <c r="Q25" s="767" t="str">
        <f t="shared" si="5"/>
        <v>NO</v>
      </c>
      <c r="R25" s="767" t="str">
        <f t="shared" si="6"/>
        <v>NO</v>
      </c>
      <c r="S25" s="652" t="str">
        <f t="shared" si="7"/>
        <v>--</v>
      </c>
      <c r="T25" s="653" t="str">
        <f t="shared" si="8"/>
        <v>--</v>
      </c>
      <c r="U25" s="212">
        <v>0</v>
      </c>
      <c r="V25" s="213">
        <f t="shared" si="9"/>
        <v>3761.4459</v>
      </c>
      <c r="W25" s="214" t="str">
        <f t="shared" si="10"/>
        <v>--</v>
      </c>
      <c r="X25" s="654" t="str">
        <f t="shared" si="11"/>
        <v>--</v>
      </c>
      <c r="Y25" s="655" t="str">
        <f t="shared" si="12"/>
        <v>--</v>
      </c>
      <c r="Z25" s="656" t="str">
        <f t="shared" si="13"/>
        <v>--</v>
      </c>
      <c r="AA25" s="215" t="str">
        <f t="shared" si="14"/>
        <v>--</v>
      </c>
      <c r="AB25" s="216" t="str">
        <f t="shared" si="15"/>
        <v>--</v>
      </c>
      <c r="AC25" s="1051" t="str">
        <f t="shared" si="16"/>
        <v>SI</v>
      </c>
      <c r="AD25" s="16">
        <f t="shared" si="17"/>
        <v>3761.4459</v>
      </c>
      <c r="AE25" s="657"/>
    </row>
    <row r="26" spans="2:31" s="5" customFormat="1" ht="16.5" customHeight="1">
      <c r="B26" s="50"/>
      <c r="C26" s="149"/>
      <c r="D26" s="149"/>
      <c r="E26" s="149"/>
      <c r="F26" s="177"/>
      <c r="G26" s="699"/>
      <c r="H26" s="177"/>
      <c r="I26" s="648">
        <f t="shared" si="0"/>
        <v>20</v>
      </c>
      <c r="J26" s="649">
        <f t="shared" si="1"/>
        <v>97.649</v>
      </c>
      <c r="K26" s="650"/>
      <c r="L26" s="651"/>
      <c r="M26" s="180">
        <f t="shared" si="2"/>
      </c>
      <c r="N26" s="181">
        <f t="shared" si="3"/>
      </c>
      <c r="O26" s="210"/>
      <c r="P26" s="1050">
        <f t="shared" si="4"/>
      </c>
      <c r="Q26" s="767">
        <f t="shared" si="5"/>
      </c>
      <c r="R26" s="767">
        <f t="shared" si="6"/>
      </c>
      <c r="S26" s="652" t="str">
        <f t="shared" si="7"/>
        <v>--</v>
      </c>
      <c r="T26" s="653" t="str">
        <f t="shared" si="8"/>
        <v>--</v>
      </c>
      <c r="U26" s="212">
        <v>0</v>
      </c>
      <c r="V26" s="213" t="str">
        <f t="shared" si="9"/>
        <v>--</v>
      </c>
      <c r="W26" s="214" t="str">
        <f t="shared" si="10"/>
        <v>--</v>
      </c>
      <c r="X26" s="654" t="str">
        <f t="shared" si="11"/>
        <v>--</v>
      </c>
      <c r="Y26" s="655" t="str">
        <f t="shared" si="12"/>
        <v>--</v>
      </c>
      <c r="Z26" s="656" t="str">
        <f t="shared" si="13"/>
        <v>--</v>
      </c>
      <c r="AA26" s="215" t="str">
        <f t="shared" si="14"/>
        <v>--</v>
      </c>
      <c r="AB26" s="216" t="str">
        <f t="shared" si="15"/>
        <v>--</v>
      </c>
      <c r="AC26" s="1051">
        <f t="shared" si="16"/>
      </c>
      <c r="AD26" s="16">
        <f t="shared" si="17"/>
      </c>
      <c r="AE26" s="657"/>
    </row>
    <row r="27" spans="2:31" s="5" customFormat="1" ht="16.5" customHeight="1" thickBot="1">
      <c r="B27" s="50"/>
      <c r="C27" s="149"/>
      <c r="D27" s="146"/>
      <c r="E27" s="146"/>
      <c r="F27" s="218"/>
      <c r="G27" s="695"/>
      <c r="H27" s="219"/>
      <c r="I27" s="662"/>
      <c r="J27" s="663"/>
      <c r="K27" s="693"/>
      <c r="L27" s="693"/>
      <c r="M27" s="9"/>
      <c r="N27" s="9"/>
      <c r="O27" s="148"/>
      <c r="P27" s="183"/>
      <c r="Q27" s="148"/>
      <c r="R27" s="148"/>
      <c r="S27" s="664"/>
      <c r="T27" s="665"/>
      <c r="U27" s="220"/>
      <c r="V27" s="221"/>
      <c r="W27" s="222"/>
      <c r="X27" s="666"/>
      <c r="Y27" s="667"/>
      <c r="Z27" s="668"/>
      <c r="AA27" s="223"/>
      <c r="AB27" s="224"/>
      <c r="AC27" s="669"/>
      <c r="AD27" s="225"/>
      <c r="AE27" s="657"/>
    </row>
    <row r="28" spans="2:31" s="5" customFormat="1" ht="16.5" customHeight="1" thickBot="1" thickTop="1">
      <c r="B28" s="50"/>
      <c r="C28" s="125" t="s">
        <v>23</v>
      </c>
      <c r="D28" s="126" t="s">
        <v>319</v>
      </c>
      <c r="F28" s="226"/>
      <c r="G28" s="196"/>
      <c r="H28" s="227"/>
      <c r="I28" s="196"/>
      <c r="J28" s="184"/>
      <c r="K28" s="184"/>
      <c r="L28" s="184"/>
      <c r="M28" s="184"/>
      <c r="N28" s="184"/>
      <c r="O28" s="184"/>
      <c r="P28" s="228"/>
      <c r="Q28" s="184"/>
      <c r="R28" s="184"/>
      <c r="S28" s="670">
        <f aca="true" t="shared" si="18" ref="S28:AB28">SUM(S20:S27)</f>
        <v>0</v>
      </c>
      <c r="T28" s="671">
        <f t="shared" si="18"/>
        <v>0</v>
      </c>
      <c r="U28" s="672">
        <f t="shared" si="18"/>
        <v>0</v>
      </c>
      <c r="V28" s="672">
        <f t="shared" si="18"/>
        <v>39140.12957999999</v>
      </c>
      <c r="W28" s="672">
        <f t="shared" si="18"/>
        <v>0</v>
      </c>
      <c r="X28" s="673">
        <f t="shared" si="18"/>
        <v>0</v>
      </c>
      <c r="Y28" s="673">
        <f t="shared" si="18"/>
        <v>0</v>
      </c>
      <c r="Z28" s="673">
        <f t="shared" si="18"/>
        <v>0</v>
      </c>
      <c r="AA28" s="229">
        <f t="shared" si="18"/>
        <v>0</v>
      </c>
      <c r="AB28" s="230">
        <f t="shared" si="18"/>
        <v>0</v>
      </c>
      <c r="AC28" s="231"/>
      <c r="AD28" s="232">
        <f>ROUND(SUM(AD20:AD27),2)</f>
        <v>39140.13</v>
      </c>
      <c r="AE28" s="657"/>
    </row>
    <row r="29" spans="2:31" s="1063" customFormat="1" ht="9.75" thickTop="1">
      <c r="B29" s="1053"/>
      <c r="C29" s="749"/>
      <c r="D29" s="1054" t="s">
        <v>290</v>
      </c>
      <c r="F29" s="1055"/>
      <c r="G29" s="1056"/>
      <c r="H29" s="1057"/>
      <c r="I29" s="1056"/>
      <c r="J29" s="1058"/>
      <c r="K29" s="1058"/>
      <c r="L29" s="1058"/>
      <c r="M29" s="1058"/>
      <c r="N29" s="1058"/>
      <c r="O29" s="1058"/>
      <c r="P29" s="1059"/>
      <c r="Q29" s="1058"/>
      <c r="R29" s="1058"/>
      <c r="S29" s="1060"/>
      <c r="T29" s="1060"/>
      <c r="U29" s="1060"/>
      <c r="V29" s="1060"/>
      <c r="W29" s="1060"/>
      <c r="X29" s="1060"/>
      <c r="Y29" s="1060"/>
      <c r="Z29" s="1060"/>
      <c r="AA29" s="1060"/>
      <c r="AB29" s="1060"/>
      <c r="AC29" s="1060"/>
      <c r="AD29" s="1061"/>
      <c r="AE29" s="1062"/>
    </row>
    <row r="30" spans="2:31" s="5" customFormat="1" ht="16.5" customHeight="1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</row>
    <row r="31" spans="2:31" ht="16.5" customHeight="1" thickTop="1">
      <c r="B31" s="1"/>
      <c r="AE31" s="1"/>
    </row>
  </sheetData>
  <printOptions/>
  <pageMargins left="0.75" right="0.75" top="1" bottom="1" header="0" footer="0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G45"/>
  <sheetViews>
    <sheetView zoomScale="70" zoomScaleNormal="70" workbookViewId="0" topLeftCell="A10">
      <selection activeCell="I15" sqref="I15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4" width="13.7109375" style="0" customWidth="1"/>
    <col min="5" max="5" width="13.8515625" style="0" customWidth="1"/>
    <col min="6" max="6" width="42.00390625" style="0" customWidth="1"/>
    <col min="7" max="7" width="8.7109375" style="0" customWidth="1"/>
    <col min="8" max="8" width="8.421875" style="0" customWidth="1"/>
    <col min="9" max="9" width="3.8515625" style="0" customWidth="1"/>
    <col min="10" max="10" width="10.421875" style="0" hidden="1" customWidth="1"/>
    <col min="11" max="11" width="11.7109375" style="0" hidden="1" customWidth="1"/>
    <col min="12" max="12" width="16.7109375" style="0" customWidth="1"/>
    <col min="13" max="13" width="15.7109375" style="0" customWidth="1"/>
    <col min="14" max="16" width="9.7109375" style="0" customWidth="1"/>
    <col min="17" max="17" width="6.00390625" style="0" customWidth="1"/>
    <col min="18" max="18" width="5.421875" style="0" customWidth="1"/>
    <col min="19" max="19" width="6.00390625" style="0" customWidth="1"/>
    <col min="20" max="20" width="15.140625" style="0" hidden="1" customWidth="1"/>
    <col min="21" max="21" width="17.28125" style="0" hidden="1" customWidth="1"/>
    <col min="22" max="22" width="12.7109375" style="0" hidden="1" customWidth="1"/>
    <col min="23" max="23" width="13.7109375" style="0" hidden="1" customWidth="1"/>
    <col min="24" max="24" width="13.00390625" style="0" hidden="1" customWidth="1"/>
    <col min="25" max="25" width="14.8515625" style="0" hidden="1" customWidth="1"/>
    <col min="26" max="26" width="12.7109375" style="0" hidden="1" customWidth="1"/>
    <col min="27" max="27" width="14.00390625" style="0" hidden="1" customWidth="1"/>
    <col min="28" max="29" width="14.140625" style="0" hidden="1" customWidth="1"/>
    <col min="30" max="30" width="8.7109375" style="0" customWidth="1"/>
    <col min="31" max="31" width="15.00390625" style="0" hidden="1" customWidth="1"/>
    <col min="32" max="32" width="15.7109375" style="0" customWidth="1"/>
    <col min="33" max="33" width="4.140625" style="0" customWidth="1"/>
    <col min="34" max="34" width="17.8515625" style="0" customWidth="1"/>
    <col min="35" max="35" width="15.00390625" style="0" customWidth="1"/>
    <col min="36" max="36" width="14.28125" style="0" customWidth="1"/>
    <col min="37" max="37" width="14.00390625" style="0" customWidth="1"/>
    <col min="38" max="38" width="4.7109375" style="0" customWidth="1"/>
    <col min="39" max="39" width="7.57421875" style="0" customWidth="1"/>
    <col min="40" max="41" width="4.140625" style="0" customWidth="1"/>
    <col min="42" max="42" width="7.140625" style="0" customWidth="1"/>
    <col min="43" max="43" width="5.28125" style="0" customWidth="1"/>
    <col min="44" max="44" width="5.421875" style="0" customWidth="1"/>
    <col min="45" max="45" width="4.7109375" style="0" customWidth="1"/>
    <col min="46" max="46" width="5.28125" style="0" customWidth="1"/>
    <col min="47" max="48" width="13.28125" style="0" customWidth="1"/>
    <col min="49" max="49" width="6.57421875" style="0" customWidth="1"/>
    <col min="50" max="50" width="6.421875" style="0" customWidth="1"/>
    <col min="55" max="55" width="12.7109375" style="0" customWidth="1"/>
    <col min="59" max="59" width="21.00390625" style="0" customWidth="1"/>
  </cols>
  <sheetData>
    <row r="1" s="18" customFormat="1" ht="31.5" customHeight="1">
      <c r="AG1" s="141"/>
    </row>
    <row r="2" spans="1:33" s="18" customFormat="1" ht="26.25">
      <c r="A2" s="89"/>
      <c r="B2" s="19" t="str">
        <f>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3" s="5" customFormat="1" ht="13.5" thickTop="1">
      <c r="B7" s="69"/>
      <c r="C7" s="70"/>
      <c r="D7" s="70"/>
      <c r="E7" s="70"/>
      <c r="F7" s="70"/>
      <c r="G7" s="18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92"/>
    </row>
    <row r="8" spans="2:33" s="36" customFormat="1" ht="20.25">
      <c r="B8" s="44"/>
      <c r="C8" s="43"/>
      <c r="D8" s="43"/>
      <c r="E8" s="43"/>
      <c r="F8" s="188" t="s">
        <v>55</v>
      </c>
      <c r="G8" s="43"/>
      <c r="H8" s="43"/>
      <c r="I8" s="43"/>
      <c r="J8" s="43"/>
      <c r="P8" s="43"/>
      <c r="Q8" s="43"/>
      <c r="R8" s="189"/>
      <c r="S8" s="189"/>
      <c r="T8" s="43"/>
      <c r="U8" s="43"/>
      <c r="V8" s="43"/>
      <c r="W8" s="43"/>
      <c r="X8" s="43"/>
      <c r="Y8" s="43"/>
      <c r="Z8" s="43"/>
      <c r="AA8" s="43"/>
      <c r="AB8" s="30"/>
      <c r="AC8" s="30"/>
      <c r="AD8" s="43"/>
      <c r="AE8" s="43"/>
      <c r="AF8"/>
      <c r="AG8" s="190"/>
    </row>
    <row r="9" spans="2:33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2:33" s="36" customFormat="1" ht="33" customHeight="1">
      <c r="B10" s="44"/>
      <c r="C10" s="43"/>
      <c r="D10" s="43"/>
      <c r="E10" s="43"/>
      <c r="F10" s="762" t="s">
        <v>11</v>
      </c>
      <c r="G10" s="43"/>
      <c r="H10" s="43"/>
      <c r="I10" s="43"/>
      <c r="J10" s="43"/>
      <c r="P10" s="43"/>
      <c r="Q10" s="43"/>
      <c r="R10" s="189"/>
      <c r="S10" s="189"/>
      <c r="T10" s="43"/>
      <c r="U10" s="43"/>
      <c r="V10" s="43"/>
      <c r="W10" s="43"/>
      <c r="X10" s="43"/>
      <c r="Y10" s="43"/>
      <c r="Z10" s="43"/>
      <c r="AA10" s="43"/>
      <c r="AB10" s="30"/>
      <c r="AC10" s="30"/>
      <c r="AD10" s="43"/>
      <c r="AE10" s="43"/>
      <c r="AF10"/>
      <c r="AG10" s="190"/>
    </row>
    <row r="11" spans="2:33" s="5" customFormat="1" ht="33" customHeight="1">
      <c r="B11" s="50"/>
      <c r="C11" s="4"/>
      <c r="D11" s="4"/>
      <c r="E11" s="4"/>
      <c r="F11" s="745" t="s">
        <v>232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/>
    </row>
    <row r="12" spans="2:33" s="36" customFormat="1" ht="21">
      <c r="B12" s="37" t="str">
        <f>'TOT-0809'!B14</f>
        <v>Desde el 01 al 31 de agosto de 2009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1"/>
      <c r="Q12" s="19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30"/>
      <c r="AC12" s="30"/>
      <c r="AD12" s="40"/>
      <c r="AE12" s="40"/>
      <c r="AF12" s="40"/>
      <c r="AG12" s="135"/>
    </row>
    <row r="13" spans="2:33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2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7"/>
    </row>
    <row r="14" spans="2:33" s="5" customFormat="1" ht="16.5" customHeight="1" thickBot="1" thickTop="1">
      <c r="B14" s="50"/>
      <c r="C14" s="4"/>
      <c r="D14" s="4"/>
      <c r="E14" s="4"/>
      <c r="F14" s="4"/>
      <c r="G14" s="66"/>
      <c r="H14" s="66"/>
      <c r="I14" s="4"/>
      <c r="J14" s="4"/>
      <c r="K14" s="4"/>
      <c r="L14" s="192"/>
      <c r="M14" s="4"/>
      <c r="N14" s="4"/>
      <c r="O14" s="1072" t="s">
        <v>233</v>
      </c>
      <c r="P14" s="1073"/>
      <c r="Q14" s="1073"/>
      <c r="R14" s="1073"/>
      <c r="S14" s="1074"/>
      <c r="T14" s="769" t="b">
        <f>AND(S15&lt;=0.82,S16&lt;=1.17)</f>
        <v>1</v>
      </c>
      <c r="U14" s="769" t="b">
        <f>AND(S15&gt;=1.17,S16&gt;=1.7)</f>
        <v>0</v>
      </c>
      <c r="V14" s="770">
        <f>((S16/1.17)+(S15/0.82))*0.852446393-1.454892785</f>
        <v>-1.454892785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7"/>
    </row>
    <row r="15" spans="2:33" s="5" customFormat="1" ht="16.5" customHeight="1" thickBot="1" thickTop="1">
      <c r="B15" s="50"/>
      <c r="C15" s="4"/>
      <c r="D15" s="4"/>
      <c r="E15" s="4"/>
      <c r="F15" s="82" t="s">
        <v>234</v>
      </c>
      <c r="G15" s="771">
        <v>89.969</v>
      </c>
      <c r="H15" s="193"/>
      <c r="I15" s="4"/>
      <c r="J15" s="4"/>
      <c r="K15" s="4"/>
      <c r="L15"/>
      <c r="M15"/>
      <c r="N15" s="4"/>
      <c r="O15" s="772" t="s">
        <v>235</v>
      </c>
      <c r="P15" s="773"/>
      <c r="Q15" s="773"/>
      <c r="R15" s="773"/>
      <c r="S15" s="774">
        <v>0</v>
      </c>
      <c r="T15" s="775"/>
      <c r="U15" s="769"/>
      <c r="V15" s="770"/>
      <c r="W15" s="4"/>
      <c r="X15" s="4"/>
      <c r="Y15" s="4"/>
      <c r="Z15" s="4"/>
      <c r="AA15" s="4"/>
      <c r="AB15" s="40"/>
      <c r="AC15" s="40"/>
      <c r="AD15" s="4"/>
      <c r="AE15" s="4"/>
      <c r="AF15" s="4"/>
      <c r="AG15" s="17"/>
    </row>
    <row r="16" spans="2:33" s="5" customFormat="1" ht="16.5" customHeight="1" thickBot="1" thickTop="1">
      <c r="B16" s="50"/>
      <c r="C16" s="4"/>
      <c r="D16" s="4"/>
      <c r="E16" s="4"/>
      <c r="F16" s="82" t="s">
        <v>236</v>
      </c>
      <c r="G16" s="771">
        <v>74.974</v>
      </c>
      <c r="H16" s="193"/>
      <c r="I16" s="4"/>
      <c r="J16" s="4"/>
      <c r="K16" s="4"/>
      <c r="L16" s="776" t="s">
        <v>237</v>
      </c>
      <c r="M16" s="777">
        <f>4*S17</f>
        <v>1</v>
      </c>
      <c r="N16" s="4"/>
      <c r="O16" s="772" t="s">
        <v>238</v>
      </c>
      <c r="P16" s="773"/>
      <c r="Q16" s="773"/>
      <c r="R16" s="773"/>
      <c r="S16" s="774">
        <v>0</v>
      </c>
      <c r="T16" s="775"/>
      <c r="U16" s="769"/>
      <c r="V16" s="770"/>
      <c r="W16" s="4"/>
      <c r="X16" s="113"/>
      <c r="Y16" s="113"/>
      <c r="Z16" s="113"/>
      <c r="AA16" s="113"/>
      <c r="AB16" s="4"/>
      <c r="AC16" s="4"/>
      <c r="AD16" s="113"/>
      <c r="AG16" s="17"/>
    </row>
    <row r="17" spans="2:33" s="5" customFormat="1" ht="16.5" customHeight="1" thickBot="1" thickTop="1">
      <c r="B17" s="50"/>
      <c r="C17" s="4"/>
      <c r="D17" s="4"/>
      <c r="E17" s="4"/>
      <c r="F17" s="194"/>
      <c r="G17" s="195"/>
      <c r="H17" s="778"/>
      <c r="I17" s="4"/>
      <c r="J17" s="4"/>
      <c r="K17" s="4"/>
      <c r="L17" s="776"/>
      <c r="M17" s="777"/>
      <c r="N17" s="4"/>
      <c r="O17" s="772" t="s">
        <v>239</v>
      </c>
      <c r="P17" s="773"/>
      <c r="Q17" s="773"/>
      <c r="R17" s="773"/>
      <c r="S17" s="774">
        <f>IF(T14=TRUE,0.25,IF(U14=TRUE,1,V14))</f>
        <v>0.25</v>
      </c>
      <c r="T17" s="779"/>
      <c r="U17" s="779"/>
      <c r="V17" s="779"/>
      <c r="W17" s="4"/>
      <c r="X17" s="113"/>
      <c r="Y17" s="113"/>
      <c r="Z17" s="113"/>
      <c r="AA17" s="113"/>
      <c r="AB17" s="4"/>
      <c r="AC17" s="4"/>
      <c r="AD17" s="113"/>
      <c r="AG17" s="17"/>
    </row>
    <row r="18" spans="2:33" s="5" customFormat="1" ht="16.5" customHeight="1" thickBot="1" thickTop="1">
      <c r="B18" s="50"/>
      <c r="C18" s="760">
        <v>3</v>
      </c>
      <c r="D18" s="760">
        <v>4</v>
      </c>
      <c r="E18" s="760">
        <v>5</v>
      </c>
      <c r="F18" s="760">
        <v>6</v>
      </c>
      <c r="G18" s="760">
        <v>7</v>
      </c>
      <c r="H18" s="760">
        <v>8</v>
      </c>
      <c r="I18" s="760">
        <v>9</v>
      </c>
      <c r="J18" s="760">
        <v>10</v>
      </c>
      <c r="K18" s="760">
        <v>11</v>
      </c>
      <c r="L18" s="760">
        <v>12</v>
      </c>
      <c r="M18" s="760">
        <v>13</v>
      </c>
      <c r="N18" s="760">
        <v>14</v>
      </c>
      <c r="O18" s="760">
        <v>15</v>
      </c>
      <c r="P18" s="760">
        <v>16</v>
      </c>
      <c r="Q18" s="760">
        <v>17</v>
      </c>
      <c r="R18" s="760">
        <v>18</v>
      </c>
      <c r="S18" s="760">
        <v>19</v>
      </c>
      <c r="T18" s="760">
        <v>20</v>
      </c>
      <c r="U18" s="760">
        <v>21</v>
      </c>
      <c r="V18" s="760">
        <v>22</v>
      </c>
      <c r="W18" s="760">
        <v>23</v>
      </c>
      <c r="X18" s="760">
        <v>24</v>
      </c>
      <c r="Y18" s="760">
        <v>25</v>
      </c>
      <c r="Z18" s="760">
        <v>26</v>
      </c>
      <c r="AA18" s="760">
        <v>27</v>
      </c>
      <c r="AB18" s="760">
        <v>28</v>
      </c>
      <c r="AC18" s="760">
        <v>29</v>
      </c>
      <c r="AD18" s="760">
        <v>30</v>
      </c>
      <c r="AE18" s="760">
        <v>31</v>
      </c>
      <c r="AF18" s="760">
        <v>32</v>
      </c>
      <c r="AG18" s="17"/>
    </row>
    <row r="19" spans="2:33" s="5" customFormat="1" ht="33.75" customHeight="1" thickBot="1" thickTop="1">
      <c r="B19" s="50"/>
      <c r="C19" s="84" t="s">
        <v>12</v>
      </c>
      <c r="D19" s="84" t="s">
        <v>138</v>
      </c>
      <c r="E19" s="84" t="s">
        <v>139</v>
      </c>
      <c r="F19" s="780" t="s">
        <v>0</v>
      </c>
      <c r="G19" s="171" t="s">
        <v>13</v>
      </c>
      <c r="H19" s="781" t="s">
        <v>14</v>
      </c>
      <c r="I19" s="197" t="s">
        <v>57</v>
      </c>
      <c r="J19" s="782" t="s">
        <v>35</v>
      </c>
      <c r="K19" s="783" t="s">
        <v>15</v>
      </c>
      <c r="L19" s="85" t="s">
        <v>16</v>
      </c>
      <c r="M19" s="172" t="s">
        <v>17</v>
      </c>
      <c r="N19" s="87" t="s">
        <v>34</v>
      </c>
      <c r="O19" s="86" t="s">
        <v>29</v>
      </c>
      <c r="P19" s="87" t="s">
        <v>18</v>
      </c>
      <c r="Q19" s="87" t="s">
        <v>44</v>
      </c>
      <c r="R19" s="172" t="s">
        <v>45</v>
      </c>
      <c r="S19" s="85" t="s">
        <v>30</v>
      </c>
      <c r="T19" s="764" t="s">
        <v>19</v>
      </c>
      <c r="U19" s="784" t="s">
        <v>20</v>
      </c>
      <c r="V19" s="198" t="s">
        <v>240</v>
      </c>
      <c r="W19" s="199"/>
      <c r="X19" s="200"/>
      <c r="Y19" s="785" t="s">
        <v>241</v>
      </c>
      <c r="Z19" s="786"/>
      <c r="AA19" s="787"/>
      <c r="AB19" s="201" t="s">
        <v>21</v>
      </c>
      <c r="AC19" s="202" t="s">
        <v>58</v>
      </c>
      <c r="AD19" s="130" t="s">
        <v>59</v>
      </c>
      <c r="AE19" s="788" t="s">
        <v>22</v>
      </c>
      <c r="AF19" s="130" t="s">
        <v>22</v>
      </c>
      <c r="AG19" s="203"/>
    </row>
    <row r="20" spans="2:33" s="5" customFormat="1" ht="16.5" customHeight="1" thickTop="1">
      <c r="B20" s="50"/>
      <c r="C20" s="174"/>
      <c r="D20" s="174"/>
      <c r="E20" s="174"/>
      <c r="F20" s="765"/>
      <c r="G20" s="765"/>
      <c r="H20" s="789"/>
      <c r="I20" s="174"/>
      <c r="J20" s="790"/>
      <c r="K20" s="791"/>
      <c r="L20" s="174"/>
      <c r="M20" s="174"/>
      <c r="N20" s="174"/>
      <c r="O20" s="174"/>
      <c r="P20" s="174"/>
      <c r="Q20" s="174"/>
      <c r="R20" s="174"/>
      <c r="S20" s="174"/>
      <c r="T20" s="792"/>
      <c r="U20" s="793"/>
      <c r="V20" s="794"/>
      <c r="W20" s="795"/>
      <c r="X20" s="796"/>
      <c r="Y20" s="797"/>
      <c r="Z20" s="797"/>
      <c r="AA20" s="798"/>
      <c r="AB20" s="799"/>
      <c r="AC20" s="800"/>
      <c r="AD20" s="174"/>
      <c r="AE20" s="801"/>
      <c r="AF20" s="802"/>
      <c r="AG20" s="17"/>
    </row>
    <row r="21" spans="2:33" s="5" customFormat="1" ht="16.5" customHeight="1">
      <c r="B21" s="50"/>
      <c r="C21" s="264"/>
      <c r="D21" s="264"/>
      <c r="E21" s="264"/>
      <c r="F21" s="175"/>
      <c r="G21" s="766"/>
      <c r="H21" s="698"/>
      <c r="I21" s="176"/>
      <c r="J21" s="803"/>
      <c r="K21" s="804"/>
      <c r="L21" s="204"/>
      <c r="M21" s="4"/>
      <c r="N21" s="175"/>
      <c r="O21" s="175"/>
      <c r="P21" s="176"/>
      <c r="Q21" s="176"/>
      <c r="R21" s="175"/>
      <c r="S21" s="175"/>
      <c r="T21" s="805"/>
      <c r="U21" s="806"/>
      <c r="V21" s="807"/>
      <c r="W21" s="808"/>
      <c r="X21" s="809"/>
      <c r="Y21" s="810"/>
      <c r="Z21" s="810"/>
      <c r="AA21" s="811"/>
      <c r="AB21" s="205"/>
      <c r="AC21" s="206"/>
      <c r="AD21" s="175"/>
      <c r="AE21" s="812"/>
      <c r="AF21" s="207"/>
      <c r="AG21" s="17"/>
    </row>
    <row r="22" spans="2:33" s="5" customFormat="1" ht="16.5" customHeight="1">
      <c r="B22" s="50"/>
      <c r="C22" s="149">
        <v>24</v>
      </c>
      <c r="D22" s="149">
        <v>210141</v>
      </c>
      <c r="E22" s="149">
        <v>2677</v>
      </c>
      <c r="F22" s="143" t="s">
        <v>242</v>
      </c>
      <c r="G22" s="813">
        <v>500</v>
      </c>
      <c r="H22" s="701">
        <v>85</v>
      </c>
      <c r="I22" s="813" t="s">
        <v>143</v>
      </c>
      <c r="J22" s="208">
        <f aca="true" t="shared" si="0" ref="J22:J41">IF(I22="A",200,IF(I22="B",60,20))</f>
        <v>20</v>
      </c>
      <c r="K22" s="814">
        <f aca="true" t="shared" si="1" ref="K22:K41">IF(G22=500,IF(H22&lt;100,$G$15,H22*$G$15/100),IF(H22&lt;100,$G$16,H22*$G$16/100))</f>
        <v>89.969</v>
      </c>
      <c r="L22" s="178">
        <v>40048.32152777778</v>
      </c>
      <c r="M22" s="209">
        <v>40048.70486111111</v>
      </c>
      <c r="N22" s="180">
        <f aca="true" t="shared" si="2" ref="N22:N41">IF(F22="","",(M22-L22)*24)</f>
        <v>9.199999999953434</v>
      </c>
      <c r="O22" s="181">
        <f aca="true" t="shared" si="3" ref="O22:O41">IF(F22="","",ROUND((M22-L22)*24*60,0))</f>
        <v>552</v>
      </c>
      <c r="P22" s="210" t="s">
        <v>144</v>
      </c>
      <c r="Q22" s="470" t="str">
        <f aca="true" t="shared" si="4" ref="Q22:Q41">IF(F22="","","--")</f>
        <v>--</v>
      </c>
      <c r="R22" s="211" t="str">
        <f aca="true" t="shared" si="5" ref="R22:R41">IF(F22="","","NO")</f>
        <v>NO</v>
      </c>
      <c r="S22" s="211" t="str">
        <f aca="true" t="shared" si="6" ref="S22:S41">IF(F22="","",IF(OR(P22="P",P22="RP"),"--","NO"))</f>
        <v>--</v>
      </c>
      <c r="T22" s="815">
        <f aca="true" t="shared" si="7" ref="T22:T41">IF(P22="P",K22*J22*ROUND(O22/60,2)*0.01,"--")</f>
        <v>165.54296</v>
      </c>
      <c r="U22" s="816" t="str">
        <f aca="true" t="shared" si="8" ref="U22:U41">IF(P22="RP",K22*J22*ROUND(O22/60,2)*0.01*Q22/100,"--")</f>
        <v>--</v>
      </c>
      <c r="V22" s="212" t="str">
        <f aca="true" t="shared" si="9" ref="V22:V41">IF(AND(P22="F",S22="NO"),K22*J22*IF(R22="SI",1.2,1),"--")</f>
        <v>--</v>
      </c>
      <c r="W22" s="213" t="str">
        <f aca="true" t="shared" si="10" ref="W22:W41">IF(AND(P22="F",O22&gt;=10),K22*J22*IF(R22="SI",1.2,1)*IF(O22&lt;=300,ROUND(O22/60,2),5),"--")</f>
        <v>--</v>
      </c>
      <c r="X22" s="214" t="str">
        <f aca="true" t="shared" si="11" ref="X22:X41">IF(AND(P22="F",O22&gt;300),(ROUND(O22/60,2)-5)*K22*J22*0.1*IF(R22="SI",1.2,1),"--")</f>
        <v>--</v>
      </c>
      <c r="Y22" s="817" t="str">
        <f aca="true" t="shared" si="12" ref="Y22:Y41">IF(AND(P22="R",S22="NO"),K22*J22*Q22/100*IF(R22="SI",1.2,1),"--")</f>
        <v>--</v>
      </c>
      <c r="Z22" s="818" t="str">
        <f aca="true" t="shared" si="13" ref="Z22:Z41">IF(AND(P22="R",O22&gt;=10),IF(O22&lt;=300,K22*J22*Q22/100*IF(R22="SI",1.2,1)*ROUND(O22/60,2),5),"--")</f>
        <v>--</v>
      </c>
      <c r="AA22" s="819" t="str">
        <f aca="true" t="shared" si="14" ref="AA22:AA41">IF(AND(P22="R",O22&gt;300),(ROUND(O22/60,2)-5)*K22*J22*0.1*Q22/100*IF(R22="SI",1.2,1),"--")</f>
        <v>--</v>
      </c>
      <c r="AB22" s="215" t="str">
        <f aca="true" t="shared" si="15" ref="AB22:AB41">IF(P22="RF",ROUND(O22/60,2)*K22*J22*0.1*IF(R22="SI",1.2,1),"--")</f>
        <v>--</v>
      </c>
      <c r="AC22" s="216" t="str">
        <f aca="true" t="shared" si="16" ref="AC22:AC41">IF(P22="RR",ROUND(O22/60,2)*K22*J22*0.1*Q22/100*IF(R22="SI",1.2,1),"--")</f>
        <v>--</v>
      </c>
      <c r="AD22" s="820" t="s">
        <v>128</v>
      </c>
      <c r="AE22" s="821">
        <f aca="true" t="shared" si="17" ref="AE22:AE41">SUM(T22:AC22)*IF(AD22="SI",1,2)</f>
        <v>165.54296</v>
      </c>
      <c r="AF22" s="16">
        <f aca="true" t="shared" si="18" ref="AF22:AF41">IF(F22="","",AE22*$M$16)</f>
        <v>165.54296</v>
      </c>
      <c r="AG22" s="17"/>
    </row>
    <row r="23" spans="2:33" s="5" customFormat="1" ht="16.5" customHeight="1">
      <c r="B23" s="50"/>
      <c r="C23" s="264"/>
      <c r="D23" s="264"/>
      <c r="E23" s="264"/>
      <c r="F23" s="143"/>
      <c r="G23" s="813"/>
      <c r="H23" s="701"/>
      <c r="I23" s="813"/>
      <c r="J23" s="208">
        <f t="shared" si="0"/>
        <v>20</v>
      </c>
      <c r="K23" s="814">
        <f t="shared" si="1"/>
        <v>74.974</v>
      </c>
      <c r="L23" s="178"/>
      <c r="M23" s="209"/>
      <c r="N23" s="180">
        <f t="shared" si="2"/>
      </c>
      <c r="O23" s="181">
        <f t="shared" si="3"/>
      </c>
      <c r="P23" s="210"/>
      <c r="Q23" s="470">
        <f t="shared" si="4"/>
      </c>
      <c r="R23" s="211">
        <f t="shared" si="5"/>
      </c>
      <c r="S23" s="211">
        <f t="shared" si="6"/>
      </c>
      <c r="T23" s="815" t="str">
        <f t="shared" si="7"/>
        <v>--</v>
      </c>
      <c r="U23" s="816" t="str">
        <f t="shared" si="8"/>
        <v>--</v>
      </c>
      <c r="V23" s="212" t="str">
        <f t="shared" si="9"/>
        <v>--</v>
      </c>
      <c r="W23" s="213" t="str">
        <f t="shared" si="10"/>
        <v>--</v>
      </c>
      <c r="X23" s="214" t="str">
        <f t="shared" si="11"/>
        <v>--</v>
      </c>
      <c r="Y23" s="817" t="str">
        <f t="shared" si="12"/>
        <v>--</v>
      </c>
      <c r="Z23" s="818" t="str">
        <f t="shared" si="13"/>
        <v>--</v>
      </c>
      <c r="AA23" s="819" t="str">
        <f t="shared" si="14"/>
        <v>--</v>
      </c>
      <c r="AB23" s="215" t="str">
        <f t="shared" si="15"/>
        <v>--</v>
      </c>
      <c r="AC23" s="216" t="str">
        <f t="shared" si="16"/>
        <v>--</v>
      </c>
      <c r="AD23" s="820">
        <f aca="true" t="shared" si="19" ref="AD23:AD41">IF(F23="","","SI")</f>
      </c>
      <c r="AE23" s="821">
        <f t="shared" si="17"/>
        <v>0</v>
      </c>
      <c r="AF23" s="16">
        <f t="shared" si="18"/>
      </c>
      <c r="AG23" s="17"/>
    </row>
    <row r="24" spans="2:33" s="5" customFormat="1" ht="16.5" customHeight="1">
      <c r="B24" s="50"/>
      <c r="C24" s="149"/>
      <c r="D24" s="149"/>
      <c r="E24" s="149"/>
      <c r="F24" s="143"/>
      <c r="G24" s="813"/>
      <c r="H24" s="701"/>
      <c r="I24" s="813"/>
      <c r="J24" s="208">
        <f t="shared" si="0"/>
        <v>20</v>
      </c>
      <c r="K24" s="814">
        <f t="shared" si="1"/>
        <v>74.974</v>
      </c>
      <c r="L24" s="178"/>
      <c r="M24" s="209"/>
      <c r="N24" s="180">
        <f t="shared" si="2"/>
      </c>
      <c r="O24" s="181">
        <f t="shared" si="3"/>
      </c>
      <c r="P24" s="210"/>
      <c r="Q24" s="470">
        <f t="shared" si="4"/>
      </c>
      <c r="R24" s="211">
        <f t="shared" si="5"/>
      </c>
      <c r="S24" s="211">
        <f t="shared" si="6"/>
      </c>
      <c r="T24" s="815" t="str">
        <f t="shared" si="7"/>
        <v>--</v>
      </c>
      <c r="U24" s="816" t="str">
        <f t="shared" si="8"/>
        <v>--</v>
      </c>
      <c r="V24" s="212" t="str">
        <f t="shared" si="9"/>
        <v>--</v>
      </c>
      <c r="W24" s="213" t="str">
        <f t="shared" si="10"/>
        <v>--</v>
      </c>
      <c r="X24" s="214" t="str">
        <f t="shared" si="11"/>
        <v>--</v>
      </c>
      <c r="Y24" s="817" t="str">
        <f t="shared" si="12"/>
        <v>--</v>
      </c>
      <c r="Z24" s="818" t="str">
        <f t="shared" si="13"/>
        <v>--</v>
      </c>
      <c r="AA24" s="819" t="str">
        <f t="shared" si="14"/>
        <v>--</v>
      </c>
      <c r="AB24" s="215" t="str">
        <f t="shared" si="15"/>
        <v>--</v>
      </c>
      <c r="AC24" s="216" t="str">
        <f t="shared" si="16"/>
        <v>--</v>
      </c>
      <c r="AD24" s="820">
        <f t="shared" si="19"/>
      </c>
      <c r="AE24" s="821">
        <f t="shared" si="17"/>
        <v>0</v>
      </c>
      <c r="AF24" s="16">
        <f t="shared" si="18"/>
      </c>
      <c r="AG24" s="17"/>
    </row>
    <row r="25" spans="2:33" s="5" customFormat="1" ht="16.5" customHeight="1">
      <c r="B25" s="50"/>
      <c r="C25" s="264"/>
      <c r="D25" s="264"/>
      <c r="E25" s="264"/>
      <c r="F25" s="143"/>
      <c r="G25" s="813"/>
      <c r="H25" s="701"/>
      <c r="I25" s="813"/>
      <c r="J25" s="208">
        <f t="shared" si="0"/>
        <v>20</v>
      </c>
      <c r="K25" s="814">
        <f t="shared" si="1"/>
        <v>74.974</v>
      </c>
      <c r="L25" s="178"/>
      <c r="M25" s="209"/>
      <c r="N25" s="180">
        <f t="shared" si="2"/>
      </c>
      <c r="O25" s="181">
        <f t="shared" si="3"/>
      </c>
      <c r="P25" s="210"/>
      <c r="Q25" s="470">
        <f t="shared" si="4"/>
      </c>
      <c r="R25" s="211">
        <f t="shared" si="5"/>
      </c>
      <c r="S25" s="211">
        <f t="shared" si="6"/>
      </c>
      <c r="T25" s="815" t="str">
        <f t="shared" si="7"/>
        <v>--</v>
      </c>
      <c r="U25" s="816" t="str">
        <f t="shared" si="8"/>
        <v>--</v>
      </c>
      <c r="V25" s="212" t="str">
        <f t="shared" si="9"/>
        <v>--</v>
      </c>
      <c r="W25" s="213" t="str">
        <f t="shared" si="10"/>
        <v>--</v>
      </c>
      <c r="X25" s="214" t="str">
        <f t="shared" si="11"/>
        <v>--</v>
      </c>
      <c r="Y25" s="817" t="str">
        <f t="shared" si="12"/>
        <v>--</v>
      </c>
      <c r="Z25" s="818" t="str">
        <f t="shared" si="13"/>
        <v>--</v>
      </c>
      <c r="AA25" s="819" t="str">
        <f t="shared" si="14"/>
        <v>--</v>
      </c>
      <c r="AB25" s="215" t="str">
        <f t="shared" si="15"/>
        <v>--</v>
      </c>
      <c r="AC25" s="216" t="str">
        <f t="shared" si="16"/>
        <v>--</v>
      </c>
      <c r="AD25" s="820">
        <f t="shared" si="19"/>
      </c>
      <c r="AE25" s="821">
        <f t="shared" si="17"/>
        <v>0</v>
      </c>
      <c r="AF25" s="16">
        <f t="shared" si="18"/>
      </c>
      <c r="AG25" s="17"/>
    </row>
    <row r="26" spans="2:33" s="5" customFormat="1" ht="16.5" customHeight="1">
      <c r="B26" s="50"/>
      <c r="C26" s="149"/>
      <c r="D26" s="149"/>
      <c r="E26" s="149"/>
      <c r="F26" s="143"/>
      <c r="G26" s="813"/>
      <c r="H26" s="701"/>
      <c r="I26" s="813"/>
      <c r="J26" s="208">
        <f t="shared" si="0"/>
        <v>20</v>
      </c>
      <c r="K26" s="814">
        <f t="shared" si="1"/>
        <v>74.974</v>
      </c>
      <c r="L26" s="178"/>
      <c r="M26" s="209"/>
      <c r="N26" s="180">
        <f t="shared" si="2"/>
      </c>
      <c r="O26" s="181">
        <f t="shared" si="3"/>
      </c>
      <c r="P26" s="210"/>
      <c r="Q26" s="470">
        <f t="shared" si="4"/>
      </c>
      <c r="R26" s="211">
        <f t="shared" si="5"/>
      </c>
      <c r="S26" s="211">
        <f t="shared" si="6"/>
      </c>
      <c r="T26" s="815" t="str">
        <f t="shared" si="7"/>
        <v>--</v>
      </c>
      <c r="U26" s="816" t="str">
        <f t="shared" si="8"/>
        <v>--</v>
      </c>
      <c r="V26" s="212" t="str">
        <f t="shared" si="9"/>
        <v>--</v>
      </c>
      <c r="W26" s="213" t="str">
        <f t="shared" si="10"/>
        <v>--</v>
      </c>
      <c r="X26" s="214" t="str">
        <f t="shared" si="11"/>
        <v>--</v>
      </c>
      <c r="Y26" s="817" t="str">
        <f t="shared" si="12"/>
        <v>--</v>
      </c>
      <c r="Z26" s="818" t="str">
        <f t="shared" si="13"/>
        <v>--</v>
      </c>
      <c r="AA26" s="819" t="str">
        <f t="shared" si="14"/>
        <v>--</v>
      </c>
      <c r="AB26" s="215" t="str">
        <f t="shared" si="15"/>
        <v>--</v>
      </c>
      <c r="AC26" s="216" t="str">
        <f t="shared" si="16"/>
        <v>--</v>
      </c>
      <c r="AD26" s="820">
        <f t="shared" si="19"/>
      </c>
      <c r="AE26" s="821">
        <f t="shared" si="17"/>
        <v>0</v>
      </c>
      <c r="AF26" s="16">
        <f t="shared" si="18"/>
      </c>
      <c r="AG26" s="17"/>
    </row>
    <row r="27" spans="2:33" s="5" customFormat="1" ht="16.5" customHeight="1">
      <c r="B27" s="50"/>
      <c r="C27" s="264"/>
      <c r="D27" s="264"/>
      <c r="E27" s="264"/>
      <c r="F27" s="143"/>
      <c r="G27" s="813"/>
      <c r="H27" s="701"/>
      <c r="I27" s="813"/>
      <c r="J27" s="208">
        <f t="shared" si="0"/>
        <v>20</v>
      </c>
      <c r="K27" s="814">
        <f t="shared" si="1"/>
        <v>74.974</v>
      </c>
      <c r="L27" s="178"/>
      <c r="M27" s="209"/>
      <c r="N27" s="180">
        <f t="shared" si="2"/>
      </c>
      <c r="O27" s="181">
        <f t="shared" si="3"/>
      </c>
      <c r="P27" s="210"/>
      <c r="Q27" s="470">
        <f t="shared" si="4"/>
      </c>
      <c r="R27" s="211">
        <f t="shared" si="5"/>
      </c>
      <c r="S27" s="211">
        <f t="shared" si="6"/>
      </c>
      <c r="T27" s="815" t="str">
        <f t="shared" si="7"/>
        <v>--</v>
      </c>
      <c r="U27" s="816" t="str">
        <f t="shared" si="8"/>
        <v>--</v>
      </c>
      <c r="V27" s="212" t="str">
        <f t="shared" si="9"/>
        <v>--</v>
      </c>
      <c r="W27" s="213" t="str">
        <f t="shared" si="10"/>
        <v>--</v>
      </c>
      <c r="X27" s="214" t="str">
        <f t="shared" si="11"/>
        <v>--</v>
      </c>
      <c r="Y27" s="817" t="str">
        <f t="shared" si="12"/>
        <v>--</v>
      </c>
      <c r="Z27" s="818" t="str">
        <f t="shared" si="13"/>
        <v>--</v>
      </c>
      <c r="AA27" s="819" t="str">
        <f t="shared" si="14"/>
        <v>--</v>
      </c>
      <c r="AB27" s="215" t="str">
        <f t="shared" si="15"/>
        <v>--</v>
      </c>
      <c r="AC27" s="216" t="str">
        <f t="shared" si="16"/>
        <v>--</v>
      </c>
      <c r="AD27" s="820">
        <f t="shared" si="19"/>
      </c>
      <c r="AE27" s="821">
        <f t="shared" si="17"/>
        <v>0</v>
      </c>
      <c r="AF27" s="16">
        <f t="shared" si="18"/>
      </c>
      <c r="AG27" s="17"/>
    </row>
    <row r="28" spans="2:33" s="5" customFormat="1" ht="16.5" customHeight="1">
      <c r="B28" s="50"/>
      <c r="C28" s="149"/>
      <c r="D28" s="149"/>
      <c r="E28" s="149"/>
      <c r="F28" s="143"/>
      <c r="G28" s="813"/>
      <c r="H28" s="701"/>
      <c r="I28" s="813"/>
      <c r="J28" s="208">
        <f t="shared" si="0"/>
        <v>20</v>
      </c>
      <c r="K28" s="814">
        <f t="shared" si="1"/>
        <v>74.974</v>
      </c>
      <c r="L28" s="178"/>
      <c r="M28" s="209"/>
      <c r="N28" s="180">
        <f t="shared" si="2"/>
      </c>
      <c r="O28" s="181">
        <f t="shared" si="3"/>
      </c>
      <c r="P28" s="210"/>
      <c r="Q28" s="470">
        <f t="shared" si="4"/>
      </c>
      <c r="R28" s="211">
        <f t="shared" si="5"/>
      </c>
      <c r="S28" s="211">
        <f t="shared" si="6"/>
      </c>
      <c r="T28" s="815" t="str">
        <f t="shared" si="7"/>
        <v>--</v>
      </c>
      <c r="U28" s="816" t="str">
        <f t="shared" si="8"/>
        <v>--</v>
      </c>
      <c r="V28" s="212" t="str">
        <f t="shared" si="9"/>
        <v>--</v>
      </c>
      <c r="W28" s="213" t="str">
        <f t="shared" si="10"/>
        <v>--</v>
      </c>
      <c r="X28" s="214" t="str">
        <f t="shared" si="11"/>
        <v>--</v>
      </c>
      <c r="Y28" s="817" t="str">
        <f t="shared" si="12"/>
        <v>--</v>
      </c>
      <c r="Z28" s="818" t="str">
        <f t="shared" si="13"/>
        <v>--</v>
      </c>
      <c r="AA28" s="819" t="str">
        <f t="shared" si="14"/>
        <v>--</v>
      </c>
      <c r="AB28" s="215" t="str">
        <f t="shared" si="15"/>
        <v>--</v>
      </c>
      <c r="AC28" s="216" t="str">
        <f t="shared" si="16"/>
        <v>--</v>
      </c>
      <c r="AD28" s="820">
        <f t="shared" si="19"/>
      </c>
      <c r="AE28" s="821">
        <f t="shared" si="17"/>
        <v>0</v>
      </c>
      <c r="AF28" s="16">
        <f t="shared" si="18"/>
      </c>
      <c r="AG28" s="217"/>
    </row>
    <row r="29" spans="2:33" s="5" customFormat="1" ht="16.5" customHeight="1">
      <c r="B29" s="50"/>
      <c r="C29" s="264"/>
      <c r="D29" s="264"/>
      <c r="E29" s="264"/>
      <c r="F29" s="143"/>
      <c r="G29" s="813"/>
      <c r="H29" s="701"/>
      <c r="I29" s="813"/>
      <c r="J29" s="208">
        <f t="shared" si="0"/>
        <v>20</v>
      </c>
      <c r="K29" s="814">
        <f t="shared" si="1"/>
        <v>74.974</v>
      </c>
      <c r="L29" s="178"/>
      <c r="M29" s="209"/>
      <c r="N29" s="180">
        <f t="shared" si="2"/>
      </c>
      <c r="O29" s="181">
        <f t="shared" si="3"/>
      </c>
      <c r="P29" s="210"/>
      <c r="Q29" s="470">
        <f t="shared" si="4"/>
      </c>
      <c r="R29" s="211">
        <f t="shared" si="5"/>
      </c>
      <c r="S29" s="211">
        <f t="shared" si="6"/>
      </c>
      <c r="T29" s="815" t="str">
        <f t="shared" si="7"/>
        <v>--</v>
      </c>
      <c r="U29" s="816" t="str">
        <f t="shared" si="8"/>
        <v>--</v>
      </c>
      <c r="V29" s="212" t="str">
        <f t="shared" si="9"/>
        <v>--</v>
      </c>
      <c r="W29" s="213" t="str">
        <f t="shared" si="10"/>
        <v>--</v>
      </c>
      <c r="X29" s="214" t="str">
        <f t="shared" si="11"/>
        <v>--</v>
      </c>
      <c r="Y29" s="817" t="str">
        <f t="shared" si="12"/>
        <v>--</v>
      </c>
      <c r="Z29" s="818" t="str">
        <f t="shared" si="13"/>
        <v>--</v>
      </c>
      <c r="AA29" s="819" t="str">
        <f t="shared" si="14"/>
        <v>--</v>
      </c>
      <c r="AB29" s="215" t="str">
        <f t="shared" si="15"/>
        <v>--</v>
      </c>
      <c r="AC29" s="216" t="str">
        <f t="shared" si="16"/>
        <v>--</v>
      </c>
      <c r="AD29" s="820">
        <f t="shared" si="19"/>
      </c>
      <c r="AE29" s="821">
        <f t="shared" si="17"/>
        <v>0</v>
      </c>
      <c r="AF29" s="16">
        <f t="shared" si="18"/>
      </c>
      <c r="AG29" s="217"/>
    </row>
    <row r="30" spans="2:33" s="5" customFormat="1" ht="16.5" customHeight="1">
      <c r="B30" s="50"/>
      <c r="C30" s="149"/>
      <c r="D30" s="149"/>
      <c r="E30" s="149"/>
      <c r="F30" s="143"/>
      <c r="G30" s="813"/>
      <c r="H30" s="701"/>
      <c r="I30" s="813"/>
      <c r="J30" s="208">
        <f t="shared" si="0"/>
        <v>20</v>
      </c>
      <c r="K30" s="814">
        <f t="shared" si="1"/>
        <v>74.974</v>
      </c>
      <c r="L30" s="178"/>
      <c r="M30" s="209"/>
      <c r="N30" s="180">
        <f t="shared" si="2"/>
      </c>
      <c r="O30" s="181">
        <f t="shared" si="3"/>
      </c>
      <c r="P30" s="210"/>
      <c r="Q30" s="470">
        <f t="shared" si="4"/>
      </c>
      <c r="R30" s="211">
        <f t="shared" si="5"/>
      </c>
      <c r="S30" s="211">
        <f t="shared" si="6"/>
      </c>
      <c r="T30" s="815" t="str">
        <f t="shared" si="7"/>
        <v>--</v>
      </c>
      <c r="U30" s="816" t="str">
        <f t="shared" si="8"/>
        <v>--</v>
      </c>
      <c r="V30" s="212" t="str">
        <f t="shared" si="9"/>
        <v>--</v>
      </c>
      <c r="W30" s="213" t="str">
        <f t="shared" si="10"/>
        <v>--</v>
      </c>
      <c r="X30" s="214" t="str">
        <f t="shared" si="11"/>
        <v>--</v>
      </c>
      <c r="Y30" s="817" t="str">
        <f t="shared" si="12"/>
        <v>--</v>
      </c>
      <c r="Z30" s="818" t="str">
        <f t="shared" si="13"/>
        <v>--</v>
      </c>
      <c r="AA30" s="819" t="str">
        <f t="shared" si="14"/>
        <v>--</v>
      </c>
      <c r="AB30" s="215" t="str">
        <f t="shared" si="15"/>
        <v>--</v>
      </c>
      <c r="AC30" s="216" t="str">
        <f t="shared" si="16"/>
        <v>--</v>
      </c>
      <c r="AD30" s="820">
        <f t="shared" si="19"/>
      </c>
      <c r="AE30" s="821">
        <f t="shared" si="17"/>
        <v>0</v>
      </c>
      <c r="AF30" s="16">
        <f t="shared" si="18"/>
      </c>
      <c r="AG30" s="217"/>
    </row>
    <row r="31" spans="2:33" s="5" customFormat="1" ht="16.5" customHeight="1">
      <c r="B31" s="50"/>
      <c r="C31" s="264"/>
      <c r="D31" s="264"/>
      <c r="E31" s="264"/>
      <c r="F31" s="143"/>
      <c r="G31" s="813"/>
      <c r="H31" s="701"/>
      <c r="I31" s="813"/>
      <c r="J31" s="208">
        <f t="shared" si="0"/>
        <v>20</v>
      </c>
      <c r="K31" s="814">
        <f t="shared" si="1"/>
        <v>74.974</v>
      </c>
      <c r="L31" s="178"/>
      <c r="M31" s="209"/>
      <c r="N31" s="180">
        <f t="shared" si="2"/>
      </c>
      <c r="O31" s="181">
        <f t="shared" si="3"/>
      </c>
      <c r="P31" s="210"/>
      <c r="Q31" s="470">
        <f t="shared" si="4"/>
      </c>
      <c r="R31" s="211">
        <f t="shared" si="5"/>
      </c>
      <c r="S31" s="211">
        <f t="shared" si="6"/>
      </c>
      <c r="T31" s="815" t="str">
        <f t="shared" si="7"/>
        <v>--</v>
      </c>
      <c r="U31" s="816" t="str">
        <f t="shared" si="8"/>
        <v>--</v>
      </c>
      <c r="V31" s="212" t="str">
        <f t="shared" si="9"/>
        <v>--</v>
      </c>
      <c r="W31" s="213" t="str">
        <f t="shared" si="10"/>
        <v>--</v>
      </c>
      <c r="X31" s="214" t="str">
        <f t="shared" si="11"/>
        <v>--</v>
      </c>
      <c r="Y31" s="817" t="str">
        <f t="shared" si="12"/>
        <v>--</v>
      </c>
      <c r="Z31" s="818" t="str">
        <f t="shared" si="13"/>
        <v>--</v>
      </c>
      <c r="AA31" s="819" t="str">
        <f t="shared" si="14"/>
        <v>--</v>
      </c>
      <c r="AB31" s="215" t="str">
        <f t="shared" si="15"/>
        <v>--</v>
      </c>
      <c r="AC31" s="216" t="str">
        <f t="shared" si="16"/>
        <v>--</v>
      </c>
      <c r="AD31" s="820">
        <f t="shared" si="19"/>
      </c>
      <c r="AE31" s="821">
        <f t="shared" si="17"/>
        <v>0</v>
      </c>
      <c r="AF31" s="16">
        <f t="shared" si="18"/>
      </c>
      <c r="AG31" s="217"/>
    </row>
    <row r="32" spans="2:33" s="5" customFormat="1" ht="16.5" customHeight="1">
      <c r="B32" s="50"/>
      <c r="C32" s="149"/>
      <c r="D32" s="149"/>
      <c r="E32" s="149"/>
      <c r="F32" s="143"/>
      <c r="G32" s="813"/>
      <c r="H32" s="701"/>
      <c r="I32" s="813"/>
      <c r="J32" s="208">
        <f t="shared" si="0"/>
        <v>20</v>
      </c>
      <c r="K32" s="814">
        <f t="shared" si="1"/>
        <v>74.974</v>
      </c>
      <c r="L32" s="178"/>
      <c r="M32" s="209"/>
      <c r="N32" s="180">
        <f t="shared" si="2"/>
      </c>
      <c r="O32" s="181">
        <f t="shared" si="3"/>
      </c>
      <c r="P32" s="210"/>
      <c r="Q32" s="470">
        <f t="shared" si="4"/>
      </c>
      <c r="R32" s="211">
        <f t="shared" si="5"/>
      </c>
      <c r="S32" s="211">
        <f t="shared" si="6"/>
      </c>
      <c r="T32" s="815" t="str">
        <f t="shared" si="7"/>
        <v>--</v>
      </c>
      <c r="U32" s="816" t="str">
        <f t="shared" si="8"/>
        <v>--</v>
      </c>
      <c r="V32" s="212" t="str">
        <f t="shared" si="9"/>
        <v>--</v>
      </c>
      <c r="W32" s="213" t="str">
        <f t="shared" si="10"/>
        <v>--</v>
      </c>
      <c r="X32" s="214" t="str">
        <f t="shared" si="11"/>
        <v>--</v>
      </c>
      <c r="Y32" s="817" t="str">
        <f t="shared" si="12"/>
        <v>--</v>
      </c>
      <c r="Z32" s="818" t="str">
        <f t="shared" si="13"/>
        <v>--</v>
      </c>
      <c r="AA32" s="819" t="str">
        <f t="shared" si="14"/>
        <v>--</v>
      </c>
      <c r="AB32" s="215" t="str">
        <f t="shared" si="15"/>
        <v>--</v>
      </c>
      <c r="AC32" s="216" t="str">
        <f t="shared" si="16"/>
        <v>--</v>
      </c>
      <c r="AD32" s="820">
        <f t="shared" si="19"/>
      </c>
      <c r="AE32" s="821">
        <f t="shared" si="17"/>
        <v>0</v>
      </c>
      <c r="AF32" s="16">
        <f t="shared" si="18"/>
      </c>
      <c r="AG32" s="217"/>
    </row>
    <row r="33" spans="2:33" s="5" customFormat="1" ht="16.5" customHeight="1">
      <c r="B33" s="50"/>
      <c r="C33" s="264"/>
      <c r="D33" s="264"/>
      <c r="E33" s="264"/>
      <c r="F33" s="143"/>
      <c r="G33" s="813"/>
      <c r="H33" s="701"/>
      <c r="I33" s="813"/>
      <c r="J33" s="208">
        <f t="shared" si="0"/>
        <v>20</v>
      </c>
      <c r="K33" s="814">
        <f t="shared" si="1"/>
        <v>74.974</v>
      </c>
      <c r="L33" s="178"/>
      <c r="M33" s="179"/>
      <c r="N33" s="180">
        <f t="shared" si="2"/>
      </c>
      <c r="O33" s="181">
        <f t="shared" si="3"/>
      </c>
      <c r="P33" s="210"/>
      <c r="Q33" s="470">
        <f t="shared" si="4"/>
      </c>
      <c r="R33" s="211">
        <f t="shared" si="5"/>
      </c>
      <c r="S33" s="211">
        <f t="shared" si="6"/>
      </c>
      <c r="T33" s="815" t="str">
        <f t="shared" si="7"/>
        <v>--</v>
      </c>
      <c r="U33" s="816" t="str">
        <f t="shared" si="8"/>
        <v>--</v>
      </c>
      <c r="V33" s="212" t="str">
        <f t="shared" si="9"/>
        <v>--</v>
      </c>
      <c r="W33" s="213" t="str">
        <f t="shared" si="10"/>
        <v>--</v>
      </c>
      <c r="X33" s="214" t="str">
        <f t="shared" si="11"/>
        <v>--</v>
      </c>
      <c r="Y33" s="817" t="str">
        <f t="shared" si="12"/>
        <v>--</v>
      </c>
      <c r="Z33" s="818" t="str">
        <f t="shared" si="13"/>
        <v>--</v>
      </c>
      <c r="AA33" s="819" t="str">
        <f t="shared" si="14"/>
        <v>--</v>
      </c>
      <c r="AB33" s="215" t="str">
        <f t="shared" si="15"/>
        <v>--</v>
      </c>
      <c r="AC33" s="216" t="str">
        <f t="shared" si="16"/>
        <v>--</v>
      </c>
      <c r="AD33" s="820">
        <f t="shared" si="19"/>
      </c>
      <c r="AE33" s="821">
        <f t="shared" si="17"/>
        <v>0</v>
      </c>
      <c r="AF33" s="16">
        <f t="shared" si="18"/>
      </c>
      <c r="AG33" s="217"/>
    </row>
    <row r="34" spans="2:33" s="5" customFormat="1" ht="16.5" customHeight="1">
      <c r="B34" s="50"/>
      <c r="C34" s="149"/>
      <c r="D34" s="149"/>
      <c r="E34" s="149"/>
      <c r="F34" s="143"/>
      <c r="G34" s="813"/>
      <c r="H34" s="701"/>
      <c r="I34" s="813"/>
      <c r="J34" s="208">
        <f t="shared" si="0"/>
        <v>20</v>
      </c>
      <c r="K34" s="814">
        <f t="shared" si="1"/>
        <v>74.974</v>
      </c>
      <c r="L34" s="178"/>
      <c r="M34" s="179"/>
      <c r="N34" s="180">
        <f t="shared" si="2"/>
      </c>
      <c r="O34" s="181">
        <f t="shared" si="3"/>
      </c>
      <c r="P34" s="210"/>
      <c r="Q34" s="470">
        <f t="shared" si="4"/>
      </c>
      <c r="R34" s="211">
        <f t="shared" si="5"/>
      </c>
      <c r="S34" s="211">
        <f t="shared" si="6"/>
      </c>
      <c r="T34" s="815" t="str">
        <f t="shared" si="7"/>
        <v>--</v>
      </c>
      <c r="U34" s="816" t="str">
        <f t="shared" si="8"/>
        <v>--</v>
      </c>
      <c r="V34" s="212" t="str">
        <f t="shared" si="9"/>
        <v>--</v>
      </c>
      <c r="W34" s="213" t="str">
        <f t="shared" si="10"/>
        <v>--</v>
      </c>
      <c r="X34" s="214" t="str">
        <f t="shared" si="11"/>
        <v>--</v>
      </c>
      <c r="Y34" s="817" t="str">
        <f t="shared" si="12"/>
        <v>--</v>
      </c>
      <c r="Z34" s="818" t="str">
        <f t="shared" si="13"/>
        <v>--</v>
      </c>
      <c r="AA34" s="819" t="str">
        <f t="shared" si="14"/>
        <v>--</v>
      </c>
      <c r="AB34" s="215" t="str">
        <f t="shared" si="15"/>
        <v>--</v>
      </c>
      <c r="AC34" s="216" t="str">
        <f t="shared" si="16"/>
        <v>--</v>
      </c>
      <c r="AD34" s="820">
        <f t="shared" si="19"/>
      </c>
      <c r="AE34" s="821">
        <f t="shared" si="17"/>
        <v>0</v>
      </c>
      <c r="AF34" s="16">
        <f t="shared" si="18"/>
      </c>
      <c r="AG34" s="217"/>
    </row>
    <row r="35" spans="2:33" s="5" customFormat="1" ht="16.5" customHeight="1">
      <c r="B35" s="50"/>
      <c r="C35" s="264"/>
      <c r="D35" s="264"/>
      <c r="E35" s="264"/>
      <c r="F35" s="143"/>
      <c r="G35" s="813"/>
      <c r="H35" s="701"/>
      <c r="I35" s="813"/>
      <c r="J35" s="208">
        <f t="shared" si="0"/>
        <v>20</v>
      </c>
      <c r="K35" s="814">
        <f t="shared" si="1"/>
        <v>74.974</v>
      </c>
      <c r="L35" s="178"/>
      <c r="M35" s="179"/>
      <c r="N35" s="180">
        <f t="shared" si="2"/>
      </c>
      <c r="O35" s="181">
        <f t="shared" si="3"/>
      </c>
      <c r="P35" s="210"/>
      <c r="Q35" s="470">
        <f t="shared" si="4"/>
      </c>
      <c r="R35" s="211">
        <f t="shared" si="5"/>
      </c>
      <c r="S35" s="211">
        <f t="shared" si="6"/>
      </c>
      <c r="T35" s="815" t="str">
        <f t="shared" si="7"/>
        <v>--</v>
      </c>
      <c r="U35" s="816" t="str">
        <f t="shared" si="8"/>
        <v>--</v>
      </c>
      <c r="V35" s="212" t="str">
        <f t="shared" si="9"/>
        <v>--</v>
      </c>
      <c r="W35" s="213" t="str">
        <f t="shared" si="10"/>
        <v>--</v>
      </c>
      <c r="X35" s="214" t="str">
        <f t="shared" si="11"/>
        <v>--</v>
      </c>
      <c r="Y35" s="817" t="str">
        <f t="shared" si="12"/>
        <v>--</v>
      </c>
      <c r="Z35" s="818" t="str">
        <f t="shared" si="13"/>
        <v>--</v>
      </c>
      <c r="AA35" s="819" t="str">
        <f t="shared" si="14"/>
        <v>--</v>
      </c>
      <c r="AB35" s="215" t="str">
        <f t="shared" si="15"/>
        <v>--</v>
      </c>
      <c r="AC35" s="216" t="str">
        <f t="shared" si="16"/>
        <v>--</v>
      </c>
      <c r="AD35" s="820">
        <f t="shared" si="19"/>
      </c>
      <c r="AE35" s="821">
        <f t="shared" si="17"/>
        <v>0</v>
      </c>
      <c r="AF35" s="16">
        <f t="shared" si="18"/>
      </c>
      <c r="AG35" s="217"/>
    </row>
    <row r="36" spans="2:33" s="5" customFormat="1" ht="16.5" customHeight="1">
      <c r="B36" s="50"/>
      <c r="C36" s="149"/>
      <c r="D36" s="149"/>
      <c r="E36" s="149"/>
      <c r="F36" s="143"/>
      <c r="G36" s="813"/>
      <c r="H36" s="701"/>
      <c r="I36" s="813"/>
      <c r="J36" s="208">
        <f t="shared" si="0"/>
        <v>20</v>
      </c>
      <c r="K36" s="814">
        <f t="shared" si="1"/>
        <v>74.974</v>
      </c>
      <c r="L36" s="178"/>
      <c r="M36" s="179"/>
      <c r="N36" s="180">
        <f t="shared" si="2"/>
      </c>
      <c r="O36" s="181">
        <f t="shared" si="3"/>
      </c>
      <c r="P36" s="210"/>
      <c r="Q36" s="470">
        <f t="shared" si="4"/>
      </c>
      <c r="R36" s="211">
        <f t="shared" si="5"/>
      </c>
      <c r="S36" s="211">
        <f t="shared" si="6"/>
      </c>
      <c r="T36" s="815" t="str">
        <f t="shared" si="7"/>
        <v>--</v>
      </c>
      <c r="U36" s="816" t="str">
        <f t="shared" si="8"/>
        <v>--</v>
      </c>
      <c r="V36" s="212" t="str">
        <f t="shared" si="9"/>
        <v>--</v>
      </c>
      <c r="W36" s="213" t="str">
        <f t="shared" si="10"/>
        <v>--</v>
      </c>
      <c r="X36" s="214" t="str">
        <f t="shared" si="11"/>
        <v>--</v>
      </c>
      <c r="Y36" s="817" t="str">
        <f t="shared" si="12"/>
        <v>--</v>
      </c>
      <c r="Z36" s="818" t="str">
        <f t="shared" si="13"/>
        <v>--</v>
      </c>
      <c r="AA36" s="819" t="str">
        <f t="shared" si="14"/>
        <v>--</v>
      </c>
      <c r="AB36" s="215" t="str">
        <f t="shared" si="15"/>
        <v>--</v>
      </c>
      <c r="AC36" s="216" t="str">
        <f t="shared" si="16"/>
        <v>--</v>
      </c>
      <c r="AD36" s="820">
        <f t="shared" si="19"/>
      </c>
      <c r="AE36" s="821">
        <f t="shared" si="17"/>
        <v>0</v>
      </c>
      <c r="AF36" s="16">
        <f t="shared" si="18"/>
      </c>
      <c r="AG36" s="217"/>
    </row>
    <row r="37" spans="2:33" s="5" customFormat="1" ht="16.5" customHeight="1">
      <c r="B37" s="50"/>
      <c r="C37" s="264"/>
      <c r="D37" s="264"/>
      <c r="E37" s="264"/>
      <c r="F37" s="143"/>
      <c r="G37" s="813"/>
      <c r="H37" s="701"/>
      <c r="I37" s="813"/>
      <c r="J37" s="208">
        <f t="shared" si="0"/>
        <v>20</v>
      </c>
      <c r="K37" s="814">
        <f t="shared" si="1"/>
        <v>74.974</v>
      </c>
      <c r="L37" s="178"/>
      <c r="M37" s="179"/>
      <c r="N37" s="180">
        <f t="shared" si="2"/>
      </c>
      <c r="O37" s="181">
        <f t="shared" si="3"/>
      </c>
      <c r="P37" s="210"/>
      <c r="Q37" s="470">
        <f t="shared" si="4"/>
      </c>
      <c r="R37" s="211">
        <f t="shared" si="5"/>
      </c>
      <c r="S37" s="211">
        <f t="shared" si="6"/>
      </c>
      <c r="T37" s="815" t="str">
        <f t="shared" si="7"/>
        <v>--</v>
      </c>
      <c r="U37" s="816" t="str">
        <f t="shared" si="8"/>
        <v>--</v>
      </c>
      <c r="V37" s="212" t="str">
        <f t="shared" si="9"/>
        <v>--</v>
      </c>
      <c r="W37" s="213" t="str">
        <f t="shared" si="10"/>
        <v>--</v>
      </c>
      <c r="X37" s="214" t="str">
        <f t="shared" si="11"/>
        <v>--</v>
      </c>
      <c r="Y37" s="817" t="str">
        <f t="shared" si="12"/>
        <v>--</v>
      </c>
      <c r="Z37" s="818" t="str">
        <f t="shared" si="13"/>
        <v>--</v>
      </c>
      <c r="AA37" s="819" t="str">
        <f t="shared" si="14"/>
        <v>--</v>
      </c>
      <c r="AB37" s="215" t="str">
        <f t="shared" si="15"/>
        <v>--</v>
      </c>
      <c r="AC37" s="216" t="str">
        <f t="shared" si="16"/>
        <v>--</v>
      </c>
      <c r="AD37" s="820">
        <f t="shared" si="19"/>
      </c>
      <c r="AE37" s="821">
        <f t="shared" si="17"/>
        <v>0</v>
      </c>
      <c r="AF37" s="16">
        <f t="shared" si="18"/>
      </c>
      <c r="AG37" s="217"/>
    </row>
    <row r="38" spans="2:33" s="5" customFormat="1" ht="16.5" customHeight="1">
      <c r="B38" s="50"/>
      <c r="C38" s="149"/>
      <c r="D38" s="149"/>
      <c r="E38" s="149"/>
      <c r="F38" s="143"/>
      <c r="G38" s="813"/>
      <c r="H38" s="701"/>
      <c r="I38" s="813"/>
      <c r="J38" s="208">
        <f t="shared" si="0"/>
        <v>20</v>
      </c>
      <c r="K38" s="814">
        <f t="shared" si="1"/>
        <v>74.974</v>
      </c>
      <c r="L38" s="178"/>
      <c r="M38" s="179"/>
      <c r="N38" s="180">
        <f t="shared" si="2"/>
      </c>
      <c r="O38" s="181">
        <f t="shared" si="3"/>
      </c>
      <c r="P38" s="210"/>
      <c r="Q38" s="470">
        <f t="shared" si="4"/>
      </c>
      <c r="R38" s="211">
        <f t="shared" si="5"/>
      </c>
      <c r="S38" s="211">
        <f t="shared" si="6"/>
      </c>
      <c r="T38" s="815" t="str">
        <f t="shared" si="7"/>
        <v>--</v>
      </c>
      <c r="U38" s="816" t="str">
        <f t="shared" si="8"/>
        <v>--</v>
      </c>
      <c r="V38" s="212" t="str">
        <f t="shared" si="9"/>
        <v>--</v>
      </c>
      <c r="W38" s="213" t="str">
        <f t="shared" si="10"/>
        <v>--</v>
      </c>
      <c r="X38" s="214" t="str">
        <f t="shared" si="11"/>
        <v>--</v>
      </c>
      <c r="Y38" s="817" t="str">
        <f t="shared" si="12"/>
        <v>--</v>
      </c>
      <c r="Z38" s="818" t="str">
        <f t="shared" si="13"/>
        <v>--</v>
      </c>
      <c r="AA38" s="819" t="str">
        <f t="shared" si="14"/>
        <v>--</v>
      </c>
      <c r="AB38" s="215" t="str">
        <f t="shared" si="15"/>
        <v>--</v>
      </c>
      <c r="AC38" s="216" t="str">
        <f t="shared" si="16"/>
        <v>--</v>
      </c>
      <c r="AD38" s="820">
        <f t="shared" si="19"/>
      </c>
      <c r="AE38" s="821">
        <f t="shared" si="17"/>
        <v>0</v>
      </c>
      <c r="AF38" s="16">
        <f t="shared" si="18"/>
      </c>
      <c r="AG38" s="217"/>
    </row>
    <row r="39" spans="2:33" s="5" customFormat="1" ht="16.5" customHeight="1">
      <c r="B39" s="50"/>
      <c r="C39" s="264"/>
      <c r="D39" s="264"/>
      <c r="E39" s="264"/>
      <c r="F39" s="143"/>
      <c r="G39" s="813"/>
      <c r="H39" s="701"/>
      <c r="I39" s="813"/>
      <c r="J39" s="208">
        <f t="shared" si="0"/>
        <v>20</v>
      </c>
      <c r="K39" s="814">
        <f t="shared" si="1"/>
        <v>74.974</v>
      </c>
      <c r="L39" s="178"/>
      <c r="M39" s="179"/>
      <c r="N39" s="180">
        <f t="shared" si="2"/>
      </c>
      <c r="O39" s="181">
        <f t="shared" si="3"/>
      </c>
      <c r="P39" s="210"/>
      <c r="Q39" s="470">
        <f t="shared" si="4"/>
      </c>
      <c r="R39" s="211">
        <f t="shared" si="5"/>
      </c>
      <c r="S39" s="211">
        <f t="shared" si="6"/>
      </c>
      <c r="T39" s="815" t="str">
        <f t="shared" si="7"/>
        <v>--</v>
      </c>
      <c r="U39" s="816" t="str">
        <f t="shared" si="8"/>
        <v>--</v>
      </c>
      <c r="V39" s="212" t="str">
        <f t="shared" si="9"/>
        <v>--</v>
      </c>
      <c r="W39" s="213" t="str">
        <f t="shared" si="10"/>
        <v>--</v>
      </c>
      <c r="X39" s="214" t="str">
        <f t="shared" si="11"/>
        <v>--</v>
      </c>
      <c r="Y39" s="817" t="str">
        <f t="shared" si="12"/>
        <v>--</v>
      </c>
      <c r="Z39" s="818" t="str">
        <f t="shared" si="13"/>
        <v>--</v>
      </c>
      <c r="AA39" s="819" t="str">
        <f t="shared" si="14"/>
        <v>--</v>
      </c>
      <c r="AB39" s="215" t="str">
        <f t="shared" si="15"/>
        <v>--</v>
      </c>
      <c r="AC39" s="216" t="str">
        <f t="shared" si="16"/>
        <v>--</v>
      </c>
      <c r="AD39" s="820">
        <f t="shared" si="19"/>
      </c>
      <c r="AE39" s="821">
        <f t="shared" si="17"/>
        <v>0</v>
      </c>
      <c r="AF39" s="16">
        <f t="shared" si="18"/>
      </c>
      <c r="AG39" s="217"/>
    </row>
    <row r="40" spans="2:33" s="5" customFormat="1" ht="16.5" customHeight="1">
      <c r="B40" s="50"/>
      <c r="C40" s="149"/>
      <c r="D40" s="149"/>
      <c r="E40" s="149"/>
      <c r="F40" s="143"/>
      <c r="G40" s="822"/>
      <c r="H40" s="701"/>
      <c r="I40" s="813"/>
      <c r="J40" s="208">
        <f t="shared" si="0"/>
        <v>20</v>
      </c>
      <c r="K40" s="814">
        <f t="shared" si="1"/>
        <v>74.974</v>
      </c>
      <c r="L40" s="178"/>
      <c r="M40" s="179"/>
      <c r="N40" s="180">
        <f t="shared" si="2"/>
      </c>
      <c r="O40" s="181">
        <f t="shared" si="3"/>
      </c>
      <c r="P40" s="210"/>
      <c r="Q40" s="470">
        <f t="shared" si="4"/>
      </c>
      <c r="R40" s="211">
        <f t="shared" si="5"/>
      </c>
      <c r="S40" s="211">
        <f t="shared" si="6"/>
      </c>
      <c r="T40" s="815" t="str">
        <f t="shared" si="7"/>
        <v>--</v>
      </c>
      <c r="U40" s="816" t="str">
        <f t="shared" si="8"/>
        <v>--</v>
      </c>
      <c r="V40" s="212" t="str">
        <f t="shared" si="9"/>
        <v>--</v>
      </c>
      <c r="W40" s="213" t="str">
        <f t="shared" si="10"/>
        <v>--</v>
      </c>
      <c r="X40" s="214" t="str">
        <f t="shared" si="11"/>
        <v>--</v>
      </c>
      <c r="Y40" s="817" t="str">
        <f t="shared" si="12"/>
        <v>--</v>
      </c>
      <c r="Z40" s="818" t="str">
        <f t="shared" si="13"/>
        <v>--</v>
      </c>
      <c r="AA40" s="819" t="str">
        <f t="shared" si="14"/>
        <v>--</v>
      </c>
      <c r="AB40" s="215" t="str">
        <f t="shared" si="15"/>
        <v>--</v>
      </c>
      <c r="AC40" s="216" t="str">
        <f t="shared" si="16"/>
        <v>--</v>
      </c>
      <c r="AD40" s="820">
        <f t="shared" si="19"/>
      </c>
      <c r="AE40" s="821">
        <f t="shared" si="17"/>
        <v>0</v>
      </c>
      <c r="AF40" s="16">
        <f t="shared" si="18"/>
      </c>
      <c r="AG40" s="217"/>
    </row>
    <row r="41" spans="2:33" s="5" customFormat="1" ht="16.5" customHeight="1">
      <c r="B41" s="50"/>
      <c r="C41" s="264"/>
      <c r="D41" s="264"/>
      <c r="E41" s="264"/>
      <c r="F41" s="143"/>
      <c r="G41" s="822"/>
      <c r="H41" s="701"/>
      <c r="I41" s="813"/>
      <c r="J41" s="208">
        <f t="shared" si="0"/>
        <v>20</v>
      </c>
      <c r="K41" s="814">
        <f t="shared" si="1"/>
        <v>74.974</v>
      </c>
      <c r="L41" s="178"/>
      <c r="M41" s="179"/>
      <c r="N41" s="180">
        <f t="shared" si="2"/>
      </c>
      <c r="O41" s="181">
        <f t="shared" si="3"/>
      </c>
      <c r="P41" s="210"/>
      <c r="Q41" s="470">
        <f t="shared" si="4"/>
      </c>
      <c r="R41" s="211">
        <f t="shared" si="5"/>
      </c>
      <c r="S41" s="211">
        <f t="shared" si="6"/>
      </c>
      <c r="T41" s="815" t="str">
        <f t="shared" si="7"/>
        <v>--</v>
      </c>
      <c r="U41" s="816" t="str">
        <f t="shared" si="8"/>
        <v>--</v>
      </c>
      <c r="V41" s="212" t="str">
        <f t="shared" si="9"/>
        <v>--</v>
      </c>
      <c r="W41" s="213" t="str">
        <f t="shared" si="10"/>
        <v>--</v>
      </c>
      <c r="X41" s="214" t="str">
        <f t="shared" si="11"/>
        <v>--</v>
      </c>
      <c r="Y41" s="817" t="str">
        <f t="shared" si="12"/>
        <v>--</v>
      </c>
      <c r="Z41" s="818" t="str">
        <f t="shared" si="13"/>
        <v>--</v>
      </c>
      <c r="AA41" s="819" t="str">
        <f t="shared" si="14"/>
        <v>--</v>
      </c>
      <c r="AB41" s="215" t="str">
        <f t="shared" si="15"/>
        <v>--</v>
      </c>
      <c r="AC41" s="216" t="str">
        <f t="shared" si="16"/>
        <v>--</v>
      </c>
      <c r="AD41" s="820">
        <f t="shared" si="19"/>
      </c>
      <c r="AE41" s="821">
        <f t="shared" si="17"/>
        <v>0</v>
      </c>
      <c r="AF41" s="16">
        <f t="shared" si="18"/>
      </c>
      <c r="AG41" s="217"/>
    </row>
    <row r="42" spans="2:33" s="5" customFormat="1" ht="16.5" customHeight="1" thickBot="1">
      <c r="B42" s="50"/>
      <c r="C42" s="149"/>
      <c r="D42" s="149"/>
      <c r="E42" s="149"/>
      <c r="F42" s="146"/>
      <c r="G42" s="218"/>
      <c r="H42" s="695"/>
      <c r="I42" s="219"/>
      <c r="J42" s="823"/>
      <c r="K42" s="824"/>
      <c r="L42" s="148"/>
      <c r="M42" s="148"/>
      <c r="N42" s="9"/>
      <c r="O42" s="9"/>
      <c r="P42" s="148"/>
      <c r="Q42" s="183"/>
      <c r="R42" s="9"/>
      <c r="S42" s="148"/>
      <c r="T42" s="825"/>
      <c r="U42" s="826"/>
      <c r="V42" s="220"/>
      <c r="W42" s="221"/>
      <c r="X42" s="222"/>
      <c r="Y42" s="827"/>
      <c r="Z42" s="828"/>
      <c r="AA42" s="829"/>
      <c r="AB42" s="223"/>
      <c r="AC42" s="224"/>
      <c r="AD42" s="830"/>
      <c r="AE42" s="831"/>
      <c r="AF42" s="225"/>
      <c r="AG42" s="217"/>
    </row>
    <row r="43" spans="2:33" s="5" customFormat="1" ht="16.5" customHeight="1" thickBot="1" thickTop="1">
      <c r="B43" s="50"/>
      <c r="C43" s="125" t="s">
        <v>23</v>
      </c>
      <c r="D43" s="976" t="s">
        <v>230</v>
      </c>
      <c r="E43" s="125"/>
      <c r="F43" s="126"/>
      <c r="G43" s="226"/>
      <c r="H43" s="196"/>
      <c r="I43" s="227"/>
      <c r="J43" s="196"/>
      <c r="K43" s="184"/>
      <c r="L43" s="184"/>
      <c r="M43" s="184"/>
      <c r="N43" s="184"/>
      <c r="O43" s="184"/>
      <c r="P43" s="184"/>
      <c r="Q43" s="228"/>
      <c r="R43" s="184"/>
      <c r="S43" s="184"/>
      <c r="T43" s="832">
        <f aca="true" t="shared" si="20" ref="T43:AC43">SUM(T20:T42)</f>
        <v>165.54296</v>
      </c>
      <c r="U43" s="833">
        <f t="shared" si="20"/>
        <v>0</v>
      </c>
      <c r="V43" s="834">
        <f t="shared" si="20"/>
        <v>0</v>
      </c>
      <c r="W43" s="835">
        <f t="shared" si="20"/>
        <v>0</v>
      </c>
      <c r="X43" s="836">
        <f t="shared" si="20"/>
        <v>0</v>
      </c>
      <c r="Y43" s="837">
        <f t="shared" si="20"/>
        <v>0</v>
      </c>
      <c r="Z43" s="838">
        <f t="shared" si="20"/>
        <v>0</v>
      </c>
      <c r="AA43" s="839">
        <f t="shared" si="20"/>
        <v>0</v>
      </c>
      <c r="AB43" s="229">
        <f t="shared" si="20"/>
        <v>0</v>
      </c>
      <c r="AC43" s="230">
        <f t="shared" si="20"/>
        <v>0</v>
      </c>
      <c r="AD43" s="231"/>
      <c r="AE43" s="840">
        <f>ROUND(SUM(AE20:AE42),2)</f>
        <v>165.54</v>
      </c>
      <c r="AF43" s="232">
        <f>ROUND(SUM(AF20:AF42),2)</f>
        <v>165.54</v>
      </c>
      <c r="AG43" s="217"/>
    </row>
    <row r="44" spans="2:3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6"/>
    </row>
    <row r="45" spans="2:33" ht="16.5" customHeight="1" thickTop="1">
      <c r="B45" s="1"/>
      <c r="C45" s="1"/>
      <c r="D45" s="1"/>
      <c r="AG45" s="1"/>
    </row>
  </sheetData>
  <mergeCells count="1">
    <mergeCell ref="O14:S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AF43"/>
  <sheetViews>
    <sheetView zoomScale="70" zoomScaleNormal="70" workbookViewId="0" topLeftCell="A6">
      <selection activeCell="M51" sqref="M51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16.140625" style="0" customWidth="1"/>
    <col min="10" max="10" width="3.140625" style="0" hidden="1" customWidth="1"/>
    <col min="11" max="11" width="7.8515625" style="0" hidden="1" customWidth="1"/>
    <col min="12" max="13" width="15.7109375" style="0" customWidth="1"/>
    <col min="14" max="16" width="9.7109375" style="0" customWidth="1"/>
    <col min="17" max="17" width="5.8515625" style="0" bestFit="1" customWidth="1"/>
    <col min="18" max="18" width="5.421875" style="0" customWidth="1"/>
    <col min="19" max="19" width="6.00390625" style="0" customWidth="1"/>
    <col min="20" max="21" width="12.140625" style="0" hidden="1" customWidth="1"/>
    <col min="22" max="27" width="6.00390625" style="0" hidden="1" customWidth="1"/>
    <col min="28" max="28" width="11.7109375" style="0" hidden="1" customWidth="1"/>
    <col min="29" max="29" width="12.851562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'TOT-0809'!B2</f>
        <v>ANEXO III al Memorándum D.T.E.E. N°  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8" t="s">
        <v>55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709" customFormat="1" ht="33" customHeight="1">
      <c r="B10" s="710"/>
      <c r="C10" s="708"/>
      <c r="D10" s="708"/>
      <c r="E10" s="708"/>
      <c r="F10" s="762" t="s">
        <v>11</v>
      </c>
      <c r="G10" s="708"/>
      <c r="H10" s="708"/>
      <c r="I10" s="708"/>
      <c r="K10" s="708"/>
      <c r="L10" s="708"/>
      <c r="M10" s="708"/>
      <c r="N10" s="708"/>
      <c r="O10" s="708"/>
      <c r="P10" s="708"/>
      <c r="Q10" s="708"/>
      <c r="R10" s="762"/>
      <c r="S10" s="762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11"/>
    </row>
    <row r="11" spans="2:32" s="712" customFormat="1" ht="33" customHeight="1">
      <c r="B11" s="713"/>
      <c r="C11" s="714"/>
      <c r="D11" s="714"/>
      <c r="E11" s="714"/>
      <c r="F11" s="745" t="s">
        <v>243</v>
      </c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5"/>
    </row>
    <row r="12" spans="2:32" s="36" customFormat="1" ht="19.5">
      <c r="B12" s="37" t="str">
        <f>'TOT-0809'!B14</f>
        <v>Desde el 01 al 31 de agosto de 2009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1"/>
      <c r="Q12" s="19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5"/>
    </row>
    <row r="13" spans="2:32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2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6.5" customHeight="1" thickBot="1" thickTop="1">
      <c r="B14" s="50"/>
      <c r="C14" s="4"/>
      <c r="D14" s="4"/>
      <c r="E14" s="66" t="s">
        <v>77</v>
      </c>
      <c r="F14" s="82" t="s">
        <v>75</v>
      </c>
      <c r="G14" s="696">
        <f>I14*0.6</f>
        <v>70.3074</v>
      </c>
      <c r="H14" s="193"/>
      <c r="I14" s="1068">
        <v>117.179</v>
      </c>
      <c r="J14" s="4"/>
      <c r="K14" s="4"/>
      <c r="L14" s="1069">
        <f>I14*0.75</f>
        <v>87.88425000000001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6.5" customHeight="1" thickBot="1" thickTop="1">
      <c r="B15" s="50"/>
      <c r="C15" s="4"/>
      <c r="D15" s="4"/>
      <c r="E15" s="66" t="s">
        <v>77</v>
      </c>
      <c r="F15" s="82" t="s">
        <v>76</v>
      </c>
      <c r="G15" s="696">
        <f>I15*0.6</f>
        <v>58.5894</v>
      </c>
      <c r="H15" s="193"/>
      <c r="I15" s="1068">
        <v>97.649</v>
      </c>
      <c r="J15" s="4"/>
      <c r="K15" s="4"/>
      <c r="L15" s="194"/>
      <c r="M15" s="195"/>
      <c r="N15" s="4"/>
      <c r="O15" s="4"/>
      <c r="P15" s="4"/>
      <c r="Q15" s="4"/>
      <c r="R15" s="4"/>
      <c r="S15" s="4"/>
      <c r="T15" s="4"/>
      <c r="U15" s="4"/>
      <c r="V15" s="4"/>
      <c r="W15" s="4"/>
      <c r="X15" s="113"/>
      <c r="Y15" s="113"/>
      <c r="Z15" s="113"/>
      <c r="AA15" s="113"/>
      <c r="AB15" s="113"/>
      <c r="AC15" s="113"/>
      <c r="AD15" s="113"/>
      <c r="AF15" s="17"/>
    </row>
    <row r="16" spans="2:32" s="5" customFormat="1" ht="16.5" customHeight="1" thickBot="1" thickTop="1">
      <c r="B16" s="50"/>
      <c r="C16" s="760">
        <v>3</v>
      </c>
      <c r="D16" s="760">
        <v>4</v>
      </c>
      <c r="E16" s="760">
        <v>5</v>
      </c>
      <c r="F16" s="760">
        <v>6</v>
      </c>
      <c r="G16" s="760">
        <v>7</v>
      </c>
      <c r="H16" s="760">
        <v>8</v>
      </c>
      <c r="I16" s="760">
        <v>9</v>
      </c>
      <c r="J16" s="760">
        <v>10</v>
      </c>
      <c r="K16" s="760">
        <v>11</v>
      </c>
      <c r="L16" s="760">
        <v>12</v>
      </c>
      <c r="M16" s="760">
        <v>13</v>
      </c>
      <c r="N16" s="760">
        <v>14</v>
      </c>
      <c r="O16" s="760">
        <v>15</v>
      </c>
      <c r="P16" s="760">
        <v>16</v>
      </c>
      <c r="Q16" s="760">
        <v>17</v>
      </c>
      <c r="R16" s="760">
        <v>18</v>
      </c>
      <c r="S16" s="760">
        <v>19</v>
      </c>
      <c r="T16" s="760">
        <v>20</v>
      </c>
      <c r="U16" s="760">
        <v>21</v>
      </c>
      <c r="V16" s="760">
        <v>22</v>
      </c>
      <c r="W16" s="760">
        <v>23</v>
      </c>
      <c r="X16" s="760">
        <v>24</v>
      </c>
      <c r="Y16" s="760">
        <v>25</v>
      </c>
      <c r="Z16" s="760">
        <v>26</v>
      </c>
      <c r="AA16" s="760">
        <v>27</v>
      </c>
      <c r="AB16" s="760">
        <v>28</v>
      </c>
      <c r="AC16" s="760">
        <v>29</v>
      </c>
      <c r="AD16" s="760">
        <v>30</v>
      </c>
      <c r="AE16" s="760">
        <v>31</v>
      </c>
      <c r="AF16" s="17"/>
    </row>
    <row r="17" spans="2:32" s="5" customFormat="1" ht="33.75" customHeight="1" thickBot="1" thickTop="1">
      <c r="B17" s="50"/>
      <c r="C17" s="84" t="s">
        <v>12</v>
      </c>
      <c r="D17" s="84" t="s">
        <v>138</v>
      </c>
      <c r="E17" s="84" t="s">
        <v>139</v>
      </c>
      <c r="F17" s="85" t="s">
        <v>0</v>
      </c>
      <c r="G17" s="630" t="s">
        <v>13</v>
      </c>
      <c r="H17" s="86" t="s">
        <v>14</v>
      </c>
      <c r="I17" s="197" t="s">
        <v>57</v>
      </c>
      <c r="J17" s="631" t="s">
        <v>35</v>
      </c>
      <c r="K17" s="632" t="s">
        <v>15</v>
      </c>
      <c r="L17" s="85" t="s">
        <v>16</v>
      </c>
      <c r="M17" s="172" t="s">
        <v>17</v>
      </c>
      <c r="N17" s="87" t="s">
        <v>34</v>
      </c>
      <c r="O17" s="86" t="s">
        <v>29</v>
      </c>
      <c r="P17" s="87" t="s">
        <v>18</v>
      </c>
      <c r="Q17" s="86" t="s">
        <v>44</v>
      </c>
      <c r="R17" s="172" t="s">
        <v>45</v>
      </c>
      <c r="S17" s="85" t="s">
        <v>30</v>
      </c>
      <c r="T17" s="134" t="s">
        <v>19</v>
      </c>
      <c r="U17" s="633" t="s">
        <v>20</v>
      </c>
      <c r="V17" s="198" t="s">
        <v>46</v>
      </c>
      <c r="W17" s="199"/>
      <c r="X17" s="200"/>
      <c r="Y17" s="634" t="s">
        <v>118</v>
      </c>
      <c r="Z17" s="635"/>
      <c r="AA17" s="636"/>
      <c r="AB17" s="201" t="s">
        <v>21</v>
      </c>
      <c r="AC17" s="202" t="s">
        <v>58</v>
      </c>
      <c r="AD17" s="130" t="s">
        <v>59</v>
      </c>
      <c r="AE17" s="130" t="s">
        <v>22</v>
      </c>
      <c r="AF17" s="203"/>
    </row>
    <row r="18" spans="2:32" s="5" customFormat="1" ht="16.5" customHeight="1" thickTop="1">
      <c r="B18" s="50"/>
      <c r="C18" s="174"/>
      <c r="D18" s="174"/>
      <c r="E18" s="174"/>
      <c r="F18" s="679"/>
      <c r="G18" s="679"/>
      <c r="H18" s="697"/>
      <c r="I18" s="678"/>
      <c r="J18" s="680"/>
      <c r="K18" s="681"/>
      <c r="L18" s="692"/>
      <c r="M18" s="692"/>
      <c r="N18" s="678"/>
      <c r="O18" s="678"/>
      <c r="P18" s="678"/>
      <c r="Q18" s="678"/>
      <c r="R18" s="678"/>
      <c r="S18" s="678"/>
      <c r="T18" s="682"/>
      <c r="U18" s="683"/>
      <c r="V18" s="684"/>
      <c r="W18" s="685"/>
      <c r="X18" s="686"/>
      <c r="Y18" s="687"/>
      <c r="Z18" s="688"/>
      <c r="AA18" s="689"/>
      <c r="AB18" s="690"/>
      <c r="AC18" s="691"/>
      <c r="AD18" s="678"/>
      <c r="AE18" s="637"/>
      <c r="AF18" s="17"/>
    </row>
    <row r="19" spans="2:32" s="5" customFormat="1" ht="16.5" customHeight="1">
      <c r="B19" s="50"/>
      <c r="C19" s="10"/>
      <c r="D19" s="10"/>
      <c r="E19" s="10"/>
      <c r="F19" s="658"/>
      <c r="G19" s="659"/>
      <c r="H19" s="700"/>
      <c r="I19" s="659"/>
      <c r="J19" s="648">
        <f aca="true" t="shared" si="0" ref="J19:J39">IF(I19="A",200,IF(I19="B",60,20))</f>
        <v>20</v>
      </c>
      <c r="K19" s="649">
        <f aca="true" t="shared" si="1" ref="K19:K39">IF(G19=500,IF(H19&lt;100,100*$G$14/100,H19*$G$14/100),IF(H19&lt;100,100*$G$15/100,H19*$G$15/100))</f>
        <v>58.5894</v>
      </c>
      <c r="L19" s="650"/>
      <c r="M19" s="651"/>
      <c r="N19" s="180">
        <f aca="true" t="shared" si="2" ref="N19:N39">IF(F19="","",(M19-L19)*24)</f>
      </c>
      <c r="O19" s="181">
        <f aca="true" t="shared" si="3" ref="O19:O39">IF(F19="","",ROUND((M19-L19)*24*60,0))</f>
      </c>
      <c r="P19" s="210"/>
      <c r="Q19" s="751">
        <f aca="true" t="shared" si="4" ref="Q19:Q39">IF(F19="","","--")</f>
      </c>
      <c r="R19" s="211">
        <f aca="true" t="shared" si="5" ref="R19:R39">IF(F19="","","NO")</f>
      </c>
      <c r="S19" s="211">
        <f aca="true" t="shared" si="6" ref="S19:S39">IF(F19="","",IF(OR(P19="P",P19="RP"),"--","NO"))</f>
      </c>
      <c r="T19" s="842" t="str">
        <f aca="true" t="shared" si="7" ref="T19:T39">IF(P19="P",K19*J19*ROUND(O19/60,2)*0.01,"--")</f>
        <v>--</v>
      </c>
      <c r="U19" s="843" t="str">
        <f aca="true" t="shared" si="8" ref="U19:U39">IF(P19="RP",K19*J19*ROUND(O19/60,2)*0.01*Q19/100,"--")</f>
        <v>--</v>
      </c>
      <c r="V19" s="807" t="str">
        <f aca="true" t="shared" si="9" ref="V19:V39">IF(AND(P19="F",S19="NO"),K19*J19*IF(R19="SI",1.2,1),"--")</f>
        <v>--</v>
      </c>
      <c r="W19" s="808" t="str">
        <f aca="true" t="shared" si="10" ref="W19:W39">IF(AND(P19="F",O19&gt;=10),K19*J19*IF(R19="SI",1.2,1)*IF(O19&lt;=300,ROUND(O19/60,2),5),"--")</f>
        <v>--</v>
      </c>
      <c r="X19" s="809" t="str">
        <f aca="true" t="shared" si="11" ref="X19:X39">IF(AND(P19="F",O19&gt;300),(ROUND(O19/60,2)-5)*K19*J19*0.1*IF(R19="SI",1.2,1),"--")</f>
        <v>--</v>
      </c>
      <c r="Y19" s="844" t="str">
        <f aca="true" t="shared" si="12" ref="Y19:Y39">IF(AND(P19="R",S19="NO"),K19*J19*Q19/100*IF(R19="SI",1.2,1),"--")</f>
        <v>--</v>
      </c>
      <c r="Z19" s="845" t="str">
        <f aca="true" t="shared" si="13" ref="Z19:Z39">IF(AND(P19="R",O19&gt;=10),K19*J19*Q19/100*IF(R19="SI",1.2,1)*IF(O19&lt;=300,ROUND(O19/60,2),5),"--")</f>
        <v>--</v>
      </c>
      <c r="AA19" s="846" t="str">
        <f aca="true" t="shared" si="14" ref="AA19:AA39">IF(AND(P19="R",O19&gt;300),(ROUND(O19/60,2)-5)*K19*J19*0.1*Q19/100*IF(R19="SI",1.2,1),"--")</f>
        <v>--</v>
      </c>
      <c r="AB19" s="847" t="str">
        <f aca="true" t="shared" si="15" ref="AB19:AB39">IF(P19="RF",ROUND(O19/60,2)*K19*J19*0.1*IF(R19="SI",1.2,1),"--")</f>
        <v>--</v>
      </c>
      <c r="AC19" s="848" t="str">
        <f aca="true" t="shared" si="16" ref="AC19:AC39">IF(P19="RR",ROUND(O19/60,2)*K19*J19*0.1*Q19/100*IF(R19="SI",1.2,1),"--")</f>
        <v>--</v>
      </c>
      <c r="AD19" s="820">
        <f aca="true" t="shared" si="17" ref="AD19:AD39">IF(F19="","","SI")</f>
      </c>
      <c r="AE19" s="16">
        <f aca="true" t="shared" si="18" ref="AE19:AE39">IF(F19="","",SUM(T19:AC19)*IF(AD19="SI",1,2))</f>
      </c>
      <c r="AF19" s="17"/>
    </row>
    <row r="20" spans="2:32" s="5" customFormat="1" ht="16.5" customHeight="1">
      <c r="B20" s="50"/>
      <c r="C20" s="10">
        <v>25</v>
      </c>
      <c r="D20" s="10">
        <v>209395</v>
      </c>
      <c r="E20" s="10">
        <v>4444</v>
      </c>
      <c r="F20" s="658" t="s">
        <v>245</v>
      </c>
      <c r="G20" s="659">
        <v>500</v>
      </c>
      <c r="H20" s="700">
        <v>354.2</v>
      </c>
      <c r="I20" s="659" t="s">
        <v>143</v>
      </c>
      <c r="J20" s="648">
        <v>20</v>
      </c>
      <c r="K20" s="649">
        <v>311.2860135</v>
      </c>
      <c r="L20" s="650">
        <v>40027.370833333334</v>
      </c>
      <c r="M20" s="651">
        <v>40027.65833333333</v>
      </c>
      <c r="N20" s="180">
        <v>6.899999999965075</v>
      </c>
      <c r="O20" s="181">
        <v>414</v>
      </c>
      <c r="P20" s="210" t="s">
        <v>144</v>
      </c>
      <c r="Q20" s="751" t="s">
        <v>74</v>
      </c>
      <c r="R20" s="211" t="s">
        <v>327</v>
      </c>
      <c r="S20" s="211" t="s">
        <v>74</v>
      </c>
      <c r="T20" s="842">
        <v>429.57469863000006</v>
      </c>
      <c r="U20" s="843" t="s">
        <v>74</v>
      </c>
      <c r="V20" s="807" t="s">
        <v>74</v>
      </c>
      <c r="W20" s="808" t="s">
        <v>74</v>
      </c>
      <c r="X20" s="809" t="s">
        <v>74</v>
      </c>
      <c r="Y20" s="844" t="s">
        <v>74</v>
      </c>
      <c r="Z20" s="845" t="s">
        <v>74</v>
      </c>
      <c r="AA20" s="846" t="s">
        <v>74</v>
      </c>
      <c r="AB20" s="847" t="s">
        <v>74</v>
      </c>
      <c r="AC20" s="848" t="s">
        <v>74</v>
      </c>
      <c r="AD20" s="752" t="s">
        <v>128</v>
      </c>
      <c r="AE20" s="16">
        <v>429.57469863000006</v>
      </c>
      <c r="AF20" s="657"/>
    </row>
    <row r="21" spans="2:32" s="5" customFormat="1" ht="16.5" customHeight="1">
      <c r="B21" s="50"/>
      <c r="C21" s="264">
        <v>26</v>
      </c>
      <c r="D21" s="264">
        <v>210471</v>
      </c>
      <c r="E21" s="264">
        <v>4864</v>
      </c>
      <c r="F21" s="658" t="s">
        <v>244</v>
      </c>
      <c r="G21" s="659">
        <v>500</v>
      </c>
      <c r="H21" s="700">
        <v>202.17</v>
      </c>
      <c r="I21" s="659" t="s">
        <v>143</v>
      </c>
      <c r="J21" s="648">
        <f t="shared" si="0"/>
        <v>20</v>
      </c>
      <c r="K21" s="649">
        <f t="shared" si="1"/>
        <v>142.14047058</v>
      </c>
      <c r="L21" s="650">
        <v>40052.34305555555</v>
      </c>
      <c r="M21" s="651">
        <v>40052.72083333333</v>
      </c>
      <c r="N21" s="180">
        <f t="shared" si="2"/>
        <v>9.066666666709352</v>
      </c>
      <c r="O21" s="181">
        <f t="shared" si="3"/>
        <v>544</v>
      </c>
      <c r="P21" s="210" t="s">
        <v>144</v>
      </c>
      <c r="Q21" s="751" t="str">
        <f t="shared" si="4"/>
        <v>--</v>
      </c>
      <c r="R21" s="211" t="str">
        <f t="shared" si="5"/>
        <v>NO</v>
      </c>
      <c r="S21" s="211" t="str">
        <f t="shared" si="6"/>
        <v>--</v>
      </c>
      <c r="T21" s="842">
        <f t="shared" si="7"/>
        <v>257.84281363212</v>
      </c>
      <c r="U21" s="843" t="str">
        <f t="shared" si="8"/>
        <v>--</v>
      </c>
      <c r="V21" s="807" t="str">
        <f t="shared" si="9"/>
        <v>--</v>
      </c>
      <c r="W21" s="808" t="str">
        <f t="shared" si="10"/>
        <v>--</v>
      </c>
      <c r="X21" s="809" t="str">
        <f t="shared" si="11"/>
        <v>--</v>
      </c>
      <c r="Y21" s="844" t="str">
        <f t="shared" si="12"/>
        <v>--</v>
      </c>
      <c r="Z21" s="845" t="str">
        <f t="shared" si="13"/>
        <v>--</v>
      </c>
      <c r="AA21" s="846" t="str">
        <f t="shared" si="14"/>
        <v>--</v>
      </c>
      <c r="AB21" s="847" t="str">
        <f t="shared" si="15"/>
        <v>--</v>
      </c>
      <c r="AC21" s="848" t="str">
        <f t="shared" si="16"/>
        <v>--</v>
      </c>
      <c r="AD21" s="752" t="str">
        <f t="shared" si="17"/>
        <v>SI</v>
      </c>
      <c r="AE21" s="16">
        <f t="shared" si="18"/>
        <v>257.84281363212</v>
      </c>
      <c r="AF21" s="657"/>
    </row>
    <row r="22" spans="2:32" s="5" customFormat="1" ht="16.5" customHeight="1">
      <c r="B22" s="50"/>
      <c r="C22" s="149"/>
      <c r="D22" s="149"/>
      <c r="E22" s="149"/>
      <c r="F22" s="658"/>
      <c r="G22" s="659"/>
      <c r="H22" s="700"/>
      <c r="I22" s="659"/>
      <c r="J22" s="648">
        <f t="shared" si="0"/>
        <v>20</v>
      </c>
      <c r="K22" s="649">
        <f t="shared" si="1"/>
        <v>58.5894</v>
      </c>
      <c r="L22" s="660"/>
      <c r="M22" s="661"/>
      <c r="N22" s="180">
        <f t="shared" si="2"/>
      </c>
      <c r="O22" s="181">
        <f t="shared" si="3"/>
      </c>
      <c r="P22" s="210"/>
      <c r="Q22" s="751">
        <f t="shared" si="4"/>
      </c>
      <c r="R22" s="211">
        <f t="shared" si="5"/>
      </c>
      <c r="S22" s="211">
        <f t="shared" si="6"/>
      </c>
      <c r="T22" s="842" t="str">
        <f t="shared" si="7"/>
        <v>--</v>
      </c>
      <c r="U22" s="843" t="str">
        <f t="shared" si="8"/>
        <v>--</v>
      </c>
      <c r="V22" s="807" t="str">
        <f t="shared" si="9"/>
        <v>--</v>
      </c>
      <c r="W22" s="808" t="str">
        <f t="shared" si="10"/>
        <v>--</v>
      </c>
      <c r="X22" s="809" t="str">
        <f t="shared" si="11"/>
        <v>--</v>
      </c>
      <c r="Y22" s="844" t="str">
        <f t="shared" si="12"/>
        <v>--</v>
      </c>
      <c r="Z22" s="845" t="str">
        <f t="shared" si="13"/>
        <v>--</v>
      </c>
      <c r="AA22" s="846" t="str">
        <f t="shared" si="14"/>
        <v>--</v>
      </c>
      <c r="AB22" s="847" t="str">
        <f t="shared" si="15"/>
        <v>--</v>
      </c>
      <c r="AC22" s="848" t="str">
        <f t="shared" si="16"/>
        <v>--</v>
      </c>
      <c r="AD22" s="752">
        <f t="shared" si="17"/>
      </c>
      <c r="AE22" s="16">
        <f t="shared" si="18"/>
      </c>
      <c r="AF22" s="657"/>
    </row>
    <row r="23" spans="2:32" s="5" customFormat="1" ht="16.5" customHeight="1">
      <c r="B23" s="50"/>
      <c r="C23" s="264"/>
      <c r="D23" s="264"/>
      <c r="E23" s="264"/>
      <c r="F23" s="658"/>
      <c r="G23" s="659"/>
      <c r="H23" s="700"/>
      <c r="I23" s="659"/>
      <c r="J23" s="648">
        <f t="shared" si="0"/>
        <v>20</v>
      </c>
      <c r="K23" s="649">
        <f t="shared" si="1"/>
        <v>58.5894</v>
      </c>
      <c r="L23" s="660"/>
      <c r="M23" s="661"/>
      <c r="N23" s="180">
        <f t="shared" si="2"/>
      </c>
      <c r="O23" s="181">
        <f t="shared" si="3"/>
      </c>
      <c r="P23" s="210"/>
      <c r="Q23" s="751">
        <f t="shared" si="4"/>
      </c>
      <c r="R23" s="211">
        <f t="shared" si="5"/>
      </c>
      <c r="S23" s="211">
        <f t="shared" si="6"/>
      </c>
      <c r="T23" s="842" t="str">
        <f t="shared" si="7"/>
        <v>--</v>
      </c>
      <c r="U23" s="843" t="str">
        <f t="shared" si="8"/>
        <v>--</v>
      </c>
      <c r="V23" s="807" t="str">
        <f t="shared" si="9"/>
        <v>--</v>
      </c>
      <c r="W23" s="808" t="str">
        <f t="shared" si="10"/>
        <v>--</v>
      </c>
      <c r="X23" s="809" t="str">
        <f t="shared" si="11"/>
        <v>--</v>
      </c>
      <c r="Y23" s="844" t="str">
        <f t="shared" si="12"/>
        <v>--</v>
      </c>
      <c r="Z23" s="845" t="str">
        <f t="shared" si="13"/>
        <v>--</v>
      </c>
      <c r="AA23" s="846" t="str">
        <f t="shared" si="14"/>
        <v>--</v>
      </c>
      <c r="AB23" s="847" t="str">
        <f t="shared" si="15"/>
        <v>--</v>
      </c>
      <c r="AC23" s="848" t="str">
        <f t="shared" si="16"/>
        <v>--</v>
      </c>
      <c r="AD23" s="752">
        <f t="shared" si="17"/>
      </c>
      <c r="AE23" s="16">
        <f t="shared" si="18"/>
      </c>
      <c r="AF23" s="657"/>
    </row>
    <row r="24" spans="2:32" s="5" customFormat="1" ht="16.5" customHeight="1">
      <c r="B24" s="50"/>
      <c r="C24" s="149"/>
      <c r="D24" s="149"/>
      <c r="E24" s="149"/>
      <c r="F24" s="149"/>
      <c r="G24" s="177"/>
      <c r="H24" s="699"/>
      <c r="I24" s="177"/>
      <c r="J24" s="648">
        <f t="shared" si="0"/>
        <v>20</v>
      </c>
      <c r="K24" s="649">
        <f t="shared" si="1"/>
        <v>58.5894</v>
      </c>
      <c r="L24" s="650"/>
      <c r="M24" s="651"/>
      <c r="N24" s="180">
        <f t="shared" si="2"/>
      </c>
      <c r="O24" s="181">
        <f t="shared" si="3"/>
      </c>
      <c r="P24" s="210"/>
      <c r="Q24" s="751">
        <f t="shared" si="4"/>
      </c>
      <c r="R24" s="211">
        <f t="shared" si="5"/>
      </c>
      <c r="S24" s="211">
        <f t="shared" si="6"/>
      </c>
      <c r="T24" s="842" t="str">
        <f t="shared" si="7"/>
        <v>--</v>
      </c>
      <c r="U24" s="843" t="str">
        <f t="shared" si="8"/>
        <v>--</v>
      </c>
      <c r="V24" s="807" t="str">
        <f t="shared" si="9"/>
        <v>--</v>
      </c>
      <c r="W24" s="808" t="str">
        <f t="shared" si="10"/>
        <v>--</v>
      </c>
      <c r="X24" s="809" t="str">
        <f t="shared" si="11"/>
        <v>--</v>
      </c>
      <c r="Y24" s="844" t="str">
        <f t="shared" si="12"/>
        <v>--</v>
      </c>
      <c r="Z24" s="845" t="str">
        <f t="shared" si="13"/>
        <v>--</v>
      </c>
      <c r="AA24" s="846" t="str">
        <f t="shared" si="14"/>
        <v>--</v>
      </c>
      <c r="AB24" s="847" t="str">
        <f t="shared" si="15"/>
        <v>--</v>
      </c>
      <c r="AC24" s="848" t="str">
        <f t="shared" si="16"/>
        <v>--</v>
      </c>
      <c r="AD24" s="752">
        <f t="shared" si="17"/>
      </c>
      <c r="AE24" s="16">
        <f t="shared" si="18"/>
      </c>
      <c r="AF24" s="657"/>
    </row>
    <row r="25" spans="2:32" s="5" customFormat="1" ht="16.5" customHeight="1">
      <c r="B25" s="50"/>
      <c r="C25" s="264"/>
      <c r="D25" s="264"/>
      <c r="E25" s="264"/>
      <c r="F25" s="149"/>
      <c r="G25" s="177"/>
      <c r="H25" s="699"/>
      <c r="I25" s="177"/>
      <c r="J25" s="648">
        <f t="shared" si="0"/>
        <v>20</v>
      </c>
      <c r="K25" s="649">
        <f t="shared" si="1"/>
        <v>58.5894</v>
      </c>
      <c r="L25" s="650"/>
      <c r="M25" s="651"/>
      <c r="N25" s="180">
        <f t="shared" si="2"/>
      </c>
      <c r="O25" s="181">
        <f t="shared" si="3"/>
      </c>
      <c r="P25" s="210"/>
      <c r="Q25" s="751">
        <f t="shared" si="4"/>
      </c>
      <c r="R25" s="211">
        <f t="shared" si="5"/>
      </c>
      <c r="S25" s="211">
        <f t="shared" si="6"/>
      </c>
      <c r="T25" s="842" t="str">
        <f t="shared" si="7"/>
        <v>--</v>
      </c>
      <c r="U25" s="843" t="str">
        <f t="shared" si="8"/>
        <v>--</v>
      </c>
      <c r="V25" s="807" t="str">
        <f t="shared" si="9"/>
        <v>--</v>
      </c>
      <c r="W25" s="808" t="str">
        <f t="shared" si="10"/>
        <v>--</v>
      </c>
      <c r="X25" s="809" t="str">
        <f t="shared" si="11"/>
        <v>--</v>
      </c>
      <c r="Y25" s="844" t="str">
        <f t="shared" si="12"/>
        <v>--</v>
      </c>
      <c r="Z25" s="845" t="str">
        <f t="shared" si="13"/>
        <v>--</v>
      </c>
      <c r="AA25" s="846" t="str">
        <f t="shared" si="14"/>
        <v>--</v>
      </c>
      <c r="AB25" s="847" t="str">
        <f t="shared" si="15"/>
        <v>--</v>
      </c>
      <c r="AC25" s="848" t="str">
        <f t="shared" si="16"/>
        <v>--</v>
      </c>
      <c r="AD25" s="752">
        <f t="shared" si="17"/>
      </c>
      <c r="AE25" s="16">
        <f t="shared" si="18"/>
      </c>
      <c r="AF25" s="657"/>
    </row>
    <row r="26" spans="2:32" s="5" customFormat="1" ht="16.5" customHeight="1">
      <c r="B26" s="50"/>
      <c r="C26" s="149"/>
      <c r="D26" s="149"/>
      <c r="E26" s="149"/>
      <c r="F26" s="143"/>
      <c r="G26" s="144"/>
      <c r="H26" s="701"/>
      <c r="I26" s="144"/>
      <c r="J26" s="648">
        <f t="shared" si="0"/>
        <v>20</v>
      </c>
      <c r="K26" s="649">
        <f t="shared" si="1"/>
        <v>58.5894</v>
      </c>
      <c r="L26" s="178"/>
      <c r="M26" s="209"/>
      <c r="N26" s="180">
        <f t="shared" si="2"/>
      </c>
      <c r="O26" s="181">
        <f t="shared" si="3"/>
      </c>
      <c r="P26" s="210"/>
      <c r="Q26" s="751">
        <f t="shared" si="4"/>
      </c>
      <c r="R26" s="211">
        <f t="shared" si="5"/>
      </c>
      <c r="S26" s="211">
        <f t="shared" si="6"/>
      </c>
      <c r="T26" s="842" t="str">
        <f t="shared" si="7"/>
        <v>--</v>
      </c>
      <c r="U26" s="843" t="str">
        <f t="shared" si="8"/>
        <v>--</v>
      </c>
      <c r="V26" s="807" t="str">
        <f t="shared" si="9"/>
        <v>--</v>
      </c>
      <c r="W26" s="808" t="str">
        <f t="shared" si="10"/>
        <v>--</v>
      </c>
      <c r="X26" s="809" t="str">
        <f t="shared" si="11"/>
        <v>--</v>
      </c>
      <c r="Y26" s="844" t="str">
        <f t="shared" si="12"/>
        <v>--</v>
      </c>
      <c r="Z26" s="845" t="str">
        <f t="shared" si="13"/>
        <v>--</v>
      </c>
      <c r="AA26" s="846" t="str">
        <f t="shared" si="14"/>
        <v>--</v>
      </c>
      <c r="AB26" s="847" t="str">
        <f t="shared" si="15"/>
        <v>--</v>
      </c>
      <c r="AC26" s="848" t="str">
        <f t="shared" si="16"/>
        <v>--</v>
      </c>
      <c r="AD26" s="752">
        <f t="shared" si="17"/>
      </c>
      <c r="AE26" s="16">
        <f t="shared" si="18"/>
      </c>
      <c r="AF26" s="657"/>
    </row>
    <row r="27" spans="2:32" s="5" customFormat="1" ht="16.5" customHeight="1">
      <c r="B27" s="50"/>
      <c r="C27" s="264"/>
      <c r="D27" s="264"/>
      <c r="E27" s="264"/>
      <c r="F27" s="143"/>
      <c r="G27" s="144"/>
      <c r="H27" s="701"/>
      <c r="I27" s="144"/>
      <c r="J27" s="648">
        <f t="shared" si="0"/>
        <v>20</v>
      </c>
      <c r="K27" s="649">
        <f t="shared" si="1"/>
        <v>58.5894</v>
      </c>
      <c r="L27" s="178"/>
      <c r="M27" s="209"/>
      <c r="N27" s="180">
        <f t="shared" si="2"/>
      </c>
      <c r="O27" s="181">
        <f t="shared" si="3"/>
      </c>
      <c r="P27" s="210"/>
      <c r="Q27" s="751">
        <f t="shared" si="4"/>
      </c>
      <c r="R27" s="211">
        <f t="shared" si="5"/>
      </c>
      <c r="S27" s="211">
        <f t="shared" si="6"/>
      </c>
      <c r="T27" s="842" t="str">
        <f t="shared" si="7"/>
        <v>--</v>
      </c>
      <c r="U27" s="843" t="str">
        <f t="shared" si="8"/>
        <v>--</v>
      </c>
      <c r="V27" s="807" t="str">
        <f t="shared" si="9"/>
        <v>--</v>
      </c>
      <c r="W27" s="808" t="str">
        <f t="shared" si="10"/>
        <v>--</v>
      </c>
      <c r="X27" s="809" t="str">
        <f t="shared" si="11"/>
        <v>--</v>
      </c>
      <c r="Y27" s="844" t="str">
        <f t="shared" si="12"/>
        <v>--</v>
      </c>
      <c r="Z27" s="845" t="str">
        <f t="shared" si="13"/>
        <v>--</v>
      </c>
      <c r="AA27" s="846" t="str">
        <f t="shared" si="14"/>
        <v>--</v>
      </c>
      <c r="AB27" s="847" t="str">
        <f t="shared" si="15"/>
        <v>--</v>
      </c>
      <c r="AC27" s="848" t="str">
        <f t="shared" si="16"/>
        <v>--</v>
      </c>
      <c r="AD27" s="752">
        <f t="shared" si="17"/>
      </c>
      <c r="AE27" s="16">
        <f t="shared" si="18"/>
      </c>
      <c r="AF27" s="657"/>
    </row>
    <row r="28" spans="2:32" s="5" customFormat="1" ht="16.5" customHeight="1">
      <c r="B28" s="50"/>
      <c r="C28" s="149"/>
      <c r="D28" s="149"/>
      <c r="E28" s="149"/>
      <c r="F28" s="143"/>
      <c r="G28" s="144"/>
      <c r="H28" s="701"/>
      <c r="I28" s="144"/>
      <c r="J28" s="648">
        <f t="shared" si="0"/>
        <v>20</v>
      </c>
      <c r="K28" s="649">
        <f t="shared" si="1"/>
        <v>58.5894</v>
      </c>
      <c r="L28" s="178"/>
      <c r="M28" s="209"/>
      <c r="N28" s="180">
        <f t="shared" si="2"/>
      </c>
      <c r="O28" s="181">
        <f t="shared" si="3"/>
      </c>
      <c r="P28" s="210"/>
      <c r="Q28" s="751">
        <f t="shared" si="4"/>
      </c>
      <c r="R28" s="211">
        <f t="shared" si="5"/>
      </c>
      <c r="S28" s="211">
        <f t="shared" si="6"/>
      </c>
      <c r="T28" s="842" t="str">
        <f t="shared" si="7"/>
        <v>--</v>
      </c>
      <c r="U28" s="843" t="str">
        <f t="shared" si="8"/>
        <v>--</v>
      </c>
      <c r="V28" s="807" t="str">
        <f t="shared" si="9"/>
        <v>--</v>
      </c>
      <c r="W28" s="808" t="str">
        <f t="shared" si="10"/>
        <v>--</v>
      </c>
      <c r="X28" s="809" t="str">
        <f t="shared" si="11"/>
        <v>--</v>
      </c>
      <c r="Y28" s="844" t="str">
        <f t="shared" si="12"/>
        <v>--</v>
      </c>
      <c r="Z28" s="845" t="str">
        <f t="shared" si="13"/>
        <v>--</v>
      </c>
      <c r="AA28" s="846" t="str">
        <f t="shared" si="14"/>
        <v>--</v>
      </c>
      <c r="AB28" s="847" t="str">
        <f t="shared" si="15"/>
        <v>--</v>
      </c>
      <c r="AC28" s="848" t="str">
        <f t="shared" si="16"/>
        <v>--</v>
      </c>
      <c r="AD28" s="752">
        <f t="shared" si="17"/>
      </c>
      <c r="AE28" s="16">
        <f t="shared" si="18"/>
      </c>
      <c r="AF28" s="657"/>
    </row>
    <row r="29" spans="2:32" s="5" customFormat="1" ht="16.5" customHeight="1">
      <c r="B29" s="50"/>
      <c r="C29" s="264"/>
      <c r="D29" s="264"/>
      <c r="E29" s="264"/>
      <c r="F29" s="143"/>
      <c r="G29" s="144"/>
      <c r="H29" s="701"/>
      <c r="I29" s="144"/>
      <c r="J29" s="648">
        <f t="shared" si="0"/>
        <v>20</v>
      </c>
      <c r="K29" s="649">
        <f t="shared" si="1"/>
        <v>58.5894</v>
      </c>
      <c r="L29" s="178"/>
      <c r="M29" s="209"/>
      <c r="N29" s="180">
        <f t="shared" si="2"/>
      </c>
      <c r="O29" s="181">
        <f t="shared" si="3"/>
      </c>
      <c r="P29" s="210"/>
      <c r="Q29" s="751">
        <f t="shared" si="4"/>
      </c>
      <c r="R29" s="211">
        <f t="shared" si="5"/>
      </c>
      <c r="S29" s="211">
        <f t="shared" si="6"/>
      </c>
      <c r="T29" s="842" t="str">
        <f t="shared" si="7"/>
        <v>--</v>
      </c>
      <c r="U29" s="843" t="str">
        <f t="shared" si="8"/>
        <v>--</v>
      </c>
      <c r="V29" s="807" t="str">
        <f t="shared" si="9"/>
        <v>--</v>
      </c>
      <c r="W29" s="808" t="str">
        <f t="shared" si="10"/>
        <v>--</v>
      </c>
      <c r="X29" s="809" t="str">
        <f t="shared" si="11"/>
        <v>--</v>
      </c>
      <c r="Y29" s="844" t="str">
        <f t="shared" si="12"/>
        <v>--</v>
      </c>
      <c r="Z29" s="845" t="str">
        <f t="shared" si="13"/>
        <v>--</v>
      </c>
      <c r="AA29" s="846" t="str">
        <f t="shared" si="14"/>
        <v>--</v>
      </c>
      <c r="AB29" s="847" t="str">
        <f t="shared" si="15"/>
        <v>--</v>
      </c>
      <c r="AC29" s="848" t="str">
        <f t="shared" si="16"/>
        <v>--</v>
      </c>
      <c r="AD29" s="752">
        <f t="shared" si="17"/>
      </c>
      <c r="AE29" s="16">
        <f t="shared" si="18"/>
      </c>
      <c r="AF29" s="657"/>
    </row>
    <row r="30" spans="2:32" s="5" customFormat="1" ht="16.5" customHeight="1">
      <c r="B30" s="50"/>
      <c r="C30" s="149"/>
      <c r="D30" s="149"/>
      <c r="E30" s="149"/>
      <c r="F30" s="143"/>
      <c r="G30" s="144"/>
      <c r="H30" s="701"/>
      <c r="I30" s="144"/>
      <c r="J30" s="648">
        <f t="shared" si="0"/>
        <v>20</v>
      </c>
      <c r="K30" s="649">
        <f t="shared" si="1"/>
        <v>58.5894</v>
      </c>
      <c r="L30" s="178"/>
      <c r="M30" s="209"/>
      <c r="N30" s="180">
        <f t="shared" si="2"/>
      </c>
      <c r="O30" s="181">
        <f t="shared" si="3"/>
      </c>
      <c r="P30" s="210"/>
      <c r="Q30" s="751">
        <f t="shared" si="4"/>
      </c>
      <c r="R30" s="211">
        <f t="shared" si="5"/>
      </c>
      <c r="S30" s="211">
        <f t="shared" si="6"/>
      </c>
      <c r="T30" s="842" t="str">
        <f t="shared" si="7"/>
        <v>--</v>
      </c>
      <c r="U30" s="843" t="str">
        <f t="shared" si="8"/>
        <v>--</v>
      </c>
      <c r="V30" s="807" t="str">
        <f t="shared" si="9"/>
        <v>--</v>
      </c>
      <c r="W30" s="808" t="str">
        <f t="shared" si="10"/>
        <v>--</v>
      </c>
      <c r="X30" s="809" t="str">
        <f t="shared" si="11"/>
        <v>--</v>
      </c>
      <c r="Y30" s="844" t="str">
        <f t="shared" si="12"/>
        <v>--</v>
      </c>
      <c r="Z30" s="845" t="str">
        <f t="shared" si="13"/>
        <v>--</v>
      </c>
      <c r="AA30" s="846" t="str">
        <f t="shared" si="14"/>
        <v>--</v>
      </c>
      <c r="AB30" s="847" t="str">
        <f t="shared" si="15"/>
        <v>--</v>
      </c>
      <c r="AC30" s="848" t="str">
        <f t="shared" si="16"/>
        <v>--</v>
      </c>
      <c r="AD30" s="752">
        <f t="shared" si="17"/>
      </c>
      <c r="AE30" s="16">
        <f t="shared" si="18"/>
      </c>
      <c r="AF30" s="657"/>
    </row>
    <row r="31" spans="2:32" s="5" customFormat="1" ht="16.5" customHeight="1">
      <c r="B31" s="50"/>
      <c r="C31" s="264"/>
      <c r="D31" s="264"/>
      <c r="E31" s="264"/>
      <c r="F31" s="143"/>
      <c r="G31" s="144"/>
      <c r="H31" s="701"/>
      <c r="I31" s="144"/>
      <c r="J31" s="648">
        <f t="shared" si="0"/>
        <v>20</v>
      </c>
      <c r="K31" s="649">
        <f t="shared" si="1"/>
        <v>58.5894</v>
      </c>
      <c r="L31" s="178"/>
      <c r="M31" s="179"/>
      <c r="N31" s="180">
        <f t="shared" si="2"/>
      </c>
      <c r="O31" s="181">
        <f t="shared" si="3"/>
      </c>
      <c r="P31" s="210"/>
      <c r="Q31" s="751">
        <f t="shared" si="4"/>
      </c>
      <c r="R31" s="211">
        <f t="shared" si="5"/>
      </c>
      <c r="S31" s="211">
        <f t="shared" si="6"/>
      </c>
      <c r="T31" s="842" t="str">
        <f t="shared" si="7"/>
        <v>--</v>
      </c>
      <c r="U31" s="843" t="str">
        <f t="shared" si="8"/>
        <v>--</v>
      </c>
      <c r="V31" s="807" t="str">
        <f t="shared" si="9"/>
        <v>--</v>
      </c>
      <c r="W31" s="808" t="str">
        <f t="shared" si="10"/>
        <v>--</v>
      </c>
      <c r="X31" s="809" t="str">
        <f t="shared" si="11"/>
        <v>--</v>
      </c>
      <c r="Y31" s="844" t="str">
        <f t="shared" si="12"/>
        <v>--</v>
      </c>
      <c r="Z31" s="845" t="str">
        <f t="shared" si="13"/>
        <v>--</v>
      </c>
      <c r="AA31" s="846" t="str">
        <f t="shared" si="14"/>
        <v>--</v>
      </c>
      <c r="AB31" s="847" t="str">
        <f t="shared" si="15"/>
        <v>--</v>
      </c>
      <c r="AC31" s="848" t="str">
        <f t="shared" si="16"/>
        <v>--</v>
      </c>
      <c r="AD31" s="752">
        <f t="shared" si="17"/>
      </c>
      <c r="AE31" s="16">
        <f t="shared" si="18"/>
      </c>
      <c r="AF31" s="657"/>
    </row>
    <row r="32" spans="2:32" s="5" customFormat="1" ht="16.5" customHeight="1">
      <c r="B32" s="50"/>
      <c r="C32" s="149"/>
      <c r="D32" s="149"/>
      <c r="E32" s="149"/>
      <c r="F32" s="143"/>
      <c r="G32" s="144"/>
      <c r="H32" s="701"/>
      <c r="I32" s="144"/>
      <c r="J32" s="648">
        <f t="shared" si="0"/>
        <v>20</v>
      </c>
      <c r="K32" s="649">
        <f t="shared" si="1"/>
        <v>58.5894</v>
      </c>
      <c r="L32" s="178"/>
      <c r="M32" s="179"/>
      <c r="N32" s="180">
        <f t="shared" si="2"/>
      </c>
      <c r="O32" s="181">
        <f t="shared" si="3"/>
      </c>
      <c r="P32" s="210"/>
      <c r="Q32" s="751">
        <f t="shared" si="4"/>
      </c>
      <c r="R32" s="211">
        <f t="shared" si="5"/>
      </c>
      <c r="S32" s="211">
        <f t="shared" si="6"/>
      </c>
      <c r="T32" s="842" t="str">
        <f t="shared" si="7"/>
        <v>--</v>
      </c>
      <c r="U32" s="843" t="str">
        <f t="shared" si="8"/>
        <v>--</v>
      </c>
      <c r="V32" s="807" t="str">
        <f t="shared" si="9"/>
        <v>--</v>
      </c>
      <c r="W32" s="808" t="str">
        <f t="shared" si="10"/>
        <v>--</v>
      </c>
      <c r="X32" s="809" t="str">
        <f t="shared" si="11"/>
        <v>--</v>
      </c>
      <c r="Y32" s="844" t="str">
        <f t="shared" si="12"/>
        <v>--</v>
      </c>
      <c r="Z32" s="845" t="str">
        <f t="shared" si="13"/>
        <v>--</v>
      </c>
      <c r="AA32" s="846" t="str">
        <f t="shared" si="14"/>
        <v>--</v>
      </c>
      <c r="AB32" s="847" t="str">
        <f t="shared" si="15"/>
        <v>--</v>
      </c>
      <c r="AC32" s="848" t="str">
        <f t="shared" si="16"/>
        <v>--</v>
      </c>
      <c r="AD32" s="752">
        <f t="shared" si="17"/>
      </c>
      <c r="AE32" s="16">
        <f t="shared" si="18"/>
      </c>
      <c r="AF32" s="657"/>
    </row>
    <row r="33" spans="2:32" s="5" customFormat="1" ht="16.5" customHeight="1">
      <c r="B33" s="50"/>
      <c r="C33" s="264"/>
      <c r="D33" s="264"/>
      <c r="E33" s="264"/>
      <c r="F33" s="143"/>
      <c r="G33" s="144"/>
      <c r="H33" s="701"/>
      <c r="I33" s="144"/>
      <c r="J33" s="648">
        <f t="shared" si="0"/>
        <v>20</v>
      </c>
      <c r="K33" s="649">
        <f t="shared" si="1"/>
        <v>58.5894</v>
      </c>
      <c r="L33" s="178"/>
      <c r="M33" s="179"/>
      <c r="N33" s="180">
        <f t="shared" si="2"/>
      </c>
      <c r="O33" s="181">
        <f t="shared" si="3"/>
      </c>
      <c r="P33" s="210"/>
      <c r="Q33" s="751">
        <f t="shared" si="4"/>
      </c>
      <c r="R33" s="211">
        <f t="shared" si="5"/>
      </c>
      <c r="S33" s="211">
        <f t="shared" si="6"/>
      </c>
      <c r="T33" s="842" t="str">
        <f t="shared" si="7"/>
        <v>--</v>
      </c>
      <c r="U33" s="843" t="str">
        <f t="shared" si="8"/>
        <v>--</v>
      </c>
      <c r="V33" s="807" t="str">
        <f t="shared" si="9"/>
        <v>--</v>
      </c>
      <c r="W33" s="808" t="str">
        <f t="shared" si="10"/>
        <v>--</v>
      </c>
      <c r="X33" s="809" t="str">
        <f t="shared" si="11"/>
        <v>--</v>
      </c>
      <c r="Y33" s="844" t="str">
        <f t="shared" si="12"/>
        <v>--</v>
      </c>
      <c r="Z33" s="845" t="str">
        <f t="shared" si="13"/>
        <v>--</v>
      </c>
      <c r="AA33" s="846" t="str">
        <f t="shared" si="14"/>
        <v>--</v>
      </c>
      <c r="AB33" s="847" t="str">
        <f t="shared" si="15"/>
        <v>--</v>
      </c>
      <c r="AC33" s="848" t="str">
        <f t="shared" si="16"/>
        <v>--</v>
      </c>
      <c r="AD33" s="752">
        <f t="shared" si="17"/>
      </c>
      <c r="AE33" s="16">
        <f t="shared" si="18"/>
      </c>
      <c r="AF33" s="657"/>
    </row>
    <row r="34" spans="2:32" s="5" customFormat="1" ht="16.5" customHeight="1">
      <c r="B34" s="50"/>
      <c r="C34" s="149"/>
      <c r="D34" s="149"/>
      <c r="E34" s="149"/>
      <c r="F34" s="143"/>
      <c r="G34" s="144"/>
      <c r="H34" s="701"/>
      <c r="I34" s="144"/>
      <c r="J34" s="648">
        <f t="shared" si="0"/>
        <v>20</v>
      </c>
      <c r="K34" s="649">
        <f t="shared" si="1"/>
        <v>58.5894</v>
      </c>
      <c r="L34" s="178"/>
      <c r="M34" s="179"/>
      <c r="N34" s="180">
        <f t="shared" si="2"/>
      </c>
      <c r="O34" s="181">
        <f t="shared" si="3"/>
      </c>
      <c r="P34" s="210"/>
      <c r="Q34" s="751">
        <f t="shared" si="4"/>
      </c>
      <c r="R34" s="211">
        <f t="shared" si="5"/>
      </c>
      <c r="S34" s="211">
        <f t="shared" si="6"/>
      </c>
      <c r="T34" s="842" t="str">
        <f t="shared" si="7"/>
        <v>--</v>
      </c>
      <c r="U34" s="843" t="str">
        <f t="shared" si="8"/>
        <v>--</v>
      </c>
      <c r="V34" s="807" t="str">
        <f t="shared" si="9"/>
        <v>--</v>
      </c>
      <c r="W34" s="808" t="str">
        <f t="shared" si="10"/>
        <v>--</v>
      </c>
      <c r="X34" s="809" t="str">
        <f t="shared" si="11"/>
        <v>--</v>
      </c>
      <c r="Y34" s="844" t="str">
        <f t="shared" si="12"/>
        <v>--</v>
      </c>
      <c r="Z34" s="845" t="str">
        <f t="shared" si="13"/>
        <v>--</v>
      </c>
      <c r="AA34" s="846" t="str">
        <f t="shared" si="14"/>
        <v>--</v>
      </c>
      <c r="AB34" s="847" t="str">
        <f t="shared" si="15"/>
        <v>--</v>
      </c>
      <c r="AC34" s="848" t="str">
        <f t="shared" si="16"/>
        <v>--</v>
      </c>
      <c r="AD34" s="752">
        <f t="shared" si="17"/>
      </c>
      <c r="AE34" s="16">
        <f t="shared" si="18"/>
      </c>
      <c r="AF34" s="657"/>
    </row>
    <row r="35" spans="2:32" s="5" customFormat="1" ht="16.5" customHeight="1">
      <c r="B35" s="50"/>
      <c r="C35" s="264"/>
      <c r="D35" s="264"/>
      <c r="E35" s="264"/>
      <c r="F35" s="143"/>
      <c r="G35" s="144"/>
      <c r="H35" s="701"/>
      <c r="I35" s="144"/>
      <c r="J35" s="648">
        <f t="shared" si="0"/>
        <v>20</v>
      </c>
      <c r="K35" s="649">
        <f t="shared" si="1"/>
        <v>58.5894</v>
      </c>
      <c r="L35" s="178"/>
      <c r="M35" s="179"/>
      <c r="N35" s="180">
        <f t="shared" si="2"/>
      </c>
      <c r="O35" s="181">
        <f t="shared" si="3"/>
      </c>
      <c r="P35" s="210"/>
      <c r="Q35" s="751">
        <f t="shared" si="4"/>
      </c>
      <c r="R35" s="211">
        <f t="shared" si="5"/>
      </c>
      <c r="S35" s="211">
        <f t="shared" si="6"/>
      </c>
      <c r="T35" s="842" t="str">
        <f t="shared" si="7"/>
        <v>--</v>
      </c>
      <c r="U35" s="843" t="str">
        <f t="shared" si="8"/>
        <v>--</v>
      </c>
      <c r="V35" s="807" t="str">
        <f t="shared" si="9"/>
        <v>--</v>
      </c>
      <c r="W35" s="808" t="str">
        <f t="shared" si="10"/>
        <v>--</v>
      </c>
      <c r="X35" s="809" t="str">
        <f t="shared" si="11"/>
        <v>--</v>
      </c>
      <c r="Y35" s="844" t="str">
        <f t="shared" si="12"/>
        <v>--</v>
      </c>
      <c r="Z35" s="845" t="str">
        <f t="shared" si="13"/>
        <v>--</v>
      </c>
      <c r="AA35" s="846" t="str">
        <f t="shared" si="14"/>
        <v>--</v>
      </c>
      <c r="AB35" s="847" t="str">
        <f t="shared" si="15"/>
        <v>--</v>
      </c>
      <c r="AC35" s="848" t="str">
        <f t="shared" si="16"/>
        <v>--</v>
      </c>
      <c r="AD35" s="752">
        <f t="shared" si="17"/>
      </c>
      <c r="AE35" s="16">
        <f t="shared" si="18"/>
      </c>
      <c r="AF35" s="657"/>
    </row>
    <row r="36" spans="2:32" s="5" customFormat="1" ht="16.5" customHeight="1">
      <c r="B36" s="50"/>
      <c r="C36" s="149"/>
      <c r="D36" s="149"/>
      <c r="E36" s="149"/>
      <c r="F36" s="143"/>
      <c r="G36" s="144"/>
      <c r="H36" s="701"/>
      <c r="I36" s="144"/>
      <c r="J36" s="648">
        <f t="shared" si="0"/>
        <v>20</v>
      </c>
      <c r="K36" s="649">
        <f t="shared" si="1"/>
        <v>58.5894</v>
      </c>
      <c r="L36" s="178"/>
      <c r="M36" s="179"/>
      <c r="N36" s="180">
        <f t="shared" si="2"/>
      </c>
      <c r="O36" s="181">
        <f t="shared" si="3"/>
      </c>
      <c r="P36" s="210"/>
      <c r="Q36" s="751">
        <f t="shared" si="4"/>
      </c>
      <c r="R36" s="211">
        <f t="shared" si="5"/>
      </c>
      <c r="S36" s="211">
        <f t="shared" si="6"/>
      </c>
      <c r="T36" s="842" t="str">
        <f t="shared" si="7"/>
        <v>--</v>
      </c>
      <c r="U36" s="843" t="str">
        <f t="shared" si="8"/>
        <v>--</v>
      </c>
      <c r="V36" s="807" t="str">
        <f t="shared" si="9"/>
        <v>--</v>
      </c>
      <c r="W36" s="808" t="str">
        <f t="shared" si="10"/>
        <v>--</v>
      </c>
      <c r="X36" s="809" t="str">
        <f t="shared" si="11"/>
        <v>--</v>
      </c>
      <c r="Y36" s="844" t="str">
        <f t="shared" si="12"/>
        <v>--</v>
      </c>
      <c r="Z36" s="845" t="str">
        <f t="shared" si="13"/>
        <v>--</v>
      </c>
      <c r="AA36" s="846" t="str">
        <f t="shared" si="14"/>
        <v>--</v>
      </c>
      <c r="AB36" s="847" t="str">
        <f t="shared" si="15"/>
        <v>--</v>
      </c>
      <c r="AC36" s="848" t="str">
        <f t="shared" si="16"/>
        <v>--</v>
      </c>
      <c r="AD36" s="752">
        <f t="shared" si="17"/>
      </c>
      <c r="AE36" s="16">
        <f t="shared" si="18"/>
      </c>
      <c r="AF36" s="657"/>
    </row>
    <row r="37" spans="2:32" s="5" customFormat="1" ht="16.5" customHeight="1">
      <c r="B37" s="50"/>
      <c r="C37" s="264"/>
      <c r="D37" s="264"/>
      <c r="E37" s="264"/>
      <c r="F37" s="143"/>
      <c r="G37" s="144"/>
      <c r="H37" s="701"/>
      <c r="I37" s="144"/>
      <c r="J37" s="648">
        <f t="shared" si="0"/>
        <v>20</v>
      </c>
      <c r="K37" s="649">
        <f t="shared" si="1"/>
        <v>58.5894</v>
      </c>
      <c r="L37" s="178"/>
      <c r="M37" s="179"/>
      <c r="N37" s="180">
        <f t="shared" si="2"/>
      </c>
      <c r="O37" s="181">
        <f t="shared" si="3"/>
      </c>
      <c r="P37" s="210"/>
      <c r="Q37" s="751">
        <f t="shared" si="4"/>
      </c>
      <c r="R37" s="211">
        <f t="shared" si="5"/>
      </c>
      <c r="S37" s="211">
        <f t="shared" si="6"/>
      </c>
      <c r="T37" s="842" t="str">
        <f t="shared" si="7"/>
        <v>--</v>
      </c>
      <c r="U37" s="843" t="str">
        <f t="shared" si="8"/>
        <v>--</v>
      </c>
      <c r="V37" s="807" t="str">
        <f t="shared" si="9"/>
        <v>--</v>
      </c>
      <c r="W37" s="808" t="str">
        <f t="shared" si="10"/>
        <v>--</v>
      </c>
      <c r="X37" s="809" t="str">
        <f t="shared" si="11"/>
        <v>--</v>
      </c>
      <c r="Y37" s="844" t="str">
        <f t="shared" si="12"/>
        <v>--</v>
      </c>
      <c r="Z37" s="845" t="str">
        <f t="shared" si="13"/>
        <v>--</v>
      </c>
      <c r="AA37" s="846" t="str">
        <f t="shared" si="14"/>
        <v>--</v>
      </c>
      <c r="AB37" s="847" t="str">
        <f t="shared" si="15"/>
        <v>--</v>
      </c>
      <c r="AC37" s="848" t="str">
        <f t="shared" si="16"/>
        <v>--</v>
      </c>
      <c r="AD37" s="752">
        <f t="shared" si="17"/>
      </c>
      <c r="AE37" s="16">
        <f t="shared" si="18"/>
      </c>
      <c r="AF37" s="657"/>
    </row>
    <row r="38" spans="2:32" s="5" customFormat="1" ht="16.5" customHeight="1">
      <c r="B38" s="50"/>
      <c r="C38" s="149"/>
      <c r="D38" s="149"/>
      <c r="E38" s="149"/>
      <c r="F38" s="143"/>
      <c r="G38" s="144"/>
      <c r="H38" s="701"/>
      <c r="I38" s="144"/>
      <c r="J38" s="648">
        <f t="shared" si="0"/>
        <v>20</v>
      </c>
      <c r="K38" s="649">
        <f t="shared" si="1"/>
        <v>58.5894</v>
      </c>
      <c r="L38" s="178"/>
      <c r="M38" s="179"/>
      <c r="N38" s="180">
        <f t="shared" si="2"/>
      </c>
      <c r="O38" s="181">
        <f t="shared" si="3"/>
      </c>
      <c r="P38" s="210"/>
      <c r="Q38" s="751">
        <f t="shared" si="4"/>
      </c>
      <c r="R38" s="211">
        <f t="shared" si="5"/>
      </c>
      <c r="S38" s="211">
        <f t="shared" si="6"/>
      </c>
      <c r="T38" s="842" t="str">
        <f t="shared" si="7"/>
        <v>--</v>
      </c>
      <c r="U38" s="843" t="str">
        <f t="shared" si="8"/>
        <v>--</v>
      </c>
      <c r="V38" s="807" t="str">
        <f t="shared" si="9"/>
        <v>--</v>
      </c>
      <c r="W38" s="808" t="str">
        <f t="shared" si="10"/>
        <v>--</v>
      </c>
      <c r="X38" s="809" t="str">
        <f t="shared" si="11"/>
        <v>--</v>
      </c>
      <c r="Y38" s="844" t="str">
        <f t="shared" si="12"/>
        <v>--</v>
      </c>
      <c r="Z38" s="845" t="str">
        <f t="shared" si="13"/>
        <v>--</v>
      </c>
      <c r="AA38" s="846" t="str">
        <f t="shared" si="14"/>
        <v>--</v>
      </c>
      <c r="AB38" s="847" t="str">
        <f t="shared" si="15"/>
        <v>--</v>
      </c>
      <c r="AC38" s="848" t="str">
        <f t="shared" si="16"/>
        <v>--</v>
      </c>
      <c r="AD38" s="752">
        <f t="shared" si="17"/>
      </c>
      <c r="AE38" s="16">
        <f t="shared" si="18"/>
      </c>
      <c r="AF38" s="657"/>
    </row>
    <row r="39" spans="2:32" s="5" customFormat="1" ht="16.5" customHeight="1">
      <c r="B39" s="50"/>
      <c r="C39" s="264"/>
      <c r="D39" s="264"/>
      <c r="E39" s="264"/>
      <c r="F39" s="143"/>
      <c r="G39" s="144"/>
      <c r="H39" s="701"/>
      <c r="I39" s="144"/>
      <c r="J39" s="648">
        <f t="shared" si="0"/>
        <v>20</v>
      </c>
      <c r="K39" s="649">
        <f t="shared" si="1"/>
        <v>58.5894</v>
      </c>
      <c r="L39" s="178"/>
      <c r="M39" s="179"/>
      <c r="N39" s="180">
        <f t="shared" si="2"/>
      </c>
      <c r="O39" s="181">
        <f t="shared" si="3"/>
      </c>
      <c r="P39" s="210"/>
      <c r="Q39" s="751">
        <f t="shared" si="4"/>
      </c>
      <c r="R39" s="211">
        <f t="shared" si="5"/>
      </c>
      <c r="S39" s="211">
        <f t="shared" si="6"/>
      </c>
      <c r="T39" s="842" t="str">
        <f t="shared" si="7"/>
        <v>--</v>
      </c>
      <c r="U39" s="843" t="str">
        <f t="shared" si="8"/>
        <v>--</v>
      </c>
      <c r="V39" s="807" t="str">
        <f t="shared" si="9"/>
        <v>--</v>
      </c>
      <c r="W39" s="808" t="str">
        <f t="shared" si="10"/>
        <v>--</v>
      </c>
      <c r="X39" s="809" t="str">
        <f t="shared" si="11"/>
        <v>--</v>
      </c>
      <c r="Y39" s="844" t="str">
        <f t="shared" si="12"/>
        <v>--</v>
      </c>
      <c r="Z39" s="845" t="str">
        <f t="shared" si="13"/>
        <v>--</v>
      </c>
      <c r="AA39" s="846" t="str">
        <f t="shared" si="14"/>
        <v>--</v>
      </c>
      <c r="AB39" s="847" t="str">
        <f t="shared" si="15"/>
        <v>--</v>
      </c>
      <c r="AC39" s="848" t="str">
        <f t="shared" si="16"/>
        <v>--</v>
      </c>
      <c r="AD39" s="752">
        <f t="shared" si="17"/>
      </c>
      <c r="AE39" s="16">
        <f t="shared" si="18"/>
      </c>
      <c r="AF39" s="657"/>
    </row>
    <row r="40" spans="2:32" s="5" customFormat="1" ht="16.5" customHeight="1" thickBot="1">
      <c r="B40" s="50"/>
      <c r="C40" s="149"/>
      <c r="D40" s="750"/>
      <c r="E40" s="149"/>
      <c r="F40" s="146"/>
      <c r="G40" s="218"/>
      <c r="H40" s="695"/>
      <c r="I40" s="219"/>
      <c r="J40" s="662"/>
      <c r="K40" s="663"/>
      <c r="L40" s="693"/>
      <c r="M40" s="693"/>
      <c r="N40" s="9"/>
      <c r="O40" s="9"/>
      <c r="P40" s="148"/>
      <c r="Q40" s="183"/>
      <c r="R40" s="148"/>
      <c r="S40" s="148"/>
      <c r="T40" s="664"/>
      <c r="U40" s="665"/>
      <c r="V40" s="220"/>
      <c r="W40" s="221"/>
      <c r="X40" s="222"/>
      <c r="Y40" s="666"/>
      <c r="Z40" s="667"/>
      <c r="AA40" s="668"/>
      <c r="AB40" s="223"/>
      <c r="AC40" s="224"/>
      <c r="AD40" s="669"/>
      <c r="AE40" s="225"/>
      <c r="AF40" s="657"/>
    </row>
    <row r="41" spans="2:32" s="5" customFormat="1" ht="16.5" customHeight="1" thickBot="1" thickTop="1">
      <c r="B41" s="50"/>
      <c r="C41" s="125" t="s">
        <v>23</v>
      </c>
      <c r="D41" s="977" t="s">
        <v>230</v>
      </c>
      <c r="E41" s="125"/>
      <c r="F41" s="126"/>
      <c r="G41" s="226"/>
      <c r="H41" s="196"/>
      <c r="I41" s="227"/>
      <c r="J41" s="196"/>
      <c r="K41" s="184"/>
      <c r="L41" s="184"/>
      <c r="M41" s="184"/>
      <c r="N41" s="184"/>
      <c r="O41" s="184"/>
      <c r="P41" s="184"/>
      <c r="Q41" s="228"/>
      <c r="R41" s="184"/>
      <c r="S41" s="184"/>
      <c r="T41" s="670">
        <f aca="true" t="shared" si="19" ref="T41:AC41">SUM(T18:T40)</f>
        <v>687.41751226212</v>
      </c>
      <c r="U41" s="671">
        <f t="shared" si="19"/>
        <v>0</v>
      </c>
      <c r="V41" s="672">
        <f t="shared" si="19"/>
        <v>0</v>
      </c>
      <c r="W41" s="672">
        <f t="shared" si="19"/>
        <v>0</v>
      </c>
      <c r="X41" s="672">
        <f t="shared" si="19"/>
        <v>0</v>
      </c>
      <c r="Y41" s="673">
        <f t="shared" si="19"/>
        <v>0</v>
      </c>
      <c r="Z41" s="673">
        <f t="shared" si="19"/>
        <v>0</v>
      </c>
      <c r="AA41" s="673">
        <f t="shared" si="19"/>
        <v>0</v>
      </c>
      <c r="AB41" s="229">
        <f t="shared" si="19"/>
        <v>0</v>
      </c>
      <c r="AC41" s="230">
        <f t="shared" si="19"/>
        <v>0</v>
      </c>
      <c r="AD41" s="231"/>
      <c r="AE41" s="232">
        <f>ROUND(SUM(AE18:AE40),2)</f>
        <v>687.42</v>
      </c>
      <c r="AF41" s="657"/>
    </row>
    <row r="42" spans="2:32" s="5" customFormat="1" ht="16.5" customHeight="1" thickBot="1" thickTop="1">
      <c r="B42" s="74"/>
      <c r="C42" s="1067" t="s">
        <v>77</v>
      </c>
      <c r="D42" s="75" t="s">
        <v>328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6.5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6"/>
  <sheetViews>
    <sheetView zoomScale="70" zoomScaleNormal="70" workbookViewId="0" topLeftCell="B1">
      <selection activeCell="B22" sqref="A22:IV2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42"/>
    </row>
    <row r="2" spans="1:30" s="18" customFormat="1" ht="26.25">
      <c r="A2" s="89"/>
      <c r="B2" s="233" t="str">
        <f>+'TOT-0809'!B2</f>
        <v>ANEXO III al Memorándum D.T.E.E. N°   256 /2011</v>
      </c>
      <c r="C2" s="233"/>
      <c r="D2" s="233"/>
      <c r="E2" s="233"/>
      <c r="F2" s="233"/>
      <c r="G2" s="19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25" customFormat="1" ht="11.25">
      <c r="A4" s="234" t="s">
        <v>60</v>
      </c>
      <c r="B4" s="112"/>
      <c r="C4" s="112"/>
      <c r="D4" s="11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5" customFormat="1" ht="11.25">
      <c r="A5" s="234" t="s">
        <v>2</v>
      </c>
      <c r="B5" s="112"/>
      <c r="C5" s="112"/>
      <c r="D5" s="11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</row>
    <row r="8" spans="1:30" s="29" customFormat="1" ht="20.25">
      <c r="A8" s="103"/>
      <c r="B8" s="104"/>
      <c r="C8" s="94"/>
      <c r="D8" s="94"/>
      <c r="E8" s="103"/>
      <c r="F8" s="235" t="s">
        <v>55</v>
      </c>
      <c r="G8" s="103"/>
      <c r="H8" s="103"/>
      <c r="I8" s="236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94"/>
      <c r="U8" s="94"/>
      <c r="V8" s="94"/>
      <c r="W8" s="94"/>
      <c r="X8" s="94"/>
      <c r="Y8" s="94"/>
      <c r="Z8" s="94"/>
      <c r="AA8" s="94"/>
      <c r="AB8" s="94"/>
      <c r="AC8" s="94"/>
      <c r="AD8" s="105"/>
    </row>
    <row r="9" spans="1:30" s="5" customFormat="1" ht="12.75">
      <c r="A9" s="88"/>
      <c r="B9" s="93"/>
      <c r="C9" s="15"/>
      <c r="D9" s="15"/>
      <c r="E9" s="88"/>
      <c r="F9" s="15"/>
      <c r="G9" s="237"/>
      <c r="H9" s="88"/>
      <c r="I9" s="15"/>
      <c r="J9" s="88"/>
      <c r="K9" s="88"/>
      <c r="L9" s="88"/>
      <c r="M9" s="88"/>
      <c r="N9" s="88"/>
      <c r="O9" s="88"/>
      <c r="P9" s="88"/>
      <c r="Q9" s="88"/>
      <c r="R9" s="88"/>
      <c r="S9" s="88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22" customFormat="1" ht="30" customHeight="1">
      <c r="A10" s="716"/>
      <c r="B10" s="717"/>
      <c r="C10" s="720"/>
      <c r="D10" s="720"/>
      <c r="E10" s="716"/>
      <c r="F10" s="718" t="s">
        <v>130</v>
      </c>
      <c r="G10" s="716"/>
      <c r="H10" s="719"/>
      <c r="I10" s="720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1"/>
    </row>
    <row r="11" spans="1:30" s="727" customFormat="1" ht="9.75" customHeight="1">
      <c r="A11" s="723"/>
      <c r="B11" s="724"/>
      <c r="C11" s="725"/>
      <c r="D11" s="725"/>
      <c r="E11" s="723"/>
      <c r="G11" s="725"/>
      <c r="H11" s="725"/>
      <c r="I11" s="725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6"/>
    </row>
    <row r="12" spans="1:30" s="727" customFormat="1" ht="21" customHeight="1">
      <c r="A12" s="716"/>
      <c r="B12" s="717"/>
      <c r="C12" s="720"/>
      <c r="D12" s="720"/>
      <c r="E12" s="716"/>
      <c r="F12" s="728" t="s">
        <v>131</v>
      </c>
      <c r="G12" s="716"/>
      <c r="H12" s="716"/>
      <c r="I12" s="716"/>
      <c r="J12" s="729"/>
      <c r="K12" s="729"/>
      <c r="L12" s="729"/>
      <c r="M12" s="729"/>
      <c r="N12" s="729"/>
      <c r="O12" s="723"/>
      <c r="P12" s="723"/>
      <c r="Q12" s="723"/>
      <c r="R12" s="723"/>
      <c r="S12" s="723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6"/>
    </row>
    <row r="13" spans="1:30" s="5" customFormat="1" ht="12.75">
      <c r="A13" s="88"/>
      <c r="B13" s="93"/>
      <c r="C13" s="15"/>
      <c r="D13" s="15"/>
      <c r="E13" s="88"/>
      <c r="F13" s="15"/>
      <c r="G13" s="15"/>
      <c r="H13" s="15"/>
      <c r="I13" s="96"/>
      <c r="J13" s="15"/>
      <c r="K13" s="15"/>
      <c r="L13" s="15"/>
      <c r="M13" s="15"/>
      <c r="N13" s="15"/>
      <c r="O13" s="88"/>
      <c r="P13" s="88"/>
      <c r="Q13" s="88"/>
      <c r="R13" s="88"/>
      <c r="S13" s="8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7"/>
      <c r="B14" s="37" t="str">
        <f>'TOT-0809'!B14</f>
        <v>Desde el 01 al 31 de agosto de 2009</v>
      </c>
      <c r="C14" s="40"/>
      <c r="D14" s="40"/>
      <c r="E14" s="238"/>
      <c r="F14" s="110"/>
      <c r="G14" s="110"/>
      <c r="H14" s="110"/>
      <c r="I14" s="110"/>
      <c r="J14" s="110"/>
      <c r="K14" s="110"/>
      <c r="L14" s="110"/>
      <c r="M14" s="110"/>
      <c r="N14" s="110"/>
      <c r="O14" s="238"/>
      <c r="P14" s="238"/>
      <c r="Q14" s="238"/>
      <c r="R14" s="238"/>
      <c r="S14" s="238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239"/>
    </row>
    <row r="15" spans="1:30" s="5" customFormat="1" ht="13.5" thickBot="1">
      <c r="A15" s="88"/>
      <c r="B15" s="93"/>
      <c r="C15" s="15"/>
      <c r="D15" s="15"/>
      <c r="E15" s="88"/>
      <c r="F15" s="15"/>
      <c r="G15" s="15"/>
      <c r="H15" s="15"/>
      <c r="I15" s="96"/>
      <c r="J15" s="15"/>
      <c r="K15" s="15"/>
      <c r="L15" s="15"/>
      <c r="M15" s="15"/>
      <c r="N15" s="15"/>
      <c r="O15" s="88"/>
      <c r="P15" s="88"/>
      <c r="Q15" s="88"/>
      <c r="R15" s="88"/>
      <c r="S15" s="8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88"/>
      <c r="B16" s="93"/>
      <c r="C16" s="15"/>
      <c r="D16" s="15"/>
      <c r="E16" s="88"/>
      <c r="F16" s="240" t="s">
        <v>61</v>
      </c>
      <c r="G16" s="241"/>
      <c r="H16" s="242">
        <v>0.319</v>
      </c>
      <c r="J16" s="88"/>
      <c r="K16" s="88"/>
      <c r="L16" s="88"/>
      <c r="M16" s="88"/>
      <c r="N16" s="88"/>
      <c r="O16" s="88"/>
      <c r="P16" s="8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88"/>
      <c r="B17" s="93"/>
      <c r="C17" s="15"/>
      <c r="D17" s="15"/>
      <c r="E17" s="88"/>
      <c r="F17" s="108" t="s">
        <v>24</v>
      </c>
      <c r="G17" s="109"/>
      <c r="H17" s="704">
        <v>200</v>
      </c>
      <c r="I17"/>
      <c r="J17" s="15"/>
      <c r="K17" s="194"/>
      <c r="L17" s="195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7"/>
      <c r="X17" s="97"/>
      <c r="Y17" s="97"/>
      <c r="Z17" s="97"/>
      <c r="AA17" s="97"/>
      <c r="AB17" s="97"/>
      <c r="AC17" s="88"/>
      <c r="AD17" s="17"/>
    </row>
    <row r="18" spans="1:30" s="5" customFormat="1" ht="16.5" customHeight="1" thickBot="1" thickTop="1">
      <c r="A18" s="88"/>
      <c r="B18" s="93"/>
      <c r="C18" s="761">
        <v>3</v>
      </c>
      <c r="D18" s="761">
        <v>4</v>
      </c>
      <c r="E18" s="761">
        <v>5</v>
      </c>
      <c r="F18" s="761">
        <v>6</v>
      </c>
      <c r="G18" s="761">
        <v>7</v>
      </c>
      <c r="H18" s="761">
        <v>8</v>
      </c>
      <c r="I18" s="761">
        <v>9</v>
      </c>
      <c r="J18" s="761">
        <v>10</v>
      </c>
      <c r="K18" s="761">
        <v>11</v>
      </c>
      <c r="L18" s="761">
        <v>12</v>
      </c>
      <c r="M18" s="761">
        <v>13</v>
      </c>
      <c r="N18" s="761">
        <v>14</v>
      </c>
      <c r="O18" s="761">
        <v>15</v>
      </c>
      <c r="P18" s="761">
        <v>16</v>
      </c>
      <c r="Q18" s="761">
        <v>17</v>
      </c>
      <c r="R18" s="761">
        <v>18</v>
      </c>
      <c r="S18" s="761">
        <v>19</v>
      </c>
      <c r="T18" s="761">
        <v>20</v>
      </c>
      <c r="U18" s="761">
        <v>21</v>
      </c>
      <c r="V18" s="761">
        <v>22</v>
      </c>
      <c r="W18" s="761">
        <v>23</v>
      </c>
      <c r="X18" s="761">
        <v>24</v>
      </c>
      <c r="Y18" s="761">
        <v>25</v>
      </c>
      <c r="Z18" s="761">
        <v>26</v>
      </c>
      <c r="AA18" s="761">
        <v>27</v>
      </c>
      <c r="AB18" s="761">
        <v>28</v>
      </c>
      <c r="AC18" s="761">
        <v>29</v>
      </c>
      <c r="AD18" s="17"/>
    </row>
    <row r="19" spans="1:30" s="5" customFormat="1" ht="33.75" customHeight="1" thickBot="1" thickTop="1">
      <c r="A19" s="88"/>
      <c r="B19" s="93"/>
      <c r="C19" s="121" t="s">
        <v>12</v>
      </c>
      <c r="D19" s="84" t="s">
        <v>138</v>
      </c>
      <c r="E19" s="84" t="s">
        <v>139</v>
      </c>
      <c r="F19" s="117" t="s">
        <v>25</v>
      </c>
      <c r="G19" s="116" t="s">
        <v>26</v>
      </c>
      <c r="H19" s="118" t="s">
        <v>27</v>
      </c>
      <c r="I19" s="119" t="s">
        <v>13</v>
      </c>
      <c r="J19" s="127" t="s">
        <v>15</v>
      </c>
      <c r="K19" s="116" t="s">
        <v>16</v>
      </c>
      <c r="L19" s="116" t="s">
        <v>17</v>
      </c>
      <c r="M19" s="117" t="s">
        <v>28</v>
      </c>
      <c r="N19" s="117" t="s">
        <v>29</v>
      </c>
      <c r="O19" s="87" t="s">
        <v>18</v>
      </c>
      <c r="P19" s="87" t="s">
        <v>44</v>
      </c>
      <c r="Q19" s="120" t="s">
        <v>30</v>
      </c>
      <c r="R19" s="116" t="s">
        <v>31</v>
      </c>
      <c r="S19" s="243" t="s">
        <v>35</v>
      </c>
      <c r="T19" s="244" t="s">
        <v>19</v>
      </c>
      <c r="U19" s="245" t="s">
        <v>20</v>
      </c>
      <c r="V19" s="198" t="s">
        <v>62</v>
      </c>
      <c r="W19" s="200"/>
      <c r="X19" s="246" t="s">
        <v>63</v>
      </c>
      <c r="Y19" s="247"/>
      <c r="Z19" s="248" t="s">
        <v>21</v>
      </c>
      <c r="AA19" s="249" t="s">
        <v>58</v>
      </c>
      <c r="AB19" s="130" t="s">
        <v>59</v>
      </c>
      <c r="AC19" s="119" t="s">
        <v>22</v>
      </c>
      <c r="AD19" s="17"/>
    </row>
    <row r="20" spans="1:30" s="5" customFormat="1" ht="16.5" customHeight="1" thickTop="1">
      <c r="A20" s="88"/>
      <c r="B20" s="93"/>
      <c r="C20" s="250"/>
      <c r="D20" s="250"/>
      <c r="E20" s="250"/>
      <c r="F20" s="250"/>
      <c r="G20" s="250"/>
      <c r="H20" s="250"/>
      <c r="I20" s="251"/>
      <c r="J20" s="252"/>
      <c r="K20" s="250"/>
      <c r="L20" s="250"/>
      <c r="M20" s="250"/>
      <c r="N20" s="250"/>
      <c r="O20" s="250"/>
      <c r="P20" s="174"/>
      <c r="Q20" s="253"/>
      <c r="R20" s="250"/>
      <c r="S20" s="254"/>
      <c r="T20" s="255"/>
      <c r="U20" s="256"/>
      <c r="V20" s="257"/>
      <c r="W20" s="258"/>
      <c r="X20" s="259"/>
      <c r="Y20" s="260"/>
      <c r="Z20" s="261"/>
      <c r="AA20" s="262"/>
      <c r="AB20" s="253"/>
      <c r="AC20" s="263"/>
      <c r="AD20" s="17"/>
    </row>
    <row r="21" spans="1:30" s="5" customFormat="1" ht="16.5" customHeight="1">
      <c r="A21" s="88"/>
      <c r="B21" s="93"/>
      <c r="C21" s="264"/>
      <c r="D21" s="264"/>
      <c r="E21" s="264"/>
      <c r="F21" s="264"/>
      <c r="G21" s="264"/>
      <c r="H21" s="264"/>
      <c r="I21" s="265"/>
      <c r="J21" s="266"/>
      <c r="K21" s="264"/>
      <c r="L21" s="264"/>
      <c r="M21" s="264"/>
      <c r="N21" s="264"/>
      <c r="O21" s="264"/>
      <c r="P21" s="176"/>
      <c r="Q21" s="267"/>
      <c r="R21" s="264"/>
      <c r="S21" s="268"/>
      <c r="T21" s="269"/>
      <c r="U21" s="270"/>
      <c r="V21" s="271"/>
      <c r="W21" s="272"/>
      <c r="X21" s="273"/>
      <c r="Y21" s="274"/>
      <c r="Z21" s="275"/>
      <c r="AA21" s="276"/>
      <c r="AB21" s="267"/>
      <c r="AC21" s="277"/>
      <c r="AD21" s="17"/>
    </row>
    <row r="22" spans="1:30" s="5" customFormat="1" ht="16.5" customHeight="1">
      <c r="A22" s="88"/>
      <c r="B22" s="93"/>
      <c r="C22" s="149"/>
      <c r="D22" s="149"/>
      <c r="E22" s="149"/>
      <c r="F22" s="145"/>
      <c r="G22" s="278"/>
      <c r="H22" s="279"/>
      <c r="I22" s="280"/>
      <c r="J22" s="281"/>
      <c r="K22" s="150"/>
      <c r="L22" s="150"/>
      <c r="M22" s="282"/>
      <c r="N22" s="14"/>
      <c r="O22" s="151"/>
      <c r="P22" s="470"/>
      <c r="Q22" s="8"/>
      <c r="R22" s="211"/>
      <c r="S22" s="283"/>
      <c r="T22" s="284"/>
      <c r="U22" s="285"/>
      <c r="V22" s="286"/>
      <c r="W22" s="287"/>
      <c r="X22" s="288"/>
      <c r="Y22" s="289"/>
      <c r="Z22" s="290"/>
      <c r="AA22" s="291"/>
      <c r="AB22" s="292"/>
      <c r="AC22" s="16"/>
      <c r="AD22" s="17"/>
    </row>
    <row r="23" spans="1:30" s="5" customFormat="1" ht="16.5" customHeight="1">
      <c r="A23" s="88"/>
      <c r="B23" s="93"/>
      <c r="C23" s="264">
        <v>28</v>
      </c>
      <c r="D23" s="264">
        <v>209669</v>
      </c>
      <c r="E23" s="264">
        <v>64</v>
      </c>
      <c r="F23" s="145" t="s">
        <v>159</v>
      </c>
      <c r="G23" s="278" t="s">
        <v>160</v>
      </c>
      <c r="H23" s="279">
        <v>100</v>
      </c>
      <c r="I23" s="280" t="s">
        <v>94</v>
      </c>
      <c r="J23" s="281">
        <f aca="true" t="shared" si="0" ref="J23:J41">H23*$H$16</f>
        <v>31.900000000000002</v>
      </c>
      <c r="K23" s="150">
        <v>40033.35833333333</v>
      </c>
      <c r="L23" s="150">
        <v>40033.717361111114</v>
      </c>
      <c r="M23" s="282">
        <f aca="true" t="shared" si="1" ref="M23:M41">IF(F23="","",(L23-K23)*24)</f>
        <v>8.616666666814126</v>
      </c>
      <c r="N23" s="14">
        <f aca="true" t="shared" si="2" ref="N23:N41">IF(F23="","",ROUND((L23-K23)*24*60,0))</f>
        <v>517</v>
      </c>
      <c r="O23" s="151" t="s">
        <v>144</v>
      </c>
      <c r="P23" s="470" t="str">
        <f aca="true" t="shared" si="3" ref="P23:P41">IF(F23="","","--")</f>
        <v>--</v>
      </c>
      <c r="Q23" s="8" t="str">
        <f aca="true" t="shared" si="4" ref="Q23:Q41">IF(F23="","",IF(OR(O23="P",O23="RP"),"--","NO"))</f>
        <v>--</v>
      </c>
      <c r="R23" s="211" t="str">
        <f aca="true" t="shared" si="5" ref="R23:R41">IF(F23="","","NO")</f>
        <v>NO</v>
      </c>
      <c r="S23" s="283">
        <f aca="true" t="shared" si="6" ref="S23:S41">$H$17*IF(OR(O23="P",O23="RP"),0.1,1)*IF(R23="SI",1,0.1)</f>
        <v>2</v>
      </c>
      <c r="T23" s="284">
        <f aca="true" t="shared" si="7" ref="T23:T41">IF(O23="P",J23*S23*ROUND(N23/60,2),"--")</f>
        <v>549.956</v>
      </c>
      <c r="U23" s="285" t="str">
        <f aca="true" t="shared" si="8" ref="U23:U41">IF(O23="RP",J23*S23*P23/100*ROUND(N23/60,2),"--")</f>
        <v>--</v>
      </c>
      <c r="V23" s="286" t="str">
        <f aca="true" t="shared" si="9" ref="V23:V41">IF(AND(O23="F",Q23="NO"),J23*S23,"--")</f>
        <v>--</v>
      </c>
      <c r="W23" s="287" t="str">
        <f aca="true" t="shared" si="10" ref="W23:W41">IF(O23="F",J23*S23*ROUND(N23/60,2),"--")</f>
        <v>--</v>
      </c>
      <c r="X23" s="288" t="str">
        <f aca="true" t="shared" si="11" ref="X23:X41">IF(AND(O23="R",Q23="NO"),J23*S23*P23/100,"--")</f>
        <v>--</v>
      </c>
      <c r="Y23" s="289" t="str">
        <f aca="true" t="shared" si="12" ref="Y23:Y41">IF(O23="R",J23*S23*P23/100*ROUND(N23/60,2),"--")</f>
        <v>--</v>
      </c>
      <c r="Z23" s="290" t="str">
        <f aca="true" t="shared" si="13" ref="Z23:Z41">IF(O23="RF",J23*S23*ROUND(N23/60,2),"--")</f>
        <v>--</v>
      </c>
      <c r="AA23" s="291" t="str">
        <f aca="true" t="shared" si="14" ref="AA23:AA41">IF(O23="RR",J23*S23*P23/100*ROUND(N23/60,2),"--")</f>
        <v>--</v>
      </c>
      <c r="AB23" s="292" t="s">
        <v>128</v>
      </c>
      <c r="AC23" s="16">
        <f aca="true" t="shared" si="15" ref="AC23:AC41">IF(F23="","",(SUM(T23:AA23)*IF(AB23="SI",1,2)*IF(AND(P23&lt;&gt;"--",O23="RF"),P23/100,1)))</f>
        <v>549.956</v>
      </c>
      <c r="AD23" s="17"/>
    </row>
    <row r="24" spans="1:30" s="5" customFormat="1" ht="16.5" customHeight="1">
      <c r="A24" s="88"/>
      <c r="B24" s="93"/>
      <c r="C24" s="149">
        <v>29</v>
      </c>
      <c r="D24" s="149">
        <v>209672</v>
      </c>
      <c r="E24" s="149">
        <v>64</v>
      </c>
      <c r="F24" s="145" t="s">
        <v>159</v>
      </c>
      <c r="G24" s="278" t="s">
        <v>160</v>
      </c>
      <c r="H24" s="279">
        <v>100</v>
      </c>
      <c r="I24" s="280" t="s">
        <v>94</v>
      </c>
      <c r="J24" s="281">
        <f t="shared" si="0"/>
        <v>31.900000000000002</v>
      </c>
      <c r="K24" s="150">
        <v>40034.342361111114</v>
      </c>
      <c r="L24" s="150">
        <v>40034.71805555555</v>
      </c>
      <c r="M24" s="282">
        <f t="shared" si="1"/>
        <v>9.01666666654637</v>
      </c>
      <c r="N24" s="14">
        <f t="shared" si="2"/>
        <v>541</v>
      </c>
      <c r="O24" s="151" t="s">
        <v>144</v>
      </c>
      <c r="P24" s="470" t="str">
        <f t="shared" si="3"/>
        <v>--</v>
      </c>
      <c r="Q24" s="8" t="str">
        <f t="shared" si="4"/>
        <v>--</v>
      </c>
      <c r="R24" s="211" t="str">
        <f t="shared" si="5"/>
        <v>NO</v>
      </c>
      <c r="S24" s="283">
        <f t="shared" si="6"/>
        <v>2</v>
      </c>
      <c r="T24" s="284">
        <f t="shared" si="7"/>
        <v>575.476</v>
      </c>
      <c r="U24" s="285" t="str">
        <f t="shared" si="8"/>
        <v>--</v>
      </c>
      <c r="V24" s="286" t="str">
        <f t="shared" si="9"/>
        <v>--</v>
      </c>
      <c r="W24" s="287" t="str">
        <f t="shared" si="10"/>
        <v>--</v>
      </c>
      <c r="X24" s="288" t="str">
        <f t="shared" si="11"/>
        <v>--</v>
      </c>
      <c r="Y24" s="289" t="str">
        <f t="shared" si="12"/>
        <v>--</v>
      </c>
      <c r="Z24" s="290" t="str">
        <f t="shared" si="13"/>
        <v>--</v>
      </c>
      <c r="AA24" s="291" t="str">
        <f t="shared" si="14"/>
        <v>--</v>
      </c>
      <c r="AB24" s="292" t="s">
        <v>128</v>
      </c>
      <c r="AC24" s="16">
        <f t="shared" si="15"/>
        <v>575.476</v>
      </c>
      <c r="AD24" s="17"/>
    </row>
    <row r="25" spans="1:30" s="5" customFormat="1" ht="16.5" customHeight="1">
      <c r="A25" s="88"/>
      <c r="B25" s="93"/>
      <c r="C25" s="264">
        <v>30</v>
      </c>
      <c r="D25" s="264">
        <v>209891</v>
      </c>
      <c r="E25" s="264">
        <v>81</v>
      </c>
      <c r="F25" s="145" t="s">
        <v>161</v>
      </c>
      <c r="G25" s="278" t="s">
        <v>162</v>
      </c>
      <c r="H25" s="279">
        <v>300</v>
      </c>
      <c r="I25" s="280" t="s">
        <v>94</v>
      </c>
      <c r="J25" s="281">
        <f t="shared" si="0"/>
        <v>95.7</v>
      </c>
      <c r="K25" s="150">
        <v>40036.50833333333</v>
      </c>
      <c r="L25" s="150">
        <v>40036.54722222222</v>
      </c>
      <c r="M25" s="282">
        <f t="shared" si="1"/>
        <v>0.933333333407063</v>
      </c>
      <c r="N25" s="14">
        <f t="shared" si="2"/>
        <v>56</v>
      </c>
      <c r="O25" s="151" t="s">
        <v>144</v>
      </c>
      <c r="P25" s="470" t="str">
        <f t="shared" si="3"/>
        <v>--</v>
      </c>
      <c r="Q25" s="8" t="str">
        <f t="shared" si="4"/>
        <v>--</v>
      </c>
      <c r="R25" s="211" t="str">
        <f t="shared" si="5"/>
        <v>NO</v>
      </c>
      <c r="S25" s="283">
        <f t="shared" si="6"/>
        <v>2</v>
      </c>
      <c r="T25" s="284">
        <f t="shared" si="7"/>
        <v>178.002</v>
      </c>
      <c r="U25" s="285" t="str">
        <f t="shared" si="8"/>
        <v>--</v>
      </c>
      <c r="V25" s="286" t="str">
        <f t="shared" si="9"/>
        <v>--</v>
      </c>
      <c r="W25" s="287" t="str">
        <f t="shared" si="10"/>
        <v>--</v>
      </c>
      <c r="X25" s="288" t="str">
        <f t="shared" si="11"/>
        <v>--</v>
      </c>
      <c r="Y25" s="289" t="str">
        <f t="shared" si="12"/>
        <v>--</v>
      </c>
      <c r="Z25" s="290" t="str">
        <f t="shared" si="13"/>
        <v>--</v>
      </c>
      <c r="AA25" s="291" t="str">
        <f t="shared" si="14"/>
        <v>--</v>
      </c>
      <c r="AB25" s="292" t="s">
        <v>128</v>
      </c>
      <c r="AC25" s="16">
        <f t="shared" si="15"/>
        <v>178.002</v>
      </c>
      <c r="AD25" s="17"/>
    </row>
    <row r="26" spans="1:30" s="5" customFormat="1" ht="16.5" customHeight="1">
      <c r="A26" s="88"/>
      <c r="B26" s="93"/>
      <c r="C26" s="149">
        <v>31</v>
      </c>
      <c r="D26" s="149">
        <v>210119</v>
      </c>
      <c r="E26" s="149">
        <v>3803</v>
      </c>
      <c r="F26" s="145" t="s">
        <v>163</v>
      </c>
      <c r="G26" s="278" t="s">
        <v>162</v>
      </c>
      <c r="H26" s="279">
        <v>150</v>
      </c>
      <c r="I26" s="280" t="s">
        <v>109</v>
      </c>
      <c r="J26" s="281">
        <f t="shared" si="0"/>
        <v>47.85</v>
      </c>
      <c r="K26" s="150">
        <v>40043.77361111111</v>
      </c>
      <c r="L26" s="150">
        <v>40043.794444444444</v>
      </c>
      <c r="M26" s="282">
        <f t="shared" si="1"/>
        <v>0.5000000000582077</v>
      </c>
      <c r="N26" s="14">
        <f t="shared" si="2"/>
        <v>30</v>
      </c>
      <c r="O26" s="151" t="s">
        <v>147</v>
      </c>
      <c r="P26" s="470" t="str">
        <f t="shared" si="3"/>
        <v>--</v>
      </c>
      <c r="Q26" s="8" t="str">
        <f t="shared" si="4"/>
        <v>NO</v>
      </c>
      <c r="R26" s="211" t="str">
        <f t="shared" si="5"/>
        <v>NO</v>
      </c>
      <c r="S26" s="283">
        <f t="shared" si="6"/>
        <v>20</v>
      </c>
      <c r="T26" s="284" t="str">
        <f t="shared" si="7"/>
        <v>--</v>
      </c>
      <c r="U26" s="285" t="str">
        <f t="shared" si="8"/>
        <v>--</v>
      </c>
      <c r="V26" s="286">
        <f t="shared" si="9"/>
        <v>957</v>
      </c>
      <c r="W26" s="287">
        <f t="shared" si="10"/>
        <v>478.5</v>
      </c>
      <c r="X26" s="288" t="str">
        <f t="shared" si="11"/>
        <v>--</v>
      </c>
      <c r="Y26" s="289" t="str">
        <f t="shared" si="12"/>
        <v>--</v>
      </c>
      <c r="Z26" s="290" t="str">
        <f t="shared" si="13"/>
        <v>--</v>
      </c>
      <c r="AA26" s="291" t="str">
        <f t="shared" si="14"/>
        <v>--</v>
      </c>
      <c r="AB26" s="292" t="s">
        <v>128</v>
      </c>
      <c r="AC26" s="16">
        <f t="shared" si="15"/>
        <v>1435.5</v>
      </c>
      <c r="AD26" s="17"/>
    </row>
    <row r="27" spans="1:30" s="5" customFormat="1" ht="16.5" customHeight="1">
      <c r="A27" s="88"/>
      <c r="B27" s="93"/>
      <c r="C27" s="264">
        <v>32</v>
      </c>
      <c r="D27" s="264">
        <v>210132</v>
      </c>
      <c r="E27" s="264">
        <v>82</v>
      </c>
      <c r="F27" s="145" t="s">
        <v>161</v>
      </c>
      <c r="G27" s="278" t="s">
        <v>164</v>
      </c>
      <c r="H27" s="279">
        <v>300</v>
      </c>
      <c r="I27" s="280" t="s">
        <v>94</v>
      </c>
      <c r="J27" s="281">
        <f t="shared" si="0"/>
        <v>95.7</v>
      </c>
      <c r="K27" s="150">
        <v>40046.322916666664</v>
      </c>
      <c r="L27" s="150">
        <v>40046.65347222222</v>
      </c>
      <c r="M27" s="282">
        <f t="shared" si="1"/>
        <v>7.933333333348855</v>
      </c>
      <c r="N27" s="14">
        <f t="shared" si="2"/>
        <v>476</v>
      </c>
      <c r="O27" s="151" t="s">
        <v>144</v>
      </c>
      <c r="P27" s="470" t="str">
        <f t="shared" si="3"/>
        <v>--</v>
      </c>
      <c r="Q27" s="8" t="str">
        <f t="shared" si="4"/>
        <v>--</v>
      </c>
      <c r="R27" s="211" t="str">
        <f t="shared" si="5"/>
        <v>NO</v>
      </c>
      <c r="S27" s="283">
        <f t="shared" si="6"/>
        <v>2</v>
      </c>
      <c r="T27" s="284">
        <f t="shared" si="7"/>
        <v>1517.802</v>
      </c>
      <c r="U27" s="285" t="str">
        <f t="shared" si="8"/>
        <v>--</v>
      </c>
      <c r="V27" s="286" t="str">
        <f t="shared" si="9"/>
        <v>--</v>
      </c>
      <c r="W27" s="287" t="str">
        <f t="shared" si="10"/>
        <v>--</v>
      </c>
      <c r="X27" s="288" t="str">
        <f t="shared" si="11"/>
        <v>--</v>
      </c>
      <c r="Y27" s="289" t="str">
        <f t="shared" si="12"/>
        <v>--</v>
      </c>
      <c r="Z27" s="290" t="str">
        <f t="shared" si="13"/>
        <v>--</v>
      </c>
      <c r="AA27" s="291" t="str">
        <f t="shared" si="14"/>
        <v>--</v>
      </c>
      <c r="AB27" s="292" t="s">
        <v>128</v>
      </c>
      <c r="AC27" s="16">
        <f t="shared" si="15"/>
        <v>1517.802</v>
      </c>
      <c r="AD27" s="17"/>
    </row>
    <row r="28" spans="1:31" s="5" customFormat="1" ht="16.5" customHeight="1">
      <c r="A28" s="88"/>
      <c r="B28" s="93"/>
      <c r="C28" s="149">
        <v>33</v>
      </c>
      <c r="D28" s="149">
        <v>210142</v>
      </c>
      <c r="E28" s="149">
        <v>55</v>
      </c>
      <c r="F28" s="145" t="s">
        <v>165</v>
      </c>
      <c r="G28" s="278" t="s">
        <v>162</v>
      </c>
      <c r="H28" s="279">
        <v>800</v>
      </c>
      <c r="I28" s="280" t="s">
        <v>166</v>
      </c>
      <c r="J28" s="281">
        <f t="shared" si="0"/>
        <v>255.20000000000002</v>
      </c>
      <c r="K28" s="150">
        <v>40048.21944444445</v>
      </c>
      <c r="L28" s="150">
        <v>40048.30694444444</v>
      </c>
      <c r="M28" s="282">
        <f t="shared" si="1"/>
        <v>2.0999999998603016</v>
      </c>
      <c r="N28" s="14">
        <f t="shared" si="2"/>
        <v>126</v>
      </c>
      <c r="O28" s="151" t="s">
        <v>144</v>
      </c>
      <c r="P28" s="470" t="str">
        <f t="shared" si="3"/>
        <v>--</v>
      </c>
      <c r="Q28" s="8" t="str">
        <f t="shared" si="4"/>
        <v>--</v>
      </c>
      <c r="R28" s="211" t="str">
        <f t="shared" si="5"/>
        <v>NO</v>
      </c>
      <c r="S28" s="283">
        <f t="shared" si="6"/>
        <v>2</v>
      </c>
      <c r="T28" s="284">
        <f t="shared" si="7"/>
        <v>1071.8400000000001</v>
      </c>
      <c r="U28" s="285" t="str">
        <f t="shared" si="8"/>
        <v>--</v>
      </c>
      <c r="V28" s="286" t="str">
        <f t="shared" si="9"/>
        <v>--</v>
      </c>
      <c r="W28" s="287" t="str">
        <f t="shared" si="10"/>
        <v>--</v>
      </c>
      <c r="X28" s="288" t="str">
        <f t="shared" si="11"/>
        <v>--</v>
      </c>
      <c r="Y28" s="289" t="str">
        <f t="shared" si="12"/>
        <v>--</v>
      </c>
      <c r="Z28" s="290" t="str">
        <f t="shared" si="13"/>
        <v>--</v>
      </c>
      <c r="AA28" s="291" t="str">
        <f t="shared" si="14"/>
        <v>--</v>
      </c>
      <c r="AB28" s="292" t="s">
        <v>128</v>
      </c>
      <c r="AC28" s="16">
        <v>0</v>
      </c>
      <c r="AD28" s="17"/>
      <c r="AE28" s="15"/>
    </row>
    <row r="29" spans="1:30" s="5" customFormat="1" ht="16.5" customHeight="1">
      <c r="A29" s="88"/>
      <c r="B29" s="93"/>
      <c r="C29" s="264">
        <v>34</v>
      </c>
      <c r="D29" s="264">
        <v>210139</v>
      </c>
      <c r="E29" s="264">
        <v>4654</v>
      </c>
      <c r="F29" s="145" t="s">
        <v>167</v>
      </c>
      <c r="G29" s="278" t="s">
        <v>168</v>
      </c>
      <c r="H29" s="279">
        <v>300</v>
      </c>
      <c r="I29" s="280" t="s">
        <v>158</v>
      </c>
      <c r="J29" s="281">
        <f t="shared" si="0"/>
        <v>95.7</v>
      </c>
      <c r="K29" s="150">
        <v>40048.325694444444</v>
      </c>
      <c r="L29" s="150">
        <v>40048.55763888889</v>
      </c>
      <c r="M29" s="282">
        <f t="shared" si="1"/>
        <v>5.566666666651145</v>
      </c>
      <c r="N29" s="14">
        <f t="shared" si="2"/>
        <v>334</v>
      </c>
      <c r="O29" s="151" t="s">
        <v>144</v>
      </c>
      <c r="P29" s="470" t="str">
        <f t="shared" si="3"/>
        <v>--</v>
      </c>
      <c r="Q29" s="8" t="str">
        <f t="shared" si="4"/>
        <v>--</v>
      </c>
      <c r="R29" s="211" t="str">
        <f t="shared" si="5"/>
        <v>NO</v>
      </c>
      <c r="S29" s="283">
        <f t="shared" si="6"/>
        <v>2</v>
      </c>
      <c r="T29" s="284">
        <f t="shared" si="7"/>
        <v>1066.0980000000002</v>
      </c>
      <c r="U29" s="285" t="str">
        <f t="shared" si="8"/>
        <v>--</v>
      </c>
      <c r="V29" s="286" t="str">
        <f t="shared" si="9"/>
        <v>--</v>
      </c>
      <c r="W29" s="287" t="str">
        <f t="shared" si="10"/>
        <v>--</v>
      </c>
      <c r="X29" s="288" t="str">
        <f t="shared" si="11"/>
        <v>--</v>
      </c>
      <c r="Y29" s="289" t="str">
        <f t="shared" si="12"/>
        <v>--</v>
      </c>
      <c r="Z29" s="290" t="str">
        <f t="shared" si="13"/>
        <v>--</v>
      </c>
      <c r="AA29" s="291" t="str">
        <f t="shared" si="14"/>
        <v>--</v>
      </c>
      <c r="AB29" s="292" t="s">
        <v>128</v>
      </c>
      <c r="AC29" s="16">
        <f t="shared" si="15"/>
        <v>1066.0980000000002</v>
      </c>
      <c r="AD29" s="17"/>
    </row>
    <row r="30" spans="1:30" s="5" customFormat="1" ht="16.5" customHeight="1">
      <c r="A30" s="88"/>
      <c r="B30" s="93"/>
      <c r="C30" s="149">
        <v>35</v>
      </c>
      <c r="D30" s="149">
        <v>210457</v>
      </c>
      <c r="E30" s="149">
        <v>81</v>
      </c>
      <c r="F30" s="145" t="s">
        <v>161</v>
      </c>
      <c r="G30" s="278" t="s">
        <v>162</v>
      </c>
      <c r="H30" s="279">
        <v>300</v>
      </c>
      <c r="I30" s="280" t="s">
        <v>94</v>
      </c>
      <c r="J30" s="281">
        <f t="shared" si="0"/>
        <v>95.7</v>
      </c>
      <c r="K30" s="150">
        <v>40050.333333333336</v>
      </c>
      <c r="L30" s="150">
        <v>40050.38680555556</v>
      </c>
      <c r="M30" s="282">
        <f t="shared" si="1"/>
        <v>1.2833333333255723</v>
      </c>
      <c r="N30" s="14">
        <f t="shared" si="2"/>
        <v>77</v>
      </c>
      <c r="O30" s="151" t="s">
        <v>144</v>
      </c>
      <c r="P30" s="470" t="str">
        <f t="shared" si="3"/>
        <v>--</v>
      </c>
      <c r="Q30" s="8" t="str">
        <f t="shared" si="4"/>
        <v>--</v>
      </c>
      <c r="R30" s="211" t="str">
        <f t="shared" si="5"/>
        <v>NO</v>
      </c>
      <c r="S30" s="283">
        <f t="shared" si="6"/>
        <v>2</v>
      </c>
      <c r="T30" s="284">
        <f t="shared" si="7"/>
        <v>244.99200000000002</v>
      </c>
      <c r="U30" s="285" t="str">
        <f t="shared" si="8"/>
        <v>--</v>
      </c>
      <c r="V30" s="286" t="str">
        <f t="shared" si="9"/>
        <v>--</v>
      </c>
      <c r="W30" s="287" t="str">
        <f t="shared" si="10"/>
        <v>--</v>
      </c>
      <c r="X30" s="288" t="str">
        <f t="shared" si="11"/>
        <v>--</v>
      </c>
      <c r="Y30" s="289" t="str">
        <f t="shared" si="12"/>
        <v>--</v>
      </c>
      <c r="Z30" s="290" t="str">
        <f t="shared" si="13"/>
        <v>--</v>
      </c>
      <c r="AA30" s="291" t="str">
        <f t="shared" si="14"/>
        <v>--</v>
      </c>
      <c r="AB30" s="292" t="s">
        <v>128</v>
      </c>
      <c r="AC30" s="16">
        <f t="shared" si="15"/>
        <v>244.99200000000002</v>
      </c>
      <c r="AD30" s="17"/>
    </row>
    <row r="31" spans="1:30" s="5" customFormat="1" ht="16.5" customHeight="1">
      <c r="A31" s="88"/>
      <c r="B31" s="93"/>
      <c r="C31" s="264">
        <v>36</v>
      </c>
      <c r="D31" s="264">
        <v>210465</v>
      </c>
      <c r="E31" s="264">
        <v>76</v>
      </c>
      <c r="F31" s="145" t="s">
        <v>167</v>
      </c>
      <c r="G31" s="278" t="s">
        <v>164</v>
      </c>
      <c r="H31" s="279">
        <v>150</v>
      </c>
      <c r="I31" s="280" t="s">
        <v>169</v>
      </c>
      <c r="J31" s="281">
        <f t="shared" si="0"/>
        <v>47.85</v>
      </c>
      <c r="K31" s="150">
        <v>40051.38402777778</v>
      </c>
      <c r="L31" s="150">
        <v>40051.67847222222</v>
      </c>
      <c r="M31" s="282">
        <f t="shared" si="1"/>
        <v>7.066666666651145</v>
      </c>
      <c r="N31" s="14">
        <f t="shared" si="2"/>
        <v>424</v>
      </c>
      <c r="O31" s="151" t="s">
        <v>144</v>
      </c>
      <c r="P31" s="470" t="str">
        <f t="shared" si="3"/>
        <v>--</v>
      </c>
      <c r="Q31" s="8" t="str">
        <f t="shared" si="4"/>
        <v>--</v>
      </c>
      <c r="R31" s="211" t="str">
        <f t="shared" si="5"/>
        <v>NO</v>
      </c>
      <c r="S31" s="283">
        <f t="shared" si="6"/>
        <v>2</v>
      </c>
      <c r="T31" s="284">
        <f t="shared" si="7"/>
        <v>676.599</v>
      </c>
      <c r="U31" s="285" t="str">
        <f t="shared" si="8"/>
        <v>--</v>
      </c>
      <c r="V31" s="286" t="str">
        <f t="shared" si="9"/>
        <v>--</v>
      </c>
      <c r="W31" s="287" t="str">
        <f t="shared" si="10"/>
        <v>--</v>
      </c>
      <c r="X31" s="288" t="str">
        <f t="shared" si="11"/>
        <v>--</v>
      </c>
      <c r="Y31" s="289" t="str">
        <f t="shared" si="12"/>
        <v>--</v>
      </c>
      <c r="Z31" s="290" t="str">
        <f t="shared" si="13"/>
        <v>--</v>
      </c>
      <c r="AA31" s="291" t="str">
        <f t="shared" si="14"/>
        <v>--</v>
      </c>
      <c r="AB31" s="292" t="s">
        <v>128</v>
      </c>
      <c r="AC31" s="16">
        <f t="shared" si="15"/>
        <v>676.599</v>
      </c>
      <c r="AD31" s="17"/>
    </row>
    <row r="32" spans="1:30" s="5" customFormat="1" ht="16.5" customHeight="1">
      <c r="A32" s="88"/>
      <c r="B32" s="93"/>
      <c r="C32" s="149"/>
      <c r="D32" s="149"/>
      <c r="E32" s="149"/>
      <c r="F32" s="145"/>
      <c r="G32" s="294"/>
      <c r="H32" s="279"/>
      <c r="I32" s="280"/>
      <c r="J32" s="281">
        <f t="shared" si="0"/>
        <v>0</v>
      </c>
      <c r="K32" s="150"/>
      <c r="L32" s="150"/>
      <c r="M32" s="282">
        <f t="shared" si="1"/>
      </c>
      <c r="N32" s="14">
        <f t="shared" si="2"/>
      </c>
      <c r="O32" s="151"/>
      <c r="P32" s="470">
        <f t="shared" si="3"/>
      </c>
      <c r="Q32" s="8">
        <f t="shared" si="4"/>
      </c>
      <c r="R32" s="211">
        <f t="shared" si="5"/>
      </c>
      <c r="S32" s="283">
        <f t="shared" si="6"/>
        <v>20</v>
      </c>
      <c r="T32" s="284" t="str">
        <f t="shared" si="7"/>
        <v>--</v>
      </c>
      <c r="U32" s="285" t="str">
        <f t="shared" si="8"/>
        <v>--</v>
      </c>
      <c r="V32" s="286" t="str">
        <f t="shared" si="9"/>
        <v>--</v>
      </c>
      <c r="W32" s="287" t="str">
        <f t="shared" si="10"/>
        <v>--</v>
      </c>
      <c r="X32" s="288" t="str">
        <f t="shared" si="11"/>
        <v>--</v>
      </c>
      <c r="Y32" s="289" t="str">
        <f t="shared" si="12"/>
        <v>--</v>
      </c>
      <c r="Z32" s="290" t="str">
        <f t="shared" si="13"/>
        <v>--</v>
      </c>
      <c r="AA32" s="291" t="str">
        <f t="shared" si="14"/>
        <v>--</v>
      </c>
      <c r="AB32" s="292">
        <f aca="true" t="shared" si="16" ref="AB32:AB41">IF(F32="","","SI")</f>
      </c>
      <c r="AC32" s="16">
        <f t="shared" si="15"/>
      </c>
      <c r="AD32" s="17"/>
    </row>
    <row r="33" spans="1:30" s="5" customFormat="1" ht="16.5" customHeight="1">
      <c r="A33" s="88"/>
      <c r="B33" s="93"/>
      <c r="C33" s="264"/>
      <c r="D33" s="264"/>
      <c r="E33" s="264"/>
      <c r="F33" s="145"/>
      <c r="G33" s="294"/>
      <c r="H33" s="279"/>
      <c r="I33" s="280"/>
      <c r="J33" s="281">
        <f t="shared" si="0"/>
        <v>0</v>
      </c>
      <c r="K33" s="150"/>
      <c r="L33" s="150"/>
      <c r="M33" s="282">
        <f t="shared" si="1"/>
      </c>
      <c r="N33" s="14">
        <f t="shared" si="2"/>
      </c>
      <c r="O33" s="151"/>
      <c r="P33" s="470">
        <f t="shared" si="3"/>
      </c>
      <c r="Q33" s="8">
        <f t="shared" si="4"/>
      </c>
      <c r="R33" s="211">
        <f t="shared" si="5"/>
      </c>
      <c r="S33" s="283">
        <f t="shared" si="6"/>
        <v>20</v>
      </c>
      <c r="T33" s="284" t="str">
        <f t="shared" si="7"/>
        <v>--</v>
      </c>
      <c r="U33" s="285" t="str">
        <f t="shared" si="8"/>
        <v>--</v>
      </c>
      <c r="V33" s="286" t="str">
        <f t="shared" si="9"/>
        <v>--</v>
      </c>
      <c r="W33" s="287" t="str">
        <f t="shared" si="10"/>
        <v>--</v>
      </c>
      <c r="X33" s="288" t="str">
        <f t="shared" si="11"/>
        <v>--</v>
      </c>
      <c r="Y33" s="289" t="str">
        <f t="shared" si="12"/>
        <v>--</v>
      </c>
      <c r="Z33" s="290" t="str">
        <f t="shared" si="13"/>
        <v>--</v>
      </c>
      <c r="AA33" s="291" t="str">
        <f t="shared" si="14"/>
        <v>--</v>
      </c>
      <c r="AB33" s="292">
        <f t="shared" si="16"/>
      </c>
      <c r="AC33" s="16">
        <f t="shared" si="15"/>
      </c>
      <c r="AD33" s="17"/>
    </row>
    <row r="34" spans="1:30" s="5" customFormat="1" ht="16.5" customHeight="1">
      <c r="A34" s="88"/>
      <c r="B34" s="93"/>
      <c r="C34" s="149"/>
      <c r="D34" s="149"/>
      <c r="E34" s="149"/>
      <c r="F34" s="145"/>
      <c r="G34" s="294"/>
      <c r="H34" s="279"/>
      <c r="I34" s="280"/>
      <c r="J34" s="281">
        <f t="shared" si="0"/>
        <v>0</v>
      </c>
      <c r="K34" s="150"/>
      <c r="L34" s="150"/>
      <c r="M34" s="282">
        <f t="shared" si="1"/>
      </c>
      <c r="N34" s="14">
        <f t="shared" si="2"/>
      </c>
      <c r="O34" s="151"/>
      <c r="P34" s="470">
        <f t="shared" si="3"/>
      </c>
      <c r="Q34" s="8">
        <f t="shared" si="4"/>
      </c>
      <c r="R34" s="211">
        <f t="shared" si="5"/>
      </c>
      <c r="S34" s="283">
        <f t="shared" si="6"/>
        <v>20</v>
      </c>
      <c r="T34" s="284" t="str">
        <f t="shared" si="7"/>
        <v>--</v>
      </c>
      <c r="U34" s="285" t="str">
        <f t="shared" si="8"/>
        <v>--</v>
      </c>
      <c r="V34" s="286" t="str">
        <f t="shared" si="9"/>
        <v>--</v>
      </c>
      <c r="W34" s="287" t="str">
        <f t="shared" si="10"/>
        <v>--</v>
      </c>
      <c r="X34" s="288" t="str">
        <f t="shared" si="11"/>
        <v>--</v>
      </c>
      <c r="Y34" s="289" t="str">
        <f t="shared" si="12"/>
        <v>--</v>
      </c>
      <c r="Z34" s="290" t="str">
        <f t="shared" si="13"/>
        <v>--</v>
      </c>
      <c r="AA34" s="291" t="str">
        <f t="shared" si="14"/>
        <v>--</v>
      </c>
      <c r="AB34" s="292">
        <f t="shared" si="16"/>
      </c>
      <c r="AC34" s="16">
        <f t="shared" si="15"/>
      </c>
      <c r="AD34" s="17"/>
    </row>
    <row r="35" spans="1:30" s="5" customFormat="1" ht="16.5" customHeight="1">
      <c r="A35" s="88"/>
      <c r="B35" s="93"/>
      <c r="C35" s="264"/>
      <c r="D35" s="264"/>
      <c r="E35" s="264"/>
      <c r="F35" s="145"/>
      <c r="G35" s="294"/>
      <c r="H35" s="279"/>
      <c r="I35" s="280"/>
      <c r="J35" s="281">
        <f t="shared" si="0"/>
        <v>0</v>
      </c>
      <c r="K35" s="150"/>
      <c r="L35" s="150"/>
      <c r="M35" s="282">
        <f t="shared" si="1"/>
      </c>
      <c r="N35" s="14">
        <f t="shared" si="2"/>
      </c>
      <c r="O35" s="151"/>
      <c r="P35" s="470">
        <f t="shared" si="3"/>
      </c>
      <c r="Q35" s="8">
        <f t="shared" si="4"/>
      </c>
      <c r="R35" s="211">
        <f t="shared" si="5"/>
      </c>
      <c r="S35" s="283">
        <f t="shared" si="6"/>
        <v>20</v>
      </c>
      <c r="T35" s="284" t="str">
        <f t="shared" si="7"/>
        <v>--</v>
      </c>
      <c r="U35" s="285" t="str">
        <f t="shared" si="8"/>
        <v>--</v>
      </c>
      <c r="V35" s="286" t="str">
        <f t="shared" si="9"/>
        <v>--</v>
      </c>
      <c r="W35" s="287" t="str">
        <f t="shared" si="10"/>
        <v>--</v>
      </c>
      <c r="X35" s="288" t="str">
        <f t="shared" si="11"/>
        <v>--</v>
      </c>
      <c r="Y35" s="289" t="str">
        <f t="shared" si="12"/>
        <v>--</v>
      </c>
      <c r="Z35" s="290" t="str">
        <f t="shared" si="13"/>
        <v>--</v>
      </c>
      <c r="AA35" s="291" t="str">
        <f t="shared" si="14"/>
        <v>--</v>
      </c>
      <c r="AB35" s="292">
        <f t="shared" si="16"/>
      </c>
      <c r="AC35" s="16">
        <f t="shared" si="15"/>
      </c>
      <c r="AD35" s="17"/>
    </row>
    <row r="36" spans="1:30" s="5" customFormat="1" ht="16.5" customHeight="1">
      <c r="A36" s="88"/>
      <c r="B36" s="93"/>
      <c r="C36" s="149"/>
      <c r="D36" s="149"/>
      <c r="E36" s="149"/>
      <c r="F36" s="145"/>
      <c r="G36" s="294"/>
      <c r="H36" s="279"/>
      <c r="I36" s="280"/>
      <c r="J36" s="281">
        <f t="shared" si="0"/>
        <v>0</v>
      </c>
      <c r="K36" s="150"/>
      <c r="L36" s="150"/>
      <c r="M36" s="282">
        <f t="shared" si="1"/>
      </c>
      <c r="N36" s="14">
        <f t="shared" si="2"/>
      </c>
      <c r="O36" s="151"/>
      <c r="P36" s="470">
        <f t="shared" si="3"/>
      </c>
      <c r="Q36" s="8">
        <f t="shared" si="4"/>
      </c>
      <c r="R36" s="211">
        <f t="shared" si="5"/>
      </c>
      <c r="S36" s="283">
        <f t="shared" si="6"/>
        <v>20</v>
      </c>
      <c r="T36" s="284" t="str">
        <f t="shared" si="7"/>
        <v>--</v>
      </c>
      <c r="U36" s="285" t="str">
        <f t="shared" si="8"/>
        <v>--</v>
      </c>
      <c r="V36" s="286" t="str">
        <f t="shared" si="9"/>
        <v>--</v>
      </c>
      <c r="W36" s="287" t="str">
        <f t="shared" si="10"/>
        <v>--</v>
      </c>
      <c r="X36" s="288" t="str">
        <f t="shared" si="11"/>
        <v>--</v>
      </c>
      <c r="Y36" s="289" t="str">
        <f t="shared" si="12"/>
        <v>--</v>
      </c>
      <c r="Z36" s="290" t="str">
        <f t="shared" si="13"/>
        <v>--</v>
      </c>
      <c r="AA36" s="291" t="str">
        <f t="shared" si="14"/>
        <v>--</v>
      </c>
      <c r="AB36" s="292">
        <f t="shared" si="16"/>
      </c>
      <c r="AC36" s="16">
        <f t="shared" si="15"/>
      </c>
      <c r="AD36" s="17"/>
    </row>
    <row r="37" spans="1:30" s="5" customFormat="1" ht="16.5" customHeight="1">
      <c r="A37" s="88"/>
      <c r="B37" s="93"/>
      <c r="C37" s="264"/>
      <c r="D37" s="264"/>
      <c r="E37" s="264"/>
      <c r="F37" s="145"/>
      <c r="G37" s="294"/>
      <c r="H37" s="279"/>
      <c r="I37" s="280"/>
      <c r="J37" s="281">
        <f t="shared" si="0"/>
        <v>0</v>
      </c>
      <c r="K37" s="150"/>
      <c r="L37" s="150"/>
      <c r="M37" s="282">
        <f t="shared" si="1"/>
      </c>
      <c r="N37" s="14">
        <f t="shared" si="2"/>
      </c>
      <c r="O37" s="151"/>
      <c r="P37" s="470">
        <f t="shared" si="3"/>
      </c>
      <c r="Q37" s="8">
        <f t="shared" si="4"/>
      </c>
      <c r="R37" s="211">
        <f t="shared" si="5"/>
      </c>
      <c r="S37" s="283">
        <f t="shared" si="6"/>
        <v>20</v>
      </c>
      <c r="T37" s="284" t="str">
        <f t="shared" si="7"/>
        <v>--</v>
      </c>
      <c r="U37" s="285" t="str">
        <f t="shared" si="8"/>
        <v>--</v>
      </c>
      <c r="V37" s="286" t="str">
        <f t="shared" si="9"/>
        <v>--</v>
      </c>
      <c r="W37" s="287" t="str">
        <f t="shared" si="10"/>
        <v>--</v>
      </c>
      <c r="X37" s="288" t="str">
        <f t="shared" si="11"/>
        <v>--</v>
      </c>
      <c r="Y37" s="289" t="str">
        <f t="shared" si="12"/>
        <v>--</v>
      </c>
      <c r="Z37" s="290" t="str">
        <f t="shared" si="13"/>
        <v>--</v>
      </c>
      <c r="AA37" s="291" t="str">
        <f t="shared" si="14"/>
        <v>--</v>
      </c>
      <c r="AB37" s="292">
        <f t="shared" si="16"/>
      </c>
      <c r="AC37" s="16">
        <f t="shared" si="15"/>
      </c>
      <c r="AD37" s="17"/>
    </row>
    <row r="38" spans="1:30" s="5" customFormat="1" ht="16.5" customHeight="1">
      <c r="A38" s="88"/>
      <c r="B38" s="93"/>
      <c r="C38" s="149"/>
      <c r="D38" s="149"/>
      <c r="E38" s="149"/>
      <c r="F38" s="145"/>
      <c r="G38" s="294"/>
      <c r="H38" s="279"/>
      <c r="I38" s="280"/>
      <c r="J38" s="281">
        <f t="shared" si="0"/>
        <v>0</v>
      </c>
      <c r="K38" s="150"/>
      <c r="L38" s="150"/>
      <c r="M38" s="282">
        <f t="shared" si="1"/>
      </c>
      <c r="N38" s="14">
        <f t="shared" si="2"/>
      </c>
      <c r="O38" s="151"/>
      <c r="P38" s="470">
        <f t="shared" si="3"/>
      </c>
      <c r="Q38" s="8">
        <f t="shared" si="4"/>
      </c>
      <c r="R38" s="211">
        <f t="shared" si="5"/>
      </c>
      <c r="S38" s="283">
        <f t="shared" si="6"/>
        <v>20</v>
      </c>
      <c r="T38" s="284" t="str">
        <f t="shared" si="7"/>
        <v>--</v>
      </c>
      <c r="U38" s="285" t="str">
        <f t="shared" si="8"/>
        <v>--</v>
      </c>
      <c r="V38" s="286" t="str">
        <f t="shared" si="9"/>
        <v>--</v>
      </c>
      <c r="W38" s="287" t="str">
        <f t="shared" si="10"/>
        <v>--</v>
      </c>
      <c r="X38" s="288" t="str">
        <f t="shared" si="11"/>
        <v>--</v>
      </c>
      <c r="Y38" s="289" t="str">
        <f t="shared" si="12"/>
        <v>--</v>
      </c>
      <c r="Z38" s="290" t="str">
        <f t="shared" si="13"/>
        <v>--</v>
      </c>
      <c r="AA38" s="291" t="str">
        <f t="shared" si="14"/>
        <v>--</v>
      </c>
      <c r="AB38" s="292">
        <f t="shared" si="16"/>
      </c>
      <c r="AC38" s="16">
        <f t="shared" si="15"/>
      </c>
      <c r="AD38" s="17"/>
    </row>
    <row r="39" spans="1:30" s="5" customFormat="1" ht="16.5" customHeight="1">
      <c r="A39" s="88"/>
      <c r="B39" s="93"/>
      <c r="C39" s="264"/>
      <c r="D39" s="264"/>
      <c r="E39" s="264"/>
      <c r="F39" s="145"/>
      <c r="G39" s="294"/>
      <c r="H39" s="279"/>
      <c r="I39" s="280"/>
      <c r="J39" s="281">
        <f t="shared" si="0"/>
        <v>0</v>
      </c>
      <c r="K39" s="150"/>
      <c r="L39" s="150"/>
      <c r="M39" s="282">
        <f t="shared" si="1"/>
      </c>
      <c r="N39" s="14">
        <f t="shared" si="2"/>
      </c>
      <c r="O39" s="151"/>
      <c r="P39" s="470">
        <f t="shared" si="3"/>
      </c>
      <c r="Q39" s="8">
        <f t="shared" si="4"/>
      </c>
      <c r="R39" s="211">
        <f t="shared" si="5"/>
      </c>
      <c r="S39" s="283">
        <f t="shared" si="6"/>
        <v>20</v>
      </c>
      <c r="T39" s="284" t="str">
        <f t="shared" si="7"/>
        <v>--</v>
      </c>
      <c r="U39" s="285" t="str">
        <f t="shared" si="8"/>
        <v>--</v>
      </c>
      <c r="V39" s="286" t="str">
        <f t="shared" si="9"/>
        <v>--</v>
      </c>
      <c r="W39" s="287" t="str">
        <f t="shared" si="10"/>
        <v>--</v>
      </c>
      <c r="X39" s="288" t="str">
        <f t="shared" si="11"/>
        <v>--</v>
      </c>
      <c r="Y39" s="289" t="str">
        <f t="shared" si="12"/>
        <v>--</v>
      </c>
      <c r="Z39" s="290" t="str">
        <f t="shared" si="13"/>
        <v>--</v>
      </c>
      <c r="AA39" s="291" t="str">
        <f t="shared" si="14"/>
        <v>--</v>
      </c>
      <c r="AB39" s="292">
        <f t="shared" si="16"/>
      </c>
      <c r="AC39" s="16">
        <f t="shared" si="15"/>
      </c>
      <c r="AD39" s="17"/>
    </row>
    <row r="40" spans="1:30" s="5" customFormat="1" ht="16.5" customHeight="1">
      <c r="A40" s="88"/>
      <c r="B40" s="93"/>
      <c r="C40" s="149"/>
      <c r="D40" s="149"/>
      <c r="E40" s="149"/>
      <c r="F40" s="145"/>
      <c r="G40" s="294"/>
      <c r="H40" s="279"/>
      <c r="I40" s="280"/>
      <c r="J40" s="281">
        <f t="shared" si="0"/>
        <v>0</v>
      </c>
      <c r="K40" s="150"/>
      <c r="L40" s="150"/>
      <c r="M40" s="282">
        <f t="shared" si="1"/>
      </c>
      <c r="N40" s="14">
        <f t="shared" si="2"/>
      </c>
      <c r="O40" s="151"/>
      <c r="P40" s="470">
        <f t="shared" si="3"/>
      </c>
      <c r="Q40" s="8">
        <f t="shared" si="4"/>
      </c>
      <c r="R40" s="211">
        <f t="shared" si="5"/>
      </c>
      <c r="S40" s="283">
        <f t="shared" si="6"/>
        <v>20</v>
      </c>
      <c r="T40" s="284" t="str">
        <f t="shared" si="7"/>
        <v>--</v>
      </c>
      <c r="U40" s="285" t="str">
        <f t="shared" si="8"/>
        <v>--</v>
      </c>
      <c r="V40" s="286" t="str">
        <f t="shared" si="9"/>
        <v>--</v>
      </c>
      <c r="W40" s="287" t="str">
        <f t="shared" si="10"/>
        <v>--</v>
      </c>
      <c r="X40" s="288" t="str">
        <f t="shared" si="11"/>
        <v>--</v>
      </c>
      <c r="Y40" s="289" t="str">
        <f t="shared" si="12"/>
        <v>--</v>
      </c>
      <c r="Z40" s="290" t="str">
        <f t="shared" si="13"/>
        <v>--</v>
      </c>
      <c r="AA40" s="291" t="str">
        <f t="shared" si="14"/>
        <v>--</v>
      </c>
      <c r="AB40" s="292">
        <f t="shared" si="16"/>
      </c>
      <c r="AC40" s="16">
        <f t="shared" si="15"/>
      </c>
      <c r="AD40" s="17"/>
    </row>
    <row r="41" spans="1:30" s="5" customFormat="1" ht="16.5" customHeight="1">
      <c r="A41" s="88"/>
      <c r="B41" s="93"/>
      <c r="C41" s="264"/>
      <c r="D41" s="264"/>
      <c r="E41" s="264"/>
      <c r="F41" s="145"/>
      <c r="G41" s="294"/>
      <c r="H41" s="279"/>
      <c r="I41" s="280"/>
      <c r="J41" s="281">
        <f t="shared" si="0"/>
        <v>0</v>
      </c>
      <c r="K41" s="150"/>
      <c r="L41" s="150"/>
      <c r="M41" s="282">
        <f t="shared" si="1"/>
      </c>
      <c r="N41" s="14">
        <f t="shared" si="2"/>
      </c>
      <c r="O41" s="151"/>
      <c r="P41" s="470">
        <f t="shared" si="3"/>
      </c>
      <c r="Q41" s="8">
        <f t="shared" si="4"/>
      </c>
      <c r="R41" s="211">
        <f t="shared" si="5"/>
      </c>
      <c r="S41" s="283">
        <f t="shared" si="6"/>
        <v>20</v>
      </c>
      <c r="T41" s="284" t="str">
        <f t="shared" si="7"/>
        <v>--</v>
      </c>
      <c r="U41" s="285" t="str">
        <f t="shared" si="8"/>
        <v>--</v>
      </c>
      <c r="V41" s="286" t="str">
        <f t="shared" si="9"/>
        <v>--</v>
      </c>
      <c r="W41" s="287" t="str">
        <f t="shared" si="10"/>
        <v>--</v>
      </c>
      <c r="X41" s="288" t="str">
        <f t="shared" si="11"/>
        <v>--</v>
      </c>
      <c r="Y41" s="289" t="str">
        <f t="shared" si="12"/>
        <v>--</v>
      </c>
      <c r="Z41" s="290" t="str">
        <f t="shared" si="13"/>
        <v>--</v>
      </c>
      <c r="AA41" s="291" t="str">
        <f t="shared" si="14"/>
        <v>--</v>
      </c>
      <c r="AB41" s="292">
        <f t="shared" si="16"/>
      </c>
      <c r="AC41" s="16">
        <f t="shared" si="15"/>
      </c>
      <c r="AD41" s="17"/>
    </row>
    <row r="42" spans="1:30" s="5" customFormat="1" ht="16.5" customHeight="1" thickBot="1">
      <c r="A42" s="88"/>
      <c r="B42" s="93"/>
      <c r="C42" s="149"/>
      <c r="D42" s="149"/>
      <c r="E42" s="149"/>
      <c r="F42" s="295"/>
      <c r="G42" s="296"/>
      <c r="H42" s="295"/>
      <c r="I42" s="297"/>
      <c r="J42" s="129"/>
      <c r="K42" s="152"/>
      <c r="L42" s="298"/>
      <c r="M42" s="299"/>
      <c r="N42" s="300"/>
      <c r="O42" s="155"/>
      <c r="P42" s="183"/>
      <c r="Q42" s="153"/>
      <c r="R42" s="155"/>
      <c r="S42" s="301"/>
      <c r="T42" s="302"/>
      <c r="U42" s="303"/>
      <c r="V42" s="304"/>
      <c r="W42" s="305"/>
      <c r="X42" s="306"/>
      <c r="Y42" s="307"/>
      <c r="Z42" s="308"/>
      <c r="AA42" s="309"/>
      <c r="AB42" s="310"/>
      <c r="AC42" s="311"/>
      <c r="AD42" s="17"/>
    </row>
    <row r="43" spans="1:30" s="5" customFormat="1" ht="16.5" customHeight="1" thickBot="1" thickTop="1">
      <c r="A43" s="88"/>
      <c r="B43" s="93"/>
      <c r="C43" s="125" t="s">
        <v>23</v>
      </c>
      <c r="D43" s="976" t="s">
        <v>229</v>
      </c>
      <c r="E43" s="125"/>
      <c r="F43" s="126"/>
      <c r="G43" s="15"/>
      <c r="H43" s="15"/>
      <c r="I43" s="15"/>
      <c r="J43" s="15"/>
      <c r="K43" s="15"/>
      <c r="L43" s="97"/>
      <c r="M43" s="15"/>
      <c r="N43" s="15"/>
      <c r="O43" s="15"/>
      <c r="P43" s="15"/>
      <c r="Q43" s="15"/>
      <c r="R43" s="15"/>
      <c r="S43" s="15"/>
      <c r="T43" s="312">
        <f aca="true" t="shared" si="17" ref="T43:AA43">SUM(T20:T42)</f>
        <v>5880.765</v>
      </c>
      <c r="U43" s="313">
        <f t="shared" si="17"/>
        <v>0</v>
      </c>
      <c r="V43" s="314">
        <f t="shared" si="17"/>
        <v>957</v>
      </c>
      <c r="W43" s="315">
        <f t="shared" si="17"/>
        <v>478.5</v>
      </c>
      <c r="X43" s="316">
        <f t="shared" si="17"/>
        <v>0</v>
      </c>
      <c r="Y43" s="317">
        <f t="shared" si="17"/>
        <v>0</v>
      </c>
      <c r="Z43" s="318">
        <f t="shared" si="17"/>
        <v>0</v>
      </c>
      <c r="AA43" s="319">
        <f t="shared" si="17"/>
        <v>0</v>
      </c>
      <c r="AB43" s="88"/>
      <c r="AC43" s="320">
        <f>ROUND(SUM(AC20:AC42),2)</f>
        <v>6244.43</v>
      </c>
      <c r="AD43" s="17"/>
    </row>
    <row r="44" spans="1:30" s="5" customFormat="1" ht="16.5" customHeight="1" thickBot="1" thickTop="1">
      <c r="A44" s="88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</row>
    <row r="45" spans="1:31" ht="16.5" customHeight="1" thickTop="1">
      <c r="A45" s="2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</row>
    <row r="46" spans="1:31" ht="16.5" customHeight="1">
      <c r="A46" s="2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</row>
    <row r="47" spans="1:31" ht="16.5" customHeight="1">
      <c r="A47" s="2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</row>
    <row r="48" spans="1:31" ht="16.5" customHeight="1">
      <c r="A48" s="2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</row>
    <row r="49" spans="6:31" ht="16.5" customHeight="1"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</row>
    <row r="50" spans="6:31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</row>
    <row r="51" spans="6:31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</row>
    <row r="52" spans="6:31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  <row r="53" spans="6:31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6:31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</row>
    <row r="55" spans="6:31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</row>
    <row r="56" spans="6:31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</row>
    <row r="57" spans="6:31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</row>
    <row r="58" spans="6:31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</row>
    <row r="59" spans="6:31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6:31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</row>
    <row r="61" spans="6:31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</row>
    <row r="62" spans="6:31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6:31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</row>
    <row r="64" spans="6:31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</row>
    <row r="65" spans="6:31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</row>
    <row r="66" spans="6:31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</row>
    <row r="67" spans="6:31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</row>
    <row r="68" spans="6:31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6:31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  <row r="70" spans="6:31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</row>
    <row r="71" spans="6:31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</row>
    <row r="72" spans="6:31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</row>
    <row r="73" spans="6:31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</row>
    <row r="74" spans="6:31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6:31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</row>
    <row r="76" spans="6:31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6:31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6:31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</row>
    <row r="79" spans="6:31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6:31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6:31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6:31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</row>
    <row r="83" spans="6:31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</row>
    <row r="84" spans="6:31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</row>
    <row r="85" spans="6:31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</row>
    <row r="86" spans="6:31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6:31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6:31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</row>
    <row r="89" spans="6:31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6:31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</row>
    <row r="91" spans="6:31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</row>
    <row r="92" spans="6:31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</row>
    <row r="93" spans="6:31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6:31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</row>
    <row r="95" spans="6:31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</row>
    <row r="96" spans="6:31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</row>
    <row r="97" spans="6:31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</row>
    <row r="98" spans="6:31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</row>
    <row r="99" spans="6:31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</row>
    <row r="100" spans="6:31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</row>
    <row r="101" spans="6:31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</row>
    <row r="102" spans="6:31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</row>
    <row r="103" spans="6:31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</row>
    <row r="104" spans="6:31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</row>
    <row r="105" spans="6:31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</row>
    <row r="106" spans="6:31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</row>
    <row r="107" spans="6:31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</row>
    <row r="108" spans="6:31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</row>
    <row r="109" spans="6:31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</row>
    <row r="110" spans="6:31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</row>
    <row r="111" spans="6:31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</row>
    <row r="112" spans="6:31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</row>
    <row r="113" spans="6:31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</row>
    <row r="114" spans="6:31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</row>
    <row r="115" spans="6:31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</row>
    <row r="116" spans="6:31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</row>
    <row r="117" spans="6:31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</row>
    <row r="118" spans="6:31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</row>
    <row r="119" spans="6:31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</row>
    <row r="120" spans="6:31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6:31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6:31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</row>
    <row r="123" spans="6:31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</row>
    <row r="124" spans="6:31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6:31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6:31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</row>
    <row r="127" spans="6:31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6:31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</row>
    <row r="129" spans="6:31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</row>
    <row r="130" spans="6:31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</row>
    <row r="131" spans="6:31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</row>
    <row r="132" spans="6:31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</row>
    <row r="133" spans="6:31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</row>
    <row r="134" spans="6:31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</row>
    <row r="135" spans="6:31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</row>
    <row r="136" spans="6:31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</row>
    <row r="137" spans="6:31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</row>
    <row r="138" spans="6:31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</row>
    <row r="139" spans="6:31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</row>
    <row r="140" spans="6:31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</row>
    <row r="141" spans="6:31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</row>
    <row r="142" spans="6:31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</row>
    <row r="143" spans="6:31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</row>
    <row r="144" spans="6:31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</row>
    <row r="145" spans="6:31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</row>
    <row r="146" spans="6:31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</row>
    <row r="147" spans="6:31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</row>
    <row r="148" spans="6:31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</row>
    <row r="149" spans="6:31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</row>
    <row r="150" spans="6:31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</row>
    <row r="151" spans="6:31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</row>
    <row r="152" spans="6:31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</row>
    <row r="153" ht="16.5" customHeight="1">
      <c r="AE153" s="169"/>
    </row>
    <row r="154" ht="16.5" customHeight="1">
      <c r="AE154" s="169"/>
    </row>
    <row r="155" ht="16.5" customHeight="1">
      <c r="AE155" s="169"/>
    </row>
    <row r="156" ht="16.5" customHeight="1">
      <c r="AE156" s="169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E156"/>
  <sheetViews>
    <sheetView zoomScale="70" zoomScaleNormal="70" workbookViewId="0" topLeftCell="A13">
      <selection activeCell="F27" sqref="F27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42"/>
    </row>
    <row r="2" spans="1:30" s="18" customFormat="1" ht="26.25">
      <c r="A2" s="89"/>
      <c r="B2" s="233" t="str">
        <f>+'TOT-0809'!B2</f>
        <v>ANEXO III al Memorándum D.T.E.E. N°   256 /2011</v>
      </c>
      <c r="C2" s="233"/>
      <c r="D2" s="233"/>
      <c r="E2" s="233"/>
      <c r="F2" s="233"/>
      <c r="G2" s="19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25" customFormat="1" ht="11.25">
      <c r="A4" s="234" t="s">
        <v>60</v>
      </c>
      <c r="B4" s="112"/>
      <c r="C4" s="112"/>
      <c r="D4" s="11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5" customFormat="1" ht="11.25">
      <c r="A5" s="234" t="s">
        <v>2</v>
      </c>
      <c r="B5" s="112"/>
      <c r="C5" s="112"/>
      <c r="D5" s="11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</row>
    <row r="8" spans="1:30" s="29" customFormat="1" ht="20.25">
      <c r="A8" s="103"/>
      <c r="B8" s="104"/>
      <c r="C8" s="94"/>
      <c r="D8" s="94"/>
      <c r="E8" s="103"/>
      <c r="F8" s="235" t="s">
        <v>55</v>
      </c>
      <c r="G8" s="103"/>
      <c r="H8" s="103"/>
      <c r="I8" s="236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94"/>
      <c r="U8" s="94"/>
      <c r="V8" s="94"/>
      <c r="W8" s="94"/>
      <c r="X8" s="94"/>
      <c r="Y8" s="94"/>
      <c r="Z8" s="94"/>
      <c r="AA8" s="94"/>
      <c r="AB8" s="94"/>
      <c r="AC8" s="94"/>
      <c r="AD8" s="105"/>
    </row>
    <row r="9" spans="1:30" s="5" customFormat="1" ht="12.75">
      <c r="A9" s="88"/>
      <c r="B9" s="93"/>
      <c r="C9" s="15"/>
      <c r="D9" s="15"/>
      <c r="E9" s="88"/>
      <c r="F9" s="15"/>
      <c r="G9" s="237"/>
      <c r="H9" s="88"/>
      <c r="I9" s="15"/>
      <c r="J9" s="88"/>
      <c r="K9" s="88"/>
      <c r="L9" s="88"/>
      <c r="M9" s="88"/>
      <c r="N9" s="88"/>
      <c r="O9" s="88"/>
      <c r="P9" s="88"/>
      <c r="Q9" s="88"/>
      <c r="R9" s="88"/>
      <c r="S9" s="88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22" customFormat="1" ht="30" customHeight="1">
      <c r="A10" s="716"/>
      <c r="B10" s="717"/>
      <c r="C10" s="720"/>
      <c r="D10" s="720"/>
      <c r="E10" s="716"/>
      <c r="F10" s="718" t="s">
        <v>130</v>
      </c>
      <c r="G10" s="716"/>
      <c r="H10" s="719"/>
      <c r="I10" s="720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1"/>
    </row>
    <row r="11" spans="1:30" s="727" customFormat="1" ht="9.75" customHeight="1">
      <c r="A11" s="723"/>
      <c r="B11" s="724"/>
      <c r="C11" s="725"/>
      <c r="D11" s="725"/>
      <c r="E11" s="723"/>
      <c r="G11" s="725"/>
      <c r="H11" s="725"/>
      <c r="I11" s="725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6"/>
    </row>
    <row r="12" spans="1:30" s="727" customFormat="1" ht="21" customHeight="1">
      <c r="A12" s="716"/>
      <c r="B12" s="717"/>
      <c r="C12" s="720"/>
      <c r="D12" s="720"/>
      <c r="E12" s="716"/>
      <c r="F12" s="718" t="s">
        <v>314</v>
      </c>
      <c r="G12" s="716"/>
      <c r="H12" s="716"/>
      <c r="I12" s="716"/>
      <c r="J12" s="729"/>
      <c r="K12" s="729"/>
      <c r="L12" s="729"/>
      <c r="M12" s="729"/>
      <c r="N12" s="729"/>
      <c r="O12" s="723"/>
      <c r="P12" s="723"/>
      <c r="Q12" s="723"/>
      <c r="R12" s="723"/>
      <c r="S12" s="723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6"/>
    </row>
    <row r="13" spans="1:30" s="5" customFormat="1" ht="12.75">
      <c r="A13" s="88"/>
      <c r="B13" s="93"/>
      <c r="C13" s="15"/>
      <c r="D13" s="15"/>
      <c r="E13" s="88"/>
      <c r="F13" s="15"/>
      <c r="G13" s="15"/>
      <c r="H13" s="15"/>
      <c r="I13" s="96"/>
      <c r="J13" s="15"/>
      <c r="K13" s="15"/>
      <c r="L13" s="15"/>
      <c r="M13" s="15"/>
      <c r="N13" s="15"/>
      <c r="O13" s="88"/>
      <c r="P13" s="88"/>
      <c r="Q13" s="88"/>
      <c r="R13" s="88"/>
      <c r="S13" s="8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7"/>
      <c r="B14" s="37" t="str">
        <f>'TOT-0809'!B14</f>
        <v>Desde el 01 al 31 de agosto de 2009</v>
      </c>
      <c r="C14" s="40"/>
      <c r="D14" s="40"/>
      <c r="E14" s="238"/>
      <c r="F14" s="110"/>
      <c r="G14" s="110"/>
      <c r="H14" s="110"/>
      <c r="I14" s="110"/>
      <c r="J14" s="110"/>
      <c r="K14" s="110"/>
      <c r="L14" s="110"/>
      <c r="M14" s="110"/>
      <c r="N14" s="110"/>
      <c r="O14" s="238"/>
      <c r="P14" s="238"/>
      <c r="Q14" s="238"/>
      <c r="R14" s="238"/>
      <c r="S14" s="238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239"/>
    </row>
    <row r="15" spans="1:30" s="5" customFormat="1" ht="13.5" thickBot="1">
      <c r="A15" s="88"/>
      <c r="B15" s="93"/>
      <c r="C15" s="15"/>
      <c r="D15" s="15"/>
      <c r="E15" s="88"/>
      <c r="F15" s="15"/>
      <c r="G15" s="15"/>
      <c r="H15" s="15"/>
      <c r="I15" s="96"/>
      <c r="J15" s="15"/>
      <c r="K15" s="15"/>
      <c r="L15" s="15"/>
      <c r="M15" s="15"/>
      <c r="N15" s="15"/>
      <c r="O15" s="88"/>
      <c r="P15" s="88"/>
      <c r="Q15" s="88"/>
      <c r="R15" s="88"/>
      <c r="S15" s="8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88"/>
      <c r="B16" s="93"/>
      <c r="C16" s="15"/>
      <c r="D16" s="15"/>
      <c r="E16" s="88"/>
      <c r="F16" s="240" t="s">
        <v>61</v>
      </c>
      <c r="G16" s="241"/>
      <c r="H16" s="242">
        <v>0.319</v>
      </c>
      <c r="J16" s="88"/>
      <c r="K16" s="88"/>
      <c r="L16" s="88"/>
      <c r="M16" s="88"/>
      <c r="N16" s="88"/>
      <c r="O16" s="88"/>
      <c r="P16" s="8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88"/>
      <c r="B17" s="93"/>
      <c r="C17" s="15"/>
      <c r="D17" s="15"/>
      <c r="E17" s="88"/>
      <c r="F17" s="108" t="s">
        <v>24</v>
      </c>
      <c r="G17" s="109"/>
      <c r="H17" s="704">
        <v>200</v>
      </c>
      <c r="I17"/>
      <c r="J17" s="15"/>
      <c r="K17" s="194"/>
      <c r="L17" s="195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7"/>
      <c r="X17" s="97"/>
      <c r="Y17" s="97"/>
      <c r="Z17" s="97"/>
      <c r="AA17" s="97"/>
      <c r="AB17" s="97"/>
      <c r="AC17" s="88"/>
      <c r="AD17" s="17"/>
    </row>
    <row r="18" spans="1:30" s="5" customFormat="1" ht="16.5" customHeight="1" thickBot="1" thickTop="1">
      <c r="A18" s="88"/>
      <c r="B18" s="93"/>
      <c r="C18" s="761">
        <v>3</v>
      </c>
      <c r="D18" s="761">
        <v>4</v>
      </c>
      <c r="E18" s="761">
        <v>5</v>
      </c>
      <c r="F18" s="761">
        <v>6</v>
      </c>
      <c r="G18" s="761">
        <v>7</v>
      </c>
      <c r="H18" s="761">
        <v>8</v>
      </c>
      <c r="I18" s="761">
        <v>9</v>
      </c>
      <c r="J18" s="761">
        <v>10</v>
      </c>
      <c r="K18" s="761">
        <v>11</v>
      </c>
      <c r="L18" s="761">
        <v>12</v>
      </c>
      <c r="M18" s="761">
        <v>13</v>
      </c>
      <c r="N18" s="761">
        <v>14</v>
      </c>
      <c r="O18" s="761">
        <v>15</v>
      </c>
      <c r="P18" s="761">
        <v>16</v>
      </c>
      <c r="Q18" s="761">
        <v>17</v>
      </c>
      <c r="R18" s="761">
        <v>18</v>
      </c>
      <c r="S18" s="761">
        <v>19</v>
      </c>
      <c r="T18" s="761">
        <v>20</v>
      </c>
      <c r="U18" s="761">
        <v>21</v>
      </c>
      <c r="V18" s="761">
        <v>22</v>
      </c>
      <c r="W18" s="761">
        <v>23</v>
      </c>
      <c r="X18" s="761">
        <v>24</v>
      </c>
      <c r="Y18" s="761">
        <v>25</v>
      </c>
      <c r="Z18" s="761">
        <v>26</v>
      </c>
      <c r="AA18" s="761">
        <v>27</v>
      </c>
      <c r="AB18" s="761">
        <v>28</v>
      </c>
      <c r="AC18" s="761">
        <v>29</v>
      </c>
      <c r="AD18" s="17"/>
    </row>
    <row r="19" spans="1:30" s="5" customFormat="1" ht="33.75" customHeight="1" thickBot="1" thickTop="1">
      <c r="A19" s="88"/>
      <c r="B19" s="93"/>
      <c r="C19" s="121" t="s">
        <v>12</v>
      </c>
      <c r="D19" s="84" t="s">
        <v>138</v>
      </c>
      <c r="E19" s="84" t="s">
        <v>139</v>
      </c>
      <c r="F19" s="117" t="s">
        <v>25</v>
      </c>
      <c r="G19" s="116" t="s">
        <v>26</v>
      </c>
      <c r="H19" s="118" t="s">
        <v>27</v>
      </c>
      <c r="I19" s="119" t="s">
        <v>13</v>
      </c>
      <c r="J19" s="127" t="s">
        <v>15</v>
      </c>
      <c r="K19" s="116" t="s">
        <v>16</v>
      </c>
      <c r="L19" s="116" t="s">
        <v>17</v>
      </c>
      <c r="M19" s="117" t="s">
        <v>28</v>
      </c>
      <c r="N19" s="117" t="s">
        <v>29</v>
      </c>
      <c r="O19" s="87" t="s">
        <v>18</v>
      </c>
      <c r="P19" s="87" t="s">
        <v>44</v>
      </c>
      <c r="Q19" s="120" t="s">
        <v>30</v>
      </c>
      <c r="R19" s="116" t="s">
        <v>31</v>
      </c>
      <c r="S19" s="243" t="s">
        <v>35</v>
      </c>
      <c r="T19" s="244" t="s">
        <v>19</v>
      </c>
      <c r="U19" s="245" t="s">
        <v>20</v>
      </c>
      <c r="V19" s="198" t="s">
        <v>62</v>
      </c>
      <c r="W19" s="200"/>
      <c r="X19" s="246" t="s">
        <v>63</v>
      </c>
      <c r="Y19" s="247"/>
      <c r="Z19" s="248" t="s">
        <v>21</v>
      </c>
      <c r="AA19" s="249" t="s">
        <v>58</v>
      </c>
      <c r="AB19" s="130" t="s">
        <v>59</v>
      </c>
      <c r="AC19" s="119" t="s">
        <v>22</v>
      </c>
      <c r="AD19" s="17"/>
    </row>
    <row r="20" spans="1:30" s="5" customFormat="1" ht="16.5" customHeight="1" thickTop="1">
      <c r="A20" s="88"/>
      <c r="B20" s="93"/>
      <c r="C20" s="250"/>
      <c r="D20" s="250"/>
      <c r="E20" s="250"/>
      <c r="F20" s="250"/>
      <c r="G20" s="250"/>
      <c r="H20" s="250"/>
      <c r="I20" s="251"/>
      <c r="J20" s="252"/>
      <c r="K20" s="250"/>
      <c r="L20" s="250"/>
      <c r="M20" s="250"/>
      <c r="N20" s="250"/>
      <c r="O20" s="250"/>
      <c r="P20" s="174"/>
      <c r="Q20" s="253"/>
      <c r="R20" s="250"/>
      <c r="S20" s="254"/>
      <c r="T20" s="255"/>
      <c r="U20" s="256"/>
      <c r="V20" s="257"/>
      <c r="W20" s="258"/>
      <c r="X20" s="259"/>
      <c r="Y20" s="260"/>
      <c r="Z20" s="261"/>
      <c r="AA20" s="262"/>
      <c r="AB20" s="253"/>
      <c r="AC20" s="263"/>
      <c r="AD20" s="17"/>
    </row>
    <row r="21" spans="1:30" s="5" customFormat="1" ht="16.5" customHeight="1">
      <c r="A21" s="88"/>
      <c r="B21" s="93"/>
      <c r="C21" s="264"/>
      <c r="D21" s="264"/>
      <c r="E21" s="264"/>
      <c r="F21" s="264"/>
      <c r="G21" s="264"/>
      <c r="H21" s="264"/>
      <c r="I21" s="265"/>
      <c r="J21" s="266"/>
      <c r="K21" s="264"/>
      <c r="L21" s="264"/>
      <c r="M21" s="264"/>
      <c r="N21" s="264"/>
      <c r="O21" s="264"/>
      <c r="P21" s="176"/>
      <c r="Q21" s="267"/>
      <c r="R21" s="264"/>
      <c r="S21" s="268"/>
      <c r="T21" s="269"/>
      <c r="U21" s="270"/>
      <c r="V21" s="271"/>
      <c r="W21" s="272"/>
      <c r="X21" s="273"/>
      <c r="Y21" s="274"/>
      <c r="Z21" s="275"/>
      <c r="AA21" s="276"/>
      <c r="AB21" s="267"/>
      <c r="AC21" s="277"/>
      <c r="AD21" s="17"/>
    </row>
    <row r="22" spans="1:30" s="5" customFormat="1" ht="16.5" customHeight="1">
      <c r="A22" s="88"/>
      <c r="B22" s="93"/>
      <c r="C22" s="149">
        <v>27</v>
      </c>
      <c r="D22" s="149">
        <v>202170</v>
      </c>
      <c r="E22" s="149">
        <v>1689</v>
      </c>
      <c r="F22" s="145" t="s">
        <v>156</v>
      </c>
      <c r="G22" s="278" t="s">
        <v>157</v>
      </c>
      <c r="H22" s="279">
        <v>150</v>
      </c>
      <c r="I22" s="280" t="s">
        <v>158</v>
      </c>
      <c r="J22" s="281">
        <f aca="true" t="shared" si="0" ref="J22:J41">H22*$H$16</f>
        <v>47.85</v>
      </c>
      <c r="K22" s="150">
        <v>40026</v>
      </c>
      <c r="L22" s="150">
        <v>40056.99998842592</v>
      </c>
      <c r="M22" s="282">
        <f aca="true" t="shared" si="1" ref="M22:M41">IF(F22="","",(L22-K22)*24)</f>
        <v>743.9997222221573</v>
      </c>
      <c r="N22" s="14">
        <f aca="true" t="shared" si="2" ref="N22:N41">IF(F22="","",ROUND((L22-K22)*24*60,0))</f>
        <v>44640</v>
      </c>
      <c r="O22" s="151" t="s">
        <v>144</v>
      </c>
      <c r="P22" s="470" t="str">
        <f aca="true" t="shared" si="3" ref="P22:P41">IF(F22="","","--")</f>
        <v>--</v>
      </c>
      <c r="Q22" s="8" t="str">
        <f aca="true" t="shared" si="4" ref="Q22:Q41">IF(F22="","",IF(OR(O22="P",O22="RP"),"--","NO"))</f>
        <v>--</v>
      </c>
      <c r="R22" s="211" t="str">
        <f aca="true" t="shared" si="5" ref="R22:R41">IF(F22="","","NO")</f>
        <v>NO</v>
      </c>
      <c r="S22" s="283">
        <f aca="true" t="shared" si="6" ref="S22:S41">$H$17*IF(OR(O22="P",O22="RP"),0.1,1)*IF(R22="SI",1,0.1)</f>
        <v>2</v>
      </c>
      <c r="T22" s="284">
        <f aca="true" t="shared" si="7" ref="T22:T41">IF(O22="P",J22*S22*ROUND(N22/60,2),"--")</f>
        <v>71200.8</v>
      </c>
      <c r="U22" s="285" t="str">
        <f aca="true" t="shared" si="8" ref="U22:U41">IF(O22="RP",J22*S22*P22/100*ROUND(N22/60,2),"--")</f>
        <v>--</v>
      </c>
      <c r="V22" s="286" t="str">
        <f aca="true" t="shared" si="9" ref="V22:V41">IF(AND(O22="F",Q22="NO"),J22*S22,"--")</f>
        <v>--</v>
      </c>
      <c r="W22" s="287" t="str">
        <f aca="true" t="shared" si="10" ref="W22:W41">IF(O22="F",J22*S22*ROUND(N22/60,2),"--")</f>
        <v>--</v>
      </c>
      <c r="X22" s="288" t="str">
        <f aca="true" t="shared" si="11" ref="X22:X41">IF(AND(O22="R",Q22="NO"),J22*S22*P22/100,"--")</f>
        <v>--</v>
      </c>
      <c r="Y22" s="289" t="str">
        <f aca="true" t="shared" si="12" ref="Y22:Y41">IF(O22="R",J22*S22*P22/100*ROUND(N22/60,2),"--")</f>
        <v>--</v>
      </c>
      <c r="Z22" s="290" t="str">
        <f aca="true" t="shared" si="13" ref="Z22:Z41">IF(O22="RF",J22*S22*ROUND(N22/60,2),"--")</f>
        <v>--</v>
      </c>
      <c r="AA22" s="291" t="str">
        <f aca="true" t="shared" si="14" ref="AA22:AA41">IF(O22="RR",J22*S22*P22/100*ROUND(N22/60,2),"--")</f>
        <v>--</v>
      </c>
      <c r="AB22" s="292" t="s">
        <v>128</v>
      </c>
      <c r="AC22" s="16">
        <f>IF(F22="","",(SUM(T22:AA22)*IF(AB22="SI",1,2)*IF(AND(P22&lt;&gt;"--",O22="RF"),P22/100,1)))</f>
        <v>71200.8</v>
      </c>
      <c r="AD22" s="17"/>
    </row>
    <row r="23" spans="1:30" s="5" customFormat="1" ht="16.5" customHeight="1">
      <c r="A23" s="88"/>
      <c r="B23" s="93"/>
      <c r="C23" s="264"/>
      <c r="D23" s="264"/>
      <c r="E23" s="264"/>
      <c r="F23" s="145"/>
      <c r="G23" s="278"/>
      <c r="H23" s="279"/>
      <c r="I23" s="280"/>
      <c r="J23" s="281"/>
      <c r="K23" s="150"/>
      <c r="L23" s="150"/>
      <c r="M23" s="282"/>
      <c r="N23" s="14"/>
      <c r="O23" s="151"/>
      <c r="P23" s="470"/>
      <c r="Q23" s="8"/>
      <c r="R23" s="211"/>
      <c r="S23" s="283"/>
      <c r="T23" s="284"/>
      <c r="U23" s="285"/>
      <c r="V23" s="286"/>
      <c r="W23" s="287"/>
      <c r="X23" s="288"/>
      <c r="Y23" s="289"/>
      <c r="Z23" s="290"/>
      <c r="AA23" s="291"/>
      <c r="AB23" s="292"/>
      <c r="AC23" s="16"/>
      <c r="AD23" s="17"/>
    </row>
    <row r="24" spans="1:30" s="5" customFormat="1" ht="16.5" customHeight="1">
      <c r="A24" s="88"/>
      <c r="B24" s="93"/>
      <c r="C24" s="149"/>
      <c r="D24" s="149"/>
      <c r="E24" s="149"/>
      <c r="F24" s="145"/>
      <c r="G24" s="278"/>
      <c r="H24" s="279"/>
      <c r="I24" s="280"/>
      <c r="J24" s="281"/>
      <c r="K24" s="150"/>
      <c r="L24" s="150"/>
      <c r="M24" s="282"/>
      <c r="N24" s="14"/>
      <c r="O24" s="151"/>
      <c r="P24" s="470"/>
      <c r="Q24" s="8"/>
      <c r="R24" s="211"/>
      <c r="S24" s="283"/>
      <c r="T24" s="284"/>
      <c r="U24" s="285"/>
      <c r="V24" s="286"/>
      <c r="W24" s="287"/>
      <c r="X24" s="288"/>
      <c r="Y24" s="289"/>
      <c r="Z24" s="290"/>
      <c r="AA24" s="291"/>
      <c r="AB24" s="292"/>
      <c r="AC24" s="16"/>
      <c r="AD24" s="17"/>
    </row>
    <row r="25" spans="1:30" s="5" customFormat="1" ht="16.5" customHeight="1">
      <c r="A25" s="88"/>
      <c r="B25" s="93"/>
      <c r="C25" s="264"/>
      <c r="D25" s="264"/>
      <c r="E25" s="264"/>
      <c r="F25" s="145"/>
      <c r="G25" s="278"/>
      <c r="H25" s="279"/>
      <c r="I25" s="280"/>
      <c r="J25" s="281"/>
      <c r="K25" s="150"/>
      <c r="L25" s="150"/>
      <c r="M25" s="282"/>
      <c r="N25" s="14"/>
      <c r="O25" s="151"/>
      <c r="P25" s="470"/>
      <c r="Q25" s="8"/>
      <c r="R25" s="211"/>
      <c r="S25" s="283"/>
      <c r="T25" s="284"/>
      <c r="U25" s="285"/>
      <c r="V25" s="286"/>
      <c r="W25" s="287"/>
      <c r="X25" s="288"/>
      <c r="Y25" s="289"/>
      <c r="Z25" s="290"/>
      <c r="AA25" s="291"/>
      <c r="AB25" s="292"/>
      <c r="AC25" s="16"/>
      <c r="AD25" s="17"/>
    </row>
    <row r="26" spans="1:30" s="5" customFormat="1" ht="16.5" customHeight="1">
      <c r="A26" s="88"/>
      <c r="B26" s="93"/>
      <c r="C26" s="149"/>
      <c r="D26" s="149"/>
      <c r="E26" s="149"/>
      <c r="F26" s="145"/>
      <c r="G26" s="278"/>
      <c r="H26" s="279"/>
      <c r="I26" s="280"/>
      <c r="J26" s="281"/>
      <c r="K26" s="150"/>
      <c r="L26" s="150"/>
      <c r="M26" s="282"/>
      <c r="N26" s="14"/>
      <c r="O26" s="151"/>
      <c r="P26" s="470"/>
      <c r="Q26" s="8"/>
      <c r="R26" s="211"/>
      <c r="S26" s="283"/>
      <c r="T26" s="284"/>
      <c r="U26" s="285"/>
      <c r="V26" s="286"/>
      <c r="W26" s="287"/>
      <c r="X26" s="288"/>
      <c r="Y26" s="289"/>
      <c r="Z26" s="290"/>
      <c r="AA26" s="291"/>
      <c r="AB26" s="292"/>
      <c r="AC26" s="16"/>
      <c r="AD26" s="17"/>
    </row>
    <row r="27" spans="1:30" s="5" customFormat="1" ht="16.5" customHeight="1">
      <c r="A27" s="88"/>
      <c r="B27" s="93"/>
      <c r="C27" s="264"/>
      <c r="D27" s="264"/>
      <c r="E27" s="264"/>
      <c r="F27" s="145"/>
      <c r="G27" s="278"/>
      <c r="H27" s="279"/>
      <c r="I27" s="280"/>
      <c r="J27" s="281"/>
      <c r="K27" s="150"/>
      <c r="L27" s="150"/>
      <c r="M27" s="282"/>
      <c r="N27" s="14"/>
      <c r="O27" s="151"/>
      <c r="P27" s="470"/>
      <c r="Q27" s="8"/>
      <c r="R27" s="211"/>
      <c r="S27" s="283"/>
      <c r="T27" s="284"/>
      <c r="U27" s="285"/>
      <c r="V27" s="286"/>
      <c r="W27" s="287"/>
      <c r="X27" s="288"/>
      <c r="Y27" s="289"/>
      <c r="Z27" s="290"/>
      <c r="AA27" s="291"/>
      <c r="AB27" s="292"/>
      <c r="AC27" s="16"/>
      <c r="AD27" s="17"/>
    </row>
    <row r="28" spans="1:31" s="5" customFormat="1" ht="16.5" customHeight="1">
      <c r="A28" s="88"/>
      <c r="B28" s="93"/>
      <c r="C28" s="149"/>
      <c r="D28" s="149"/>
      <c r="E28" s="149"/>
      <c r="F28" s="145"/>
      <c r="G28" s="278"/>
      <c r="H28" s="279"/>
      <c r="I28" s="280"/>
      <c r="J28" s="281"/>
      <c r="K28" s="150"/>
      <c r="L28" s="150"/>
      <c r="M28" s="282"/>
      <c r="N28" s="14"/>
      <c r="O28" s="151"/>
      <c r="P28" s="470"/>
      <c r="Q28" s="8"/>
      <c r="R28" s="211"/>
      <c r="S28" s="283"/>
      <c r="T28" s="284"/>
      <c r="U28" s="285"/>
      <c r="V28" s="286"/>
      <c r="W28" s="287"/>
      <c r="X28" s="288"/>
      <c r="Y28" s="289"/>
      <c r="Z28" s="290"/>
      <c r="AA28" s="291"/>
      <c r="AB28" s="292"/>
      <c r="AC28" s="16"/>
      <c r="AD28" s="17"/>
      <c r="AE28" s="15"/>
    </row>
    <row r="29" spans="1:30" s="5" customFormat="1" ht="16.5" customHeight="1">
      <c r="A29" s="88"/>
      <c r="B29" s="93"/>
      <c r="C29" s="264"/>
      <c r="D29" s="264"/>
      <c r="E29" s="264"/>
      <c r="F29" s="145"/>
      <c r="G29" s="278"/>
      <c r="H29" s="279"/>
      <c r="I29" s="280"/>
      <c r="J29" s="281"/>
      <c r="K29" s="150"/>
      <c r="L29" s="150"/>
      <c r="M29" s="282"/>
      <c r="N29" s="14"/>
      <c r="O29" s="151"/>
      <c r="P29" s="470"/>
      <c r="Q29" s="8"/>
      <c r="R29" s="211"/>
      <c r="S29" s="283"/>
      <c r="T29" s="284"/>
      <c r="U29" s="285"/>
      <c r="V29" s="286"/>
      <c r="W29" s="287"/>
      <c r="X29" s="288"/>
      <c r="Y29" s="289"/>
      <c r="Z29" s="290"/>
      <c r="AA29" s="291"/>
      <c r="AB29" s="292"/>
      <c r="AC29" s="16"/>
      <c r="AD29" s="17"/>
    </row>
    <row r="30" spans="1:30" s="5" customFormat="1" ht="16.5" customHeight="1">
      <c r="A30" s="88"/>
      <c r="B30" s="93"/>
      <c r="C30" s="149"/>
      <c r="D30" s="149"/>
      <c r="E30" s="149"/>
      <c r="F30" s="145"/>
      <c r="G30" s="278"/>
      <c r="H30" s="279"/>
      <c r="I30" s="280"/>
      <c r="J30" s="281"/>
      <c r="K30" s="150"/>
      <c r="L30" s="150"/>
      <c r="M30" s="282"/>
      <c r="N30" s="14"/>
      <c r="O30" s="151"/>
      <c r="P30" s="470"/>
      <c r="Q30" s="8"/>
      <c r="R30" s="211"/>
      <c r="S30" s="283"/>
      <c r="T30" s="284"/>
      <c r="U30" s="285"/>
      <c r="V30" s="286"/>
      <c r="W30" s="287"/>
      <c r="X30" s="288"/>
      <c r="Y30" s="289"/>
      <c r="Z30" s="290"/>
      <c r="AA30" s="291"/>
      <c r="AB30" s="292"/>
      <c r="AC30" s="16"/>
      <c r="AD30" s="17"/>
    </row>
    <row r="31" spans="1:30" s="5" customFormat="1" ht="16.5" customHeight="1">
      <c r="A31" s="88"/>
      <c r="B31" s="93"/>
      <c r="C31" s="264"/>
      <c r="D31" s="264"/>
      <c r="E31" s="264"/>
      <c r="F31" s="145"/>
      <c r="G31" s="278"/>
      <c r="H31" s="279"/>
      <c r="I31" s="280"/>
      <c r="J31" s="281"/>
      <c r="K31" s="150"/>
      <c r="L31" s="150"/>
      <c r="M31" s="282"/>
      <c r="N31" s="14"/>
      <c r="O31" s="151"/>
      <c r="P31" s="470"/>
      <c r="Q31" s="8"/>
      <c r="R31" s="211"/>
      <c r="S31" s="283"/>
      <c r="T31" s="284"/>
      <c r="U31" s="285"/>
      <c r="V31" s="286"/>
      <c r="W31" s="287"/>
      <c r="X31" s="288"/>
      <c r="Y31" s="289"/>
      <c r="Z31" s="290"/>
      <c r="AA31" s="291"/>
      <c r="AB31" s="292"/>
      <c r="AC31" s="16"/>
      <c r="AD31" s="17"/>
    </row>
    <row r="32" spans="1:30" s="5" customFormat="1" ht="16.5" customHeight="1">
      <c r="A32" s="88"/>
      <c r="B32" s="93"/>
      <c r="C32" s="149"/>
      <c r="D32" s="149"/>
      <c r="E32" s="149"/>
      <c r="F32" s="145"/>
      <c r="G32" s="294"/>
      <c r="H32" s="279"/>
      <c r="I32" s="280"/>
      <c r="J32" s="281">
        <f t="shared" si="0"/>
        <v>0</v>
      </c>
      <c r="K32" s="150"/>
      <c r="L32" s="150"/>
      <c r="M32" s="282">
        <f t="shared" si="1"/>
      </c>
      <c r="N32" s="14">
        <f t="shared" si="2"/>
      </c>
      <c r="O32" s="151"/>
      <c r="P32" s="470">
        <f t="shared" si="3"/>
      </c>
      <c r="Q32" s="8">
        <f t="shared" si="4"/>
      </c>
      <c r="R32" s="211">
        <f t="shared" si="5"/>
      </c>
      <c r="S32" s="283">
        <f t="shared" si="6"/>
        <v>20</v>
      </c>
      <c r="T32" s="284" t="str">
        <f t="shared" si="7"/>
        <v>--</v>
      </c>
      <c r="U32" s="285" t="str">
        <f t="shared" si="8"/>
        <v>--</v>
      </c>
      <c r="V32" s="286" t="str">
        <f t="shared" si="9"/>
        <v>--</v>
      </c>
      <c r="W32" s="287" t="str">
        <f t="shared" si="10"/>
        <v>--</v>
      </c>
      <c r="X32" s="288" t="str">
        <f t="shared" si="11"/>
        <v>--</v>
      </c>
      <c r="Y32" s="289" t="str">
        <f t="shared" si="12"/>
        <v>--</v>
      </c>
      <c r="Z32" s="290" t="str">
        <f t="shared" si="13"/>
        <v>--</v>
      </c>
      <c r="AA32" s="291" t="str">
        <f t="shared" si="14"/>
        <v>--</v>
      </c>
      <c r="AB32" s="292">
        <f aca="true" t="shared" si="15" ref="AB32:AB41">IF(F32="","","SI")</f>
      </c>
      <c r="AC32" s="16">
        <f aca="true" t="shared" si="16" ref="AC32:AC41">IF(F32="","",(SUM(T32:AA32)*IF(AB32="SI",1,2)*IF(AND(P32&lt;&gt;"--",O32="RF"),P32/100,1)))</f>
      </c>
      <c r="AD32" s="17"/>
    </row>
    <row r="33" spans="1:30" s="5" customFormat="1" ht="16.5" customHeight="1">
      <c r="A33" s="88"/>
      <c r="B33" s="93"/>
      <c r="C33" s="264"/>
      <c r="D33" s="264"/>
      <c r="E33" s="264"/>
      <c r="F33" s="145"/>
      <c r="G33" s="294"/>
      <c r="H33" s="279"/>
      <c r="I33" s="280"/>
      <c r="J33" s="281">
        <f t="shared" si="0"/>
        <v>0</v>
      </c>
      <c r="K33" s="150"/>
      <c r="L33" s="150"/>
      <c r="M33" s="282">
        <f t="shared" si="1"/>
      </c>
      <c r="N33" s="14">
        <f t="shared" si="2"/>
      </c>
      <c r="O33" s="151"/>
      <c r="P33" s="470">
        <f t="shared" si="3"/>
      </c>
      <c r="Q33" s="8">
        <f t="shared" si="4"/>
      </c>
      <c r="R33" s="211">
        <f t="shared" si="5"/>
      </c>
      <c r="S33" s="283">
        <f t="shared" si="6"/>
        <v>20</v>
      </c>
      <c r="T33" s="284" t="str">
        <f t="shared" si="7"/>
        <v>--</v>
      </c>
      <c r="U33" s="285" t="str">
        <f t="shared" si="8"/>
        <v>--</v>
      </c>
      <c r="V33" s="286" t="str">
        <f t="shared" si="9"/>
        <v>--</v>
      </c>
      <c r="W33" s="287" t="str">
        <f t="shared" si="10"/>
        <v>--</v>
      </c>
      <c r="X33" s="288" t="str">
        <f t="shared" si="11"/>
        <v>--</v>
      </c>
      <c r="Y33" s="289" t="str">
        <f t="shared" si="12"/>
        <v>--</v>
      </c>
      <c r="Z33" s="290" t="str">
        <f t="shared" si="13"/>
        <v>--</v>
      </c>
      <c r="AA33" s="291" t="str">
        <f t="shared" si="14"/>
        <v>--</v>
      </c>
      <c r="AB33" s="292">
        <f t="shared" si="15"/>
      </c>
      <c r="AC33" s="16">
        <f t="shared" si="16"/>
      </c>
      <c r="AD33" s="17"/>
    </row>
    <row r="34" spans="1:30" s="5" customFormat="1" ht="16.5" customHeight="1">
      <c r="A34" s="88"/>
      <c r="B34" s="93"/>
      <c r="C34" s="149"/>
      <c r="D34" s="149"/>
      <c r="E34" s="149"/>
      <c r="F34" s="145"/>
      <c r="G34" s="294"/>
      <c r="H34" s="279"/>
      <c r="I34" s="280"/>
      <c r="J34" s="281">
        <f t="shared" si="0"/>
        <v>0</v>
      </c>
      <c r="K34" s="150"/>
      <c r="L34" s="150"/>
      <c r="M34" s="282">
        <f t="shared" si="1"/>
      </c>
      <c r="N34" s="14">
        <f t="shared" si="2"/>
      </c>
      <c r="O34" s="151"/>
      <c r="P34" s="470">
        <f t="shared" si="3"/>
      </c>
      <c r="Q34" s="8">
        <f t="shared" si="4"/>
      </c>
      <c r="R34" s="211">
        <f t="shared" si="5"/>
      </c>
      <c r="S34" s="283">
        <f t="shared" si="6"/>
        <v>20</v>
      </c>
      <c r="T34" s="284" t="str">
        <f t="shared" si="7"/>
        <v>--</v>
      </c>
      <c r="U34" s="285" t="str">
        <f t="shared" si="8"/>
        <v>--</v>
      </c>
      <c r="V34" s="286" t="str">
        <f t="shared" si="9"/>
        <v>--</v>
      </c>
      <c r="W34" s="287" t="str">
        <f t="shared" si="10"/>
        <v>--</v>
      </c>
      <c r="X34" s="288" t="str">
        <f t="shared" si="11"/>
        <v>--</v>
      </c>
      <c r="Y34" s="289" t="str">
        <f t="shared" si="12"/>
        <v>--</v>
      </c>
      <c r="Z34" s="290" t="str">
        <f t="shared" si="13"/>
        <v>--</v>
      </c>
      <c r="AA34" s="291" t="str">
        <f t="shared" si="14"/>
        <v>--</v>
      </c>
      <c r="AB34" s="292">
        <f t="shared" si="15"/>
      </c>
      <c r="AC34" s="16">
        <f t="shared" si="16"/>
      </c>
      <c r="AD34" s="17"/>
    </row>
    <row r="35" spans="1:30" s="5" customFormat="1" ht="16.5" customHeight="1">
      <c r="A35" s="88"/>
      <c r="B35" s="93"/>
      <c r="C35" s="264"/>
      <c r="D35" s="264"/>
      <c r="E35" s="264"/>
      <c r="F35" s="145"/>
      <c r="G35" s="294"/>
      <c r="H35" s="279"/>
      <c r="I35" s="280"/>
      <c r="J35" s="281">
        <f t="shared" si="0"/>
        <v>0</v>
      </c>
      <c r="K35" s="150"/>
      <c r="L35" s="150"/>
      <c r="M35" s="282">
        <f t="shared" si="1"/>
      </c>
      <c r="N35" s="14">
        <f t="shared" si="2"/>
      </c>
      <c r="O35" s="151"/>
      <c r="P35" s="470">
        <f t="shared" si="3"/>
      </c>
      <c r="Q35" s="8">
        <f t="shared" si="4"/>
      </c>
      <c r="R35" s="211">
        <f t="shared" si="5"/>
      </c>
      <c r="S35" s="283">
        <f t="shared" si="6"/>
        <v>20</v>
      </c>
      <c r="T35" s="284" t="str">
        <f t="shared" si="7"/>
        <v>--</v>
      </c>
      <c r="U35" s="285" t="str">
        <f t="shared" si="8"/>
        <v>--</v>
      </c>
      <c r="V35" s="286" t="str">
        <f t="shared" si="9"/>
        <v>--</v>
      </c>
      <c r="W35" s="287" t="str">
        <f t="shared" si="10"/>
        <v>--</v>
      </c>
      <c r="X35" s="288" t="str">
        <f t="shared" si="11"/>
        <v>--</v>
      </c>
      <c r="Y35" s="289" t="str">
        <f t="shared" si="12"/>
        <v>--</v>
      </c>
      <c r="Z35" s="290" t="str">
        <f t="shared" si="13"/>
        <v>--</v>
      </c>
      <c r="AA35" s="291" t="str">
        <f t="shared" si="14"/>
        <v>--</v>
      </c>
      <c r="AB35" s="292">
        <f t="shared" si="15"/>
      </c>
      <c r="AC35" s="16">
        <f t="shared" si="16"/>
      </c>
      <c r="AD35" s="17"/>
    </row>
    <row r="36" spans="1:30" s="5" customFormat="1" ht="16.5" customHeight="1">
      <c r="A36" s="88"/>
      <c r="B36" s="93"/>
      <c r="C36" s="149"/>
      <c r="D36" s="149"/>
      <c r="E36" s="149"/>
      <c r="F36" s="145"/>
      <c r="G36" s="294"/>
      <c r="H36" s="279"/>
      <c r="I36" s="280"/>
      <c r="J36" s="281">
        <f t="shared" si="0"/>
        <v>0</v>
      </c>
      <c r="K36" s="150"/>
      <c r="L36" s="150"/>
      <c r="M36" s="282">
        <f t="shared" si="1"/>
      </c>
      <c r="N36" s="14">
        <f t="shared" si="2"/>
      </c>
      <c r="O36" s="151"/>
      <c r="P36" s="470">
        <f t="shared" si="3"/>
      </c>
      <c r="Q36" s="8">
        <f t="shared" si="4"/>
      </c>
      <c r="R36" s="211">
        <f t="shared" si="5"/>
      </c>
      <c r="S36" s="283">
        <f t="shared" si="6"/>
        <v>20</v>
      </c>
      <c r="T36" s="284" t="str">
        <f t="shared" si="7"/>
        <v>--</v>
      </c>
      <c r="U36" s="285" t="str">
        <f t="shared" si="8"/>
        <v>--</v>
      </c>
      <c r="V36" s="286" t="str">
        <f t="shared" si="9"/>
        <v>--</v>
      </c>
      <c r="W36" s="287" t="str">
        <f t="shared" si="10"/>
        <v>--</v>
      </c>
      <c r="X36" s="288" t="str">
        <f t="shared" si="11"/>
        <v>--</v>
      </c>
      <c r="Y36" s="289" t="str">
        <f t="shared" si="12"/>
        <v>--</v>
      </c>
      <c r="Z36" s="290" t="str">
        <f t="shared" si="13"/>
        <v>--</v>
      </c>
      <c r="AA36" s="291" t="str">
        <f t="shared" si="14"/>
        <v>--</v>
      </c>
      <c r="AB36" s="292">
        <f t="shared" si="15"/>
      </c>
      <c r="AC36" s="16">
        <f t="shared" si="16"/>
      </c>
      <c r="AD36" s="17"/>
    </row>
    <row r="37" spans="1:30" s="5" customFormat="1" ht="16.5" customHeight="1">
      <c r="A37" s="88"/>
      <c r="B37" s="93"/>
      <c r="C37" s="264"/>
      <c r="D37" s="264"/>
      <c r="E37" s="264"/>
      <c r="F37" s="145"/>
      <c r="G37" s="294"/>
      <c r="H37" s="279"/>
      <c r="I37" s="280"/>
      <c r="J37" s="281">
        <f t="shared" si="0"/>
        <v>0</v>
      </c>
      <c r="K37" s="150"/>
      <c r="L37" s="150"/>
      <c r="M37" s="282">
        <f t="shared" si="1"/>
      </c>
      <c r="N37" s="14">
        <f t="shared" si="2"/>
      </c>
      <c r="O37" s="151"/>
      <c r="P37" s="470">
        <f t="shared" si="3"/>
      </c>
      <c r="Q37" s="8">
        <f t="shared" si="4"/>
      </c>
      <c r="R37" s="211">
        <f t="shared" si="5"/>
      </c>
      <c r="S37" s="283">
        <f t="shared" si="6"/>
        <v>20</v>
      </c>
      <c r="T37" s="284" t="str">
        <f t="shared" si="7"/>
        <v>--</v>
      </c>
      <c r="U37" s="285" t="str">
        <f t="shared" si="8"/>
        <v>--</v>
      </c>
      <c r="V37" s="286" t="str">
        <f t="shared" si="9"/>
        <v>--</v>
      </c>
      <c r="W37" s="287" t="str">
        <f t="shared" si="10"/>
        <v>--</v>
      </c>
      <c r="X37" s="288" t="str">
        <f t="shared" si="11"/>
        <v>--</v>
      </c>
      <c r="Y37" s="289" t="str">
        <f t="shared" si="12"/>
        <v>--</v>
      </c>
      <c r="Z37" s="290" t="str">
        <f t="shared" si="13"/>
        <v>--</v>
      </c>
      <c r="AA37" s="291" t="str">
        <f t="shared" si="14"/>
        <v>--</v>
      </c>
      <c r="AB37" s="292">
        <f t="shared" si="15"/>
      </c>
      <c r="AC37" s="16">
        <f t="shared" si="16"/>
      </c>
      <c r="AD37" s="17"/>
    </row>
    <row r="38" spans="1:30" s="5" customFormat="1" ht="16.5" customHeight="1">
      <c r="A38" s="88"/>
      <c r="B38" s="93"/>
      <c r="C38" s="149"/>
      <c r="D38" s="149"/>
      <c r="E38" s="149"/>
      <c r="F38" s="145"/>
      <c r="G38" s="294"/>
      <c r="H38" s="279"/>
      <c r="I38" s="280"/>
      <c r="J38" s="281">
        <f t="shared" si="0"/>
        <v>0</v>
      </c>
      <c r="K38" s="150"/>
      <c r="L38" s="150"/>
      <c r="M38" s="282">
        <f t="shared" si="1"/>
      </c>
      <c r="N38" s="14">
        <f t="shared" si="2"/>
      </c>
      <c r="O38" s="151"/>
      <c r="P38" s="470">
        <f t="shared" si="3"/>
      </c>
      <c r="Q38" s="8">
        <f t="shared" si="4"/>
      </c>
      <c r="R38" s="211">
        <f t="shared" si="5"/>
      </c>
      <c r="S38" s="283">
        <f t="shared" si="6"/>
        <v>20</v>
      </c>
      <c r="T38" s="284" t="str">
        <f t="shared" si="7"/>
        <v>--</v>
      </c>
      <c r="U38" s="285" t="str">
        <f t="shared" si="8"/>
        <v>--</v>
      </c>
      <c r="V38" s="286" t="str">
        <f t="shared" si="9"/>
        <v>--</v>
      </c>
      <c r="W38" s="287" t="str">
        <f t="shared" si="10"/>
        <v>--</v>
      </c>
      <c r="X38" s="288" t="str">
        <f t="shared" si="11"/>
        <v>--</v>
      </c>
      <c r="Y38" s="289" t="str">
        <f t="shared" si="12"/>
        <v>--</v>
      </c>
      <c r="Z38" s="290" t="str">
        <f t="shared" si="13"/>
        <v>--</v>
      </c>
      <c r="AA38" s="291" t="str">
        <f t="shared" si="14"/>
        <v>--</v>
      </c>
      <c r="AB38" s="292">
        <f t="shared" si="15"/>
      </c>
      <c r="AC38" s="16">
        <f t="shared" si="16"/>
      </c>
      <c r="AD38" s="17"/>
    </row>
    <row r="39" spans="1:30" s="5" customFormat="1" ht="16.5" customHeight="1">
      <c r="A39" s="88"/>
      <c r="B39" s="93"/>
      <c r="C39" s="264"/>
      <c r="D39" s="264"/>
      <c r="E39" s="264"/>
      <c r="F39" s="145"/>
      <c r="G39" s="294"/>
      <c r="H39" s="279"/>
      <c r="I39" s="280"/>
      <c r="J39" s="281">
        <f t="shared" si="0"/>
        <v>0</v>
      </c>
      <c r="K39" s="150"/>
      <c r="L39" s="150"/>
      <c r="M39" s="282">
        <f t="shared" si="1"/>
      </c>
      <c r="N39" s="14">
        <f t="shared" si="2"/>
      </c>
      <c r="O39" s="151"/>
      <c r="P39" s="470">
        <f t="shared" si="3"/>
      </c>
      <c r="Q39" s="8">
        <f t="shared" si="4"/>
      </c>
      <c r="R39" s="211">
        <f t="shared" si="5"/>
      </c>
      <c r="S39" s="283">
        <f t="shared" si="6"/>
        <v>20</v>
      </c>
      <c r="T39" s="284" t="str">
        <f t="shared" si="7"/>
        <v>--</v>
      </c>
      <c r="U39" s="285" t="str">
        <f t="shared" si="8"/>
        <v>--</v>
      </c>
      <c r="V39" s="286" t="str">
        <f t="shared" si="9"/>
        <v>--</v>
      </c>
      <c r="W39" s="287" t="str">
        <f t="shared" si="10"/>
        <v>--</v>
      </c>
      <c r="X39" s="288" t="str">
        <f t="shared" si="11"/>
        <v>--</v>
      </c>
      <c r="Y39" s="289" t="str">
        <f t="shared" si="12"/>
        <v>--</v>
      </c>
      <c r="Z39" s="290" t="str">
        <f t="shared" si="13"/>
        <v>--</v>
      </c>
      <c r="AA39" s="291" t="str">
        <f t="shared" si="14"/>
        <v>--</v>
      </c>
      <c r="AB39" s="292">
        <f t="shared" si="15"/>
      </c>
      <c r="AC39" s="16">
        <f t="shared" si="16"/>
      </c>
      <c r="AD39" s="17"/>
    </row>
    <row r="40" spans="1:30" s="5" customFormat="1" ht="16.5" customHeight="1">
      <c r="A40" s="88"/>
      <c r="B40" s="93"/>
      <c r="C40" s="149"/>
      <c r="D40" s="149"/>
      <c r="E40" s="149"/>
      <c r="F40" s="145"/>
      <c r="G40" s="294"/>
      <c r="H40" s="279"/>
      <c r="I40" s="280"/>
      <c r="J40" s="281">
        <f t="shared" si="0"/>
        <v>0</v>
      </c>
      <c r="K40" s="150"/>
      <c r="L40" s="150"/>
      <c r="M40" s="282">
        <f t="shared" si="1"/>
      </c>
      <c r="N40" s="14">
        <f t="shared" si="2"/>
      </c>
      <c r="O40" s="151"/>
      <c r="P40" s="470">
        <f t="shared" si="3"/>
      </c>
      <c r="Q40" s="8">
        <f t="shared" si="4"/>
      </c>
      <c r="R40" s="211">
        <f t="shared" si="5"/>
      </c>
      <c r="S40" s="283">
        <f t="shared" si="6"/>
        <v>20</v>
      </c>
      <c r="T40" s="284" t="str">
        <f t="shared" si="7"/>
        <v>--</v>
      </c>
      <c r="U40" s="285" t="str">
        <f t="shared" si="8"/>
        <v>--</v>
      </c>
      <c r="V40" s="286" t="str">
        <f t="shared" si="9"/>
        <v>--</v>
      </c>
      <c r="W40" s="287" t="str">
        <f t="shared" si="10"/>
        <v>--</v>
      </c>
      <c r="X40" s="288" t="str">
        <f t="shared" si="11"/>
        <v>--</v>
      </c>
      <c r="Y40" s="289" t="str">
        <f t="shared" si="12"/>
        <v>--</v>
      </c>
      <c r="Z40" s="290" t="str">
        <f t="shared" si="13"/>
        <v>--</v>
      </c>
      <c r="AA40" s="291" t="str">
        <f t="shared" si="14"/>
        <v>--</v>
      </c>
      <c r="AB40" s="292">
        <f t="shared" si="15"/>
      </c>
      <c r="AC40" s="16">
        <f t="shared" si="16"/>
      </c>
      <c r="AD40" s="17"/>
    </row>
    <row r="41" spans="1:30" s="5" customFormat="1" ht="16.5" customHeight="1">
      <c r="A41" s="88"/>
      <c r="B41" s="93"/>
      <c r="C41" s="264"/>
      <c r="D41" s="264"/>
      <c r="E41" s="264"/>
      <c r="F41" s="145"/>
      <c r="G41" s="294"/>
      <c r="H41" s="279"/>
      <c r="I41" s="280"/>
      <c r="J41" s="281">
        <f t="shared" si="0"/>
        <v>0</v>
      </c>
      <c r="K41" s="150"/>
      <c r="L41" s="150"/>
      <c r="M41" s="282">
        <f t="shared" si="1"/>
      </c>
      <c r="N41" s="14">
        <f t="shared" si="2"/>
      </c>
      <c r="O41" s="151"/>
      <c r="P41" s="470">
        <f t="shared" si="3"/>
      </c>
      <c r="Q41" s="8">
        <f t="shared" si="4"/>
      </c>
      <c r="R41" s="211">
        <f t="shared" si="5"/>
      </c>
      <c r="S41" s="283">
        <f t="shared" si="6"/>
        <v>20</v>
      </c>
      <c r="T41" s="284" t="str">
        <f t="shared" si="7"/>
        <v>--</v>
      </c>
      <c r="U41" s="285" t="str">
        <f t="shared" si="8"/>
        <v>--</v>
      </c>
      <c r="V41" s="286" t="str">
        <f t="shared" si="9"/>
        <v>--</v>
      </c>
      <c r="W41" s="287" t="str">
        <f t="shared" si="10"/>
        <v>--</v>
      </c>
      <c r="X41" s="288" t="str">
        <f t="shared" si="11"/>
        <v>--</v>
      </c>
      <c r="Y41" s="289" t="str">
        <f t="shared" si="12"/>
        <v>--</v>
      </c>
      <c r="Z41" s="290" t="str">
        <f t="shared" si="13"/>
        <v>--</v>
      </c>
      <c r="AA41" s="291" t="str">
        <f t="shared" si="14"/>
        <v>--</v>
      </c>
      <c r="AB41" s="292">
        <f t="shared" si="15"/>
      </c>
      <c r="AC41" s="16">
        <f t="shared" si="16"/>
      </c>
      <c r="AD41" s="17"/>
    </row>
    <row r="42" spans="1:30" s="5" customFormat="1" ht="16.5" customHeight="1" thickBot="1">
      <c r="A42" s="88"/>
      <c r="B42" s="93"/>
      <c r="C42" s="149"/>
      <c r="D42" s="149"/>
      <c r="E42" s="149"/>
      <c r="F42" s="295"/>
      <c r="G42" s="296"/>
      <c r="H42" s="295"/>
      <c r="I42" s="297"/>
      <c r="J42" s="129"/>
      <c r="K42" s="152"/>
      <c r="L42" s="298"/>
      <c r="M42" s="299"/>
      <c r="N42" s="300"/>
      <c r="O42" s="155"/>
      <c r="P42" s="183"/>
      <c r="Q42" s="153"/>
      <c r="R42" s="155"/>
      <c r="S42" s="301"/>
      <c r="T42" s="302"/>
      <c r="U42" s="303"/>
      <c r="V42" s="304"/>
      <c r="W42" s="305"/>
      <c r="X42" s="306"/>
      <c r="Y42" s="307"/>
      <c r="Z42" s="308"/>
      <c r="AA42" s="309"/>
      <c r="AB42" s="310"/>
      <c r="AC42" s="311"/>
      <c r="AD42" s="17"/>
    </row>
    <row r="43" spans="1:30" s="5" customFormat="1" ht="16.5" customHeight="1" thickBot="1" thickTop="1">
      <c r="A43" s="88"/>
      <c r="B43" s="93"/>
      <c r="C43" s="125" t="s">
        <v>23</v>
      </c>
      <c r="D43" s="976" t="s">
        <v>229</v>
      </c>
      <c r="E43" s="125"/>
      <c r="F43" s="126"/>
      <c r="G43" s="15"/>
      <c r="H43" s="15"/>
      <c r="I43" s="15"/>
      <c r="J43" s="15"/>
      <c r="K43" s="15"/>
      <c r="L43" s="97"/>
      <c r="M43" s="15"/>
      <c r="N43" s="15"/>
      <c r="O43" s="15"/>
      <c r="P43" s="15"/>
      <c r="Q43" s="15"/>
      <c r="R43" s="15"/>
      <c r="S43" s="15"/>
      <c r="T43" s="312">
        <f aca="true" t="shared" si="17" ref="T43:AA43">SUM(T20:T42)</f>
        <v>71200.8</v>
      </c>
      <c r="U43" s="313">
        <f t="shared" si="17"/>
        <v>0</v>
      </c>
      <c r="V43" s="314">
        <f t="shared" si="17"/>
        <v>0</v>
      </c>
      <c r="W43" s="315">
        <f t="shared" si="17"/>
        <v>0</v>
      </c>
      <c r="X43" s="316">
        <f t="shared" si="17"/>
        <v>0</v>
      </c>
      <c r="Y43" s="317">
        <f t="shared" si="17"/>
        <v>0</v>
      </c>
      <c r="Z43" s="318">
        <f t="shared" si="17"/>
        <v>0</v>
      </c>
      <c r="AA43" s="319">
        <f t="shared" si="17"/>
        <v>0</v>
      </c>
      <c r="AB43" s="88"/>
      <c r="AC43" s="320">
        <f>ROUND(SUM(AC20:AC42),2)</f>
        <v>71200.8</v>
      </c>
      <c r="AD43" s="17"/>
    </row>
    <row r="44" spans="1:30" s="5" customFormat="1" ht="16.5" customHeight="1" thickBot="1" thickTop="1">
      <c r="A44" s="88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</row>
    <row r="45" spans="1:31" ht="16.5" customHeight="1" thickTop="1">
      <c r="A45" s="2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</row>
    <row r="46" spans="1:31" ht="16.5" customHeight="1">
      <c r="A46" s="2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</row>
    <row r="47" spans="1:31" ht="16.5" customHeight="1">
      <c r="A47" s="2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</row>
    <row r="48" spans="1:31" ht="16.5" customHeight="1">
      <c r="A48" s="2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</row>
    <row r="49" spans="6:31" ht="16.5" customHeight="1"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</row>
    <row r="50" spans="6:31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</row>
    <row r="51" spans="6:31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</row>
    <row r="52" spans="6:31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  <row r="53" spans="6:31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6:31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</row>
    <row r="55" spans="6:31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</row>
    <row r="56" spans="6:31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</row>
    <row r="57" spans="6:31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</row>
    <row r="58" spans="6:31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</row>
    <row r="59" spans="6:31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6:31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</row>
    <row r="61" spans="6:31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</row>
    <row r="62" spans="6:31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6:31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</row>
    <row r="64" spans="6:31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</row>
    <row r="65" spans="6:31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</row>
    <row r="66" spans="6:31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</row>
    <row r="67" spans="6:31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</row>
    <row r="68" spans="6:31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6:31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  <row r="70" spans="6:31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</row>
    <row r="71" spans="6:31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</row>
    <row r="72" spans="6:31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</row>
    <row r="73" spans="6:31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</row>
    <row r="74" spans="6:31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6:31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</row>
    <row r="76" spans="6:31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6:31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6:31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</row>
    <row r="79" spans="6:31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6:31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6:31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6:31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</row>
    <row r="83" spans="6:31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</row>
    <row r="84" spans="6:31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</row>
    <row r="85" spans="6:31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</row>
    <row r="86" spans="6:31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6:31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6:31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</row>
    <row r="89" spans="6:31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6:31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</row>
    <row r="91" spans="6:31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</row>
    <row r="92" spans="6:31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</row>
    <row r="93" spans="6:31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6:31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</row>
    <row r="95" spans="6:31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</row>
    <row r="96" spans="6:31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</row>
    <row r="97" spans="6:31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</row>
    <row r="98" spans="6:31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</row>
    <row r="99" spans="6:31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</row>
    <row r="100" spans="6:31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</row>
    <row r="101" spans="6:31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</row>
    <row r="102" spans="6:31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</row>
    <row r="103" spans="6:31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</row>
    <row r="104" spans="6:31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</row>
    <row r="105" spans="6:31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</row>
    <row r="106" spans="6:31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</row>
    <row r="107" spans="6:31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</row>
    <row r="108" spans="6:31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</row>
    <row r="109" spans="6:31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</row>
    <row r="110" spans="6:31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</row>
    <row r="111" spans="6:31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</row>
    <row r="112" spans="6:31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</row>
    <row r="113" spans="6:31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</row>
    <row r="114" spans="6:31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</row>
    <row r="115" spans="6:31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</row>
    <row r="116" spans="6:31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</row>
    <row r="117" spans="6:31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</row>
    <row r="118" spans="6:31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</row>
    <row r="119" spans="6:31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</row>
    <row r="120" spans="6:31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6:31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6:31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</row>
    <row r="123" spans="6:31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</row>
    <row r="124" spans="6:31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6:31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6:31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</row>
    <row r="127" spans="6:31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6:31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</row>
    <row r="129" spans="6:31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</row>
    <row r="130" spans="6:31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</row>
    <row r="131" spans="6:31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</row>
    <row r="132" spans="6:31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</row>
    <row r="133" spans="6:31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</row>
    <row r="134" spans="6:31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</row>
    <row r="135" spans="6:31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</row>
    <row r="136" spans="6:31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</row>
    <row r="137" spans="6:31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</row>
    <row r="138" spans="6:31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</row>
    <row r="139" spans="6:31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</row>
    <row r="140" spans="6:31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</row>
    <row r="141" spans="6:31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</row>
    <row r="142" spans="6:31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</row>
    <row r="143" spans="6:31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</row>
    <row r="144" spans="6:31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</row>
    <row r="145" spans="6:31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</row>
    <row r="146" spans="6:31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</row>
    <row r="147" spans="6:31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</row>
    <row r="148" spans="6:31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</row>
    <row r="149" spans="6:31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</row>
    <row r="150" spans="6:31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</row>
    <row r="151" spans="6:31" ht="16.5" customHeight="1"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</row>
    <row r="152" spans="6:31" ht="16.5" customHeight="1"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</row>
    <row r="153" ht="16.5" customHeight="1">
      <c r="AE153" s="169"/>
    </row>
    <row r="154" ht="16.5" customHeight="1">
      <c r="AE154" s="169"/>
    </row>
    <row r="155" ht="16.5" customHeight="1">
      <c r="AE155" s="169"/>
    </row>
    <row r="156" ht="16.5" customHeight="1">
      <c r="AE156" s="169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5">
    <pageSetUpPr fitToPage="1"/>
  </sheetPr>
  <dimension ref="A1:AE154"/>
  <sheetViews>
    <sheetView zoomScale="70" zoomScaleNormal="70" workbookViewId="0" topLeftCell="A10">
      <selection activeCell="F45" sqref="F45:G45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42"/>
    </row>
    <row r="2" spans="1:30" s="18" customFormat="1" ht="26.25">
      <c r="A2" s="89"/>
      <c r="B2" s="233" t="str">
        <f>+'TOT-0809'!B2</f>
        <v>ANEXO III al Memorándum D.T.E.E. N°   256 /2011</v>
      </c>
      <c r="C2" s="233"/>
      <c r="D2" s="233"/>
      <c r="E2" s="233"/>
      <c r="F2" s="233"/>
      <c r="G2" s="19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25" customFormat="1" ht="11.25">
      <c r="A4" s="234" t="s">
        <v>60</v>
      </c>
      <c r="B4" s="112"/>
      <c r="C4" s="112"/>
      <c r="D4" s="11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5" customFormat="1" ht="11.25">
      <c r="A5" s="234" t="s">
        <v>2</v>
      </c>
      <c r="B5" s="112"/>
      <c r="C5" s="112"/>
      <c r="D5" s="11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</row>
    <row r="8" spans="1:30" s="29" customFormat="1" ht="20.25">
      <c r="A8" s="103"/>
      <c r="B8" s="104"/>
      <c r="C8" s="94"/>
      <c r="D8" s="94"/>
      <c r="E8" s="103"/>
      <c r="F8" s="235" t="s">
        <v>55</v>
      </c>
      <c r="G8" s="103"/>
      <c r="H8" s="103"/>
      <c r="I8" s="236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94"/>
      <c r="U8" s="94"/>
      <c r="V8" s="94"/>
      <c r="W8" s="94"/>
      <c r="X8" s="94"/>
      <c r="Y8" s="94"/>
      <c r="Z8" s="94"/>
      <c r="AA8" s="94"/>
      <c r="AB8" s="94"/>
      <c r="AC8" s="94"/>
      <c r="AD8" s="105"/>
    </row>
    <row r="9" spans="1:30" s="5" customFormat="1" ht="12.75">
      <c r="A9" s="88"/>
      <c r="B9" s="93"/>
      <c r="C9" s="15"/>
      <c r="D9" s="15"/>
      <c r="E9" s="88"/>
      <c r="F9" s="15"/>
      <c r="G9" s="237"/>
      <c r="H9" s="88"/>
      <c r="I9" s="15"/>
      <c r="J9" s="88"/>
      <c r="K9" s="88"/>
      <c r="L9" s="88"/>
      <c r="M9" s="88"/>
      <c r="N9" s="88"/>
      <c r="O9" s="88"/>
      <c r="P9" s="88"/>
      <c r="Q9" s="88"/>
      <c r="R9" s="88"/>
      <c r="S9" s="88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709" customFormat="1" ht="33" customHeight="1">
      <c r="A10" s="732"/>
      <c r="B10" s="740"/>
      <c r="C10" s="743"/>
      <c r="D10" s="743"/>
      <c r="E10" s="732"/>
      <c r="F10" s="741" t="s">
        <v>130</v>
      </c>
      <c r="G10" s="732"/>
      <c r="H10" s="742"/>
      <c r="I10" s="743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11"/>
    </row>
    <row r="11" spans="1:30" s="712" customFormat="1" ht="33" customHeight="1">
      <c r="A11" s="736"/>
      <c r="B11" s="744"/>
      <c r="C11" s="746"/>
      <c r="D11" s="746"/>
      <c r="E11" s="736"/>
      <c r="F11" s="745" t="s">
        <v>64</v>
      </c>
      <c r="G11" s="746"/>
      <c r="H11" s="746"/>
      <c r="I11" s="747"/>
      <c r="J11" s="746"/>
      <c r="K11" s="746"/>
      <c r="L11" s="746"/>
      <c r="M11" s="746"/>
      <c r="N11" s="746"/>
      <c r="O11" s="736"/>
      <c r="P11" s="736"/>
      <c r="Q11" s="736"/>
      <c r="R11" s="736"/>
      <c r="S11" s="73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15"/>
    </row>
    <row r="12" spans="1:30" s="36" customFormat="1" ht="19.5">
      <c r="A12" s="107"/>
      <c r="B12" s="37" t="str">
        <f>'TOT-0809'!B14</f>
        <v>Desde el 01 al 31 de agosto de 2009</v>
      </c>
      <c r="C12" s="40"/>
      <c r="D12" s="40"/>
      <c r="E12" s="238"/>
      <c r="F12" s="110"/>
      <c r="G12" s="110"/>
      <c r="H12" s="110"/>
      <c r="I12" s="110"/>
      <c r="J12" s="110"/>
      <c r="K12" s="110"/>
      <c r="L12" s="110"/>
      <c r="M12" s="110"/>
      <c r="N12" s="110"/>
      <c r="O12" s="238"/>
      <c r="P12" s="238"/>
      <c r="Q12" s="238"/>
      <c r="R12" s="238"/>
      <c r="S12" s="238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239"/>
    </row>
    <row r="13" spans="1:30" s="5" customFormat="1" ht="13.5" thickBot="1">
      <c r="A13" s="88"/>
      <c r="B13" s="93"/>
      <c r="C13" s="15"/>
      <c r="D13" s="15"/>
      <c r="E13" s="88"/>
      <c r="F13" s="15"/>
      <c r="G13" s="15"/>
      <c r="H13" s="15"/>
      <c r="I13" s="96"/>
      <c r="J13" s="15"/>
      <c r="K13" s="15"/>
      <c r="L13" s="15"/>
      <c r="M13" s="15"/>
      <c r="N13" s="15"/>
      <c r="O13" s="88"/>
      <c r="P13" s="88"/>
      <c r="Q13" s="88"/>
      <c r="R13" s="88"/>
      <c r="S13" s="8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88"/>
      <c r="B14" s="93"/>
      <c r="C14" s="15"/>
      <c r="D14" s="15"/>
      <c r="E14" s="88"/>
      <c r="F14" s="240" t="s">
        <v>61</v>
      </c>
      <c r="G14" s="241"/>
      <c r="H14" s="242">
        <v>0.319</v>
      </c>
      <c r="J14" s="88"/>
      <c r="K14" s="88"/>
      <c r="L14" s="88"/>
      <c r="M14" s="88"/>
      <c r="N14" s="88"/>
      <c r="O14" s="88"/>
      <c r="P14" s="8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88"/>
      <c r="B15" s="93"/>
      <c r="C15" s="15"/>
      <c r="D15" s="15"/>
      <c r="E15" s="88"/>
      <c r="F15" s="108" t="s">
        <v>24</v>
      </c>
      <c r="G15" s="109"/>
      <c r="H15" s="704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7"/>
      <c r="X15" s="97"/>
      <c r="Y15" s="97"/>
      <c r="Z15" s="97"/>
      <c r="AA15" s="97"/>
      <c r="AB15" s="97"/>
      <c r="AC15" s="88"/>
      <c r="AD15" s="17"/>
    </row>
    <row r="16" spans="1:30" s="5" customFormat="1" ht="16.5" customHeight="1" thickBot="1" thickTop="1">
      <c r="A16" s="88"/>
      <c r="B16" s="93"/>
      <c r="C16" s="761">
        <v>3</v>
      </c>
      <c r="D16" s="761">
        <v>4</v>
      </c>
      <c r="E16" s="761">
        <v>5</v>
      </c>
      <c r="F16" s="761">
        <v>6</v>
      </c>
      <c r="G16" s="761">
        <v>7</v>
      </c>
      <c r="H16" s="761">
        <v>8</v>
      </c>
      <c r="I16" s="761">
        <v>9</v>
      </c>
      <c r="J16" s="761">
        <v>10</v>
      </c>
      <c r="K16" s="761">
        <v>11</v>
      </c>
      <c r="L16" s="761">
        <v>12</v>
      </c>
      <c r="M16" s="761">
        <v>13</v>
      </c>
      <c r="N16" s="761">
        <v>14</v>
      </c>
      <c r="O16" s="761">
        <v>15</v>
      </c>
      <c r="P16" s="761">
        <v>16</v>
      </c>
      <c r="Q16" s="761">
        <v>17</v>
      </c>
      <c r="R16" s="761">
        <v>18</v>
      </c>
      <c r="S16" s="761">
        <v>19</v>
      </c>
      <c r="T16" s="761">
        <v>20</v>
      </c>
      <c r="U16" s="761">
        <v>21</v>
      </c>
      <c r="V16" s="761">
        <v>22</v>
      </c>
      <c r="W16" s="761">
        <v>23</v>
      </c>
      <c r="X16" s="761">
        <v>24</v>
      </c>
      <c r="Y16" s="761">
        <v>25</v>
      </c>
      <c r="Z16" s="761">
        <v>26</v>
      </c>
      <c r="AA16" s="761">
        <v>27</v>
      </c>
      <c r="AB16" s="761">
        <v>28</v>
      </c>
      <c r="AC16" s="761">
        <v>29</v>
      </c>
      <c r="AD16" s="17"/>
    </row>
    <row r="17" spans="1:30" s="5" customFormat="1" ht="33.75" customHeight="1" thickBot="1" thickTop="1">
      <c r="A17" s="88"/>
      <c r="B17" s="93"/>
      <c r="C17" s="121" t="s">
        <v>12</v>
      </c>
      <c r="D17" s="84" t="s">
        <v>138</v>
      </c>
      <c r="E17" s="84" t="s">
        <v>139</v>
      </c>
      <c r="F17" s="117" t="s">
        <v>25</v>
      </c>
      <c r="G17" s="116" t="s">
        <v>26</v>
      </c>
      <c r="H17" s="118" t="s">
        <v>27</v>
      </c>
      <c r="I17" s="119" t="s">
        <v>13</v>
      </c>
      <c r="J17" s="127" t="s">
        <v>15</v>
      </c>
      <c r="K17" s="116" t="s">
        <v>16</v>
      </c>
      <c r="L17" s="116" t="s">
        <v>17</v>
      </c>
      <c r="M17" s="117" t="s">
        <v>28</v>
      </c>
      <c r="N17" s="117" t="s">
        <v>29</v>
      </c>
      <c r="O17" s="87" t="s">
        <v>18</v>
      </c>
      <c r="P17" s="87" t="s">
        <v>44</v>
      </c>
      <c r="Q17" s="120" t="s">
        <v>30</v>
      </c>
      <c r="R17" s="116" t="s">
        <v>31</v>
      </c>
      <c r="S17" s="243" t="s">
        <v>35</v>
      </c>
      <c r="T17" s="244" t="s">
        <v>19</v>
      </c>
      <c r="U17" s="245" t="s">
        <v>20</v>
      </c>
      <c r="V17" s="198" t="s">
        <v>62</v>
      </c>
      <c r="W17" s="200"/>
      <c r="X17" s="246" t="s">
        <v>63</v>
      </c>
      <c r="Y17" s="247"/>
      <c r="Z17" s="248" t="s">
        <v>21</v>
      </c>
      <c r="AA17" s="249" t="s">
        <v>58</v>
      </c>
      <c r="AB17" s="130" t="s">
        <v>59</v>
      </c>
      <c r="AC17" s="119" t="s">
        <v>22</v>
      </c>
      <c r="AD17" s="17"/>
    </row>
    <row r="18" spans="1:30" s="5" customFormat="1" ht="16.5" customHeight="1" thickTop="1">
      <c r="A18" s="88"/>
      <c r="B18" s="93"/>
      <c r="C18" s="250"/>
      <c r="D18" s="250"/>
      <c r="E18" s="250"/>
      <c r="F18" s="250"/>
      <c r="G18" s="250"/>
      <c r="H18" s="250"/>
      <c r="I18" s="251"/>
      <c r="J18" s="252"/>
      <c r="K18" s="250"/>
      <c r="L18" s="250"/>
      <c r="M18" s="250"/>
      <c r="N18" s="250"/>
      <c r="O18" s="250"/>
      <c r="P18" s="174"/>
      <c r="Q18" s="253"/>
      <c r="R18" s="250"/>
      <c r="S18" s="254"/>
      <c r="T18" s="255"/>
      <c r="U18" s="256"/>
      <c r="V18" s="257"/>
      <c r="W18" s="258"/>
      <c r="X18" s="259"/>
      <c r="Y18" s="260"/>
      <c r="Z18" s="261"/>
      <c r="AA18" s="262"/>
      <c r="AB18" s="253"/>
      <c r="AC18" s="263"/>
      <c r="AD18" s="17"/>
    </row>
    <row r="19" spans="1:30" s="5" customFormat="1" ht="16.5" customHeight="1">
      <c r="A19" s="88"/>
      <c r="B19" s="93"/>
      <c r="C19" s="264"/>
      <c r="D19" s="264"/>
      <c r="E19" s="264"/>
      <c r="F19" s="264"/>
      <c r="G19" s="264"/>
      <c r="H19" s="264"/>
      <c r="I19" s="265"/>
      <c r="J19" s="266"/>
      <c r="K19" s="264"/>
      <c r="L19" s="264"/>
      <c r="M19" s="264"/>
      <c r="N19" s="264"/>
      <c r="O19" s="264"/>
      <c r="P19" s="176"/>
      <c r="Q19" s="267"/>
      <c r="R19" s="264"/>
      <c r="S19" s="268"/>
      <c r="T19" s="269"/>
      <c r="U19" s="270"/>
      <c r="V19" s="271"/>
      <c r="W19" s="272"/>
      <c r="X19" s="273"/>
      <c r="Y19" s="274"/>
      <c r="Z19" s="275"/>
      <c r="AA19" s="276"/>
      <c r="AB19" s="267"/>
      <c r="AC19" s="277"/>
      <c r="AD19" s="17"/>
    </row>
    <row r="20" spans="1:30" s="5" customFormat="1" ht="16.5" customHeight="1">
      <c r="A20" s="88"/>
      <c r="B20" s="93"/>
      <c r="C20" s="264">
        <v>37</v>
      </c>
      <c r="D20" s="264">
        <v>210115</v>
      </c>
      <c r="E20" s="149">
        <v>2949</v>
      </c>
      <c r="F20" s="145" t="s">
        <v>170</v>
      </c>
      <c r="G20" s="278" t="s">
        <v>171</v>
      </c>
      <c r="H20" s="279">
        <v>300</v>
      </c>
      <c r="I20" s="280" t="s">
        <v>109</v>
      </c>
      <c r="J20" s="281">
        <f aca="true" t="shared" si="0" ref="J20:J39">H20*$H$14</f>
        <v>95.7</v>
      </c>
      <c r="K20" s="150">
        <v>40042.34861111111</v>
      </c>
      <c r="L20" s="150">
        <v>40042.51527777778</v>
      </c>
      <c r="M20" s="282">
        <f aca="true" t="shared" si="1" ref="M20:M39">IF(F20="","",(L20-K20)*24)</f>
        <v>3.9999999999417923</v>
      </c>
      <c r="N20" s="14">
        <f aca="true" t="shared" si="2" ref="N20:N39">IF(F20="","",ROUND((L20-K20)*24*60,0))</f>
        <v>240</v>
      </c>
      <c r="O20" s="151" t="s">
        <v>144</v>
      </c>
      <c r="P20" s="470" t="str">
        <f aca="true" t="shared" si="3" ref="P20:P39">IF(F20="","","--")</f>
        <v>--</v>
      </c>
      <c r="Q20" s="8" t="str">
        <f>IF(F20="","",IF(OR(O20="P",O20="RP"),"--","NO"))</f>
        <v>--</v>
      </c>
      <c r="R20" s="211" t="str">
        <f aca="true" t="shared" si="4" ref="R20:R39">IF(F20="","","NO")</f>
        <v>NO</v>
      </c>
      <c r="S20" s="283">
        <f aca="true" t="shared" si="5" ref="S20:S39">$H$15*IF(OR(O20="P",O20="RP"),0.1,1)*IF(R20="SI",1,0.1)</f>
        <v>2</v>
      </c>
      <c r="T20" s="754">
        <f aca="true" t="shared" si="6" ref="T20:T39">IF(O20="P",J20*S20*ROUND(N20/60,2),"--")</f>
        <v>765.6</v>
      </c>
      <c r="U20" s="755" t="str">
        <f aca="true" t="shared" si="7" ref="U20:U39">IF(O20="RP",J20*S20*P20/100*ROUND(N20/60,2),"--")</f>
        <v>--</v>
      </c>
      <c r="V20" s="286" t="str">
        <f aca="true" t="shared" si="8" ref="V20:V39">IF(AND(O20="F",Q20="NO"),J20*S20,"--")</f>
        <v>--</v>
      </c>
      <c r="W20" s="287" t="str">
        <f aca="true" t="shared" si="9" ref="W20:W39">IF(O20="F",J20*S20*ROUND(N20/60,2),"--")</f>
        <v>--</v>
      </c>
      <c r="X20" s="288" t="str">
        <f aca="true" t="shared" si="10" ref="X20:X39">IF(AND(O20="R",Q20="NO"),J20*S20*P20/100,"--")</f>
        <v>--</v>
      </c>
      <c r="Y20" s="289" t="str">
        <f aca="true" t="shared" si="11" ref="Y20:Y39">IF(O20="R",J20*S20*P20/100*ROUND(N20/60,2),"--")</f>
        <v>--</v>
      </c>
      <c r="Z20" s="290" t="str">
        <f aca="true" t="shared" si="12" ref="Z20:Z39">IF(O20="RF",J20*S20*ROUND(N20/60,2),"--")</f>
        <v>--</v>
      </c>
      <c r="AA20" s="291" t="str">
        <f aca="true" t="shared" si="13" ref="AA20:AA39">IF(O20="RR",J20*S20*P20/100*ROUND(N20/60,2),"--")</f>
        <v>--</v>
      </c>
      <c r="AB20" s="756" t="s">
        <v>128</v>
      </c>
      <c r="AC20" s="293">
        <f aca="true" t="shared" si="14" ref="AC20:AC39">IF(F20="","",SUM(T20:AA20)*IF(AB20="SI",1,2)*IF(AND(P22&lt;&gt;"--",O22="RF"),P22/100,1))</f>
        <v>765.6</v>
      </c>
      <c r="AD20" s="17"/>
    </row>
    <row r="21" spans="1:30" s="5" customFormat="1" ht="16.5" customHeight="1">
      <c r="A21" s="88"/>
      <c r="B21" s="93"/>
      <c r="C21" s="264"/>
      <c r="D21" s="264"/>
      <c r="E21" s="264"/>
      <c r="F21" s="145"/>
      <c r="G21" s="278"/>
      <c r="H21" s="279"/>
      <c r="I21" s="280"/>
      <c r="J21" s="281">
        <f t="shared" si="0"/>
        <v>0</v>
      </c>
      <c r="K21" s="150"/>
      <c r="L21" s="150"/>
      <c r="M21" s="282">
        <f t="shared" si="1"/>
      </c>
      <c r="N21" s="14">
        <f t="shared" si="2"/>
      </c>
      <c r="O21" s="151"/>
      <c r="P21" s="470">
        <f t="shared" si="3"/>
      </c>
      <c r="Q21" s="8">
        <f aca="true" t="shared" si="15" ref="Q21:Q39">IF(F21="","",IF(O21="P","--","NO"))</f>
      </c>
      <c r="R21" s="211">
        <f t="shared" si="4"/>
      </c>
      <c r="S21" s="283">
        <f t="shared" si="5"/>
        <v>20</v>
      </c>
      <c r="T21" s="754" t="str">
        <f t="shared" si="6"/>
        <v>--</v>
      </c>
      <c r="U21" s="755" t="str">
        <f t="shared" si="7"/>
        <v>--</v>
      </c>
      <c r="V21" s="286" t="str">
        <f t="shared" si="8"/>
        <v>--</v>
      </c>
      <c r="W21" s="287" t="str">
        <f t="shared" si="9"/>
        <v>--</v>
      </c>
      <c r="X21" s="288" t="str">
        <f t="shared" si="10"/>
        <v>--</v>
      </c>
      <c r="Y21" s="289" t="str">
        <f t="shared" si="11"/>
        <v>--</v>
      </c>
      <c r="Z21" s="290" t="str">
        <f t="shared" si="12"/>
        <v>--</v>
      </c>
      <c r="AA21" s="291" t="str">
        <f t="shared" si="13"/>
        <v>--</v>
      </c>
      <c r="AB21" s="756">
        <f aca="true" t="shared" si="16" ref="AB21:AB39">IF(F21="","","SI")</f>
      </c>
      <c r="AC21" s="293">
        <f t="shared" si="14"/>
      </c>
      <c r="AD21" s="17"/>
    </row>
    <row r="22" spans="1:30" s="5" customFormat="1" ht="16.5" customHeight="1">
      <c r="A22" s="88"/>
      <c r="B22" s="93"/>
      <c r="C22" s="264"/>
      <c r="D22" s="264"/>
      <c r="E22" s="149"/>
      <c r="F22" s="145"/>
      <c r="G22" s="278"/>
      <c r="H22" s="279"/>
      <c r="I22" s="280"/>
      <c r="J22" s="281">
        <f t="shared" si="0"/>
        <v>0</v>
      </c>
      <c r="K22" s="150"/>
      <c r="L22" s="150"/>
      <c r="M22" s="282">
        <f t="shared" si="1"/>
      </c>
      <c r="N22" s="14">
        <f t="shared" si="2"/>
      </c>
      <c r="O22" s="151"/>
      <c r="P22" s="470">
        <f t="shared" si="3"/>
      </c>
      <c r="Q22" s="8">
        <f t="shared" si="15"/>
      </c>
      <c r="R22" s="211">
        <f t="shared" si="4"/>
      </c>
      <c r="S22" s="283">
        <f t="shared" si="5"/>
        <v>20</v>
      </c>
      <c r="T22" s="754" t="str">
        <f t="shared" si="6"/>
        <v>--</v>
      </c>
      <c r="U22" s="755" t="str">
        <f t="shared" si="7"/>
        <v>--</v>
      </c>
      <c r="V22" s="286" t="str">
        <f t="shared" si="8"/>
        <v>--</v>
      </c>
      <c r="W22" s="287" t="str">
        <f t="shared" si="9"/>
        <v>--</v>
      </c>
      <c r="X22" s="288" t="str">
        <f t="shared" si="10"/>
        <v>--</v>
      </c>
      <c r="Y22" s="289" t="str">
        <f t="shared" si="11"/>
        <v>--</v>
      </c>
      <c r="Z22" s="290" t="str">
        <f t="shared" si="12"/>
        <v>--</v>
      </c>
      <c r="AA22" s="291" t="str">
        <f t="shared" si="13"/>
        <v>--</v>
      </c>
      <c r="AB22" s="756">
        <f t="shared" si="16"/>
      </c>
      <c r="AC22" s="293">
        <f t="shared" si="14"/>
      </c>
      <c r="AD22" s="17"/>
    </row>
    <row r="23" spans="1:30" s="5" customFormat="1" ht="16.5" customHeight="1">
      <c r="A23" s="88"/>
      <c r="B23" s="93"/>
      <c r="C23" s="264"/>
      <c r="D23" s="264"/>
      <c r="E23" s="264"/>
      <c r="F23" s="145"/>
      <c r="G23" s="278"/>
      <c r="H23" s="279"/>
      <c r="I23" s="280"/>
      <c r="J23" s="281">
        <f t="shared" si="0"/>
        <v>0</v>
      </c>
      <c r="K23" s="150"/>
      <c r="L23" s="150"/>
      <c r="M23" s="282">
        <f t="shared" si="1"/>
      </c>
      <c r="N23" s="14">
        <f t="shared" si="2"/>
      </c>
      <c r="O23" s="151"/>
      <c r="P23" s="470">
        <f t="shared" si="3"/>
      </c>
      <c r="Q23" s="8">
        <f t="shared" si="15"/>
      </c>
      <c r="R23" s="211">
        <f t="shared" si="4"/>
      </c>
      <c r="S23" s="283">
        <f t="shared" si="5"/>
        <v>20</v>
      </c>
      <c r="T23" s="754" t="str">
        <f t="shared" si="6"/>
        <v>--</v>
      </c>
      <c r="U23" s="755" t="str">
        <f t="shared" si="7"/>
        <v>--</v>
      </c>
      <c r="V23" s="286" t="str">
        <f t="shared" si="8"/>
        <v>--</v>
      </c>
      <c r="W23" s="287" t="str">
        <f t="shared" si="9"/>
        <v>--</v>
      </c>
      <c r="X23" s="288" t="str">
        <f t="shared" si="10"/>
        <v>--</v>
      </c>
      <c r="Y23" s="289" t="str">
        <f t="shared" si="11"/>
        <v>--</v>
      </c>
      <c r="Z23" s="290" t="str">
        <f t="shared" si="12"/>
        <v>--</v>
      </c>
      <c r="AA23" s="291" t="str">
        <f t="shared" si="13"/>
        <v>--</v>
      </c>
      <c r="AB23" s="756">
        <f t="shared" si="16"/>
      </c>
      <c r="AC23" s="293">
        <f t="shared" si="14"/>
      </c>
      <c r="AD23" s="17"/>
    </row>
    <row r="24" spans="1:30" s="5" customFormat="1" ht="16.5" customHeight="1">
      <c r="A24" s="88"/>
      <c r="B24" s="93"/>
      <c r="C24" s="264"/>
      <c r="D24" s="264"/>
      <c r="E24" s="149"/>
      <c r="F24" s="145"/>
      <c r="G24" s="278"/>
      <c r="H24" s="279"/>
      <c r="I24" s="280"/>
      <c r="J24" s="281">
        <f t="shared" si="0"/>
        <v>0</v>
      </c>
      <c r="K24" s="150"/>
      <c r="L24" s="150"/>
      <c r="M24" s="282">
        <f t="shared" si="1"/>
      </c>
      <c r="N24" s="14">
        <f t="shared" si="2"/>
      </c>
      <c r="O24" s="151"/>
      <c r="P24" s="470">
        <f t="shared" si="3"/>
      </c>
      <c r="Q24" s="8">
        <f t="shared" si="15"/>
      </c>
      <c r="R24" s="211">
        <f t="shared" si="4"/>
      </c>
      <c r="S24" s="283">
        <f t="shared" si="5"/>
        <v>20</v>
      </c>
      <c r="T24" s="754" t="str">
        <f t="shared" si="6"/>
        <v>--</v>
      </c>
      <c r="U24" s="755" t="str">
        <f t="shared" si="7"/>
        <v>--</v>
      </c>
      <c r="V24" s="286" t="str">
        <f t="shared" si="8"/>
        <v>--</v>
      </c>
      <c r="W24" s="287" t="str">
        <f t="shared" si="9"/>
        <v>--</v>
      </c>
      <c r="X24" s="288" t="str">
        <f t="shared" si="10"/>
        <v>--</v>
      </c>
      <c r="Y24" s="289" t="str">
        <f t="shared" si="11"/>
        <v>--</v>
      </c>
      <c r="Z24" s="290" t="str">
        <f t="shared" si="12"/>
        <v>--</v>
      </c>
      <c r="AA24" s="291" t="str">
        <f t="shared" si="13"/>
        <v>--</v>
      </c>
      <c r="AB24" s="756">
        <f t="shared" si="16"/>
      </c>
      <c r="AC24" s="293">
        <f t="shared" si="14"/>
      </c>
      <c r="AD24" s="17"/>
    </row>
    <row r="25" spans="1:30" s="5" customFormat="1" ht="16.5" customHeight="1">
      <c r="A25" s="88"/>
      <c r="B25" s="93"/>
      <c r="C25" s="264"/>
      <c r="D25" s="264"/>
      <c r="E25" s="264"/>
      <c r="F25" s="145"/>
      <c r="G25" s="278"/>
      <c r="H25" s="279"/>
      <c r="I25" s="280"/>
      <c r="J25" s="281">
        <f t="shared" si="0"/>
        <v>0</v>
      </c>
      <c r="K25" s="150"/>
      <c r="L25" s="150"/>
      <c r="M25" s="282">
        <f t="shared" si="1"/>
      </c>
      <c r="N25" s="14">
        <f t="shared" si="2"/>
      </c>
      <c r="O25" s="151"/>
      <c r="P25" s="470">
        <f t="shared" si="3"/>
      </c>
      <c r="Q25" s="8">
        <f t="shared" si="15"/>
      </c>
      <c r="R25" s="211">
        <f t="shared" si="4"/>
      </c>
      <c r="S25" s="283">
        <f t="shared" si="5"/>
        <v>20</v>
      </c>
      <c r="T25" s="754" t="str">
        <f t="shared" si="6"/>
        <v>--</v>
      </c>
      <c r="U25" s="755" t="str">
        <f t="shared" si="7"/>
        <v>--</v>
      </c>
      <c r="V25" s="286" t="str">
        <f t="shared" si="8"/>
        <v>--</v>
      </c>
      <c r="W25" s="287" t="str">
        <f t="shared" si="9"/>
        <v>--</v>
      </c>
      <c r="X25" s="288" t="str">
        <f t="shared" si="10"/>
        <v>--</v>
      </c>
      <c r="Y25" s="289" t="str">
        <f t="shared" si="11"/>
        <v>--</v>
      </c>
      <c r="Z25" s="290" t="str">
        <f t="shared" si="12"/>
        <v>--</v>
      </c>
      <c r="AA25" s="291" t="str">
        <f t="shared" si="13"/>
        <v>--</v>
      </c>
      <c r="AB25" s="756">
        <f t="shared" si="16"/>
      </c>
      <c r="AC25" s="293">
        <f t="shared" si="14"/>
      </c>
      <c r="AD25" s="17"/>
    </row>
    <row r="26" spans="1:31" s="5" customFormat="1" ht="16.5" customHeight="1">
      <c r="A26" s="88"/>
      <c r="B26" s="93"/>
      <c r="C26" s="264"/>
      <c r="D26" s="264"/>
      <c r="E26" s="149"/>
      <c r="F26" s="145"/>
      <c r="G26" s="278"/>
      <c r="H26" s="279"/>
      <c r="I26" s="280"/>
      <c r="J26" s="281">
        <f t="shared" si="0"/>
        <v>0</v>
      </c>
      <c r="K26" s="150"/>
      <c r="L26" s="150"/>
      <c r="M26" s="282">
        <f t="shared" si="1"/>
      </c>
      <c r="N26" s="14">
        <f t="shared" si="2"/>
      </c>
      <c r="O26" s="151"/>
      <c r="P26" s="470">
        <f t="shared" si="3"/>
      </c>
      <c r="Q26" s="8">
        <f t="shared" si="15"/>
      </c>
      <c r="R26" s="211">
        <f t="shared" si="4"/>
      </c>
      <c r="S26" s="283">
        <f t="shared" si="5"/>
        <v>20</v>
      </c>
      <c r="T26" s="754" t="str">
        <f t="shared" si="6"/>
        <v>--</v>
      </c>
      <c r="U26" s="755" t="str">
        <f t="shared" si="7"/>
        <v>--</v>
      </c>
      <c r="V26" s="286" t="str">
        <f t="shared" si="8"/>
        <v>--</v>
      </c>
      <c r="W26" s="287" t="str">
        <f t="shared" si="9"/>
        <v>--</v>
      </c>
      <c r="X26" s="288" t="str">
        <f t="shared" si="10"/>
        <v>--</v>
      </c>
      <c r="Y26" s="289" t="str">
        <f t="shared" si="11"/>
        <v>--</v>
      </c>
      <c r="Z26" s="290" t="str">
        <f t="shared" si="12"/>
        <v>--</v>
      </c>
      <c r="AA26" s="291" t="str">
        <f t="shared" si="13"/>
        <v>--</v>
      </c>
      <c r="AB26" s="756">
        <f t="shared" si="16"/>
      </c>
      <c r="AC26" s="293">
        <f t="shared" si="14"/>
      </c>
      <c r="AD26" s="17"/>
      <c r="AE26" s="15"/>
    </row>
    <row r="27" spans="1:30" s="5" customFormat="1" ht="16.5" customHeight="1">
      <c r="A27" s="88"/>
      <c r="B27" s="93"/>
      <c r="C27" s="264"/>
      <c r="D27" s="264"/>
      <c r="E27" s="264"/>
      <c r="F27" s="145"/>
      <c r="G27" s="278"/>
      <c r="H27" s="279"/>
      <c r="I27" s="280"/>
      <c r="J27" s="281">
        <f t="shared" si="0"/>
        <v>0</v>
      </c>
      <c r="K27" s="150"/>
      <c r="L27" s="150"/>
      <c r="M27" s="282">
        <f t="shared" si="1"/>
      </c>
      <c r="N27" s="14">
        <f t="shared" si="2"/>
      </c>
      <c r="O27" s="151"/>
      <c r="P27" s="470">
        <f t="shared" si="3"/>
      </c>
      <c r="Q27" s="8">
        <f t="shared" si="15"/>
      </c>
      <c r="R27" s="211">
        <f t="shared" si="4"/>
      </c>
      <c r="S27" s="283">
        <f t="shared" si="5"/>
        <v>20</v>
      </c>
      <c r="T27" s="754" t="str">
        <f t="shared" si="6"/>
        <v>--</v>
      </c>
      <c r="U27" s="755" t="str">
        <f t="shared" si="7"/>
        <v>--</v>
      </c>
      <c r="V27" s="286" t="str">
        <f t="shared" si="8"/>
        <v>--</v>
      </c>
      <c r="W27" s="287" t="str">
        <f t="shared" si="9"/>
        <v>--</v>
      </c>
      <c r="X27" s="288" t="str">
        <f t="shared" si="10"/>
        <v>--</v>
      </c>
      <c r="Y27" s="289" t="str">
        <f t="shared" si="11"/>
        <v>--</v>
      </c>
      <c r="Z27" s="290" t="str">
        <f t="shared" si="12"/>
        <v>--</v>
      </c>
      <c r="AA27" s="291" t="str">
        <f t="shared" si="13"/>
        <v>--</v>
      </c>
      <c r="AB27" s="756">
        <f t="shared" si="16"/>
      </c>
      <c r="AC27" s="293">
        <f t="shared" si="14"/>
      </c>
      <c r="AD27" s="17"/>
    </row>
    <row r="28" spans="1:30" s="5" customFormat="1" ht="16.5" customHeight="1">
      <c r="A28" s="88"/>
      <c r="B28" s="93"/>
      <c r="C28" s="264"/>
      <c r="D28" s="264"/>
      <c r="E28" s="149"/>
      <c r="F28" s="145"/>
      <c r="G28" s="278"/>
      <c r="H28" s="279"/>
      <c r="I28" s="280"/>
      <c r="J28" s="281">
        <f t="shared" si="0"/>
        <v>0</v>
      </c>
      <c r="K28" s="150"/>
      <c r="L28" s="150"/>
      <c r="M28" s="282">
        <f t="shared" si="1"/>
      </c>
      <c r="N28" s="14">
        <f t="shared" si="2"/>
      </c>
      <c r="O28" s="151"/>
      <c r="P28" s="470">
        <f t="shared" si="3"/>
      </c>
      <c r="Q28" s="8">
        <f t="shared" si="15"/>
      </c>
      <c r="R28" s="211">
        <f t="shared" si="4"/>
      </c>
      <c r="S28" s="283">
        <f t="shared" si="5"/>
        <v>20</v>
      </c>
      <c r="T28" s="754" t="str">
        <f t="shared" si="6"/>
        <v>--</v>
      </c>
      <c r="U28" s="755" t="str">
        <f t="shared" si="7"/>
        <v>--</v>
      </c>
      <c r="V28" s="286" t="str">
        <f t="shared" si="8"/>
        <v>--</v>
      </c>
      <c r="W28" s="287" t="str">
        <f t="shared" si="9"/>
        <v>--</v>
      </c>
      <c r="X28" s="288" t="str">
        <f t="shared" si="10"/>
        <v>--</v>
      </c>
      <c r="Y28" s="289" t="str">
        <f t="shared" si="11"/>
        <v>--</v>
      </c>
      <c r="Z28" s="290" t="str">
        <f t="shared" si="12"/>
        <v>--</v>
      </c>
      <c r="AA28" s="291" t="str">
        <f t="shared" si="13"/>
        <v>--</v>
      </c>
      <c r="AB28" s="756">
        <f t="shared" si="16"/>
      </c>
      <c r="AC28" s="293">
        <f t="shared" si="14"/>
      </c>
      <c r="AD28" s="17"/>
    </row>
    <row r="29" spans="1:30" s="5" customFormat="1" ht="16.5" customHeight="1">
      <c r="A29" s="88"/>
      <c r="B29" s="93"/>
      <c r="C29" s="264"/>
      <c r="D29" s="264"/>
      <c r="E29" s="264"/>
      <c r="F29" s="145"/>
      <c r="G29" s="278"/>
      <c r="H29" s="279"/>
      <c r="I29" s="280"/>
      <c r="J29" s="281">
        <f t="shared" si="0"/>
        <v>0</v>
      </c>
      <c r="K29" s="150"/>
      <c r="L29" s="150"/>
      <c r="M29" s="282">
        <f t="shared" si="1"/>
      </c>
      <c r="N29" s="14">
        <f t="shared" si="2"/>
      </c>
      <c r="O29" s="151"/>
      <c r="P29" s="470">
        <f t="shared" si="3"/>
      </c>
      <c r="Q29" s="8">
        <f t="shared" si="15"/>
      </c>
      <c r="R29" s="211">
        <f t="shared" si="4"/>
      </c>
      <c r="S29" s="283">
        <f t="shared" si="5"/>
        <v>20</v>
      </c>
      <c r="T29" s="754" t="str">
        <f t="shared" si="6"/>
        <v>--</v>
      </c>
      <c r="U29" s="755" t="str">
        <f t="shared" si="7"/>
        <v>--</v>
      </c>
      <c r="V29" s="286" t="str">
        <f t="shared" si="8"/>
        <v>--</v>
      </c>
      <c r="W29" s="287" t="str">
        <f t="shared" si="9"/>
        <v>--</v>
      </c>
      <c r="X29" s="288" t="str">
        <f t="shared" si="10"/>
        <v>--</v>
      </c>
      <c r="Y29" s="289" t="str">
        <f t="shared" si="11"/>
        <v>--</v>
      </c>
      <c r="Z29" s="290" t="str">
        <f t="shared" si="12"/>
        <v>--</v>
      </c>
      <c r="AA29" s="291" t="str">
        <f t="shared" si="13"/>
        <v>--</v>
      </c>
      <c r="AB29" s="756">
        <f t="shared" si="16"/>
      </c>
      <c r="AC29" s="293">
        <f t="shared" si="14"/>
      </c>
      <c r="AD29" s="17"/>
    </row>
    <row r="30" spans="1:30" s="5" customFormat="1" ht="16.5" customHeight="1">
      <c r="A30" s="88"/>
      <c r="B30" s="93"/>
      <c r="C30" s="264"/>
      <c r="D30" s="264"/>
      <c r="E30" s="149"/>
      <c r="F30" s="145"/>
      <c r="G30" s="294"/>
      <c r="H30" s="279"/>
      <c r="I30" s="280"/>
      <c r="J30" s="281">
        <f t="shared" si="0"/>
        <v>0</v>
      </c>
      <c r="K30" s="150"/>
      <c r="L30" s="150"/>
      <c r="M30" s="282">
        <f t="shared" si="1"/>
      </c>
      <c r="N30" s="14">
        <f t="shared" si="2"/>
      </c>
      <c r="O30" s="151"/>
      <c r="P30" s="470">
        <f t="shared" si="3"/>
      </c>
      <c r="Q30" s="8">
        <f t="shared" si="15"/>
      </c>
      <c r="R30" s="211">
        <f t="shared" si="4"/>
      </c>
      <c r="S30" s="283">
        <f t="shared" si="5"/>
        <v>20</v>
      </c>
      <c r="T30" s="754" t="str">
        <f t="shared" si="6"/>
        <v>--</v>
      </c>
      <c r="U30" s="755" t="str">
        <f t="shared" si="7"/>
        <v>--</v>
      </c>
      <c r="V30" s="286" t="str">
        <f t="shared" si="8"/>
        <v>--</v>
      </c>
      <c r="W30" s="287" t="str">
        <f t="shared" si="9"/>
        <v>--</v>
      </c>
      <c r="X30" s="288" t="str">
        <f t="shared" si="10"/>
        <v>--</v>
      </c>
      <c r="Y30" s="289" t="str">
        <f t="shared" si="11"/>
        <v>--</v>
      </c>
      <c r="Z30" s="290" t="str">
        <f t="shared" si="12"/>
        <v>--</v>
      </c>
      <c r="AA30" s="291" t="str">
        <f t="shared" si="13"/>
        <v>--</v>
      </c>
      <c r="AB30" s="756">
        <f t="shared" si="16"/>
      </c>
      <c r="AC30" s="293">
        <f t="shared" si="14"/>
      </c>
      <c r="AD30" s="17"/>
    </row>
    <row r="31" spans="1:30" s="5" customFormat="1" ht="16.5" customHeight="1">
      <c r="A31" s="88"/>
      <c r="B31" s="93"/>
      <c r="C31" s="264"/>
      <c r="D31" s="264"/>
      <c r="E31" s="264"/>
      <c r="F31" s="145"/>
      <c r="G31" s="294"/>
      <c r="H31" s="279"/>
      <c r="I31" s="280"/>
      <c r="J31" s="281">
        <f t="shared" si="0"/>
        <v>0</v>
      </c>
      <c r="K31" s="150"/>
      <c r="L31" s="150"/>
      <c r="M31" s="282">
        <f t="shared" si="1"/>
      </c>
      <c r="N31" s="14">
        <f t="shared" si="2"/>
      </c>
      <c r="O31" s="151"/>
      <c r="P31" s="470">
        <f t="shared" si="3"/>
      </c>
      <c r="Q31" s="8">
        <f t="shared" si="15"/>
      </c>
      <c r="R31" s="211">
        <f t="shared" si="4"/>
      </c>
      <c r="S31" s="283">
        <f t="shared" si="5"/>
        <v>20</v>
      </c>
      <c r="T31" s="754" t="str">
        <f t="shared" si="6"/>
        <v>--</v>
      </c>
      <c r="U31" s="755" t="str">
        <f t="shared" si="7"/>
        <v>--</v>
      </c>
      <c r="V31" s="286" t="str">
        <f t="shared" si="8"/>
        <v>--</v>
      </c>
      <c r="W31" s="287" t="str">
        <f t="shared" si="9"/>
        <v>--</v>
      </c>
      <c r="X31" s="288" t="str">
        <f t="shared" si="10"/>
        <v>--</v>
      </c>
      <c r="Y31" s="289" t="str">
        <f t="shared" si="11"/>
        <v>--</v>
      </c>
      <c r="Z31" s="290" t="str">
        <f t="shared" si="12"/>
        <v>--</v>
      </c>
      <c r="AA31" s="291" t="str">
        <f t="shared" si="13"/>
        <v>--</v>
      </c>
      <c r="AB31" s="756">
        <f t="shared" si="16"/>
      </c>
      <c r="AC31" s="293">
        <f t="shared" si="14"/>
      </c>
      <c r="AD31" s="17"/>
    </row>
    <row r="32" spans="1:30" s="5" customFormat="1" ht="16.5" customHeight="1">
      <c r="A32" s="88"/>
      <c r="B32" s="93"/>
      <c r="C32" s="264"/>
      <c r="D32" s="264"/>
      <c r="E32" s="149"/>
      <c r="F32" s="145"/>
      <c r="G32" s="294"/>
      <c r="H32" s="279"/>
      <c r="I32" s="280"/>
      <c r="J32" s="281">
        <f t="shared" si="0"/>
        <v>0</v>
      </c>
      <c r="K32" s="150"/>
      <c r="L32" s="150"/>
      <c r="M32" s="282">
        <f t="shared" si="1"/>
      </c>
      <c r="N32" s="14">
        <f t="shared" si="2"/>
      </c>
      <c r="O32" s="151"/>
      <c r="P32" s="470">
        <f t="shared" si="3"/>
      </c>
      <c r="Q32" s="8">
        <f t="shared" si="15"/>
      </c>
      <c r="R32" s="211">
        <f t="shared" si="4"/>
      </c>
      <c r="S32" s="283">
        <f t="shared" si="5"/>
        <v>20</v>
      </c>
      <c r="T32" s="754" t="str">
        <f t="shared" si="6"/>
        <v>--</v>
      </c>
      <c r="U32" s="755" t="str">
        <f t="shared" si="7"/>
        <v>--</v>
      </c>
      <c r="V32" s="286" t="str">
        <f t="shared" si="8"/>
        <v>--</v>
      </c>
      <c r="W32" s="287" t="str">
        <f t="shared" si="9"/>
        <v>--</v>
      </c>
      <c r="X32" s="288" t="str">
        <f t="shared" si="10"/>
        <v>--</v>
      </c>
      <c r="Y32" s="289" t="str">
        <f t="shared" si="11"/>
        <v>--</v>
      </c>
      <c r="Z32" s="290" t="str">
        <f t="shared" si="12"/>
        <v>--</v>
      </c>
      <c r="AA32" s="291" t="str">
        <f t="shared" si="13"/>
        <v>--</v>
      </c>
      <c r="AB32" s="756">
        <f t="shared" si="16"/>
      </c>
      <c r="AC32" s="293">
        <f t="shared" si="14"/>
      </c>
      <c r="AD32" s="17"/>
    </row>
    <row r="33" spans="1:30" s="5" customFormat="1" ht="16.5" customHeight="1">
      <c r="A33" s="88"/>
      <c r="B33" s="93"/>
      <c r="C33" s="264"/>
      <c r="D33" s="264"/>
      <c r="E33" s="264"/>
      <c r="F33" s="145"/>
      <c r="G33" s="294"/>
      <c r="H33" s="279"/>
      <c r="I33" s="280"/>
      <c r="J33" s="281">
        <f t="shared" si="0"/>
        <v>0</v>
      </c>
      <c r="K33" s="150"/>
      <c r="L33" s="150"/>
      <c r="M33" s="282">
        <f t="shared" si="1"/>
      </c>
      <c r="N33" s="14">
        <f t="shared" si="2"/>
      </c>
      <c r="O33" s="151"/>
      <c r="P33" s="470">
        <f t="shared" si="3"/>
      </c>
      <c r="Q33" s="8">
        <f t="shared" si="15"/>
      </c>
      <c r="R33" s="211">
        <f t="shared" si="4"/>
      </c>
      <c r="S33" s="283">
        <f t="shared" si="5"/>
        <v>20</v>
      </c>
      <c r="T33" s="754" t="str">
        <f t="shared" si="6"/>
        <v>--</v>
      </c>
      <c r="U33" s="755" t="str">
        <f t="shared" si="7"/>
        <v>--</v>
      </c>
      <c r="V33" s="286" t="str">
        <f t="shared" si="8"/>
        <v>--</v>
      </c>
      <c r="W33" s="287" t="str">
        <f t="shared" si="9"/>
        <v>--</v>
      </c>
      <c r="X33" s="288" t="str">
        <f t="shared" si="10"/>
        <v>--</v>
      </c>
      <c r="Y33" s="289" t="str">
        <f t="shared" si="11"/>
        <v>--</v>
      </c>
      <c r="Z33" s="290" t="str">
        <f t="shared" si="12"/>
        <v>--</v>
      </c>
      <c r="AA33" s="291" t="str">
        <f t="shared" si="13"/>
        <v>--</v>
      </c>
      <c r="AB33" s="756">
        <f t="shared" si="16"/>
      </c>
      <c r="AC33" s="293">
        <f t="shared" si="14"/>
      </c>
      <c r="AD33" s="17"/>
    </row>
    <row r="34" spans="1:30" s="5" customFormat="1" ht="16.5" customHeight="1">
      <c r="A34" s="88"/>
      <c r="B34" s="93"/>
      <c r="C34" s="264"/>
      <c r="D34" s="264"/>
      <c r="E34" s="149"/>
      <c r="F34" s="145"/>
      <c r="G34" s="294"/>
      <c r="H34" s="279"/>
      <c r="I34" s="280"/>
      <c r="J34" s="281">
        <f t="shared" si="0"/>
        <v>0</v>
      </c>
      <c r="K34" s="150"/>
      <c r="L34" s="150"/>
      <c r="M34" s="282">
        <f t="shared" si="1"/>
      </c>
      <c r="N34" s="14">
        <f t="shared" si="2"/>
      </c>
      <c r="O34" s="151"/>
      <c r="P34" s="470">
        <f t="shared" si="3"/>
      </c>
      <c r="Q34" s="8">
        <f t="shared" si="15"/>
      </c>
      <c r="R34" s="211">
        <f t="shared" si="4"/>
      </c>
      <c r="S34" s="283">
        <f t="shared" si="5"/>
        <v>20</v>
      </c>
      <c r="T34" s="754" t="str">
        <f t="shared" si="6"/>
        <v>--</v>
      </c>
      <c r="U34" s="755" t="str">
        <f t="shared" si="7"/>
        <v>--</v>
      </c>
      <c r="V34" s="286" t="str">
        <f t="shared" si="8"/>
        <v>--</v>
      </c>
      <c r="W34" s="287" t="str">
        <f t="shared" si="9"/>
        <v>--</v>
      </c>
      <c r="X34" s="288" t="str">
        <f t="shared" si="10"/>
        <v>--</v>
      </c>
      <c r="Y34" s="289" t="str">
        <f t="shared" si="11"/>
        <v>--</v>
      </c>
      <c r="Z34" s="290" t="str">
        <f t="shared" si="12"/>
        <v>--</v>
      </c>
      <c r="AA34" s="291" t="str">
        <f t="shared" si="13"/>
        <v>--</v>
      </c>
      <c r="AB34" s="756">
        <f t="shared" si="16"/>
      </c>
      <c r="AC34" s="293">
        <f t="shared" si="14"/>
      </c>
      <c r="AD34" s="17"/>
    </row>
    <row r="35" spans="1:30" s="5" customFormat="1" ht="16.5" customHeight="1">
      <c r="A35" s="88"/>
      <c r="B35" s="93"/>
      <c r="C35" s="264"/>
      <c r="D35" s="264"/>
      <c r="E35" s="264"/>
      <c r="F35" s="145"/>
      <c r="G35" s="294"/>
      <c r="H35" s="279"/>
      <c r="I35" s="280"/>
      <c r="J35" s="281">
        <f t="shared" si="0"/>
        <v>0</v>
      </c>
      <c r="K35" s="150"/>
      <c r="L35" s="150"/>
      <c r="M35" s="282">
        <f t="shared" si="1"/>
      </c>
      <c r="N35" s="14">
        <f t="shared" si="2"/>
      </c>
      <c r="O35" s="151"/>
      <c r="P35" s="470">
        <f t="shared" si="3"/>
      </c>
      <c r="Q35" s="8">
        <f t="shared" si="15"/>
      </c>
      <c r="R35" s="211">
        <f t="shared" si="4"/>
      </c>
      <c r="S35" s="283">
        <f t="shared" si="5"/>
        <v>20</v>
      </c>
      <c r="T35" s="754" t="str">
        <f t="shared" si="6"/>
        <v>--</v>
      </c>
      <c r="U35" s="755" t="str">
        <f t="shared" si="7"/>
        <v>--</v>
      </c>
      <c r="V35" s="286" t="str">
        <f t="shared" si="8"/>
        <v>--</v>
      </c>
      <c r="W35" s="287" t="str">
        <f t="shared" si="9"/>
        <v>--</v>
      </c>
      <c r="X35" s="288" t="str">
        <f t="shared" si="10"/>
        <v>--</v>
      </c>
      <c r="Y35" s="289" t="str">
        <f t="shared" si="11"/>
        <v>--</v>
      </c>
      <c r="Z35" s="290" t="str">
        <f t="shared" si="12"/>
        <v>--</v>
      </c>
      <c r="AA35" s="291" t="str">
        <f t="shared" si="13"/>
        <v>--</v>
      </c>
      <c r="AB35" s="756">
        <f t="shared" si="16"/>
      </c>
      <c r="AC35" s="293">
        <f t="shared" si="14"/>
      </c>
      <c r="AD35" s="17"/>
    </row>
    <row r="36" spans="1:30" s="5" customFormat="1" ht="16.5" customHeight="1">
      <c r="A36" s="88"/>
      <c r="B36" s="93"/>
      <c r="C36" s="264"/>
      <c r="D36" s="264"/>
      <c r="E36" s="149"/>
      <c r="F36" s="145"/>
      <c r="G36" s="294"/>
      <c r="H36" s="279"/>
      <c r="I36" s="280"/>
      <c r="J36" s="281">
        <f t="shared" si="0"/>
        <v>0</v>
      </c>
      <c r="K36" s="150"/>
      <c r="L36" s="150"/>
      <c r="M36" s="282">
        <f t="shared" si="1"/>
      </c>
      <c r="N36" s="14">
        <f t="shared" si="2"/>
      </c>
      <c r="O36" s="151"/>
      <c r="P36" s="470">
        <f t="shared" si="3"/>
      </c>
      <c r="Q36" s="8">
        <f t="shared" si="15"/>
      </c>
      <c r="R36" s="211">
        <f t="shared" si="4"/>
      </c>
      <c r="S36" s="283">
        <f t="shared" si="5"/>
        <v>20</v>
      </c>
      <c r="T36" s="754" t="str">
        <f t="shared" si="6"/>
        <v>--</v>
      </c>
      <c r="U36" s="755" t="str">
        <f t="shared" si="7"/>
        <v>--</v>
      </c>
      <c r="V36" s="286" t="str">
        <f t="shared" si="8"/>
        <v>--</v>
      </c>
      <c r="W36" s="287" t="str">
        <f t="shared" si="9"/>
        <v>--</v>
      </c>
      <c r="X36" s="288" t="str">
        <f t="shared" si="10"/>
        <v>--</v>
      </c>
      <c r="Y36" s="289" t="str">
        <f t="shared" si="11"/>
        <v>--</v>
      </c>
      <c r="Z36" s="290" t="str">
        <f t="shared" si="12"/>
        <v>--</v>
      </c>
      <c r="AA36" s="291" t="str">
        <f t="shared" si="13"/>
        <v>--</v>
      </c>
      <c r="AB36" s="756">
        <f t="shared" si="16"/>
      </c>
      <c r="AC36" s="293">
        <f t="shared" si="14"/>
      </c>
      <c r="AD36" s="17"/>
    </row>
    <row r="37" spans="1:30" s="5" customFormat="1" ht="16.5" customHeight="1">
      <c r="A37" s="88"/>
      <c r="B37" s="93"/>
      <c r="C37" s="264"/>
      <c r="D37" s="264"/>
      <c r="E37" s="264"/>
      <c r="F37" s="145"/>
      <c r="G37" s="294"/>
      <c r="H37" s="279"/>
      <c r="I37" s="280"/>
      <c r="J37" s="281">
        <f t="shared" si="0"/>
        <v>0</v>
      </c>
      <c r="K37" s="150"/>
      <c r="L37" s="150"/>
      <c r="M37" s="282">
        <f t="shared" si="1"/>
      </c>
      <c r="N37" s="14">
        <f t="shared" si="2"/>
      </c>
      <c r="O37" s="151"/>
      <c r="P37" s="470">
        <f t="shared" si="3"/>
      </c>
      <c r="Q37" s="8">
        <f t="shared" si="15"/>
      </c>
      <c r="R37" s="211">
        <f t="shared" si="4"/>
      </c>
      <c r="S37" s="283">
        <f t="shared" si="5"/>
        <v>20</v>
      </c>
      <c r="T37" s="754" t="str">
        <f t="shared" si="6"/>
        <v>--</v>
      </c>
      <c r="U37" s="755" t="str">
        <f t="shared" si="7"/>
        <v>--</v>
      </c>
      <c r="V37" s="286" t="str">
        <f t="shared" si="8"/>
        <v>--</v>
      </c>
      <c r="W37" s="287" t="str">
        <f t="shared" si="9"/>
        <v>--</v>
      </c>
      <c r="X37" s="288" t="str">
        <f t="shared" si="10"/>
        <v>--</v>
      </c>
      <c r="Y37" s="289" t="str">
        <f t="shared" si="11"/>
        <v>--</v>
      </c>
      <c r="Z37" s="290" t="str">
        <f t="shared" si="12"/>
        <v>--</v>
      </c>
      <c r="AA37" s="291" t="str">
        <f t="shared" si="13"/>
        <v>--</v>
      </c>
      <c r="AB37" s="756">
        <f t="shared" si="16"/>
      </c>
      <c r="AC37" s="293">
        <f t="shared" si="14"/>
      </c>
      <c r="AD37" s="17"/>
    </row>
    <row r="38" spans="1:30" s="5" customFormat="1" ht="16.5" customHeight="1">
      <c r="A38" s="88"/>
      <c r="B38" s="93"/>
      <c r="C38" s="264"/>
      <c r="D38" s="264"/>
      <c r="E38" s="149"/>
      <c r="F38" s="145"/>
      <c r="G38" s="294"/>
      <c r="H38" s="279"/>
      <c r="I38" s="280"/>
      <c r="J38" s="281">
        <f t="shared" si="0"/>
        <v>0</v>
      </c>
      <c r="K38" s="150"/>
      <c r="L38" s="150"/>
      <c r="M38" s="282">
        <f t="shared" si="1"/>
      </c>
      <c r="N38" s="14">
        <f t="shared" si="2"/>
      </c>
      <c r="O38" s="151"/>
      <c r="P38" s="470">
        <f t="shared" si="3"/>
      </c>
      <c r="Q38" s="8">
        <f t="shared" si="15"/>
      </c>
      <c r="R38" s="211">
        <f t="shared" si="4"/>
      </c>
      <c r="S38" s="283">
        <f t="shared" si="5"/>
        <v>20</v>
      </c>
      <c r="T38" s="754" t="str">
        <f t="shared" si="6"/>
        <v>--</v>
      </c>
      <c r="U38" s="755" t="str">
        <f t="shared" si="7"/>
        <v>--</v>
      </c>
      <c r="V38" s="286" t="str">
        <f t="shared" si="8"/>
        <v>--</v>
      </c>
      <c r="W38" s="287" t="str">
        <f t="shared" si="9"/>
        <v>--</v>
      </c>
      <c r="X38" s="288" t="str">
        <f t="shared" si="10"/>
        <v>--</v>
      </c>
      <c r="Y38" s="289" t="str">
        <f t="shared" si="11"/>
        <v>--</v>
      </c>
      <c r="Z38" s="290" t="str">
        <f t="shared" si="12"/>
        <v>--</v>
      </c>
      <c r="AA38" s="291" t="str">
        <f t="shared" si="13"/>
        <v>--</v>
      </c>
      <c r="AB38" s="756">
        <f t="shared" si="16"/>
      </c>
      <c r="AC38" s="293">
        <f t="shared" si="14"/>
      </c>
      <c r="AD38" s="17"/>
    </row>
    <row r="39" spans="1:30" s="5" customFormat="1" ht="16.5" customHeight="1">
      <c r="A39" s="88"/>
      <c r="B39" s="93"/>
      <c r="C39" s="264"/>
      <c r="D39" s="264"/>
      <c r="E39" s="264"/>
      <c r="F39" s="145"/>
      <c r="G39" s="294"/>
      <c r="H39" s="279"/>
      <c r="I39" s="280"/>
      <c r="J39" s="281">
        <f t="shared" si="0"/>
        <v>0</v>
      </c>
      <c r="K39" s="150"/>
      <c r="L39" s="150"/>
      <c r="M39" s="282">
        <f t="shared" si="1"/>
      </c>
      <c r="N39" s="14">
        <f t="shared" si="2"/>
      </c>
      <c r="O39" s="151"/>
      <c r="P39" s="470">
        <f t="shared" si="3"/>
      </c>
      <c r="Q39" s="8">
        <f t="shared" si="15"/>
      </c>
      <c r="R39" s="211">
        <f t="shared" si="4"/>
      </c>
      <c r="S39" s="283">
        <f t="shared" si="5"/>
        <v>20</v>
      </c>
      <c r="T39" s="754" t="str">
        <f t="shared" si="6"/>
        <v>--</v>
      </c>
      <c r="U39" s="755" t="str">
        <f t="shared" si="7"/>
        <v>--</v>
      </c>
      <c r="V39" s="286" t="str">
        <f t="shared" si="8"/>
        <v>--</v>
      </c>
      <c r="W39" s="287" t="str">
        <f t="shared" si="9"/>
        <v>--</v>
      </c>
      <c r="X39" s="288" t="str">
        <f t="shared" si="10"/>
        <v>--</v>
      </c>
      <c r="Y39" s="289" t="str">
        <f t="shared" si="11"/>
        <v>--</v>
      </c>
      <c r="Z39" s="290" t="str">
        <f t="shared" si="12"/>
        <v>--</v>
      </c>
      <c r="AA39" s="291" t="str">
        <f t="shared" si="13"/>
        <v>--</v>
      </c>
      <c r="AB39" s="756">
        <f t="shared" si="16"/>
      </c>
      <c r="AC39" s="293">
        <f t="shared" si="14"/>
      </c>
      <c r="AD39" s="17"/>
    </row>
    <row r="40" spans="1:30" s="5" customFormat="1" ht="16.5" customHeight="1" thickBot="1">
      <c r="A40" s="88"/>
      <c r="B40" s="93"/>
      <c r="C40" s="295"/>
      <c r="D40" s="295"/>
      <c r="E40" s="295"/>
      <c r="F40" s="295"/>
      <c r="G40" s="295"/>
      <c r="H40" s="295"/>
      <c r="I40" s="297"/>
      <c r="J40" s="129"/>
      <c r="K40" s="152"/>
      <c r="L40" s="298"/>
      <c r="M40" s="299"/>
      <c r="N40" s="300"/>
      <c r="O40" s="155"/>
      <c r="P40" s="183"/>
      <c r="Q40" s="153"/>
      <c r="R40" s="155"/>
      <c r="S40" s="331"/>
      <c r="T40" s="322"/>
      <c r="U40" s="323"/>
      <c r="V40" s="324"/>
      <c r="W40" s="325"/>
      <c r="X40" s="326"/>
      <c r="Y40" s="327"/>
      <c r="Z40" s="328"/>
      <c r="AA40" s="329"/>
      <c r="AB40" s="330"/>
      <c r="AC40" s="311"/>
      <c r="AD40" s="17"/>
    </row>
    <row r="41" spans="1:30" s="5" customFormat="1" ht="16.5" customHeight="1" thickBot="1" thickTop="1">
      <c r="A41" s="88"/>
      <c r="B41" s="93"/>
      <c r="C41" s="125" t="s">
        <v>23</v>
      </c>
      <c r="D41" s="978" t="s">
        <v>230</v>
      </c>
      <c r="E41" s="125"/>
      <c r="F41" s="126"/>
      <c r="G41" s="15"/>
      <c r="H41" s="15"/>
      <c r="I41" s="15"/>
      <c r="J41" s="15"/>
      <c r="K41" s="15"/>
      <c r="L41" s="97"/>
      <c r="M41" s="15"/>
      <c r="N41" s="15"/>
      <c r="O41" s="15"/>
      <c r="P41" s="15"/>
      <c r="Q41" s="15"/>
      <c r="R41" s="15"/>
      <c r="S41" s="15"/>
      <c r="T41" s="312">
        <f aca="true" t="shared" si="17" ref="T41:AA41">SUM(T18:T40)</f>
        <v>765.6</v>
      </c>
      <c r="U41" s="313">
        <f t="shared" si="17"/>
        <v>0</v>
      </c>
      <c r="V41" s="314">
        <f t="shared" si="17"/>
        <v>0</v>
      </c>
      <c r="W41" s="315">
        <f t="shared" si="17"/>
        <v>0</v>
      </c>
      <c r="X41" s="316">
        <f t="shared" si="17"/>
        <v>0</v>
      </c>
      <c r="Y41" s="317">
        <f t="shared" si="17"/>
        <v>0</v>
      </c>
      <c r="Z41" s="318">
        <f t="shared" si="17"/>
        <v>0</v>
      </c>
      <c r="AA41" s="319">
        <f t="shared" si="17"/>
        <v>0</v>
      </c>
      <c r="AB41" s="88"/>
      <c r="AC41" s="320">
        <f>ROUND(SUM(AC18:AC40),2)</f>
        <v>765.6</v>
      </c>
      <c r="AD41" s="17"/>
    </row>
    <row r="42" spans="1:30" s="5" customFormat="1" ht="16.5" customHeight="1" thickBot="1" thickTop="1">
      <c r="A42" s="88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</row>
    <row r="43" spans="1:31" ht="16.5" customHeight="1" thickTop="1">
      <c r="A43" s="2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</row>
    <row r="44" spans="1:31" ht="16.5" customHeight="1">
      <c r="A44" s="2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</row>
    <row r="45" spans="1:31" ht="16.5" customHeight="1">
      <c r="A45" s="2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</row>
    <row r="46" spans="1:31" ht="16.5" customHeight="1">
      <c r="A46" s="2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</row>
    <row r="47" spans="6:31" ht="16.5" customHeight="1"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</row>
    <row r="48" spans="6:31" ht="16.5" customHeight="1"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</row>
    <row r="49" spans="6:31" ht="16.5" customHeight="1"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</row>
    <row r="50" spans="6:31" ht="16.5" customHeight="1"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</row>
    <row r="51" spans="6:31" ht="16.5" customHeight="1"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</row>
    <row r="52" spans="6:31" ht="16.5" customHeight="1"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  <row r="53" spans="6:31" ht="16.5" customHeight="1"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</row>
    <row r="54" spans="6:31" ht="16.5" customHeight="1"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</row>
    <row r="55" spans="6:31" ht="16.5" customHeight="1"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</row>
    <row r="56" spans="6:31" ht="16.5" customHeight="1"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</row>
    <row r="57" spans="6:31" ht="16.5" customHeight="1"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</row>
    <row r="58" spans="6:31" ht="16.5" customHeight="1"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</row>
    <row r="59" spans="6:31" ht="16.5" customHeight="1"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</row>
    <row r="60" spans="6:31" ht="16.5" customHeight="1"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</row>
    <row r="61" spans="6:31" ht="16.5" customHeight="1"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</row>
    <row r="62" spans="6:31" ht="16.5" customHeight="1"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</row>
    <row r="63" spans="6:31" ht="16.5" customHeight="1"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</row>
    <row r="64" spans="6:31" ht="16.5" customHeight="1"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</row>
    <row r="65" spans="6:31" ht="16.5" customHeight="1"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</row>
    <row r="66" spans="6:31" ht="16.5" customHeight="1"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</row>
    <row r="67" spans="6:31" ht="16.5" customHeight="1"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</row>
    <row r="68" spans="6:31" ht="16.5" customHeight="1"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6:31" ht="16.5" customHeight="1"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  <row r="70" spans="6:31" ht="16.5" customHeight="1"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</row>
    <row r="71" spans="6:31" ht="16.5" customHeight="1"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</row>
    <row r="72" spans="6:31" ht="16.5" customHeight="1"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</row>
    <row r="73" spans="6:31" ht="16.5" customHeight="1"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</row>
    <row r="74" spans="6:31" ht="16.5" customHeight="1"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6:31" ht="16.5" customHeight="1"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</row>
    <row r="76" spans="6:31" ht="16.5" customHeight="1"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6:31" ht="16.5" customHeight="1"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</row>
    <row r="78" spans="6:31" ht="16.5" customHeight="1"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</row>
    <row r="79" spans="6:31" ht="16.5" customHeight="1"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6:31" ht="16.5" customHeight="1"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6:31" ht="16.5" customHeight="1"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</row>
    <row r="82" spans="6:31" ht="16.5" customHeight="1"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</row>
    <row r="83" spans="6:31" ht="16.5" customHeight="1"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</row>
    <row r="84" spans="6:31" ht="16.5" customHeight="1"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</row>
    <row r="85" spans="6:31" ht="16.5" customHeight="1"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</row>
    <row r="86" spans="6:31" ht="16.5" customHeight="1"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6:31" ht="16.5" customHeight="1"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6:31" ht="16.5" customHeight="1"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</row>
    <row r="89" spans="6:31" ht="16.5" customHeight="1"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</row>
    <row r="90" spans="6:31" ht="16.5" customHeight="1"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</row>
    <row r="91" spans="6:31" ht="16.5" customHeight="1"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</row>
    <row r="92" spans="6:31" ht="16.5" customHeight="1"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</row>
    <row r="93" spans="6:31" ht="16.5" customHeight="1"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</row>
    <row r="94" spans="6:31" ht="16.5" customHeight="1"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</row>
    <row r="95" spans="6:31" ht="16.5" customHeight="1"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</row>
    <row r="96" spans="6:31" ht="16.5" customHeight="1"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</row>
    <row r="97" spans="6:31" ht="16.5" customHeight="1"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</row>
    <row r="98" spans="6:31" ht="16.5" customHeight="1"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</row>
    <row r="99" spans="6:31" ht="16.5" customHeight="1"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</row>
    <row r="100" spans="6:31" ht="16.5" customHeight="1"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</row>
    <row r="101" spans="6:31" ht="16.5" customHeight="1"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</row>
    <row r="102" spans="6:31" ht="16.5" customHeight="1"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</row>
    <row r="103" spans="6:31" ht="16.5" customHeight="1"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</row>
    <row r="104" spans="6:31" ht="16.5" customHeight="1"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</row>
    <row r="105" spans="6:31" ht="16.5" customHeight="1"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</row>
    <row r="106" spans="6:31" ht="16.5" customHeight="1"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</row>
    <row r="107" spans="6:31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</row>
    <row r="108" spans="6:31" ht="16.5" customHeight="1"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</row>
    <row r="109" spans="6:31" ht="16.5" customHeight="1"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</row>
    <row r="110" spans="6:31" ht="16.5" customHeight="1"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</row>
    <row r="111" spans="6:31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</row>
    <row r="112" spans="6:31" ht="16.5" customHeight="1"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</row>
    <row r="113" spans="6:31" ht="16.5" customHeight="1"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</row>
    <row r="114" spans="6:31" ht="16.5" customHeight="1"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</row>
    <row r="115" spans="6:31" ht="16.5" customHeight="1"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</row>
    <row r="116" spans="6:31" ht="16.5" customHeight="1"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</row>
    <row r="117" spans="6:31" ht="16.5" customHeight="1"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</row>
    <row r="118" spans="6:31" ht="16.5" customHeight="1"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</row>
    <row r="119" spans="6:31" ht="16.5" customHeight="1"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</row>
    <row r="120" spans="6:31" ht="16.5" customHeight="1"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6:31" ht="16.5" customHeight="1"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6:31" ht="16.5" customHeight="1"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</row>
    <row r="123" spans="6:31" ht="16.5" customHeight="1"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</row>
    <row r="124" spans="6:31" ht="16.5" customHeight="1"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6:31" ht="16.5" customHeight="1"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6:31" ht="16.5" customHeight="1"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</row>
    <row r="127" spans="6:31" ht="16.5" customHeight="1"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6:31" ht="16.5" customHeight="1"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</row>
    <row r="129" spans="6:31" ht="16.5" customHeight="1"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</row>
    <row r="130" spans="6:31" ht="16.5" customHeight="1"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</row>
    <row r="131" spans="6:31" ht="16.5" customHeight="1"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</row>
    <row r="132" spans="6:31" ht="16.5" customHeight="1"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</row>
    <row r="133" spans="6:31" ht="16.5" customHeight="1"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</row>
    <row r="134" spans="6:31" ht="16.5" customHeight="1"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</row>
    <row r="135" spans="6:31" ht="16.5" customHeight="1"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</row>
    <row r="136" spans="6:31" ht="16.5" customHeight="1"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</row>
    <row r="137" spans="6:31" ht="16.5" customHeight="1"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</row>
    <row r="138" spans="6:31" ht="16.5" customHeight="1"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</row>
    <row r="139" spans="6:31" ht="16.5" customHeight="1"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</row>
    <row r="140" spans="6:31" ht="16.5" customHeight="1"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</row>
    <row r="141" spans="6:31" ht="16.5" customHeight="1"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</row>
    <row r="142" spans="6:31" ht="16.5" customHeight="1"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</row>
    <row r="143" spans="6:31" ht="16.5" customHeight="1"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</row>
    <row r="144" spans="6:31" ht="16.5" customHeight="1"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</row>
    <row r="145" spans="6:31" ht="16.5" customHeight="1"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</row>
    <row r="146" spans="6:31" ht="16.5" customHeight="1"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</row>
    <row r="147" spans="6:31" ht="16.5" customHeight="1"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</row>
    <row r="148" spans="6:31" ht="16.5" customHeight="1"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</row>
    <row r="149" spans="6:31" ht="16.5" customHeight="1"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</row>
    <row r="150" spans="6:31" ht="16.5" customHeight="1"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</row>
    <row r="151" ht="16.5" customHeight="1">
      <c r="AE151" s="169"/>
    </row>
    <row r="152" ht="16.5" customHeight="1">
      <c r="AE152" s="169"/>
    </row>
    <row r="153" ht="16.5" customHeight="1">
      <c r="AE153" s="169"/>
    </row>
    <row r="154" ht="16.5" customHeight="1">
      <c r="AE154" s="169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2011-04-01T12:09:30Z</cp:lastPrinted>
  <dcterms:created xsi:type="dcterms:W3CDTF">1998-04-21T14:04:37Z</dcterms:created>
  <dcterms:modified xsi:type="dcterms:W3CDTF">2011-05-19T19:17:28Z</dcterms:modified>
  <cp:category/>
  <cp:version/>
  <cp:contentType/>
  <cp:contentStatus/>
</cp:coreProperties>
</file>